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3040" windowHeight="10452" tabRatio="908" activeTab="1"/>
  </bookViews>
  <sheets>
    <sheet name="оглавление" sheetId="16" r:id="rId1"/>
    <sheet name="методология" sheetId="7" r:id="rId2"/>
    <sheet name="капитал" sheetId="1" r:id="rId3"/>
    <sheet name="сметы" sheetId="8" r:id="rId4"/>
    <sheet name="аренда" sheetId="17" r:id="rId5"/>
    <sheet name="сценарии" sheetId="9" r:id="rId6"/>
    <sheet name="ФОТ" sheetId="21" r:id="rId7"/>
    <sheet name="операции" sheetId="2" r:id="rId8"/>
    <sheet name="отчеты" sheetId="3" r:id="rId9"/>
    <sheet name="отч_беседки" sheetId="18" r:id="rId10"/>
    <sheet name="отч_вер_парк" sheetId="19" r:id="rId11"/>
    <sheet name="отч_прокат" sheetId="20" r:id="rId12"/>
    <sheet name="KPI" sheetId="4" r:id="rId13"/>
    <sheet name="структура" sheetId="5" r:id="rId14"/>
    <sheet name="опер1" sheetId="10" r:id="rId15"/>
    <sheet name="отч1" sheetId="11" r:id="rId16"/>
    <sheet name="опер2" sheetId="12" r:id="rId17"/>
    <sheet name="отч2" sheetId="13" r:id="rId18"/>
    <sheet name="опер3" sheetId="14" r:id="rId19"/>
    <sheet name="отч3" sheetId="15" r:id="rId20"/>
  </sheets>
  <definedNames>
    <definedName name="_xlnm._FilterDatabase" localSheetId="9" hidden="1">отч_беседки!$A$8:$B$277</definedName>
    <definedName name="_xlnm._FilterDatabase" localSheetId="10" hidden="1">отч_вер_парк!$A$8:$B$277</definedName>
    <definedName name="_xlnm._FilterDatabase" localSheetId="11" hidden="1">отч_прокат!$A$8:$B$277</definedName>
    <definedName name="_xlnm._FilterDatabase" localSheetId="15" hidden="1">отч1!$A$8:$B$330</definedName>
    <definedName name="_xlnm._FilterDatabase" localSheetId="17" hidden="1">отч2!$A$8:$B$8</definedName>
    <definedName name="_xlnm._FilterDatabase" localSheetId="19" hidden="1">отч3!$A$8:$B$8</definedName>
    <definedName name="_xlnm._FilterDatabase" localSheetId="8" hidden="1">отчеты!$A$8:$B$370</definedName>
  </definedNames>
  <calcPr calcId="162913"/>
</workbook>
</file>

<file path=xl/calcChain.xml><?xml version="1.0" encoding="utf-8"?>
<calcChain xmlns="http://schemas.openxmlformats.org/spreadsheetml/2006/main">
  <c r="G12" i="5" l="1"/>
  <c r="E13" i="5"/>
  <c r="G13" i="5" s="1"/>
  <c r="E286" i="3"/>
  <c r="E256" i="3"/>
  <c r="E276" i="3"/>
  <c r="A295" i="3"/>
  <c r="A294" i="3"/>
  <c r="A293" i="3"/>
  <c r="B292" i="3"/>
  <c r="A292" i="3"/>
  <c r="A291" i="3"/>
  <c r="B290" i="3"/>
  <c r="A290" i="3"/>
  <c r="A289" i="3"/>
  <c r="B288" i="3"/>
  <c r="A288" i="3"/>
  <c r="A287" i="3"/>
  <c r="E292" i="3"/>
  <c r="B286" i="3"/>
  <c r="A286" i="3"/>
  <c r="A265" i="3"/>
  <c r="A264" i="3"/>
  <c r="A263" i="3"/>
  <c r="B262" i="3"/>
  <c r="A262" i="3"/>
  <c r="A261" i="3"/>
  <c r="B260" i="3"/>
  <c r="A260" i="3"/>
  <c r="A259" i="3"/>
  <c r="B258" i="3"/>
  <c r="A258" i="3"/>
  <c r="A257" i="3"/>
  <c r="E262" i="3"/>
  <c r="B256" i="3"/>
  <c r="A256" i="3"/>
  <c r="E282" i="3"/>
  <c r="E266" i="3"/>
  <c r="A285" i="3"/>
  <c r="A284" i="3"/>
  <c r="A283" i="3"/>
  <c r="B282" i="3"/>
  <c r="A282" i="3"/>
  <c r="A281" i="3"/>
  <c r="B280" i="3"/>
  <c r="A280" i="3"/>
  <c r="A279" i="3"/>
  <c r="B278" i="3"/>
  <c r="A278" i="3"/>
  <c r="A277" i="3"/>
  <c r="B276" i="3"/>
  <c r="A276" i="3"/>
  <c r="A275" i="3"/>
  <c r="A274" i="3"/>
  <c r="A273" i="3"/>
  <c r="B272" i="3"/>
  <c r="A272" i="3"/>
  <c r="A271" i="3"/>
  <c r="B270" i="3"/>
  <c r="A270" i="3"/>
  <c r="A269" i="3"/>
  <c r="B268" i="3"/>
  <c r="A268" i="3"/>
  <c r="A267" i="3"/>
  <c r="E272" i="3"/>
  <c r="B266" i="3"/>
  <c r="A266" i="3"/>
  <c r="A255" i="20"/>
  <c r="E14" i="5" l="1"/>
  <c r="E288" i="3"/>
  <c r="E290" i="3"/>
  <c r="E258" i="3"/>
  <c r="E260" i="3"/>
  <c r="E268" i="3"/>
  <c r="E270" i="3"/>
  <c r="E278" i="3"/>
  <c r="E280" i="3"/>
  <c r="M37" i="2"/>
  <c r="M36" i="2"/>
  <c r="G14" i="5" l="1"/>
  <c r="E15" i="5"/>
  <c r="V138" i="9"/>
  <c r="U138" i="9"/>
  <c r="T138" i="9"/>
  <c r="S138" i="9"/>
  <c r="R138" i="9"/>
  <c r="Q138" i="9"/>
  <c r="P138" i="9"/>
  <c r="V133" i="9"/>
  <c r="U133" i="9"/>
  <c r="T133" i="9"/>
  <c r="S133" i="9"/>
  <c r="R133" i="9"/>
  <c r="Q133" i="9"/>
  <c r="P133" i="9"/>
  <c r="V132" i="9"/>
  <c r="U132" i="9"/>
  <c r="T132" i="9"/>
  <c r="S132" i="9"/>
  <c r="R132" i="9"/>
  <c r="Q132" i="9"/>
  <c r="P132" i="9"/>
  <c r="V131" i="9"/>
  <c r="U131" i="9"/>
  <c r="T131" i="9"/>
  <c r="S131" i="9"/>
  <c r="R131" i="9"/>
  <c r="Q131" i="9"/>
  <c r="P131" i="9"/>
  <c r="V94" i="9"/>
  <c r="U94" i="9"/>
  <c r="T94" i="9"/>
  <c r="S94" i="9"/>
  <c r="R94" i="9"/>
  <c r="Q94" i="9"/>
  <c r="P94" i="9"/>
  <c r="V89" i="9"/>
  <c r="U89" i="9"/>
  <c r="T89" i="9"/>
  <c r="S89" i="9"/>
  <c r="R89" i="9"/>
  <c r="Q89" i="9"/>
  <c r="P89" i="9"/>
  <c r="V88" i="9"/>
  <c r="U88" i="9"/>
  <c r="T88" i="9"/>
  <c r="S88" i="9"/>
  <c r="R88" i="9"/>
  <c r="Q88" i="9"/>
  <c r="P88" i="9"/>
  <c r="V87" i="9"/>
  <c r="U87" i="9"/>
  <c r="T87" i="9"/>
  <c r="S87" i="9"/>
  <c r="R87" i="9"/>
  <c r="Q87" i="9"/>
  <c r="P87" i="9"/>
  <c r="Q43" i="9"/>
  <c r="R43" i="9"/>
  <c r="S43" i="9"/>
  <c r="T43" i="9"/>
  <c r="U43" i="9"/>
  <c r="V43" i="9"/>
  <c r="Q44" i="9"/>
  <c r="R44" i="9"/>
  <c r="S44" i="9"/>
  <c r="T44" i="9"/>
  <c r="U44" i="9"/>
  <c r="V44" i="9"/>
  <c r="Q45" i="9"/>
  <c r="R45" i="9"/>
  <c r="S45" i="9"/>
  <c r="T45" i="9"/>
  <c r="U45" i="9"/>
  <c r="V45" i="9"/>
  <c r="Q50" i="9"/>
  <c r="R50" i="9"/>
  <c r="S50" i="9"/>
  <c r="T50" i="9"/>
  <c r="U50" i="9"/>
  <c r="V50" i="9"/>
  <c r="E16" i="5" l="1"/>
  <c r="G15" i="5"/>
  <c r="P138" i="2"/>
  <c r="E17" i="5" l="1"/>
  <c r="G16" i="5"/>
  <c r="Q138" i="2"/>
  <c r="R138" i="2"/>
  <c r="S138" i="2"/>
  <c r="T138" i="2"/>
  <c r="U138" i="2"/>
  <c r="V138" i="2"/>
  <c r="W138" i="2"/>
  <c r="X138" i="2"/>
  <c r="Y138" i="2"/>
  <c r="Z138" i="2"/>
  <c r="AA138" i="2"/>
  <c r="Q139" i="2"/>
  <c r="R139" i="2"/>
  <c r="S139" i="2"/>
  <c r="T139" i="2"/>
  <c r="U139" i="2"/>
  <c r="V139" i="2"/>
  <c r="W139" i="2"/>
  <c r="X139" i="2"/>
  <c r="Y139" i="2"/>
  <c r="Z139" i="2"/>
  <c r="AA139" i="2"/>
  <c r="Q140" i="2"/>
  <c r="R140" i="2"/>
  <c r="S140" i="2"/>
  <c r="T140" i="2"/>
  <c r="U140" i="2"/>
  <c r="V140" i="2"/>
  <c r="W140" i="2"/>
  <c r="X140" i="2"/>
  <c r="Y140" i="2"/>
  <c r="Z140" i="2"/>
  <c r="AA140" i="2"/>
  <c r="Q141" i="2"/>
  <c r="R141" i="2"/>
  <c r="S141" i="2"/>
  <c r="T141" i="2"/>
  <c r="U141" i="2"/>
  <c r="V141" i="2"/>
  <c r="W141" i="2"/>
  <c r="X141" i="2"/>
  <c r="Y141" i="2"/>
  <c r="Z141" i="2"/>
  <c r="AA141" i="2"/>
  <c r="Q142" i="2"/>
  <c r="R142" i="2"/>
  <c r="S142" i="2"/>
  <c r="T142" i="2"/>
  <c r="U142" i="2"/>
  <c r="V142" i="2"/>
  <c r="W142" i="2"/>
  <c r="X142" i="2"/>
  <c r="Y142" i="2"/>
  <c r="Z142" i="2"/>
  <c r="AA142" i="2"/>
  <c r="Q143" i="2"/>
  <c r="R143" i="2"/>
  <c r="S143" i="2"/>
  <c r="T143" i="2"/>
  <c r="U143" i="2"/>
  <c r="V143" i="2"/>
  <c r="W143" i="2"/>
  <c r="X143" i="2"/>
  <c r="Y143" i="2"/>
  <c r="Z143" i="2"/>
  <c r="AA143" i="2"/>
  <c r="Q144" i="2"/>
  <c r="R144" i="2"/>
  <c r="S144" i="2"/>
  <c r="T144" i="2"/>
  <c r="U144" i="2"/>
  <c r="V144" i="2"/>
  <c r="W144" i="2"/>
  <c r="X144" i="2"/>
  <c r="Y144" i="2"/>
  <c r="Z144" i="2"/>
  <c r="AA144" i="2"/>
  <c r="Q145" i="2"/>
  <c r="R145" i="2"/>
  <c r="S145" i="2"/>
  <c r="T145" i="2"/>
  <c r="U145" i="2"/>
  <c r="V145" i="2"/>
  <c r="W145" i="2"/>
  <c r="X145" i="2"/>
  <c r="Y145" i="2"/>
  <c r="Z145" i="2"/>
  <c r="AA145" i="2"/>
  <c r="Q146" i="2"/>
  <c r="R146" i="2"/>
  <c r="S146" i="2"/>
  <c r="T146" i="2"/>
  <c r="U146" i="2"/>
  <c r="V146" i="2"/>
  <c r="W146" i="2"/>
  <c r="X146" i="2"/>
  <c r="Y146" i="2"/>
  <c r="Z146" i="2"/>
  <c r="AA146" i="2"/>
  <c r="Q147" i="2"/>
  <c r="R147" i="2"/>
  <c r="S147" i="2"/>
  <c r="T147" i="2"/>
  <c r="U147" i="2"/>
  <c r="V147" i="2"/>
  <c r="W147" i="2"/>
  <c r="X147" i="2"/>
  <c r="Y147" i="2"/>
  <c r="Z147" i="2"/>
  <c r="AA147" i="2"/>
  <c r="Q148" i="2"/>
  <c r="R148" i="2"/>
  <c r="S148" i="2"/>
  <c r="T148" i="2"/>
  <c r="U148" i="2"/>
  <c r="V148" i="2"/>
  <c r="W148" i="2"/>
  <c r="X148" i="2"/>
  <c r="Y148" i="2"/>
  <c r="Z148" i="2"/>
  <c r="AA148" i="2"/>
  <c r="P139" i="2"/>
  <c r="P140" i="2"/>
  <c r="P141" i="2"/>
  <c r="P142" i="2"/>
  <c r="P143" i="2"/>
  <c r="P144" i="2"/>
  <c r="P145" i="2"/>
  <c r="P146" i="2"/>
  <c r="P147" i="2"/>
  <c r="P148" i="2"/>
  <c r="E18" i="5" l="1"/>
  <c r="G17" i="5"/>
  <c r="A11" i="20"/>
  <c r="E19" i="5" l="1"/>
  <c r="G18" i="5"/>
  <c r="E86" i="21"/>
  <c r="E85" i="21"/>
  <c r="E84" i="21"/>
  <c r="E83" i="21"/>
  <c r="E82" i="21"/>
  <c r="E81" i="21"/>
  <c r="E80" i="21"/>
  <c r="E79" i="21"/>
  <c r="E78" i="21"/>
  <c r="E77" i="21"/>
  <c r="Q87" i="21"/>
  <c r="R87" i="21"/>
  <c r="S87" i="21"/>
  <c r="T87" i="21"/>
  <c r="U87" i="21"/>
  <c r="V87" i="21"/>
  <c r="W87" i="21"/>
  <c r="X87" i="21"/>
  <c r="Y87" i="21"/>
  <c r="Z87" i="21"/>
  <c r="AA87" i="21"/>
  <c r="Q89" i="21"/>
  <c r="R89" i="21"/>
  <c r="S89" i="21"/>
  <c r="S88" i="21" s="1"/>
  <c r="T89" i="21"/>
  <c r="U89" i="21"/>
  <c r="V89" i="21"/>
  <c r="W89" i="21"/>
  <c r="X89" i="21"/>
  <c r="Y89" i="21"/>
  <c r="Z89" i="21"/>
  <c r="AA89" i="21"/>
  <c r="AA88" i="21" s="1"/>
  <c r="P89" i="21"/>
  <c r="P87" i="21"/>
  <c r="E20" i="5" l="1"/>
  <c r="G19" i="5"/>
  <c r="W88" i="21"/>
  <c r="U88" i="21"/>
  <c r="Y88" i="21"/>
  <c r="Q88" i="21"/>
  <c r="X88" i="21"/>
  <c r="T88" i="21"/>
  <c r="Z88" i="21"/>
  <c r="V88" i="21"/>
  <c r="R88" i="21"/>
  <c r="P88" i="21"/>
  <c r="E21" i="5" l="1"/>
  <c r="G20" i="5"/>
  <c r="J137" i="21"/>
  <c r="H137" i="21"/>
  <c r="J136" i="21"/>
  <c r="H136" i="21"/>
  <c r="J135" i="21"/>
  <c r="H135" i="21"/>
  <c r="J134" i="21"/>
  <c r="H134" i="21"/>
  <c r="J133" i="21"/>
  <c r="H133" i="21"/>
  <c r="J132" i="21"/>
  <c r="H132" i="21"/>
  <c r="J131" i="21"/>
  <c r="H131" i="21"/>
  <c r="J130" i="21"/>
  <c r="H130" i="21"/>
  <c r="J129" i="21"/>
  <c r="H129" i="21"/>
  <c r="J128" i="21"/>
  <c r="H128" i="21"/>
  <c r="J127" i="21"/>
  <c r="H127" i="21"/>
  <c r="J126" i="21"/>
  <c r="H126" i="21"/>
  <c r="H125" i="21"/>
  <c r="E125" i="21"/>
  <c r="E137" i="21" s="1"/>
  <c r="J122" i="21"/>
  <c r="H122" i="21"/>
  <c r="J121" i="21"/>
  <c r="H121" i="21"/>
  <c r="J120" i="21"/>
  <c r="H120" i="21"/>
  <c r="J119" i="21"/>
  <c r="H119" i="21"/>
  <c r="J118" i="21"/>
  <c r="H118" i="21"/>
  <c r="J117" i="21"/>
  <c r="H117" i="21"/>
  <c r="J116" i="21"/>
  <c r="H116" i="21"/>
  <c r="J115" i="21"/>
  <c r="H115" i="21"/>
  <c r="J114" i="21"/>
  <c r="H114" i="21"/>
  <c r="J113" i="21"/>
  <c r="H113" i="21"/>
  <c r="J112" i="21"/>
  <c r="H112" i="21"/>
  <c r="J111" i="21"/>
  <c r="H111" i="21"/>
  <c r="E110" i="21"/>
  <c r="E116" i="21" s="1"/>
  <c r="E107" i="21"/>
  <c r="J104" i="21"/>
  <c r="H104" i="21"/>
  <c r="J103" i="21"/>
  <c r="H103" i="21"/>
  <c r="J102" i="21"/>
  <c r="H102" i="21"/>
  <c r="J101" i="21"/>
  <c r="H101" i="21"/>
  <c r="J100" i="21"/>
  <c r="H100" i="21"/>
  <c r="J99" i="21"/>
  <c r="H99" i="21"/>
  <c r="J98" i="21"/>
  <c r="H98" i="21"/>
  <c r="J97" i="21"/>
  <c r="H97" i="21"/>
  <c r="J96" i="21"/>
  <c r="H96" i="21"/>
  <c r="J95" i="21"/>
  <c r="H95" i="21"/>
  <c r="J94" i="21"/>
  <c r="H94" i="21"/>
  <c r="J93" i="21"/>
  <c r="H93" i="21"/>
  <c r="E92" i="21"/>
  <c r="E89" i="21"/>
  <c r="E88" i="21"/>
  <c r="E87" i="21"/>
  <c r="Q21" i="21"/>
  <c r="R21" i="21"/>
  <c r="S21" i="21"/>
  <c r="T21" i="21"/>
  <c r="U21" i="21"/>
  <c r="V21" i="21"/>
  <c r="W21" i="21"/>
  <c r="X21" i="21"/>
  <c r="Y21" i="21"/>
  <c r="Z21" i="21"/>
  <c r="AA21" i="21"/>
  <c r="Q23" i="21"/>
  <c r="R23" i="21"/>
  <c r="S23" i="21"/>
  <c r="T23" i="21"/>
  <c r="U23" i="21"/>
  <c r="V23" i="21"/>
  <c r="W23" i="21"/>
  <c r="X23" i="21"/>
  <c r="Y23" i="21"/>
  <c r="Z23" i="21"/>
  <c r="AA23" i="21"/>
  <c r="P23" i="21"/>
  <c r="P21" i="21"/>
  <c r="E20" i="21"/>
  <c r="E17" i="21"/>
  <c r="E18" i="21"/>
  <c r="E15" i="21"/>
  <c r="G15" i="21" s="1"/>
  <c r="E19" i="21"/>
  <c r="E16" i="21"/>
  <c r="B123" i="4"/>
  <c r="B124" i="4"/>
  <c r="B125" i="4"/>
  <c r="B126" i="4"/>
  <c r="B127" i="4"/>
  <c r="B128" i="4"/>
  <c r="B129" i="4"/>
  <c r="B130" i="4"/>
  <c r="B131" i="4"/>
  <c r="G77" i="21" s="1"/>
  <c r="B132" i="4"/>
  <c r="G78" i="21" s="1"/>
  <c r="B133" i="4"/>
  <c r="G79" i="21" s="1"/>
  <c r="B134" i="4"/>
  <c r="G80" i="21" s="1"/>
  <c r="B135" i="4"/>
  <c r="G81" i="21" s="1"/>
  <c r="B136" i="4"/>
  <c r="G82" i="21" s="1"/>
  <c r="B137" i="4"/>
  <c r="G83" i="21" s="1"/>
  <c r="B138" i="4"/>
  <c r="G84" i="21" s="1"/>
  <c r="B139" i="4"/>
  <c r="G85" i="21" s="1"/>
  <c r="B140" i="4"/>
  <c r="G86" i="21" s="1"/>
  <c r="B141" i="4"/>
  <c r="B142" i="4"/>
  <c r="B143" i="4"/>
  <c r="B144" i="4"/>
  <c r="B145" i="4"/>
  <c r="B146" i="4"/>
  <c r="B147" i="4"/>
  <c r="B148" i="4"/>
  <c r="B149" i="4"/>
  <c r="B150" i="4"/>
  <c r="B151" i="4"/>
  <c r="B152" i="4"/>
  <c r="B153" i="4"/>
  <c r="B154" i="4"/>
  <c r="B155" i="4"/>
  <c r="B156" i="4"/>
  <c r="E23" i="21"/>
  <c r="E22" i="21"/>
  <c r="E21" i="21"/>
  <c r="E22" i="5" l="1"/>
  <c r="G21" i="5"/>
  <c r="G88" i="21"/>
  <c r="G272" i="3"/>
  <c r="G266" i="3"/>
  <c r="G270" i="3"/>
  <c r="G268" i="3"/>
  <c r="G292" i="3"/>
  <c r="G286" i="3"/>
  <c r="G290" i="3"/>
  <c r="G288" i="3"/>
  <c r="G256" i="3"/>
  <c r="G262" i="3"/>
  <c r="G260" i="3"/>
  <c r="G258" i="3"/>
  <c r="G18" i="21"/>
  <c r="G276" i="3"/>
  <c r="G282" i="3"/>
  <c r="G278" i="3"/>
  <c r="G280" i="3"/>
  <c r="G17" i="21"/>
  <c r="E112" i="21"/>
  <c r="P22" i="21"/>
  <c r="G89" i="21"/>
  <c r="Y22" i="21"/>
  <c r="G20" i="21"/>
  <c r="E127" i="21"/>
  <c r="E126" i="21"/>
  <c r="E130" i="21"/>
  <c r="E103" i="21"/>
  <c r="E93" i="21"/>
  <c r="E97" i="21"/>
  <c r="E134" i="21"/>
  <c r="E135" i="21"/>
  <c r="E101" i="21"/>
  <c r="E120" i="21"/>
  <c r="E131" i="21"/>
  <c r="E94" i="21"/>
  <c r="E98" i="21"/>
  <c r="E104" i="21"/>
  <c r="E113" i="21"/>
  <c r="E121" i="21"/>
  <c r="E95" i="21"/>
  <c r="E99" i="21"/>
  <c r="E100" i="21"/>
  <c r="E102" i="21"/>
  <c r="E96" i="21"/>
  <c r="E119" i="21"/>
  <c r="E115" i="21"/>
  <c r="E111" i="21"/>
  <c r="E122" i="21"/>
  <c r="E118" i="21"/>
  <c r="E114" i="21"/>
  <c r="E117" i="21"/>
  <c r="E128" i="21"/>
  <c r="E132" i="21"/>
  <c r="E136" i="21"/>
  <c r="E129" i="21"/>
  <c r="E133" i="21"/>
  <c r="X22" i="21"/>
  <c r="U22" i="21"/>
  <c r="T22" i="21"/>
  <c r="W22" i="21"/>
  <c r="Z22" i="21"/>
  <c r="V22" i="21"/>
  <c r="AA22" i="21"/>
  <c r="S22" i="21"/>
  <c r="R22" i="21"/>
  <c r="Q22" i="21"/>
  <c r="E23" i="5" l="1"/>
  <c r="G22" i="5"/>
  <c r="G19" i="21"/>
  <c r="G16" i="21"/>
  <c r="M8" i="21"/>
  <c r="Q2" i="21"/>
  <c r="R2" i="21" s="1"/>
  <c r="S2" i="21" s="1"/>
  <c r="T2" i="21" s="1"/>
  <c r="U2" i="21" s="1"/>
  <c r="V2" i="21" s="1"/>
  <c r="W2" i="21" s="1"/>
  <c r="X2" i="21" s="1"/>
  <c r="Y2" i="21" s="1"/>
  <c r="Z2" i="21" s="1"/>
  <c r="AA2" i="21" s="1"/>
  <c r="M1" i="21"/>
  <c r="G8" i="21"/>
  <c r="E8" i="21"/>
  <c r="J71" i="21"/>
  <c r="H71" i="21"/>
  <c r="J70" i="21"/>
  <c r="H70" i="21"/>
  <c r="J69" i="21"/>
  <c r="H69" i="21"/>
  <c r="J68" i="21"/>
  <c r="H68" i="21"/>
  <c r="J67" i="21"/>
  <c r="H67" i="21"/>
  <c r="J66" i="21"/>
  <c r="H66" i="21"/>
  <c r="J65" i="21"/>
  <c r="H65" i="21"/>
  <c r="J64" i="21"/>
  <c r="H64" i="21"/>
  <c r="J63" i="21"/>
  <c r="H63" i="21"/>
  <c r="J62" i="21"/>
  <c r="H62" i="21"/>
  <c r="J61" i="21"/>
  <c r="H61" i="21"/>
  <c r="J60" i="21"/>
  <c r="H60" i="21"/>
  <c r="H59" i="21"/>
  <c r="E59" i="21"/>
  <c r="E62" i="21" s="1"/>
  <c r="J56" i="21"/>
  <c r="H56" i="21"/>
  <c r="J55" i="21"/>
  <c r="H55" i="21"/>
  <c r="J54" i="21"/>
  <c r="H54" i="21"/>
  <c r="J53" i="21"/>
  <c r="H53" i="21"/>
  <c r="J52" i="21"/>
  <c r="H52" i="21"/>
  <c r="J51" i="21"/>
  <c r="H51" i="21"/>
  <c r="J50" i="21"/>
  <c r="H50" i="21"/>
  <c r="J49" i="21"/>
  <c r="H49" i="21"/>
  <c r="J48" i="21"/>
  <c r="H48" i="21"/>
  <c r="J47" i="21"/>
  <c r="H47" i="21"/>
  <c r="J46" i="21"/>
  <c r="H46" i="21"/>
  <c r="J45" i="21"/>
  <c r="H45" i="21"/>
  <c r="E44" i="21"/>
  <c r="E41" i="21"/>
  <c r="J38" i="21"/>
  <c r="H38" i="21"/>
  <c r="J37" i="21"/>
  <c r="H37" i="21"/>
  <c r="J36" i="21"/>
  <c r="H36" i="21"/>
  <c r="J35" i="21"/>
  <c r="H35" i="21"/>
  <c r="J34" i="21"/>
  <c r="H34" i="21"/>
  <c r="J33" i="21"/>
  <c r="H33" i="21"/>
  <c r="J32" i="21"/>
  <c r="H32" i="21"/>
  <c r="J31" i="21"/>
  <c r="H31" i="21"/>
  <c r="J30" i="21"/>
  <c r="H30" i="21"/>
  <c r="J29" i="21"/>
  <c r="H29" i="21"/>
  <c r="J28" i="21"/>
  <c r="H28" i="21"/>
  <c r="J27" i="21"/>
  <c r="H27" i="21"/>
  <c r="E26" i="21"/>
  <c r="G23" i="21"/>
  <c r="G22" i="21"/>
  <c r="C4" i="21"/>
  <c r="C3" i="21"/>
  <c r="E152" i="2"/>
  <c r="E212" i="2"/>
  <c r="M149" i="2"/>
  <c r="E137" i="2"/>
  <c r="E136" i="2"/>
  <c r="E24" i="5" l="1"/>
  <c r="G23" i="5"/>
  <c r="R149" i="2"/>
  <c r="Z149" i="2"/>
  <c r="S149" i="2"/>
  <c r="AA149" i="2"/>
  <c r="V149" i="2"/>
  <c r="T149" i="2"/>
  <c r="U149" i="2"/>
  <c r="X149" i="2"/>
  <c r="Q149" i="2"/>
  <c r="Y149" i="2"/>
  <c r="P149" i="2"/>
  <c r="W149" i="2"/>
  <c r="E66" i="21"/>
  <c r="E70" i="21"/>
  <c r="E65" i="21"/>
  <c r="E69" i="21"/>
  <c r="E64" i="21"/>
  <c r="E68" i="21"/>
  <c r="E63" i="21"/>
  <c r="E67" i="21"/>
  <c r="E71" i="21"/>
  <c r="E36" i="21"/>
  <c r="E35" i="21"/>
  <c r="E34" i="21"/>
  <c r="E33" i="21"/>
  <c r="E32" i="21"/>
  <c r="E31" i="21"/>
  <c r="E30" i="21"/>
  <c r="E29" i="21"/>
  <c r="E28" i="21"/>
  <c r="E27" i="21"/>
  <c r="E38" i="21"/>
  <c r="E37" i="21"/>
  <c r="E56" i="21"/>
  <c r="E55" i="21"/>
  <c r="E54" i="21"/>
  <c r="E53" i="21"/>
  <c r="E52" i="21"/>
  <c r="E51" i="21"/>
  <c r="E50" i="21"/>
  <c r="E49" i="21"/>
  <c r="E48" i="21"/>
  <c r="E47" i="21"/>
  <c r="E46" i="21"/>
  <c r="E45" i="21"/>
  <c r="E60" i="21"/>
  <c r="E61" i="21"/>
  <c r="A263" i="15"/>
  <c r="B262" i="15"/>
  <c r="A262" i="15"/>
  <c r="A261" i="15"/>
  <c r="B260" i="15"/>
  <c r="A260" i="15"/>
  <c r="A259" i="15"/>
  <c r="B258" i="15"/>
  <c r="A258" i="15"/>
  <c r="A257" i="15"/>
  <c r="E256" i="15"/>
  <c r="E258" i="15" s="1"/>
  <c r="B256" i="15"/>
  <c r="A256" i="15"/>
  <c r="A255" i="15"/>
  <c r="A254" i="15"/>
  <c r="A263" i="13"/>
  <c r="B262" i="13"/>
  <c r="A262" i="13"/>
  <c r="A261" i="13"/>
  <c r="B260" i="13"/>
  <c r="A260" i="13"/>
  <c r="A259" i="13"/>
  <c r="B258" i="13"/>
  <c r="A258" i="13"/>
  <c r="A257" i="13"/>
  <c r="E256" i="13"/>
  <c r="E262" i="13" s="1"/>
  <c r="B256" i="13"/>
  <c r="A256" i="13"/>
  <c r="A255" i="13"/>
  <c r="A254" i="13"/>
  <c r="A264" i="11"/>
  <c r="A263" i="11"/>
  <c r="B262" i="11"/>
  <c r="A262" i="11"/>
  <c r="A261" i="11"/>
  <c r="B260" i="11"/>
  <c r="A260" i="11"/>
  <c r="A259" i="11"/>
  <c r="B258" i="11"/>
  <c r="A258" i="11"/>
  <c r="A257" i="11"/>
  <c r="E256" i="11"/>
  <c r="E260" i="11" s="1"/>
  <c r="B256" i="11"/>
  <c r="A256" i="11"/>
  <c r="A255" i="11"/>
  <c r="A254" i="11"/>
  <c r="M26" i="1"/>
  <c r="E11" i="19"/>
  <c r="A277" i="20"/>
  <c r="A276" i="20"/>
  <c r="A275" i="20"/>
  <c r="A274" i="20"/>
  <c r="A273" i="20"/>
  <c r="A272" i="20"/>
  <c r="A271" i="20"/>
  <c r="A270" i="20"/>
  <c r="A269" i="20"/>
  <c r="A268" i="20"/>
  <c r="A267" i="20"/>
  <c r="A266" i="20"/>
  <c r="A265" i="20"/>
  <c r="A264" i="20"/>
  <c r="A263" i="20"/>
  <c r="B262" i="20"/>
  <c r="A262" i="20"/>
  <c r="A261" i="20"/>
  <c r="B260" i="20"/>
  <c r="A260" i="20"/>
  <c r="A259" i="20"/>
  <c r="B258" i="20"/>
  <c r="A258" i="20"/>
  <c r="A257" i="20"/>
  <c r="E256" i="20"/>
  <c r="E262" i="20" s="1"/>
  <c r="B256" i="20"/>
  <c r="A256" i="20"/>
  <c r="A254" i="20"/>
  <c r="A253" i="20"/>
  <c r="B252" i="20"/>
  <c r="A252" i="20"/>
  <c r="A251" i="20"/>
  <c r="B250" i="20"/>
  <c r="A250" i="20"/>
  <c r="A249" i="20"/>
  <c r="B248" i="20"/>
  <c r="A248" i="20"/>
  <c r="A247" i="20"/>
  <c r="E246" i="20"/>
  <c r="E248" i="20" s="1"/>
  <c r="B246" i="20"/>
  <c r="A246" i="20"/>
  <c r="A245" i="20"/>
  <c r="A244" i="20"/>
  <c r="A243" i="20"/>
  <c r="B242" i="20"/>
  <c r="A242" i="20"/>
  <c r="A241" i="20"/>
  <c r="B240" i="20"/>
  <c r="A240" i="20"/>
  <c r="A239" i="20"/>
  <c r="B238" i="20"/>
  <c r="A238" i="20"/>
  <c r="A237" i="20"/>
  <c r="E236" i="20"/>
  <c r="E242" i="20" s="1"/>
  <c r="B236" i="20"/>
  <c r="A236" i="20"/>
  <c r="A235" i="20"/>
  <c r="A234" i="20"/>
  <c r="A233" i="20"/>
  <c r="B232" i="20"/>
  <c r="A232" i="20"/>
  <c r="A231" i="20"/>
  <c r="B230" i="20"/>
  <c r="A230" i="20"/>
  <c r="A229" i="20"/>
  <c r="B228" i="20"/>
  <c r="A228" i="20"/>
  <c r="A227" i="20"/>
  <c r="E226" i="20"/>
  <c r="B226" i="20"/>
  <c r="A226" i="20"/>
  <c r="A225" i="20"/>
  <c r="A224" i="20"/>
  <c r="A223" i="20"/>
  <c r="B222" i="20"/>
  <c r="A222" i="20"/>
  <c r="A221" i="20"/>
  <c r="B220" i="20"/>
  <c r="A220" i="20"/>
  <c r="A219" i="20"/>
  <c r="B218" i="20"/>
  <c r="A218" i="20"/>
  <c r="A217" i="20"/>
  <c r="E216" i="20"/>
  <c r="E222" i="20" s="1"/>
  <c r="B216" i="20"/>
  <c r="A216" i="20"/>
  <c r="A215" i="20"/>
  <c r="A214" i="20"/>
  <c r="A213" i="20"/>
  <c r="B212" i="20"/>
  <c r="A212" i="20"/>
  <c r="A211" i="20"/>
  <c r="B210" i="20"/>
  <c r="A210" i="20"/>
  <c r="A209" i="20"/>
  <c r="B208" i="20"/>
  <c r="A208" i="20"/>
  <c r="A207" i="20"/>
  <c r="E206" i="20"/>
  <c r="B206" i="20"/>
  <c r="A206" i="20"/>
  <c r="A205" i="20"/>
  <c r="A204" i="20"/>
  <c r="A203" i="20"/>
  <c r="B202" i="20"/>
  <c r="A202" i="20"/>
  <c r="A201" i="20"/>
  <c r="B200" i="20"/>
  <c r="A200" i="20"/>
  <c r="A199" i="20"/>
  <c r="B198" i="20"/>
  <c r="A198" i="20"/>
  <c r="A197" i="20"/>
  <c r="E196" i="20"/>
  <c r="E202" i="20" s="1"/>
  <c r="B196" i="20"/>
  <c r="A196" i="20"/>
  <c r="A195" i="20"/>
  <c r="A194" i="20"/>
  <c r="E193" i="20"/>
  <c r="A193" i="20"/>
  <c r="A192" i="20"/>
  <c r="A191" i="20"/>
  <c r="E190" i="20"/>
  <c r="A190" i="20"/>
  <c r="A189" i="20"/>
  <c r="A188" i="20"/>
  <c r="A187" i="20"/>
  <c r="A186" i="20"/>
  <c r="A185" i="20"/>
  <c r="A184" i="20"/>
  <c r="A183" i="20"/>
  <c r="A182" i="20"/>
  <c r="B181" i="20"/>
  <c r="A181" i="20"/>
  <c r="A180" i="20"/>
  <c r="B179" i="20"/>
  <c r="A179" i="20"/>
  <c r="A178" i="20"/>
  <c r="B177" i="20"/>
  <c r="A177" i="20"/>
  <c r="A176" i="20"/>
  <c r="E175" i="20"/>
  <c r="B175" i="20"/>
  <c r="A175" i="20"/>
  <c r="A174" i="20"/>
  <c r="A173" i="20"/>
  <c r="A172" i="20"/>
  <c r="B171" i="20"/>
  <c r="A171" i="20"/>
  <c r="A170" i="20"/>
  <c r="B169" i="20"/>
  <c r="A169" i="20"/>
  <c r="A168" i="20"/>
  <c r="B167" i="20"/>
  <c r="A167" i="20"/>
  <c r="A166" i="20"/>
  <c r="E165" i="20"/>
  <c r="B165" i="20"/>
  <c r="A165" i="20"/>
  <c r="A164" i="20"/>
  <c r="A163" i="20"/>
  <c r="A162" i="20"/>
  <c r="B161" i="20"/>
  <c r="A161" i="20"/>
  <c r="A160" i="20"/>
  <c r="B159" i="20"/>
  <c r="A159" i="20"/>
  <c r="A158" i="20"/>
  <c r="B157" i="20"/>
  <c r="A157" i="20"/>
  <c r="A156" i="20"/>
  <c r="E155" i="20"/>
  <c r="E159" i="20" s="1"/>
  <c r="B155" i="20"/>
  <c r="A155" i="20"/>
  <c r="A154" i="20"/>
  <c r="A153" i="20"/>
  <c r="E152" i="20"/>
  <c r="B152" i="20"/>
  <c r="A152" i="20"/>
  <c r="A151" i="20"/>
  <c r="A150" i="20"/>
  <c r="A149" i="20"/>
  <c r="A148" i="20"/>
  <c r="A147" i="20"/>
  <c r="A146" i="20"/>
  <c r="A145" i="20"/>
  <c r="A144" i="20"/>
  <c r="B143" i="20"/>
  <c r="A143" i="20"/>
  <c r="A142" i="20"/>
  <c r="B141" i="20"/>
  <c r="A141" i="20"/>
  <c r="A140" i="20"/>
  <c r="B139" i="20"/>
  <c r="A139" i="20"/>
  <c r="A138" i="20"/>
  <c r="E137" i="20"/>
  <c r="E141" i="20" s="1"/>
  <c r="B137" i="20"/>
  <c r="A137" i="20"/>
  <c r="A136" i="20"/>
  <c r="A135" i="20"/>
  <c r="A134" i="20"/>
  <c r="E133" i="20"/>
  <c r="B133" i="20"/>
  <c r="A133" i="20"/>
  <c r="A132" i="20"/>
  <c r="E131" i="20"/>
  <c r="B131" i="20"/>
  <c r="A131" i="20"/>
  <c r="A130" i="20"/>
  <c r="E129" i="20"/>
  <c r="B129" i="20"/>
  <c r="A129" i="20"/>
  <c r="A128" i="20"/>
  <c r="E127" i="20"/>
  <c r="B127" i="20"/>
  <c r="A127" i="20"/>
  <c r="A126" i="20"/>
  <c r="A125" i="20"/>
  <c r="A124" i="20"/>
  <c r="B123" i="20"/>
  <c r="A123" i="20"/>
  <c r="A122" i="20"/>
  <c r="B121" i="20"/>
  <c r="A121" i="20"/>
  <c r="A120" i="20"/>
  <c r="B119" i="20"/>
  <c r="A119" i="20"/>
  <c r="A118" i="20"/>
  <c r="J117" i="20"/>
  <c r="E117" i="20"/>
  <c r="E123" i="20" s="1"/>
  <c r="B117" i="20"/>
  <c r="A117" i="20"/>
  <c r="A116" i="20"/>
  <c r="A115" i="20"/>
  <c r="A114" i="20"/>
  <c r="A113" i="20"/>
  <c r="A112" i="20"/>
  <c r="J111" i="20"/>
  <c r="B111" i="20"/>
  <c r="A111" i="20"/>
  <c r="A110" i="20"/>
  <c r="J109" i="20"/>
  <c r="B109" i="20"/>
  <c r="A109" i="20"/>
  <c r="A108" i="20"/>
  <c r="J107" i="20"/>
  <c r="B107" i="20"/>
  <c r="A107" i="20"/>
  <c r="A106" i="20"/>
  <c r="J105" i="20"/>
  <c r="E105" i="20"/>
  <c r="B105" i="20"/>
  <c r="A105" i="20"/>
  <c r="A104" i="20"/>
  <c r="A103" i="20"/>
  <c r="A102" i="20"/>
  <c r="J101" i="20"/>
  <c r="B101" i="20"/>
  <c r="A101" i="20"/>
  <c r="A100" i="20"/>
  <c r="J99" i="20"/>
  <c r="B99" i="20"/>
  <c r="A99" i="20"/>
  <c r="A98" i="20"/>
  <c r="J97" i="20"/>
  <c r="B97" i="20"/>
  <c r="A97" i="20"/>
  <c r="A96" i="20"/>
  <c r="J95" i="20"/>
  <c r="E95" i="20"/>
  <c r="E99" i="20" s="1"/>
  <c r="B95" i="20"/>
  <c r="A95" i="20"/>
  <c r="A94" i="20"/>
  <c r="A93" i="20"/>
  <c r="A92" i="20"/>
  <c r="J91" i="20"/>
  <c r="B91" i="20"/>
  <c r="A91" i="20"/>
  <c r="A90" i="20"/>
  <c r="J89" i="20"/>
  <c r="B89" i="20"/>
  <c r="A89" i="20"/>
  <c r="A88" i="20"/>
  <c r="J87" i="20"/>
  <c r="B87" i="20"/>
  <c r="A87" i="20"/>
  <c r="A86" i="20"/>
  <c r="J85" i="20"/>
  <c r="E85" i="20"/>
  <c r="E87" i="20" s="1"/>
  <c r="B85" i="20"/>
  <c r="A85" i="20"/>
  <c r="A84" i="20"/>
  <c r="A83" i="20"/>
  <c r="B82" i="20"/>
  <c r="A82" i="20"/>
  <c r="A81" i="20"/>
  <c r="B80" i="20"/>
  <c r="A80" i="20"/>
  <c r="A79" i="20"/>
  <c r="B78" i="20"/>
  <c r="A78" i="20"/>
  <c r="A77" i="20"/>
  <c r="E76" i="20"/>
  <c r="B76" i="20"/>
  <c r="A76" i="20"/>
  <c r="A75" i="20"/>
  <c r="A74" i="20"/>
  <c r="A73" i="20"/>
  <c r="B72" i="20"/>
  <c r="A72" i="20"/>
  <c r="A71" i="20"/>
  <c r="B70" i="20"/>
  <c r="A70" i="20"/>
  <c r="A69" i="20"/>
  <c r="B68" i="20"/>
  <c r="A68" i="20"/>
  <c r="A67" i="20"/>
  <c r="E66" i="20"/>
  <c r="E70" i="20" s="1"/>
  <c r="B66" i="20"/>
  <c r="A66" i="20"/>
  <c r="A65" i="20"/>
  <c r="A64" i="20"/>
  <c r="A63" i="20"/>
  <c r="J62" i="20"/>
  <c r="B62" i="20"/>
  <c r="A62" i="20"/>
  <c r="A61" i="20"/>
  <c r="J60" i="20"/>
  <c r="B60" i="20"/>
  <c r="A60" i="20"/>
  <c r="A59" i="20"/>
  <c r="J58" i="20"/>
  <c r="B58" i="20"/>
  <c r="A58" i="20"/>
  <c r="A57" i="20"/>
  <c r="J56" i="20"/>
  <c r="E56" i="20"/>
  <c r="E58" i="20" s="1"/>
  <c r="B56" i="20"/>
  <c r="A56" i="20"/>
  <c r="A55" i="20"/>
  <c r="A54" i="20"/>
  <c r="A53" i="20"/>
  <c r="J52" i="20"/>
  <c r="B52" i="20"/>
  <c r="A52" i="20"/>
  <c r="A51" i="20"/>
  <c r="J50" i="20"/>
  <c r="B50" i="20"/>
  <c r="A50" i="20"/>
  <c r="A49" i="20"/>
  <c r="J48" i="20"/>
  <c r="B48" i="20"/>
  <c r="A48" i="20"/>
  <c r="A47" i="20"/>
  <c r="J46" i="20"/>
  <c r="E46" i="20"/>
  <c r="E50" i="20" s="1"/>
  <c r="B46" i="20"/>
  <c r="A46" i="20"/>
  <c r="A45" i="20"/>
  <c r="A44" i="20"/>
  <c r="A43" i="20"/>
  <c r="J42" i="20"/>
  <c r="B42" i="20"/>
  <c r="A42" i="20"/>
  <c r="A41" i="20"/>
  <c r="J40" i="20"/>
  <c r="B40" i="20"/>
  <c r="A40" i="20"/>
  <c r="A39" i="20"/>
  <c r="J38" i="20"/>
  <c r="B38" i="20"/>
  <c r="A38" i="20"/>
  <c r="A37" i="20"/>
  <c r="J36" i="20"/>
  <c r="E36" i="20"/>
  <c r="E40" i="20" s="1"/>
  <c r="B36" i="20"/>
  <c r="A36" i="20"/>
  <c r="A35" i="20"/>
  <c r="A34" i="20"/>
  <c r="A33" i="20"/>
  <c r="J32" i="20"/>
  <c r="B32" i="20"/>
  <c r="A32" i="20"/>
  <c r="A31" i="20"/>
  <c r="J30" i="20"/>
  <c r="B30" i="20"/>
  <c r="A30" i="20"/>
  <c r="A29" i="20"/>
  <c r="J28" i="20"/>
  <c r="B28" i="20"/>
  <c r="A28" i="20"/>
  <c r="A27" i="20"/>
  <c r="J26" i="20"/>
  <c r="E26" i="20"/>
  <c r="B26" i="20"/>
  <c r="A26" i="20"/>
  <c r="A25" i="20"/>
  <c r="A24" i="20"/>
  <c r="A23" i="20"/>
  <c r="B22" i="20"/>
  <c r="A22" i="20"/>
  <c r="A21" i="20"/>
  <c r="B20" i="20"/>
  <c r="A20" i="20"/>
  <c r="A19" i="20"/>
  <c r="B18" i="20"/>
  <c r="A18" i="20"/>
  <c r="A17" i="20"/>
  <c r="J16" i="20"/>
  <c r="E16" i="20"/>
  <c r="E20" i="20" s="1"/>
  <c r="B16" i="20"/>
  <c r="A16" i="20"/>
  <c r="A15" i="20"/>
  <c r="A14" i="20"/>
  <c r="A13" i="20"/>
  <c r="A12" i="20"/>
  <c r="A10" i="20"/>
  <c r="A9" i="20"/>
  <c r="M8" i="20"/>
  <c r="G8" i="20"/>
  <c r="E8" i="20"/>
  <c r="A8" i="20"/>
  <c r="G6" i="20"/>
  <c r="C4" i="20"/>
  <c r="C3" i="20"/>
  <c r="Q2" i="20"/>
  <c r="R2" i="20" s="1"/>
  <c r="S2" i="20" s="1"/>
  <c r="T2" i="20" s="1"/>
  <c r="U2" i="20" s="1"/>
  <c r="V2" i="20" s="1"/>
  <c r="W2" i="20" s="1"/>
  <c r="X2" i="20" s="1"/>
  <c r="Y2" i="20" s="1"/>
  <c r="Z2" i="20" s="1"/>
  <c r="AA2" i="20" s="1"/>
  <c r="M1" i="20"/>
  <c r="J224" i="2"/>
  <c r="H224" i="2"/>
  <c r="E224" i="2"/>
  <c r="J223" i="2"/>
  <c r="H223" i="2"/>
  <c r="E223" i="2"/>
  <c r="J222" i="2"/>
  <c r="H222" i="2"/>
  <c r="E222" i="2"/>
  <c r="J221" i="2"/>
  <c r="H221" i="2"/>
  <c r="E221" i="2"/>
  <c r="J220" i="2"/>
  <c r="H220" i="2"/>
  <c r="E220" i="2"/>
  <c r="J219" i="2"/>
  <c r="H219" i="2"/>
  <c r="E219" i="2"/>
  <c r="J218" i="2"/>
  <c r="H218" i="2"/>
  <c r="E218" i="2"/>
  <c r="J217" i="2"/>
  <c r="H217" i="2"/>
  <c r="E217" i="2"/>
  <c r="J216" i="2"/>
  <c r="H216" i="2"/>
  <c r="E216" i="2"/>
  <c r="J215" i="2"/>
  <c r="H215" i="2"/>
  <c r="E215" i="2"/>
  <c r="J214" i="2"/>
  <c r="H214" i="2"/>
  <c r="E214" i="2"/>
  <c r="J213" i="2"/>
  <c r="H213" i="2"/>
  <c r="E213" i="2"/>
  <c r="E197" i="2"/>
  <c r="E205" i="2" s="1"/>
  <c r="J209" i="2"/>
  <c r="H209" i="2"/>
  <c r="J208" i="2"/>
  <c r="H208" i="2"/>
  <c r="J207" i="2"/>
  <c r="H207" i="2"/>
  <c r="J206" i="2"/>
  <c r="H206" i="2"/>
  <c r="J205" i="2"/>
  <c r="H205" i="2"/>
  <c r="J204" i="2"/>
  <c r="H204" i="2"/>
  <c r="J203" i="2"/>
  <c r="H203" i="2"/>
  <c r="J202" i="2"/>
  <c r="H202" i="2"/>
  <c r="J201" i="2"/>
  <c r="H201" i="2"/>
  <c r="J200" i="2"/>
  <c r="H200" i="2"/>
  <c r="J199" i="2"/>
  <c r="H199" i="2"/>
  <c r="J198" i="2"/>
  <c r="H198" i="2"/>
  <c r="J149" i="2"/>
  <c r="H149" i="2"/>
  <c r="J148" i="2"/>
  <c r="H148" i="2"/>
  <c r="J147" i="2"/>
  <c r="H147" i="2"/>
  <c r="J146" i="2"/>
  <c r="H146" i="2"/>
  <c r="J145" i="2"/>
  <c r="H145" i="2"/>
  <c r="J144" i="2"/>
  <c r="H144" i="2"/>
  <c r="J143" i="2"/>
  <c r="H143" i="2"/>
  <c r="J142" i="2"/>
  <c r="H142" i="2"/>
  <c r="J141" i="2"/>
  <c r="H141" i="2"/>
  <c r="J140" i="2"/>
  <c r="H140" i="2"/>
  <c r="J139" i="2"/>
  <c r="H139" i="2"/>
  <c r="J138" i="2"/>
  <c r="H138" i="2"/>
  <c r="E122" i="2"/>
  <c r="E107" i="2"/>
  <c r="E119" i="2" s="1"/>
  <c r="J119" i="2"/>
  <c r="H119" i="2"/>
  <c r="J118" i="2"/>
  <c r="H118" i="2"/>
  <c r="J117" i="2"/>
  <c r="H117" i="2"/>
  <c r="J116" i="2"/>
  <c r="H116" i="2"/>
  <c r="J115" i="2"/>
  <c r="H115" i="2"/>
  <c r="J114" i="2"/>
  <c r="H114" i="2"/>
  <c r="J113" i="2"/>
  <c r="H113" i="2"/>
  <c r="J112" i="2"/>
  <c r="H112" i="2"/>
  <c r="J111" i="2"/>
  <c r="H111" i="2"/>
  <c r="J110" i="2"/>
  <c r="H110" i="2"/>
  <c r="J109" i="2"/>
  <c r="H109" i="2"/>
  <c r="J108" i="2"/>
  <c r="H108" i="2"/>
  <c r="J134" i="2"/>
  <c r="H134" i="2"/>
  <c r="J133" i="2"/>
  <c r="H133" i="2"/>
  <c r="J132" i="2"/>
  <c r="H132" i="2"/>
  <c r="J131" i="2"/>
  <c r="H131" i="2"/>
  <c r="J130" i="2"/>
  <c r="H130" i="2"/>
  <c r="J129" i="2"/>
  <c r="H129" i="2"/>
  <c r="J128" i="2"/>
  <c r="H128" i="2"/>
  <c r="J127" i="2"/>
  <c r="H127" i="2"/>
  <c r="J126" i="2"/>
  <c r="H126" i="2"/>
  <c r="J125" i="2"/>
  <c r="H125" i="2"/>
  <c r="J124" i="2"/>
  <c r="H124" i="2"/>
  <c r="J123" i="2"/>
  <c r="H123" i="2"/>
  <c r="A277" i="19"/>
  <c r="A276" i="19"/>
  <c r="A275" i="19"/>
  <c r="A274" i="19"/>
  <c r="A273" i="19"/>
  <c r="A272" i="19"/>
  <c r="A271" i="19"/>
  <c r="A270" i="19"/>
  <c r="A269" i="19"/>
  <c r="A268" i="19"/>
  <c r="A267" i="19"/>
  <c r="A266" i="19"/>
  <c r="A265" i="19"/>
  <c r="A264" i="19"/>
  <c r="A263" i="19"/>
  <c r="B262" i="19"/>
  <c r="A262" i="19"/>
  <c r="A261" i="19"/>
  <c r="B260" i="19"/>
  <c r="A260" i="19"/>
  <c r="A259" i="19"/>
  <c r="B258" i="19"/>
  <c r="A258" i="19"/>
  <c r="A257" i="19"/>
  <c r="E256" i="19"/>
  <c r="E262" i="19" s="1"/>
  <c r="B256" i="19"/>
  <c r="A256" i="19"/>
  <c r="A255" i="19"/>
  <c r="A254" i="19"/>
  <c r="A253" i="19"/>
  <c r="B252" i="19"/>
  <c r="A252" i="19"/>
  <c r="A251" i="19"/>
  <c r="B250" i="19"/>
  <c r="A250" i="19"/>
  <c r="A249" i="19"/>
  <c r="B248" i="19"/>
  <c r="A248" i="19"/>
  <c r="A247" i="19"/>
  <c r="E246" i="19"/>
  <c r="E248" i="19" s="1"/>
  <c r="B246" i="19"/>
  <c r="A246" i="19"/>
  <c r="A245" i="19"/>
  <c r="A244" i="19"/>
  <c r="A243" i="19"/>
  <c r="B242" i="19"/>
  <c r="A242" i="19"/>
  <c r="A241" i="19"/>
  <c r="B240" i="19"/>
  <c r="A240" i="19"/>
  <c r="A239" i="19"/>
  <c r="B238" i="19"/>
  <c r="A238" i="19"/>
  <c r="A237" i="19"/>
  <c r="E236" i="19"/>
  <c r="E242" i="19" s="1"/>
  <c r="B236" i="19"/>
  <c r="A236" i="19"/>
  <c r="A235" i="19"/>
  <c r="A234" i="19"/>
  <c r="A233" i="19"/>
  <c r="B232" i="19"/>
  <c r="A232" i="19"/>
  <c r="A231" i="19"/>
  <c r="B230" i="19"/>
  <c r="A230" i="19"/>
  <c r="A229" i="19"/>
  <c r="B228" i="19"/>
  <c r="A228" i="19"/>
  <c r="A227" i="19"/>
  <c r="E226" i="19"/>
  <c r="E228" i="19" s="1"/>
  <c r="B226" i="19"/>
  <c r="A226" i="19"/>
  <c r="A225" i="19"/>
  <c r="A224" i="19"/>
  <c r="A223" i="19"/>
  <c r="B222" i="19"/>
  <c r="A222" i="19"/>
  <c r="A221" i="19"/>
  <c r="B220" i="19"/>
  <c r="A220" i="19"/>
  <c r="A219" i="19"/>
  <c r="B218" i="19"/>
  <c r="A218" i="19"/>
  <c r="A217" i="19"/>
  <c r="E216" i="19"/>
  <c r="E222" i="19" s="1"/>
  <c r="B216" i="19"/>
  <c r="A216" i="19"/>
  <c r="A215" i="19"/>
  <c r="A214" i="19"/>
  <c r="A213" i="19"/>
  <c r="B212" i="19"/>
  <c r="A212" i="19"/>
  <c r="A211" i="19"/>
  <c r="B210" i="19"/>
  <c r="A210" i="19"/>
  <c r="A209" i="19"/>
  <c r="B208" i="19"/>
  <c r="A208" i="19"/>
  <c r="A207" i="19"/>
  <c r="E206" i="19"/>
  <c r="B206" i="19"/>
  <c r="A206" i="19"/>
  <c r="A205" i="19"/>
  <c r="A204" i="19"/>
  <c r="A203" i="19"/>
  <c r="B202" i="19"/>
  <c r="A202" i="19"/>
  <c r="A201" i="19"/>
  <c r="B200" i="19"/>
  <c r="A200" i="19"/>
  <c r="A199" i="19"/>
  <c r="B198" i="19"/>
  <c r="A198" i="19"/>
  <c r="A197" i="19"/>
  <c r="E196" i="19"/>
  <c r="E202" i="19" s="1"/>
  <c r="B196" i="19"/>
  <c r="A196" i="19"/>
  <c r="A195" i="19"/>
  <c r="A194" i="19"/>
  <c r="E193" i="19"/>
  <c r="A193" i="19"/>
  <c r="A192" i="19"/>
  <c r="A191" i="19"/>
  <c r="E190" i="19"/>
  <c r="A190" i="19"/>
  <c r="A189" i="19"/>
  <c r="A188" i="19"/>
  <c r="A187" i="19"/>
  <c r="A186" i="19"/>
  <c r="A185" i="19"/>
  <c r="A184" i="19"/>
  <c r="A183" i="19"/>
  <c r="A182" i="19"/>
  <c r="B181" i="19"/>
  <c r="A181" i="19"/>
  <c r="A180" i="19"/>
  <c r="B179" i="19"/>
  <c r="A179" i="19"/>
  <c r="A178" i="19"/>
  <c r="B177" i="19"/>
  <c r="A177" i="19"/>
  <c r="A176" i="19"/>
  <c r="E175" i="19"/>
  <c r="B175" i="19"/>
  <c r="A175" i="19"/>
  <c r="A174" i="19"/>
  <c r="A173" i="19"/>
  <c r="A172" i="19"/>
  <c r="B171" i="19"/>
  <c r="A171" i="19"/>
  <c r="A170" i="19"/>
  <c r="B169" i="19"/>
  <c r="A169" i="19"/>
  <c r="A168" i="19"/>
  <c r="B167" i="19"/>
  <c r="A167" i="19"/>
  <c r="A166" i="19"/>
  <c r="E165" i="19"/>
  <c r="E169" i="19" s="1"/>
  <c r="B165" i="19"/>
  <c r="A165" i="19"/>
  <c r="A164" i="19"/>
  <c r="A163" i="19"/>
  <c r="A162" i="19"/>
  <c r="B161" i="19"/>
  <c r="A161" i="19"/>
  <c r="A160" i="19"/>
  <c r="B159" i="19"/>
  <c r="A159" i="19"/>
  <c r="A158" i="19"/>
  <c r="B157" i="19"/>
  <c r="A157" i="19"/>
  <c r="A156" i="19"/>
  <c r="E155" i="19"/>
  <c r="E157" i="19" s="1"/>
  <c r="B155" i="19"/>
  <c r="A155" i="19"/>
  <c r="A154" i="19"/>
  <c r="A153" i="19"/>
  <c r="E152" i="19"/>
  <c r="B152" i="19"/>
  <c r="A152" i="19"/>
  <c r="A151" i="19"/>
  <c r="A150" i="19"/>
  <c r="A149" i="19"/>
  <c r="A148" i="19"/>
  <c r="A147" i="19"/>
  <c r="A146" i="19"/>
  <c r="A145" i="19"/>
  <c r="A144" i="19"/>
  <c r="B143" i="19"/>
  <c r="A143" i="19"/>
  <c r="A142" i="19"/>
  <c r="B141" i="19"/>
  <c r="A141" i="19"/>
  <c r="A140" i="19"/>
  <c r="B139" i="19"/>
  <c r="A139" i="19"/>
  <c r="A138" i="19"/>
  <c r="E137" i="19"/>
  <c r="E143" i="19" s="1"/>
  <c r="B137" i="19"/>
  <c r="A137" i="19"/>
  <c r="A136" i="19"/>
  <c r="A135" i="19"/>
  <c r="A134" i="19"/>
  <c r="E133" i="19"/>
  <c r="B133" i="19"/>
  <c r="A133" i="19"/>
  <c r="A132" i="19"/>
  <c r="E131" i="19"/>
  <c r="B131" i="19"/>
  <c r="A131" i="19"/>
  <c r="A130" i="19"/>
  <c r="E129" i="19"/>
  <c r="B129" i="19"/>
  <c r="A129" i="19"/>
  <c r="A128" i="19"/>
  <c r="E127" i="19"/>
  <c r="B127" i="19"/>
  <c r="A127" i="19"/>
  <c r="A126" i="19"/>
  <c r="A125" i="19"/>
  <c r="A124" i="19"/>
  <c r="B123" i="19"/>
  <c r="A123" i="19"/>
  <c r="A122" i="19"/>
  <c r="B121" i="19"/>
  <c r="A121" i="19"/>
  <c r="A120" i="19"/>
  <c r="B119" i="19"/>
  <c r="A119" i="19"/>
  <c r="A118" i="19"/>
  <c r="J117" i="19"/>
  <c r="E117" i="19"/>
  <c r="B117" i="19"/>
  <c r="A117" i="19"/>
  <c r="A116" i="19"/>
  <c r="A115" i="19"/>
  <c r="A114" i="19"/>
  <c r="A113" i="19"/>
  <c r="A112" i="19"/>
  <c r="J111" i="19"/>
  <c r="B111" i="19"/>
  <c r="A111" i="19"/>
  <c r="A110" i="19"/>
  <c r="J109" i="19"/>
  <c r="B109" i="19"/>
  <c r="A109" i="19"/>
  <c r="A108" i="19"/>
  <c r="J107" i="19"/>
  <c r="B107" i="19"/>
  <c r="A107" i="19"/>
  <c r="A106" i="19"/>
  <c r="J105" i="19"/>
  <c r="E105" i="19"/>
  <c r="B105" i="19"/>
  <c r="A105" i="19"/>
  <c r="A104" i="19"/>
  <c r="A103" i="19"/>
  <c r="A102" i="19"/>
  <c r="J101" i="19"/>
  <c r="B101" i="19"/>
  <c r="A101" i="19"/>
  <c r="A100" i="19"/>
  <c r="J99" i="19"/>
  <c r="B99" i="19"/>
  <c r="A99" i="19"/>
  <c r="A98" i="19"/>
  <c r="J97" i="19"/>
  <c r="B97" i="19"/>
  <c r="A97" i="19"/>
  <c r="A96" i="19"/>
  <c r="J95" i="19"/>
  <c r="E95" i="19"/>
  <c r="B95" i="19"/>
  <c r="A95" i="19"/>
  <c r="A94" i="19"/>
  <c r="A93" i="19"/>
  <c r="A92" i="19"/>
  <c r="J91" i="19"/>
  <c r="B91" i="19"/>
  <c r="A91" i="19"/>
  <c r="A90" i="19"/>
  <c r="J89" i="19"/>
  <c r="B89" i="19"/>
  <c r="A89" i="19"/>
  <c r="A88" i="19"/>
  <c r="J87" i="19"/>
  <c r="B87" i="19"/>
  <c r="A87" i="19"/>
  <c r="A86" i="19"/>
  <c r="J85" i="19"/>
  <c r="E85" i="19"/>
  <c r="B85" i="19"/>
  <c r="A85" i="19"/>
  <c r="A84" i="19"/>
  <c r="A83" i="19"/>
  <c r="B82" i="19"/>
  <c r="A82" i="19"/>
  <c r="A81" i="19"/>
  <c r="B80" i="19"/>
  <c r="A80" i="19"/>
  <c r="A79" i="19"/>
  <c r="B78" i="19"/>
  <c r="A78" i="19"/>
  <c r="A77" i="19"/>
  <c r="E76" i="19"/>
  <c r="E82" i="19" s="1"/>
  <c r="B76" i="19"/>
  <c r="A76" i="19"/>
  <c r="A75" i="19"/>
  <c r="A74" i="19"/>
  <c r="A73" i="19"/>
  <c r="B72" i="19"/>
  <c r="A72" i="19"/>
  <c r="A71" i="19"/>
  <c r="B70" i="19"/>
  <c r="A70" i="19"/>
  <c r="A69" i="19"/>
  <c r="B68" i="19"/>
  <c r="A68" i="19"/>
  <c r="A67" i="19"/>
  <c r="E66" i="19"/>
  <c r="E70" i="19" s="1"/>
  <c r="B66" i="19"/>
  <c r="A66" i="19"/>
  <c r="A65" i="19"/>
  <c r="A64" i="19"/>
  <c r="A63" i="19"/>
  <c r="J62" i="19"/>
  <c r="B62" i="19"/>
  <c r="A62" i="19"/>
  <c r="A61" i="19"/>
  <c r="J60" i="19"/>
  <c r="B60" i="19"/>
  <c r="A60" i="19"/>
  <c r="A59" i="19"/>
  <c r="J58" i="19"/>
  <c r="B58" i="19"/>
  <c r="A58" i="19"/>
  <c r="A57" i="19"/>
  <c r="J56" i="19"/>
  <c r="E56" i="19"/>
  <c r="E60" i="19" s="1"/>
  <c r="B56" i="19"/>
  <c r="A56" i="19"/>
  <c r="A55" i="19"/>
  <c r="A54" i="19"/>
  <c r="A53" i="19"/>
  <c r="B52" i="19"/>
  <c r="A52" i="19"/>
  <c r="A51" i="19"/>
  <c r="B50" i="19"/>
  <c r="A50" i="19"/>
  <c r="A49" i="19"/>
  <c r="B48" i="19"/>
  <c r="A48" i="19"/>
  <c r="A47" i="19"/>
  <c r="E46" i="19"/>
  <c r="E50" i="19" s="1"/>
  <c r="B46" i="19"/>
  <c r="A46" i="19"/>
  <c r="A45" i="19"/>
  <c r="A44" i="19"/>
  <c r="A43" i="19"/>
  <c r="J42" i="19"/>
  <c r="B42" i="19"/>
  <c r="A42" i="19"/>
  <c r="A41" i="19"/>
  <c r="J40" i="19"/>
  <c r="B40" i="19"/>
  <c r="A40" i="19"/>
  <c r="A39" i="19"/>
  <c r="J38" i="19"/>
  <c r="B38" i="19"/>
  <c r="A38" i="19"/>
  <c r="A37" i="19"/>
  <c r="J36" i="19"/>
  <c r="E36" i="19"/>
  <c r="E40" i="19" s="1"/>
  <c r="B36" i="19"/>
  <c r="A36" i="19"/>
  <c r="A35" i="19"/>
  <c r="A34" i="19"/>
  <c r="A33" i="19"/>
  <c r="J32" i="19"/>
  <c r="B32" i="19"/>
  <c r="A32" i="19"/>
  <c r="A31" i="19"/>
  <c r="J30" i="19"/>
  <c r="B30" i="19"/>
  <c r="A30" i="19"/>
  <c r="A29" i="19"/>
  <c r="J28" i="19"/>
  <c r="B28" i="19"/>
  <c r="A28" i="19"/>
  <c r="A27" i="19"/>
  <c r="J26" i="19"/>
  <c r="E26" i="19"/>
  <c r="E30" i="19" s="1"/>
  <c r="B26" i="19"/>
  <c r="A26" i="19"/>
  <c r="A25" i="19"/>
  <c r="A24" i="19"/>
  <c r="A23" i="19"/>
  <c r="B22" i="19"/>
  <c r="A22" i="19"/>
  <c r="A21" i="19"/>
  <c r="B20" i="19"/>
  <c r="A20" i="19"/>
  <c r="A19" i="19"/>
  <c r="B18" i="19"/>
  <c r="A18" i="19"/>
  <c r="A17" i="19"/>
  <c r="J16" i="19"/>
  <c r="E16" i="19"/>
  <c r="E18" i="19" s="1"/>
  <c r="B16" i="19"/>
  <c r="A16" i="19"/>
  <c r="A15" i="19"/>
  <c r="A14" i="19"/>
  <c r="A13" i="19"/>
  <c r="A12" i="19"/>
  <c r="A11" i="19"/>
  <c r="A10" i="19"/>
  <c r="A9" i="19"/>
  <c r="M8" i="19"/>
  <c r="G8" i="19"/>
  <c r="E8" i="19"/>
  <c r="A8" i="19"/>
  <c r="G6" i="19"/>
  <c r="C4" i="19"/>
  <c r="C3" i="19"/>
  <c r="Q2" i="19"/>
  <c r="R2" i="19" s="1"/>
  <c r="S2" i="19" s="1"/>
  <c r="T2" i="19" s="1"/>
  <c r="U2" i="19" s="1"/>
  <c r="V2" i="19" s="1"/>
  <c r="W2" i="19" s="1"/>
  <c r="X2" i="19" s="1"/>
  <c r="Y2" i="19" s="1"/>
  <c r="Z2" i="19" s="1"/>
  <c r="AA2" i="19" s="1"/>
  <c r="M1" i="19"/>
  <c r="E11" i="18"/>
  <c r="A48" i="17"/>
  <c r="E47" i="17"/>
  <c r="E45" i="17"/>
  <c r="G45" i="17" s="1"/>
  <c r="E43" i="17"/>
  <c r="E41" i="17"/>
  <c r="A49" i="17"/>
  <c r="A47" i="17"/>
  <c r="A46" i="17"/>
  <c r="A45" i="17"/>
  <c r="A44" i="17"/>
  <c r="A43" i="17"/>
  <c r="A42" i="17"/>
  <c r="A41" i="17"/>
  <c r="A50" i="17"/>
  <c r="E50" i="17"/>
  <c r="A277" i="18"/>
  <c r="A276" i="18"/>
  <c r="A275" i="18"/>
  <c r="A274" i="18"/>
  <c r="A273" i="18"/>
  <c r="A272" i="18"/>
  <c r="A271" i="18"/>
  <c r="A270" i="18"/>
  <c r="A269" i="18"/>
  <c r="A268" i="18"/>
  <c r="A267" i="18"/>
  <c r="A266" i="18"/>
  <c r="A265" i="18"/>
  <c r="A264" i="18"/>
  <c r="A263" i="18"/>
  <c r="B262" i="18"/>
  <c r="A262" i="18"/>
  <c r="A261" i="18"/>
  <c r="B260" i="18"/>
  <c r="A260" i="18"/>
  <c r="A259" i="18"/>
  <c r="B258" i="18"/>
  <c r="A258" i="18"/>
  <c r="A257" i="18"/>
  <c r="E256" i="18"/>
  <c r="B256" i="18"/>
  <c r="A256" i="18"/>
  <c r="A255" i="18"/>
  <c r="A254" i="18"/>
  <c r="A253" i="18"/>
  <c r="B252" i="18"/>
  <c r="A252" i="18"/>
  <c r="A251" i="18"/>
  <c r="B250" i="18"/>
  <c r="A250" i="18"/>
  <c r="A249" i="18"/>
  <c r="B248" i="18"/>
  <c r="A248" i="18"/>
  <c r="A247" i="18"/>
  <c r="E246" i="18"/>
  <c r="E248" i="18" s="1"/>
  <c r="B246" i="18"/>
  <c r="A246" i="18"/>
  <c r="A245" i="18"/>
  <c r="A244" i="18"/>
  <c r="A243" i="18"/>
  <c r="B242" i="18"/>
  <c r="A242" i="18"/>
  <c r="A241" i="18"/>
  <c r="B240" i="18"/>
  <c r="A240" i="18"/>
  <c r="A239" i="18"/>
  <c r="B238" i="18"/>
  <c r="A238" i="18"/>
  <c r="A237" i="18"/>
  <c r="E236" i="18"/>
  <c r="B236" i="18"/>
  <c r="A236" i="18"/>
  <c r="A235" i="18"/>
  <c r="A234" i="18"/>
  <c r="A233" i="18"/>
  <c r="B232" i="18"/>
  <c r="A232" i="18"/>
  <c r="A231" i="18"/>
  <c r="B230" i="18"/>
  <c r="A230" i="18"/>
  <c r="A229" i="18"/>
  <c r="B228" i="18"/>
  <c r="A228" i="18"/>
  <c r="A227" i="18"/>
  <c r="E226" i="18"/>
  <c r="B226" i="18"/>
  <c r="A226" i="18"/>
  <c r="A225" i="18"/>
  <c r="A224" i="18"/>
  <c r="A223" i="18"/>
  <c r="B222" i="18"/>
  <c r="A222" i="18"/>
  <c r="A221" i="18"/>
  <c r="B220" i="18"/>
  <c r="A220" i="18"/>
  <c r="A219" i="18"/>
  <c r="B218" i="18"/>
  <c r="A218" i="18"/>
  <c r="A217" i="18"/>
  <c r="E216" i="18"/>
  <c r="B216" i="18"/>
  <c r="A216" i="18"/>
  <c r="A215" i="18"/>
  <c r="A214" i="18"/>
  <c r="A213" i="18"/>
  <c r="B212" i="18"/>
  <c r="A212" i="18"/>
  <c r="A211" i="18"/>
  <c r="B210" i="18"/>
  <c r="A210" i="18"/>
  <c r="A209" i="18"/>
  <c r="B208" i="18"/>
  <c r="A208" i="18"/>
  <c r="A207" i="18"/>
  <c r="E206" i="18"/>
  <c r="B206" i="18"/>
  <c r="A206" i="18"/>
  <c r="A205" i="18"/>
  <c r="A204" i="18"/>
  <c r="A203" i="18"/>
  <c r="B202" i="18"/>
  <c r="A202" i="18"/>
  <c r="A201" i="18"/>
  <c r="B200" i="18"/>
  <c r="A200" i="18"/>
  <c r="A199" i="18"/>
  <c r="B198" i="18"/>
  <c r="A198" i="18"/>
  <c r="A197" i="18"/>
  <c r="E196" i="18"/>
  <c r="B196" i="18"/>
  <c r="A196" i="18"/>
  <c r="A195" i="18"/>
  <c r="A194" i="18"/>
  <c r="E193" i="18"/>
  <c r="A193" i="18"/>
  <c r="A192" i="18"/>
  <c r="A191" i="18"/>
  <c r="E190" i="18"/>
  <c r="A190" i="18"/>
  <c r="A189" i="18"/>
  <c r="A188" i="18"/>
  <c r="A187" i="18"/>
  <c r="A186" i="18"/>
  <c r="A185" i="18"/>
  <c r="A184" i="18"/>
  <c r="A183" i="18"/>
  <c r="A182" i="18"/>
  <c r="B181" i="18"/>
  <c r="A181" i="18"/>
  <c r="A180" i="18"/>
  <c r="B179" i="18"/>
  <c r="A179" i="18"/>
  <c r="A178" i="18"/>
  <c r="B177" i="18"/>
  <c r="A177" i="18"/>
  <c r="A176" i="18"/>
  <c r="E175" i="18"/>
  <c r="E177" i="18" s="1"/>
  <c r="B175" i="18"/>
  <c r="A175" i="18"/>
  <c r="A174" i="18"/>
  <c r="A173" i="18"/>
  <c r="A172" i="18"/>
  <c r="B171" i="18"/>
  <c r="A171" i="18"/>
  <c r="A170" i="18"/>
  <c r="B169" i="18"/>
  <c r="A169" i="18"/>
  <c r="A168" i="18"/>
  <c r="B167" i="18"/>
  <c r="A167" i="18"/>
  <c r="A166" i="18"/>
  <c r="E165" i="18"/>
  <c r="E171" i="18" s="1"/>
  <c r="B165" i="18"/>
  <c r="A165" i="18"/>
  <c r="A164" i="18"/>
  <c r="A163" i="18"/>
  <c r="A162" i="18"/>
  <c r="B161" i="18"/>
  <c r="A161" i="18"/>
  <c r="A160" i="18"/>
  <c r="B159" i="18"/>
  <c r="A159" i="18"/>
  <c r="A158" i="18"/>
  <c r="B157" i="18"/>
  <c r="A157" i="18"/>
  <c r="A156" i="18"/>
  <c r="E155" i="18"/>
  <c r="E157" i="18" s="1"/>
  <c r="B155" i="18"/>
  <c r="A155" i="18"/>
  <c r="A154" i="18"/>
  <c r="A153" i="18"/>
  <c r="E152" i="18"/>
  <c r="B152" i="18"/>
  <c r="A152" i="18"/>
  <c r="A151" i="18"/>
  <c r="A150" i="18"/>
  <c r="A149" i="18"/>
  <c r="A148" i="18"/>
  <c r="A147" i="18"/>
  <c r="A146" i="18"/>
  <c r="A145" i="18"/>
  <c r="A144" i="18"/>
  <c r="B143" i="18"/>
  <c r="A143" i="18"/>
  <c r="A142" i="18"/>
  <c r="B141" i="18"/>
  <c r="A141" i="18"/>
  <c r="A140" i="18"/>
  <c r="B139" i="18"/>
  <c r="A139" i="18"/>
  <c r="A138" i="18"/>
  <c r="E137" i="18"/>
  <c r="E141" i="18" s="1"/>
  <c r="B137" i="18"/>
  <c r="A137" i="18"/>
  <c r="A136" i="18"/>
  <c r="A135" i="18"/>
  <c r="A134" i="18"/>
  <c r="E133" i="18"/>
  <c r="B133" i="18"/>
  <c r="A133" i="18"/>
  <c r="A132" i="18"/>
  <c r="E131" i="18"/>
  <c r="B131" i="18"/>
  <c r="A131" i="18"/>
  <c r="A130" i="18"/>
  <c r="E129" i="18"/>
  <c r="B129" i="18"/>
  <c r="A129" i="18"/>
  <c r="A128" i="18"/>
  <c r="E127" i="18"/>
  <c r="B127" i="18"/>
  <c r="A127" i="18"/>
  <c r="A126" i="18"/>
  <c r="A125" i="18"/>
  <c r="A124" i="18"/>
  <c r="B123" i="18"/>
  <c r="A123" i="18"/>
  <c r="A122" i="18"/>
  <c r="B121" i="18"/>
  <c r="A121" i="18"/>
  <c r="A120" i="18"/>
  <c r="B119" i="18"/>
  <c r="A119" i="18"/>
  <c r="A118" i="18"/>
  <c r="J117" i="18"/>
  <c r="E117" i="18"/>
  <c r="B117" i="18"/>
  <c r="A117" i="18"/>
  <c r="A116" i="18"/>
  <c r="A115" i="18"/>
  <c r="A114" i="18"/>
  <c r="A113" i="18"/>
  <c r="A112" i="18"/>
  <c r="J111" i="18"/>
  <c r="B111" i="18"/>
  <c r="A111" i="18"/>
  <c r="A110" i="18"/>
  <c r="J109" i="18"/>
  <c r="B109" i="18"/>
  <c r="A109" i="18"/>
  <c r="A108" i="18"/>
  <c r="J107" i="18"/>
  <c r="B107" i="18"/>
  <c r="A107" i="18"/>
  <c r="A106" i="18"/>
  <c r="J105" i="18"/>
  <c r="E105" i="18"/>
  <c r="E109" i="18" s="1"/>
  <c r="B105" i="18"/>
  <c r="A105" i="18"/>
  <c r="A104" i="18"/>
  <c r="A103" i="18"/>
  <c r="A102" i="18"/>
  <c r="J101" i="18"/>
  <c r="B101" i="18"/>
  <c r="A101" i="18"/>
  <c r="A100" i="18"/>
  <c r="J99" i="18"/>
  <c r="B99" i="18"/>
  <c r="A99" i="18"/>
  <c r="A98" i="18"/>
  <c r="J97" i="18"/>
  <c r="B97" i="18"/>
  <c r="A97" i="18"/>
  <c r="A96" i="18"/>
  <c r="J95" i="18"/>
  <c r="E95" i="18"/>
  <c r="E99" i="18" s="1"/>
  <c r="B95" i="18"/>
  <c r="A95" i="18"/>
  <c r="A94" i="18"/>
  <c r="A93" i="18"/>
  <c r="A92" i="18"/>
  <c r="J91" i="18"/>
  <c r="B91" i="18"/>
  <c r="A91" i="18"/>
  <c r="A90" i="18"/>
  <c r="J89" i="18"/>
  <c r="B89" i="18"/>
  <c r="A89" i="18"/>
  <c r="A88" i="18"/>
  <c r="J87" i="18"/>
  <c r="B87" i="18"/>
  <c r="A87" i="18"/>
  <c r="A86" i="18"/>
  <c r="J85" i="18"/>
  <c r="E85" i="18"/>
  <c r="E89" i="18" s="1"/>
  <c r="B85" i="18"/>
  <c r="A85" i="18"/>
  <c r="A84" i="18"/>
  <c r="A83" i="18"/>
  <c r="B82" i="18"/>
  <c r="A82" i="18"/>
  <c r="A81" i="18"/>
  <c r="B80" i="18"/>
  <c r="A80" i="18"/>
  <c r="A79" i="18"/>
  <c r="B78" i="18"/>
  <c r="A78" i="18"/>
  <c r="A77" i="18"/>
  <c r="E76" i="18"/>
  <c r="E80" i="18" s="1"/>
  <c r="B76" i="18"/>
  <c r="A76" i="18"/>
  <c r="A75" i="18"/>
  <c r="A74" i="18"/>
  <c r="A73" i="18"/>
  <c r="B72" i="18"/>
  <c r="A72" i="18"/>
  <c r="A71" i="18"/>
  <c r="B70" i="18"/>
  <c r="A70" i="18"/>
  <c r="A69" i="18"/>
  <c r="B68" i="18"/>
  <c r="A68" i="18"/>
  <c r="A67" i="18"/>
  <c r="E66" i="18"/>
  <c r="E70" i="18" s="1"/>
  <c r="B66" i="18"/>
  <c r="A66" i="18"/>
  <c r="A65" i="18"/>
  <c r="A64" i="18"/>
  <c r="A63" i="18"/>
  <c r="J62" i="18"/>
  <c r="B62" i="18"/>
  <c r="A62" i="18"/>
  <c r="A61" i="18"/>
  <c r="J60" i="18"/>
  <c r="B60" i="18"/>
  <c r="A60" i="18"/>
  <c r="A59" i="18"/>
  <c r="J58" i="18"/>
  <c r="B58" i="18"/>
  <c r="A58" i="18"/>
  <c r="A57" i="18"/>
  <c r="J56" i="18"/>
  <c r="E56" i="18"/>
  <c r="E58" i="18" s="1"/>
  <c r="B56" i="18"/>
  <c r="A56" i="18"/>
  <c r="A55" i="18"/>
  <c r="A54" i="18"/>
  <c r="A53" i="18"/>
  <c r="B52" i="18"/>
  <c r="A52" i="18"/>
  <c r="A51" i="18"/>
  <c r="B50" i="18"/>
  <c r="A50" i="18"/>
  <c r="A49" i="18"/>
  <c r="B48" i="18"/>
  <c r="A48" i="18"/>
  <c r="A47" i="18"/>
  <c r="E46" i="18"/>
  <c r="E50" i="18" s="1"/>
  <c r="B46" i="18"/>
  <c r="A46" i="18"/>
  <c r="A45" i="18"/>
  <c r="A44" i="18"/>
  <c r="A43" i="18"/>
  <c r="J42" i="18"/>
  <c r="B42" i="18"/>
  <c r="A42" i="18"/>
  <c r="A41" i="18"/>
  <c r="J40" i="18"/>
  <c r="B40" i="18"/>
  <c r="A40" i="18"/>
  <c r="A39" i="18"/>
  <c r="J38" i="18"/>
  <c r="B38" i="18"/>
  <c r="A38" i="18"/>
  <c r="A37" i="18"/>
  <c r="J36" i="18"/>
  <c r="E36" i="18"/>
  <c r="E42" i="18" s="1"/>
  <c r="B36" i="18"/>
  <c r="A36" i="18"/>
  <c r="A35" i="18"/>
  <c r="A34" i="18"/>
  <c r="A33" i="18"/>
  <c r="J32" i="18"/>
  <c r="B32" i="18"/>
  <c r="A32" i="18"/>
  <c r="A31" i="18"/>
  <c r="J30" i="18"/>
  <c r="B30" i="18"/>
  <c r="A30" i="18"/>
  <c r="A29" i="18"/>
  <c r="J28" i="18"/>
  <c r="B28" i="18"/>
  <c r="A28" i="18"/>
  <c r="A27" i="18"/>
  <c r="J26" i="18"/>
  <c r="E26" i="18"/>
  <c r="E30" i="18" s="1"/>
  <c r="B26" i="18"/>
  <c r="A26" i="18"/>
  <c r="A25" i="18"/>
  <c r="A24" i="18"/>
  <c r="A23" i="18"/>
  <c r="B22" i="18"/>
  <c r="A22" i="18"/>
  <c r="A21" i="18"/>
  <c r="B20" i="18"/>
  <c r="A20" i="18"/>
  <c r="A19" i="18"/>
  <c r="B18" i="18"/>
  <c r="A18" i="18"/>
  <c r="A17" i="18"/>
  <c r="J16" i="18"/>
  <c r="E16" i="18"/>
  <c r="B16" i="18"/>
  <c r="A16" i="18"/>
  <c r="A15" i="18"/>
  <c r="A14" i="18"/>
  <c r="A13" i="18"/>
  <c r="A12" i="18"/>
  <c r="A11" i="18"/>
  <c r="A10" i="18"/>
  <c r="A9" i="18"/>
  <c r="M8" i="18"/>
  <c r="G8" i="18"/>
  <c r="E8" i="18"/>
  <c r="A8" i="18"/>
  <c r="G6" i="18"/>
  <c r="C4" i="18"/>
  <c r="C3" i="18"/>
  <c r="Q2" i="18"/>
  <c r="R2" i="18" s="1"/>
  <c r="S2" i="18" s="1"/>
  <c r="T2" i="18" s="1"/>
  <c r="U2" i="18" s="1"/>
  <c r="V2" i="18" s="1"/>
  <c r="W2" i="18" s="1"/>
  <c r="X2" i="18" s="1"/>
  <c r="Y2" i="18" s="1"/>
  <c r="Z2" i="18" s="1"/>
  <c r="AA2" i="18" s="1"/>
  <c r="M1" i="18"/>
  <c r="J69" i="17"/>
  <c r="J67" i="17"/>
  <c r="J65" i="17"/>
  <c r="E63" i="17"/>
  <c r="E53" i="17"/>
  <c r="E17" i="17"/>
  <c r="B122" i="4"/>
  <c r="B121" i="4"/>
  <c r="B120" i="4"/>
  <c r="G137" i="2" s="1"/>
  <c r="B119" i="4"/>
  <c r="G212" i="2" s="1"/>
  <c r="B118" i="4"/>
  <c r="B117" i="4"/>
  <c r="G136" i="2" s="1"/>
  <c r="B116" i="4"/>
  <c r="B115" i="4"/>
  <c r="B114" i="4"/>
  <c r="B113" i="4"/>
  <c r="B112" i="4"/>
  <c r="G43" i="17" s="1"/>
  <c r="B111" i="4"/>
  <c r="B110" i="4"/>
  <c r="B109" i="4"/>
  <c r="B108" i="4"/>
  <c r="M41" i="2"/>
  <c r="J159" i="8"/>
  <c r="E25" i="5" l="1"/>
  <c r="G24" i="5"/>
  <c r="G11" i="18"/>
  <c r="E52" i="18"/>
  <c r="E32" i="18"/>
  <c r="E38" i="18"/>
  <c r="E48" i="18"/>
  <c r="E60" i="18"/>
  <c r="E28" i="19"/>
  <c r="E58" i="19"/>
  <c r="E161" i="19"/>
  <c r="E40" i="18"/>
  <c r="E62" i="19"/>
  <c r="E48" i="20"/>
  <c r="E252" i="20"/>
  <c r="E52" i="20"/>
  <c r="E68" i="20"/>
  <c r="E119" i="20"/>
  <c r="E161" i="20"/>
  <c r="E42" i="20"/>
  <c r="E72" i="20"/>
  <c r="G119" i="2"/>
  <c r="G219" i="2"/>
  <c r="G11" i="19"/>
  <c r="E42" i="19"/>
  <c r="E232" i="19"/>
  <c r="E252" i="19"/>
  <c r="G205" i="2"/>
  <c r="G214" i="2"/>
  <c r="G222" i="2"/>
  <c r="E28" i="18"/>
  <c r="E32" i="19"/>
  <c r="G217" i="2"/>
  <c r="G87" i="21"/>
  <c r="G21" i="21"/>
  <c r="G41" i="17"/>
  <c r="E22" i="19"/>
  <c r="E52" i="19"/>
  <c r="E48" i="19"/>
  <c r="G218" i="2"/>
  <c r="G213" i="2"/>
  <c r="G221" i="2"/>
  <c r="E80" i="20"/>
  <c r="G47" i="17"/>
  <c r="E38" i="19"/>
  <c r="G216" i="2"/>
  <c r="G224" i="2"/>
  <c r="E89" i="20"/>
  <c r="G220" i="2"/>
  <c r="E18" i="20"/>
  <c r="E22" i="20"/>
  <c r="E139" i="20"/>
  <c r="E143" i="20"/>
  <c r="E262" i="15"/>
  <c r="G215" i="2"/>
  <c r="G223" i="2"/>
  <c r="E260" i="15"/>
  <c r="E260" i="13"/>
  <c r="E258" i="13"/>
  <c r="E262" i="11"/>
  <c r="E258" i="11"/>
  <c r="E32" i="20"/>
  <c r="E28" i="20"/>
  <c r="E30" i="20"/>
  <c r="E181" i="20"/>
  <c r="E177" i="20"/>
  <c r="E179" i="20"/>
  <c r="E60" i="20"/>
  <c r="E62" i="20"/>
  <c r="E38" i="20"/>
  <c r="E82" i="20"/>
  <c r="E78" i="20"/>
  <c r="E91" i="20"/>
  <c r="E101" i="20"/>
  <c r="E97" i="20"/>
  <c r="E111" i="20"/>
  <c r="E109" i="20"/>
  <c r="E107" i="20"/>
  <c r="E121" i="20"/>
  <c r="E157" i="20"/>
  <c r="E169" i="20"/>
  <c r="E171" i="20"/>
  <c r="E167" i="20"/>
  <c r="E200" i="20"/>
  <c r="E208" i="20"/>
  <c r="E212" i="20"/>
  <c r="E220" i="20"/>
  <c r="E228" i="20"/>
  <c r="E232" i="20"/>
  <c r="E240" i="20"/>
  <c r="E260" i="20"/>
  <c r="E198" i="20"/>
  <c r="E210" i="20"/>
  <c r="E218" i="20"/>
  <c r="E230" i="20"/>
  <c r="E238" i="20"/>
  <c r="E250" i="20"/>
  <c r="E258" i="20"/>
  <c r="E208" i="2"/>
  <c r="G208" i="2" s="1"/>
  <c r="E209" i="2"/>
  <c r="G209" i="2" s="1"/>
  <c r="E206" i="2"/>
  <c r="G206" i="2" s="1"/>
  <c r="E203" i="2"/>
  <c r="G203" i="2" s="1"/>
  <c r="G197" i="2"/>
  <c r="E199" i="2"/>
  <c r="G199" i="2" s="1"/>
  <c r="E202" i="2"/>
  <c r="G202" i="2" s="1"/>
  <c r="E207" i="2"/>
  <c r="G207" i="2" s="1"/>
  <c r="E198" i="2"/>
  <c r="G198" i="2" s="1"/>
  <c r="E201" i="2"/>
  <c r="G201" i="2" s="1"/>
  <c r="E200" i="2"/>
  <c r="G200" i="2" s="1"/>
  <c r="E204" i="2"/>
  <c r="G204" i="2" s="1"/>
  <c r="E138" i="2"/>
  <c r="G138" i="2" s="1"/>
  <c r="E139" i="2"/>
  <c r="G139" i="2" s="1"/>
  <c r="E140" i="2"/>
  <c r="G140" i="2" s="1"/>
  <c r="E141" i="2"/>
  <c r="G141" i="2" s="1"/>
  <c r="E142" i="2"/>
  <c r="G142" i="2" s="1"/>
  <c r="E143" i="2"/>
  <c r="G143" i="2" s="1"/>
  <c r="E144" i="2"/>
  <c r="G144" i="2" s="1"/>
  <c r="E145" i="2"/>
  <c r="G145" i="2" s="1"/>
  <c r="E146" i="2"/>
  <c r="G146" i="2" s="1"/>
  <c r="E147" i="2"/>
  <c r="G147" i="2" s="1"/>
  <c r="E148" i="2"/>
  <c r="G148" i="2" s="1"/>
  <c r="E149" i="2"/>
  <c r="G149" i="2" s="1"/>
  <c r="G107" i="2"/>
  <c r="E108" i="2"/>
  <c r="G108" i="2" s="1"/>
  <c r="E109" i="2"/>
  <c r="G109" i="2" s="1"/>
  <c r="E110" i="2"/>
  <c r="G110" i="2" s="1"/>
  <c r="E111" i="2"/>
  <c r="G111" i="2" s="1"/>
  <c r="E112" i="2"/>
  <c r="G112" i="2" s="1"/>
  <c r="E113" i="2"/>
  <c r="G113" i="2" s="1"/>
  <c r="E114" i="2"/>
  <c r="G114" i="2" s="1"/>
  <c r="E115" i="2"/>
  <c r="G115" i="2" s="1"/>
  <c r="E116" i="2"/>
  <c r="G116" i="2" s="1"/>
  <c r="E117" i="2"/>
  <c r="G117" i="2" s="1"/>
  <c r="E118" i="2"/>
  <c r="G118" i="2" s="1"/>
  <c r="E134" i="2"/>
  <c r="G134" i="2" s="1"/>
  <c r="E133" i="2"/>
  <c r="G133" i="2" s="1"/>
  <c r="E132" i="2"/>
  <c r="G132" i="2" s="1"/>
  <c r="E131" i="2"/>
  <c r="G131" i="2" s="1"/>
  <c r="E130" i="2"/>
  <c r="G130" i="2" s="1"/>
  <c r="E129" i="2"/>
  <c r="G129" i="2" s="1"/>
  <c r="E128" i="2"/>
  <c r="G128" i="2" s="1"/>
  <c r="E127" i="2"/>
  <c r="G127" i="2" s="1"/>
  <c r="E126" i="2"/>
  <c r="G126" i="2" s="1"/>
  <c r="E125" i="2"/>
  <c r="G125" i="2" s="1"/>
  <c r="E124" i="2"/>
  <c r="G124" i="2" s="1"/>
  <c r="E123" i="2"/>
  <c r="G123" i="2" s="1"/>
  <c r="G122" i="2"/>
  <c r="E20" i="19"/>
  <c r="E91" i="19"/>
  <c r="E87" i="19"/>
  <c r="E97" i="19"/>
  <c r="E101" i="19"/>
  <c r="E107" i="19"/>
  <c r="E111" i="19"/>
  <c r="E109" i="19"/>
  <c r="E181" i="19"/>
  <c r="E177" i="19"/>
  <c r="E179" i="19"/>
  <c r="E89" i="19"/>
  <c r="E99" i="19"/>
  <c r="E123" i="19"/>
  <c r="E119" i="19"/>
  <c r="E121" i="19"/>
  <c r="E68" i="19"/>
  <c r="E72" i="19"/>
  <c r="E80" i="19"/>
  <c r="E159" i="19"/>
  <c r="E78" i="19"/>
  <c r="E171" i="19"/>
  <c r="E167" i="19"/>
  <c r="E141" i="19"/>
  <c r="E139" i="19"/>
  <c r="E200" i="19"/>
  <c r="E208" i="19"/>
  <c r="E212" i="19"/>
  <c r="E220" i="19"/>
  <c r="E240" i="19"/>
  <c r="E260" i="19"/>
  <c r="E198" i="19"/>
  <c r="E210" i="19"/>
  <c r="E218" i="19"/>
  <c r="E230" i="19"/>
  <c r="E238" i="19"/>
  <c r="E250" i="19"/>
  <c r="E258" i="19"/>
  <c r="E139" i="18"/>
  <c r="E62" i="18"/>
  <c r="E218" i="18"/>
  <c r="E220" i="18"/>
  <c r="E222" i="18"/>
  <c r="E97" i="18"/>
  <c r="E143" i="18"/>
  <c r="E78" i="18"/>
  <c r="E82" i="18"/>
  <c r="E232" i="18"/>
  <c r="E228" i="18"/>
  <c r="E238" i="18"/>
  <c r="E240" i="18"/>
  <c r="E242" i="18"/>
  <c r="E22" i="18"/>
  <c r="E18" i="18"/>
  <c r="E20" i="18"/>
  <c r="E87" i="18"/>
  <c r="E91" i="18"/>
  <c r="E107" i="18"/>
  <c r="E111" i="18"/>
  <c r="E208" i="18"/>
  <c r="E210" i="18"/>
  <c r="E212" i="18"/>
  <c r="E72" i="18"/>
  <c r="E68" i="18"/>
  <c r="E200" i="18"/>
  <c r="E202" i="18"/>
  <c r="E198" i="18"/>
  <c r="E101" i="18"/>
  <c r="E123" i="18"/>
  <c r="E119" i="18"/>
  <c r="E121" i="18"/>
  <c r="E260" i="18"/>
  <c r="E262" i="18"/>
  <c r="E258" i="18"/>
  <c r="E159" i="18"/>
  <c r="E169" i="18"/>
  <c r="E167" i="18"/>
  <c r="E179" i="18"/>
  <c r="E161" i="18"/>
  <c r="E181" i="18"/>
  <c r="E250" i="18"/>
  <c r="E252" i="18"/>
  <c r="E230" i="18"/>
  <c r="E296" i="3"/>
  <c r="E298" i="3" s="1"/>
  <c r="A303" i="3"/>
  <c r="B302" i="3"/>
  <c r="A302" i="3"/>
  <c r="A301" i="3"/>
  <c r="B300" i="3"/>
  <c r="A300" i="3"/>
  <c r="A299" i="3"/>
  <c r="B298" i="3"/>
  <c r="A298" i="3"/>
  <c r="A297" i="3"/>
  <c r="B296" i="3"/>
  <c r="A296" i="3"/>
  <c r="A255" i="3"/>
  <c r="A254" i="3"/>
  <c r="E39" i="17"/>
  <c r="A39" i="17"/>
  <c r="A38" i="17"/>
  <c r="A37" i="17"/>
  <c r="E26" i="5" l="1"/>
  <c r="G25" i="5"/>
  <c r="E302" i="3"/>
  <c r="E300" i="3"/>
  <c r="M34" i="17"/>
  <c r="M35" i="17"/>
  <c r="M33" i="17"/>
  <c r="E35" i="17"/>
  <c r="E34" i="17"/>
  <c r="E33" i="17"/>
  <c r="E23" i="1"/>
  <c r="E22" i="1"/>
  <c r="E21" i="1"/>
  <c r="E27" i="5" l="1"/>
  <c r="G26" i="5"/>
  <c r="A113" i="17"/>
  <c r="A112" i="17"/>
  <c r="A111" i="17"/>
  <c r="A110" i="17"/>
  <c r="B109" i="17"/>
  <c r="A109" i="17"/>
  <c r="A108" i="17"/>
  <c r="B107" i="17"/>
  <c r="A107" i="17"/>
  <c r="A106" i="17"/>
  <c r="B105" i="17"/>
  <c r="A105" i="17"/>
  <c r="A104" i="17"/>
  <c r="E103" i="17"/>
  <c r="E107" i="17" s="1"/>
  <c r="B103" i="17"/>
  <c r="A103" i="17"/>
  <c r="A102" i="17"/>
  <c r="A101" i="17"/>
  <c r="A100" i="17"/>
  <c r="B99" i="17"/>
  <c r="A99" i="17"/>
  <c r="A98" i="17"/>
  <c r="B97" i="17"/>
  <c r="A97" i="17"/>
  <c r="A96" i="17"/>
  <c r="B95" i="17"/>
  <c r="A95" i="17"/>
  <c r="A94" i="17"/>
  <c r="E93" i="17"/>
  <c r="E97" i="17" s="1"/>
  <c r="B93" i="17"/>
  <c r="A93" i="17"/>
  <c r="A92" i="17"/>
  <c r="A91" i="17"/>
  <c r="A90" i="17"/>
  <c r="B89" i="17"/>
  <c r="A89" i="17"/>
  <c r="A88" i="17"/>
  <c r="B87" i="17"/>
  <c r="A87" i="17"/>
  <c r="A86" i="17"/>
  <c r="B85" i="17"/>
  <c r="A85" i="17"/>
  <c r="A84" i="17"/>
  <c r="E83" i="17"/>
  <c r="B83" i="17"/>
  <c r="A83" i="17"/>
  <c r="A82" i="17"/>
  <c r="A81" i="17"/>
  <c r="A80" i="17"/>
  <c r="B79" i="17"/>
  <c r="A79" i="17"/>
  <c r="A78" i="17"/>
  <c r="B77" i="17"/>
  <c r="A77" i="17"/>
  <c r="A76" i="17"/>
  <c r="B75" i="17"/>
  <c r="A75" i="17"/>
  <c r="A74" i="17"/>
  <c r="E73" i="17"/>
  <c r="B73" i="17"/>
  <c r="A73" i="17"/>
  <c r="A72" i="17"/>
  <c r="A71" i="17"/>
  <c r="A70" i="17"/>
  <c r="B69" i="17"/>
  <c r="A69" i="17"/>
  <c r="A68" i="17"/>
  <c r="B67" i="17"/>
  <c r="A67" i="17"/>
  <c r="A66" i="17"/>
  <c r="B65" i="17"/>
  <c r="A65" i="17"/>
  <c r="A64" i="17"/>
  <c r="E69" i="17"/>
  <c r="B63" i="17"/>
  <c r="A63" i="17"/>
  <c r="A62" i="17"/>
  <c r="A61" i="17"/>
  <c r="A60" i="17"/>
  <c r="B59" i="17"/>
  <c r="A59" i="17"/>
  <c r="A58" i="17"/>
  <c r="B57" i="17"/>
  <c r="A57" i="17"/>
  <c r="A56" i="17"/>
  <c r="B55" i="17"/>
  <c r="A55" i="17"/>
  <c r="A54" i="17"/>
  <c r="B53" i="17"/>
  <c r="A53" i="17"/>
  <c r="A52" i="17"/>
  <c r="A51" i="17"/>
  <c r="A40" i="17"/>
  <c r="A36" i="17"/>
  <c r="E32" i="17"/>
  <c r="A32" i="17"/>
  <c r="A31" i="17"/>
  <c r="A30" i="17"/>
  <c r="A29" i="17"/>
  <c r="A28" i="17"/>
  <c r="A27" i="17"/>
  <c r="A26" i="17"/>
  <c r="A25" i="17"/>
  <c r="A24" i="17"/>
  <c r="B23" i="17"/>
  <c r="A23" i="17"/>
  <c r="A22" i="17"/>
  <c r="B21" i="17"/>
  <c r="A21" i="17"/>
  <c r="A20" i="17"/>
  <c r="B19" i="17"/>
  <c r="A19" i="17"/>
  <c r="A18" i="17"/>
  <c r="E21" i="17"/>
  <c r="B17" i="17"/>
  <c r="A17" i="17"/>
  <c r="A16" i="17"/>
  <c r="A15" i="17"/>
  <c r="A14" i="17"/>
  <c r="A13" i="17"/>
  <c r="A12" i="17"/>
  <c r="A11" i="17"/>
  <c r="A10" i="17"/>
  <c r="A9" i="17"/>
  <c r="M8" i="17"/>
  <c r="G8" i="17"/>
  <c r="E8" i="17"/>
  <c r="A8" i="17"/>
  <c r="G6" i="17"/>
  <c r="C4" i="17"/>
  <c r="C3" i="17"/>
  <c r="Q2" i="17"/>
  <c r="R2" i="17" s="1"/>
  <c r="S2" i="17" s="1"/>
  <c r="T2" i="17" s="1"/>
  <c r="U2" i="17" s="1"/>
  <c r="V2" i="17" s="1"/>
  <c r="W2" i="17" s="1"/>
  <c r="X2" i="17" s="1"/>
  <c r="Y2" i="17" s="1"/>
  <c r="Z2" i="17" s="1"/>
  <c r="AA2" i="17" s="1"/>
  <c r="M1" i="17"/>
  <c r="E28" i="5" l="1"/>
  <c r="G27" i="5"/>
  <c r="E19" i="17"/>
  <c r="E23" i="17"/>
  <c r="E109" i="17"/>
  <c r="E89" i="17"/>
  <c r="E105" i="17"/>
  <c r="E85" i="17"/>
  <c r="E59" i="17"/>
  <c r="E55" i="17"/>
  <c r="E57" i="17"/>
  <c r="E79" i="17"/>
  <c r="E75" i="17"/>
  <c r="E77" i="17"/>
  <c r="E67" i="17"/>
  <c r="E95" i="17"/>
  <c r="E99" i="17"/>
  <c r="E87" i="17"/>
  <c r="E65" i="17"/>
  <c r="D5" i="16"/>
  <c r="D4" i="16"/>
  <c r="E29" i="5" l="1"/>
  <c r="G28" i="5"/>
  <c r="G6" i="3"/>
  <c r="G6" i="2"/>
  <c r="P16" i="5"/>
  <c r="M8" i="15"/>
  <c r="M1" i="15"/>
  <c r="A330" i="15"/>
  <c r="A329" i="15"/>
  <c r="A328" i="15"/>
  <c r="A327" i="15"/>
  <c r="A326" i="15"/>
  <c r="A325" i="15"/>
  <c r="A324" i="15"/>
  <c r="A323" i="15"/>
  <c r="A322" i="15"/>
  <c r="A321" i="15"/>
  <c r="A320" i="15"/>
  <c r="A319" i="15"/>
  <c r="A318" i="15"/>
  <c r="B317" i="15"/>
  <c r="A317" i="15"/>
  <c r="A316" i="15"/>
  <c r="B315" i="15"/>
  <c r="A315" i="15"/>
  <c r="A314" i="15"/>
  <c r="B313" i="15"/>
  <c r="A313" i="15"/>
  <c r="A312" i="15"/>
  <c r="E311" i="15"/>
  <c r="E313" i="15" s="1"/>
  <c r="B311" i="15"/>
  <c r="A311" i="15"/>
  <c r="A310" i="15"/>
  <c r="A309" i="15"/>
  <c r="A308" i="15"/>
  <c r="B307" i="15"/>
  <c r="A307" i="15"/>
  <c r="A306" i="15"/>
  <c r="B305" i="15"/>
  <c r="A305" i="15"/>
  <c r="A304" i="15"/>
  <c r="B303" i="15"/>
  <c r="A303" i="15"/>
  <c r="A302" i="15"/>
  <c r="E301" i="15"/>
  <c r="E307" i="15" s="1"/>
  <c r="B301" i="15"/>
  <c r="A301" i="15"/>
  <c r="A300" i="15"/>
  <c r="A299" i="15"/>
  <c r="A298" i="15"/>
  <c r="B297" i="15"/>
  <c r="A297" i="15"/>
  <c r="A296" i="15"/>
  <c r="B295" i="15"/>
  <c r="A295" i="15"/>
  <c r="A294" i="15"/>
  <c r="B293" i="15"/>
  <c r="A293" i="15"/>
  <c r="A292" i="15"/>
  <c r="E291" i="15"/>
  <c r="E293" i="15" s="1"/>
  <c r="B291" i="15"/>
  <c r="A291" i="15"/>
  <c r="A290" i="15"/>
  <c r="A289" i="15"/>
  <c r="A288" i="15"/>
  <c r="B287" i="15"/>
  <c r="A287" i="15"/>
  <c r="A286" i="15"/>
  <c r="B285" i="15"/>
  <c r="A285" i="15"/>
  <c r="A284" i="15"/>
  <c r="B283" i="15"/>
  <c r="A283" i="15"/>
  <c r="A282" i="15"/>
  <c r="E281" i="15"/>
  <c r="B281" i="15"/>
  <c r="A281" i="15"/>
  <c r="A280" i="15"/>
  <c r="A279" i="15"/>
  <c r="A278" i="15"/>
  <c r="J277" i="15"/>
  <c r="B277" i="15"/>
  <c r="A277" i="15"/>
  <c r="A276" i="15"/>
  <c r="J275" i="15"/>
  <c r="B275" i="15"/>
  <c r="A275" i="15"/>
  <c r="A274" i="15"/>
  <c r="J273" i="15"/>
  <c r="B273" i="15"/>
  <c r="A273" i="15"/>
  <c r="A272" i="15"/>
  <c r="J271" i="15"/>
  <c r="E271" i="15"/>
  <c r="B271" i="15"/>
  <c r="A271" i="15"/>
  <c r="A270" i="15"/>
  <c r="A269" i="15"/>
  <c r="A268" i="15"/>
  <c r="A267" i="15"/>
  <c r="A266" i="15"/>
  <c r="A265" i="15"/>
  <c r="A264" i="15"/>
  <c r="A253" i="15"/>
  <c r="B252" i="15"/>
  <c r="A252" i="15"/>
  <c r="A251" i="15"/>
  <c r="B250" i="15"/>
  <c r="A250" i="15"/>
  <c r="A249" i="15"/>
  <c r="B248" i="15"/>
  <c r="A248" i="15"/>
  <c r="A247" i="15"/>
  <c r="E246" i="15"/>
  <c r="E250" i="15" s="1"/>
  <c r="B246" i="15"/>
  <c r="A246" i="15"/>
  <c r="A245" i="15"/>
  <c r="A244" i="15"/>
  <c r="A243" i="15"/>
  <c r="B242" i="15"/>
  <c r="A242" i="15"/>
  <c r="A241" i="15"/>
  <c r="B240" i="15"/>
  <c r="A240" i="15"/>
  <c r="A239" i="15"/>
  <c r="B238" i="15"/>
  <c r="A238" i="15"/>
  <c r="A237" i="15"/>
  <c r="E236" i="15"/>
  <c r="B236" i="15"/>
  <c r="A236" i="15"/>
  <c r="A235" i="15"/>
  <c r="A234" i="15"/>
  <c r="A233" i="15"/>
  <c r="B232" i="15"/>
  <c r="A232" i="15"/>
  <c r="A231" i="15"/>
  <c r="B230" i="15"/>
  <c r="A230" i="15"/>
  <c r="A229" i="15"/>
  <c r="B228" i="15"/>
  <c r="A228" i="15"/>
  <c r="A227" i="15"/>
  <c r="E226" i="15"/>
  <c r="B226" i="15"/>
  <c r="A226" i="15"/>
  <c r="A225" i="15"/>
  <c r="A224" i="15"/>
  <c r="A223" i="15"/>
  <c r="B222" i="15"/>
  <c r="A222" i="15"/>
  <c r="A221" i="15"/>
  <c r="B220" i="15"/>
  <c r="A220" i="15"/>
  <c r="A219" i="15"/>
  <c r="B218" i="15"/>
  <c r="A218" i="15"/>
  <c r="A217" i="15"/>
  <c r="E216" i="15"/>
  <c r="E220" i="15" s="1"/>
  <c r="B216" i="15"/>
  <c r="A216" i="15"/>
  <c r="A215" i="15"/>
  <c r="A214" i="15"/>
  <c r="A213" i="15"/>
  <c r="B212" i="15"/>
  <c r="A212" i="15"/>
  <c r="A211" i="15"/>
  <c r="B210" i="15"/>
  <c r="A210" i="15"/>
  <c r="A209" i="15"/>
  <c r="B208" i="15"/>
  <c r="A208" i="15"/>
  <c r="A207" i="15"/>
  <c r="E206" i="15"/>
  <c r="B206" i="15"/>
  <c r="A206" i="15"/>
  <c r="A205" i="15"/>
  <c r="A204" i="15"/>
  <c r="A203" i="15"/>
  <c r="B202" i="15"/>
  <c r="A202" i="15"/>
  <c r="A201" i="15"/>
  <c r="B200" i="15"/>
  <c r="A200" i="15"/>
  <c r="A199" i="15"/>
  <c r="B198" i="15"/>
  <c r="A198" i="15"/>
  <c r="A197" i="15"/>
  <c r="E196" i="15"/>
  <c r="B196" i="15"/>
  <c r="A196" i="15"/>
  <c r="A195" i="15"/>
  <c r="A194" i="15"/>
  <c r="E193" i="15"/>
  <c r="A193" i="15"/>
  <c r="A192" i="15"/>
  <c r="A191" i="15"/>
  <c r="E190" i="15"/>
  <c r="A190" i="15"/>
  <c r="A189" i="15"/>
  <c r="A188" i="15"/>
  <c r="A187" i="15"/>
  <c r="A186" i="15"/>
  <c r="A185" i="15"/>
  <c r="A184" i="15"/>
  <c r="A183" i="15"/>
  <c r="A182" i="15"/>
  <c r="B181" i="15"/>
  <c r="A181" i="15"/>
  <c r="A180" i="15"/>
  <c r="B179" i="15"/>
  <c r="A179" i="15"/>
  <c r="A178" i="15"/>
  <c r="B177" i="15"/>
  <c r="A177" i="15"/>
  <c r="A176" i="15"/>
  <c r="E175" i="15"/>
  <c r="E179" i="15" s="1"/>
  <c r="B175" i="15"/>
  <c r="A175" i="15"/>
  <c r="A174" i="15"/>
  <c r="A173" i="15"/>
  <c r="A172" i="15"/>
  <c r="B171" i="15"/>
  <c r="A171" i="15"/>
  <c r="A170" i="15"/>
  <c r="B169" i="15"/>
  <c r="A169" i="15"/>
  <c r="A168" i="15"/>
  <c r="B167" i="15"/>
  <c r="A167" i="15"/>
  <c r="A166" i="15"/>
  <c r="E165" i="15"/>
  <c r="E169" i="15" s="1"/>
  <c r="B165" i="15"/>
  <c r="A165" i="15"/>
  <c r="A164" i="15"/>
  <c r="A163" i="15"/>
  <c r="A162" i="15"/>
  <c r="B161" i="15"/>
  <c r="A161" i="15"/>
  <c r="A160" i="15"/>
  <c r="B159" i="15"/>
  <c r="A159" i="15"/>
  <c r="A158" i="15"/>
  <c r="B157" i="15"/>
  <c r="A157" i="15"/>
  <c r="A156" i="15"/>
  <c r="E155" i="15"/>
  <c r="E159" i="15" s="1"/>
  <c r="B155" i="15"/>
  <c r="A155" i="15"/>
  <c r="A154" i="15"/>
  <c r="A153" i="15"/>
  <c r="E152" i="15"/>
  <c r="B152" i="15"/>
  <c r="A152" i="15"/>
  <c r="A151" i="15"/>
  <c r="A150" i="15"/>
  <c r="A149" i="15"/>
  <c r="A148" i="15"/>
  <c r="A147" i="15"/>
  <c r="A146" i="15"/>
  <c r="A145" i="15"/>
  <c r="A144" i="15"/>
  <c r="B143" i="15"/>
  <c r="A143" i="15"/>
  <c r="A142" i="15"/>
  <c r="B141" i="15"/>
  <c r="A141" i="15"/>
  <c r="A140" i="15"/>
  <c r="B139" i="15"/>
  <c r="A139" i="15"/>
  <c r="A138" i="15"/>
  <c r="E137" i="15"/>
  <c r="E143" i="15" s="1"/>
  <c r="B137" i="15"/>
  <c r="A137" i="15"/>
  <c r="A136" i="15"/>
  <c r="A135" i="15"/>
  <c r="A134" i="15"/>
  <c r="E133" i="15"/>
  <c r="B133" i="15"/>
  <c r="A133" i="15"/>
  <c r="A132" i="15"/>
  <c r="E131" i="15"/>
  <c r="B131" i="15"/>
  <c r="A131" i="15"/>
  <c r="A130" i="15"/>
  <c r="E129" i="15"/>
  <c r="B129" i="15"/>
  <c r="A129" i="15"/>
  <c r="A128" i="15"/>
  <c r="E127" i="15"/>
  <c r="B127" i="15"/>
  <c r="A127" i="15"/>
  <c r="A126" i="15"/>
  <c r="A125" i="15"/>
  <c r="A124" i="15"/>
  <c r="B123" i="15"/>
  <c r="A123" i="15"/>
  <c r="A122" i="15"/>
  <c r="B121" i="15"/>
  <c r="A121" i="15"/>
  <c r="A120" i="15"/>
  <c r="B119" i="15"/>
  <c r="A119" i="15"/>
  <c r="A118" i="15"/>
  <c r="J117" i="15"/>
  <c r="E117" i="15"/>
  <c r="E123" i="15" s="1"/>
  <c r="B117" i="15"/>
  <c r="A117" i="15"/>
  <c r="A116" i="15"/>
  <c r="A115" i="15"/>
  <c r="A114" i="15"/>
  <c r="A113" i="15"/>
  <c r="A112" i="15"/>
  <c r="J111" i="15"/>
  <c r="B111" i="15"/>
  <c r="A111" i="15"/>
  <c r="A110" i="15"/>
  <c r="J109" i="15"/>
  <c r="B109" i="15"/>
  <c r="A109" i="15"/>
  <c r="A108" i="15"/>
  <c r="J107" i="15"/>
  <c r="B107" i="15"/>
  <c r="A107" i="15"/>
  <c r="A106" i="15"/>
  <c r="J105" i="15"/>
  <c r="E105" i="15"/>
  <c r="E109" i="15" s="1"/>
  <c r="B105" i="15"/>
  <c r="A105" i="15"/>
  <c r="A104" i="15"/>
  <c r="A103" i="15"/>
  <c r="A102" i="15"/>
  <c r="J101" i="15"/>
  <c r="B101" i="15"/>
  <c r="A101" i="15"/>
  <c r="A100" i="15"/>
  <c r="J99" i="15"/>
  <c r="B99" i="15"/>
  <c r="A99" i="15"/>
  <c r="A98" i="15"/>
  <c r="J97" i="15"/>
  <c r="B97" i="15"/>
  <c r="A97" i="15"/>
  <c r="A96" i="15"/>
  <c r="J95" i="15"/>
  <c r="E95" i="15"/>
  <c r="E99" i="15" s="1"/>
  <c r="B95" i="15"/>
  <c r="A95" i="15"/>
  <c r="A94" i="15"/>
  <c r="A93" i="15"/>
  <c r="A92" i="15"/>
  <c r="J91" i="15"/>
  <c r="B91" i="15"/>
  <c r="A91" i="15"/>
  <c r="A90" i="15"/>
  <c r="J89" i="15"/>
  <c r="B89" i="15"/>
  <c r="A89" i="15"/>
  <c r="A88" i="15"/>
  <c r="J87" i="15"/>
  <c r="B87" i="15"/>
  <c r="A87" i="15"/>
  <c r="A86" i="15"/>
  <c r="J85" i="15"/>
  <c r="E85" i="15"/>
  <c r="E91" i="15" s="1"/>
  <c r="B85" i="15"/>
  <c r="A85" i="15"/>
  <c r="A84" i="15"/>
  <c r="A83" i="15"/>
  <c r="B82" i="15"/>
  <c r="A82" i="15"/>
  <c r="A81" i="15"/>
  <c r="B80" i="15"/>
  <c r="A80" i="15"/>
  <c r="A79" i="15"/>
  <c r="B78" i="15"/>
  <c r="A78" i="15"/>
  <c r="A77" i="15"/>
  <c r="E76" i="15"/>
  <c r="E80" i="15" s="1"/>
  <c r="B76" i="15"/>
  <c r="A76" i="15"/>
  <c r="A75" i="15"/>
  <c r="A74" i="15"/>
  <c r="A73" i="15"/>
  <c r="B72" i="15"/>
  <c r="A72" i="15"/>
  <c r="A71" i="15"/>
  <c r="B70" i="15"/>
  <c r="A70" i="15"/>
  <c r="A69" i="15"/>
  <c r="B68" i="15"/>
  <c r="A68" i="15"/>
  <c r="A67" i="15"/>
  <c r="E66" i="15"/>
  <c r="B66" i="15"/>
  <c r="A66" i="15"/>
  <c r="A65" i="15"/>
  <c r="A64" i="15"/>
  <c r="A63" i="15"/>
  <c r="J62" i="15"/>
  <c r="B62" i="15"/>
  <c r="A62" i="15"/>
  <c r="A61" i="15"/>
  <c r="J60" i="15"/>
  <c r="B60" i="15"/>
  <c r="A60" i="15"/>
  <c r="A59" i="15"/>
  <c r="J58" i="15"/>
  <c r="B58" i="15"/>
  <c r="A58" i="15"/>
  <c r="A57" i="15"/>
  <c r="J56" i="15"/>
  <c r="E56" i="15"/>
  <c r="B56" i="15"/>
  <c r="A56" i="15"/>
  <c r="A55" i="15"/>
  <c r="A54" i="15"/>
  <c r="A53" i="15"/>
  <c r="J52" i="15"/>
  <c r="B52" i="15"/>
  <c r="A52" i="15"/>
  <c r="A51" i="15"/>
  <c r="J50" i="15"/>
  <c r="B50" i="15"/>
  <c r="A50" i="15"/>
  <c r="A49" i="15"/>
  <c r="J48" i="15"/>
  <c r="B48" i="15"/>
  <c r="A48" i="15"/>
  <c r="A47" i="15"/>
  <c r="J46" i="15"/>
  <c r="E46" i="15"/>
  <c r="E48" i="15" s="1"/>
  <c r="B46" i="15"/>
  <c r="A46" i="15"/>
  <c r="A45" i="15"/>
  <c r="A44" i="15"/>
  <c r="A43" i="15"/>
  <c r="J42" i="15"/>
  <c r="B42" i="15"/>
  <c r="A42" i="15"/>
  <c r="A41" i="15"/>
  <c r="J40" i="15"/>
  <c r="B40" i="15"/>
  <c r="A40" i="15"/>
  <c r="A39" i="15"/>
  <c r="J38" i="15"/>
  <c r="B38" i="15"/>
  <c r="A38" i="15"/>
  <c r="A37" i="15"/>
  <c r="J36" i="15"/>
  <c r="E36" i="15"/>
  <c r="E40" i="15" s="1"/>
  <c r="B36" i="15"/>
  <c r="A36" i="15"/>
  <c r="A35" i="15"/>
  <c r="A34" i="15"/>
  <c r="A33" i="15"/>
  <c r="J32" i="15"/>
  <c r="B32" i="15"/>
  <c r="A32" i="15"/>
  <c r="A31" i="15"/>
  <c r="J30" i="15"/>
  <c r="B30" i="15"/>
  <c r="A30" i="15"/>
  <c r="A29" i="15"/>
  <c r="J28" i="15"/>
  <c r="B28" i="15"/>
  <c r="A28" i="15"/>
  <c r="A27" i="15"/>
  <c r="J26" i="15"/>
  <c r="E26" i="15"/>
  <c r="E32" i="15" s="1"/>
  <c r="B26" i="15"/>
  <c r="A26" i="15"/>
  <c r="A25" i="15"/>
  <c r="A24" i="15"/>
  <c r="A23" i="15"/>
  <c r="B22" i="15"/>
  <c r="A22" i="15"/>
  <c r="A21" i="15"/>
  <c r="B20" i="15"/>
  <c r="A20" i="15"/>
  <c r="A19" i="15"/>
  <c r="B18" i="15"/>
  <c r="A18" i="15"/>
  <c r="A17" i="15"/>
  <c r="J16" i="15"/>
  <c r="E16" i="15"/>
  <c r="E20" i="15" s="1"/>
  <c r="B16" i="15"/>
  <c r="A16" i="15"/>
  <c r="A15" i="15"/>
  <c r="A14" i="15"/>
  <c r="A13" i="15"/>
  <c r="A12" i="15"/>
  <c r="A11" i="15"/>
  <c r="A10" i="15"/>
  <c r="A9" i="15"/>
  <c r="G8" i="15"/>
  <c r="E8" i="15"/>
  <c r="A8" i="15"/>
  <c r="C4" i="15"/>
  <c r="C3" i="15"/>
  <c r="Q2" i="15"/>
  <c r="R2" i="15" s="1"/>
  <c r="S2" i="15" s="1"/>
  <c r="T2" i="15" s="1"/>
  <c r="U2" i="15" s="1"/>
  <c r="V2" i="15" s="1"/>
  <c r="W2" i="15" s="1"/>
  <c r="X2" i="15" s="1"/>
  <c r="Y2" i="15" s="1"/>
  <c r="Z2" i="15" s="1"/>
  <c r="AA2" i="15" s="1"/>
  <c r="M8" i="13"/>
  <c r="M1" i="13"/>
  <c r="A330" i="13"/>
  <c r="A329" i="13"/>
  <c r="A328" i="13"/>
  <c r="A327" i="13"/>
  <c r="A326" i="13"/>
  <c r="A325" i="13"/>
  <c r="A324" i="13"/>
  <c r="A323" i="13"/>
  <c r="A322" i="13"/>
  <c r="A321" i="13"/>
  <c r="A320" i="13"/>
  <c r="A319" i="13"/>
  <c r="A318" i="13"/>
  <c r="B317" i="13"/>
  <c r="A317" i="13"/>
  <c r="A316" i="13"/>
  <c r="B315" i="13"/>
  <c r="A315" i="13"/>
  <c r="A314" i="13"/>
  <c r="B313" i="13"/>
  <c r="A313" i="13"/>
  <c r="A312" i="13"/>
  <c r="E311" i="13"/>
  <c r="E313" i="13" s="1"/>
  <c r="B311" i="13"/>
  <c r="A311" i="13"/>
  <c r="A310" i="13"/>
  <c r="A309" i="13"/>
  <c r="A308" i="13"/>
  <c r="B307" i="13"/>
  <c r="A307" i="13"/>
  <c r="A306" i="13"/>
  <c r="B305" i="13"/>
  <c r="A305" i="13"/>
  <c r="A304" i="13"/>
  <c r="B303" i="13"/>
  <c r="A303" i="13"/>
  <c r="A302" i="13"/>
  <c r="E301" i="13"/>
  <c r="B301" i="13"/>
  <c r="A301" i="13"/>
  <c r="A300" i="13"/>
  <c r="A299" i="13"/>
  <c r="A298" i="13"/>
  <c r="B297" i="13"/>
  <c r="A297" i="13"/>
  <c r="A296" i="13"/>
  <c r="B295" i="13"/>
  <c r="A295" i="13"/>
  <c r="A294" i="13"/>
  <c r="B293" i="13"/>
  <c r="A293" i="13"/>
  <c r="A292" i="13"/>
  <c r="E291" i="13"/>
  <c r="E293" i="13" s="1"/>
  <c r="B291" i="13"/>
  <c r="A291" i="13"/>
  <c r="A290" i="13"/>
  <c r="A289" i="13"/>
  <c r="A288" i="13"/>
  <c r="B287" i="13"/>
  <c r="A287" i="13"/>
  <c r="A286" i="13"/>
  <c r="B285" i="13"/>
  <c r="A285" i="13"/>
  <c r="A284" i="13"/>
  <c r="B283" i="13"/>
  <c r="A283" i="13"/>
  <c r="A282" i="13"/>
  <c r="E281" i="13"/>
  <c r="B281" i="13"/>
  <c r="A281" i="13"/>
  <c r="A280" i="13"/>
  <c r="A279" i="13"/>
  <c r="A278" i="13"/>
  <c r="J277" i="13"/>
  <c r="B277" i="13"/>
  <c r="A277" i="13"/>
  <c r="A276" i="13"/>
  <c r="J275" i="13"/>
  <c r="B275" i="13"/>
  <c r="A275" i="13"/>
  <c r="A274" i="13"/>
  <c r="J273" i="13"/>
  <c r="B273" i="13"/>
  <c r="A273" i="13"/>
  <c r="A272" i="13"/>
  <c r="J271" i="13"/>
  <c r="E271" i="13"/>
  <c r="B271" i="13"/>
  <c r="A271" i="13"/>
  <c r="A270" i="13"/>
  <c r="A269" i="13"/>
  <c r="A268" i="13"/>
  <c r="A267" i="13"/>
  <c r="A266" i="13"/>
  <c r="A265" i="13"/>
  <c r="A264" i="13"/>
  <c r="A253" i="13"/>
  <c r="B252" i="13"/>
  <c r="A252" i="13"/>
  <c r="A251" i="13"/>
  <c r="B250" i="13"/>
  <c r="A250" i="13"/>
  <c r="A249" i="13"/>
  <c r="B248" i="13"/>
  <c r="A248" i="13"/>
  <c r="A247" i="13"/>
  <c r="E246" i="13"/>
  <c r="B246" i="13"/>
  <c r="A246" i="13"/>
  <c r="A245" i="13"/>
  <c r="A244" i="13"/>
  <c r="A243" i="13"/>
  <c r="B242" i="13"/>
  <c r="A242" i="13"/>
  <c r="A241" i="13"/>
  <c r="B240" i="13"/>
  <c r="A240" i="13"/>
  <c r="A239" i="13"/>
  <c r="B238" i="13"/>
  <c r="A238" i="13"/>
  <c r="A237" i="13"/>
  <c r="E236" i="13"/>
  <c r="B236" i="13"/>
  <c r="A236" i="13"/>
  <c r="A235" i="13"/>
  <c r="A234" i="13"/>
  <c r="A233" i="13"/>
  <c r="B232" i="13"/>
  <c r="A232" i="13"/>
  <c r="A231" i="13"/>
  <c r="B230" i="13"/>
  <c r="A230" i="13"/>
  <c r="A229" i="13"/>
  <c r="B228" i="13"/>
  <c r="A228" i="13"/>
  <c r="A227" i="13"/>
  <c r="E226" i="13"/>
  <c r="E230" i="13" s="1"/>
  <c r="B226" i="13"/>
  <c r="A226" i="13"/>
  <c r="A225" i="13"/>
  <c r="A224" i="13"/>
  <c r="A223" i="13"/>
  <c r="B222" i="13"/>
  <c r="A222" i="13"/>
  <c r="A221" i="13"/>
  <c r="B220" i="13"/>
  <c r="A220" i="13"/>
  <c r="A219" i="13"/>
  <c r="B218" i="13"/>
  <c r="A218" i="13"/>
  <c r="A217" i="13"/>
  <c r="E216" i="13"/>
  <c r="E220" i="13" s="1"/>
  <c r="B216" i="13"/>
  <c r="A216" i="13"/>
  <c r="A215" i="13"/>
  <c r="A214" i="13"/>
  <c r="A213" i="13"/>
  <c r="B212" i="13"/>
  <c r="A212" i="13"/>
  <c r="A211" i="13"/>
  <c r="B210" i="13"/>
  <c r="A210" i="13"/>
  <c r="A209" i="13"/>
  <c r="B208" i="13"/>
  <c r="A208" i="13"/>
  <c r="A207" i="13"/>
  <c r="E206" i="13"/>
  <c r="B206" i="13"/>
  <c r="A206" i="13"/>
  <c r="A205" i="13"/>
  <c r="A204" i="13"/>
  <c r="A203" i="13"/>
  <c r="B202" i="13"/>
  <c r="A202" i="13"/>
  <c r="A201" i="13"/>
  <c r="B200" i="13"/>
  <c r="A200" i="13"/>
  <c r="A199" i="13"/>
  <c r="B198" i="13"/>
  <c r="A198" i="13"/>
  <c r="A197" i="13"/>
  <c r="E196" i="13"/>
  <c r="B196" i="13"/>
  <c r="A196" i="13"/>
  <c r="A195" i="13"/>
  <c r="A194" i="13"/>
  <c r="E193" i="13"/>
  <c r="A193" i="13"/>
  <c r="A192" i="13"/>
  <c r="A191" i="13"/>
  <c r="E190" i="13"/>
  <c r="A190" i="13"/>
  <c r="A189" i="13"/>
  <c r="A188" i="13"/>
  <c r="A187" i="13"/>
  <c r="A186" i="13"/>
  <c r="A185" i="13"/>
  <c r="A184" i="13"/>
  <c r="A183" i="13"/>
  <c r="A182" i="13"/>
  <c r="B181" i="13"/>
  <c r="A181" i="13"/>
  <c r="A180" i="13"/>
  <c r="B179" i="13"/>
  <c r="A179" i="13"/>
  <c r="A178" i="13"/>
  <c r="B177" i="13"/>
  <c r="A177" i="13"/>
  <c r="A176" i="13"/>
  <c r="E175" i="13"/>
  <c r="E179" i="13" s="1"/>
  <c r="B175" i="13"/>
  <c r="A175" i="13"/>
  <c r="A174" i="13"/>
  <c r="A173" i="13"/>
  <c r="A172" i="13"/>
  <c r="B171" i="13"/>
  <c r="A171" i="13"/>
  <c r="A170" i="13"/>
  <c r="B169" i="13"/>
  <c r="A169" i="13"/>
  <c r="A168" i="13"/>
  <c r="B167" i="13"/>
  <c r="A167" i="13"/>
  <c r="A166" i="13"/>
  <c r="E165" i="13"/>
  <c r="B165" i="13"/>
  <c r="A165" i="13"/>
  <c r="A164" i="13"/>
  <c r="A163" i="13"/>
  <c r="A162" i="13"/>
  <c r="B161" i="13"/>
  <c r="A161" i="13"/>
  <c r="A160" i="13"/>
  <c r="B159" i="13"/>
  <c r="A159" i="13"/>
  <c r="A158" i="13"/>
  <c r="B157" i="13"/>
  <c r="A157" i="13"/>
  <c r="A156" i="13"/>
  <c r="E155" i="13"/>
  <c r="E159" i="13" s="1"/>
  <c r="B155" i="13"/>
  <c r="A155" i="13"/>
  <c r="A154" i="13"/>
  <c r="A153" i="13"/>
  <c r="E152" i="13"/>
  <c r="B152" i="13"/>
  <c r="A152" i="13"/>
  <c r="A151" i="13"/>
  <c r="A150" i="13"/>
  <c r="A149" i="13"/>
  <c r="A148" i="13"/>
  <c r="A147" i="13"/>
  <c r="A146" i="13"/>
  <c r="A145" i="13"/>
  <c r="A144" i="13"/>
  <c r="B143" i="13"/>
  <c r="A143" i="13"/>
  <c r="A142" i="13"/>
  <c r="B141" i="13"/>
  <c r="A141" i="13"/>
  <c r="A140" i="13"/>
  <c r="B139" i="13"/>
  <c r="A139" i="13"/>
  <c r="A138" i="13"/>
  <c r="E137" i="13"/>
  <c r="B137" i="13"/>
  <c r="A137" i="13"/>
  <c r="A136" i="13"/>
  <c r="A135" i="13"/>
  <c r="A134" i="13"/>
  <c r="E133" i="13"/>
  <c r="B133" i="13"/>
  <c r="A133" i="13"/>
  <c r="A132" i="13"/>
  <c r="E131" i="13"/>
  <c r="B131" i="13"/>
  <c r="A131" i="13"/>
  <c r="A130" i="13"/>
  <c r="E129" i="13"/>
  <c r="B129" i="13"/>
  <c r="A129" i="13"/>
  <c r="A128" i="13"/>
  <c r="E127" i="13"/>
  <c r="B127" i="13"/>
  <c r="A127" i="13"/>
  <c r="A126" i="13"/>
  <c r="A125" i="13"/>
  <c r="A124" i="13"/>
  <c r="B123" i="13"/>
  <c r="A123" i="13"/>
  <c r="A122" i="13"/>
  <c r="B121" i="13"/>
  <c r="A121" i="13"/>
  <c r="A120" i="13"/>
  <c r="B119" i="13"/>
  <c r="A119" i="13"/>
  <c r="A118" i="13"/>
  <c r="J117" i="13"/>
  <c r="E117" i="13"/>
  <c r="E121" i="13" s="1"/>
  <c r="B117" i="13"/>
  <c r="A117" i="13"/>
  <c r="A116" i="13"/>
  <c r="A115" i="13"/>
  <c r="A114" i="13"/>
  <c r="A113" i="13"/>
  <c r="A112" i="13"/>
  <c r="J111" i="13"/>
  <c r="B111" i="13"/>
  <c r="A111" i="13"/>
  <c r="A110" i="13"/>
  <c r="J109" i="13"/>
  <c r="B109" i="13"/>
  <c r="A109" i="13"/>
  <c r="A108" i="13"/>
  <c r="J107" i="13"/>
  <c r="B107" i="13"/>
  <c r="A107" i="13"/>
  <c r="A106" i="13"/>
  <c r="J105" i="13"/>
  <c r="E105" i="13"/>
  <c r="E111" i="13" s="1"/>
  <c r="B105" i="13"/>
  <c r="A105" i="13"/>
  <c r="A104" i="13"/>
  <c r="A103" i="13"/>
  <c r="A102" i="13"/>
  <c r="J101" i="13"/>
  <c r="B101" i="13"/>
  <c r="A101" i="13"/>
  <c r="A100" i="13"/>
  <c r="J99" i="13"/>
  <c r="B99" i="13"/>
  <c r="A99" i="13"/>
  <c r="A98" i="13"/>
  <c r="J97" i="13"/>
  <c r="B97" i="13"/>
  <c r="A97" i="13"/>
  <c r="A96" i="13"/>
  <c r="J95" i="13"/>
  <c r="E95" i="13"/>
  <c r="E99" i="13" s="1"/>
  <c r="B95" i="13"/>
  <c r="A95" i="13"/>
  <c r="A94" i="13"/>
  <c r="A93" i="13"/>
  <c r="A92" i="13"/>
  <c r="J91" i="13"/>
  <c r="B91" i="13"/>
  <c r="A91" i="13"/>
  <c r="A90" i="13"/>
  <c r="J89" i="13"/>
  <c r="B89" i="13"/>
  <c r="A89" i="13"/>
  <c r="A88" i="13"/>
  <c r="J87" i="13"/>
  <c r="B87" i="13"/>
  <c r="A87" i="13"/>
  <c r="A86" i="13"/>
  <c r="J85" i="13"/>
  <c r="E85" i="13"/>
  <c r="E91" i="13" s="1"/>
  <c r="B85" i="13"/>
  <c r="A85" i="13"/>
  <c r="A84" i="13"/>
  <c r="A83" i="13"/>
  <c r="B82" i="13"/>
  <c r="A82" i="13"/>
  <c r="A81" i="13"/>
  <c r="B80" i="13"/>
  <c r="A80" i="13"/>
  <c r="A79" i="13"/>
  <c r="B78" i="13"/>
  <c r="A78" i="13"/>
  <c r="A77" i="13"/>
  <c r="E76" i="13"/>
  <c r="B76" i="13"/>
  <c r="A76" i="13"/>
  <c r="A75" i="13"/>
  <c r="A74" i="13"/>
  <c r="A73" i="13"/>
  <c r="B72" i="13"/>
  <c r="A72" i="13"/>
  <c r="A71" i="13"/>
  <c r="B70" i="13"/>
  <c r="A70" i="13"/>
  <c r="A69" i="13"/>
  <c r="B68" i="13"/>
  <c r="A68" i="13"/>
  <c r="A67" i="13"/>
  <c r="E66" i="13"/>
  <c r="E72" i="13" s="1"/>
  <c r="B66" i="13"/>
  <c r="A66" i="13"/>
  <c r="A65" i="13"/>
  <c r="A64" i="13"/>
  <c r="A63" i="13"/>
  <c r="J62" i="13"/>
  <c r="B62" i="13"/>
  <c r="A62" i="13"/>
  <c r="A61" i="13"/>
  <c r="J60" i="13"/>
  <c r="B60" i="13"/>
  <c r="A60" i="13"/>
  <c r="A59" i="13"/>
  <c r="J58" i="13"/>
  <c r="B58" i="13"/>
  <c r="A58" i="13"/>
  <c r="A57" i="13"/>
  <c r="J56" i="13"/>
  <c r="E56" i="13"/>
  <c r="B56" i="13"/>
  <c r="A56" i="13"/>
  <c r="A55" i="13"/>
  <c r="A54" i="13"/>
  <c r="A53" i="13"/>
  <c r="J52" i="13"/>
  <c r="B52" i="13"/>
  <c r="A52" i="13"/>
  <c r="A51" i="13"/>
  <c r="J50" i="13"/>
  <c r="B50" i="13"/>
  <c r="A50" i="13"/>
  <c r="A49" i="13"/>
  <c r="J48" i="13"/>
  <c r="B48" i="13"/>
  <c r="A48" i="13"/>
  <c r="A47" i="13"/>
  <c r="J46" i="13"/>
  <c r="E46" i="13"/>
  <c r="B46" i="13"/>
  <c r="A46" i="13"/>
  <c r="A45" i="13"/>
  <c r="A44" i="13"/>
  <c r="A43" i="13"/>
  <c r="J42" i="13"/>
  <c r="B42" i="13"/>
  <c r="A42" i="13"/>
  <c r="A41" i="13"/>
  <c r="J40" i="13"/>
  <c r="B40" i="13"/>
  <c r="A40" i="13"/>
  <c r="A39" i="13"/>
  <c r="J38" i="13"/>
  <c r="B38" i="13"/>
  <c r="A38" i="13"/>
  <c r="A37" i="13"/>
  <c r="J36" i="13"/>
  <c r="E36" i="13"/>
  <c r="B36" i="13"/>
  <c r="A36" i="13"/>
  <c r="A35" i="13"/>
  <c r="A34" i="13"/>
  <c r="A33" i="13"/>
  <c r="J32" i="13"/>
  <c r="B32" i="13"/>
  <c r="A32" i="13"/>
  <c r="A31" i="13"/>
  <c r="J30" i="13"/>
  <c r="B30" i="13"/>
  <c r="A30" i="13"/>
  <c r="A29" i="13"/>
  <c r="J28" i="13"/>
  <c r="B28" i="13"/>
  <c r="A28" i="13"/>
  <c r="A27" i="13"/>
  <c r="J26" i="13"/>
  <c r="E26" i="13"/>
  <c r="E32" i="13" s="1"/>
  <c r="B26" i="13"/>
  <c r="A26" i="13"/>
  <c r="A25" i="13"/>
  <c r="A24" i="13"/>
  <c r="A23" i="13"/>
  <c r="B22" i="13"/>
  <c r="A22" i="13"/>
  <c r="A21" i="13"/>
  <c r="B20" i="13"/>
  <c r="A20" i="13"/>
  <c r="A19" i="13"/>
  <c r="B18" i="13"/>
  <c r="A18" i="13"/>
  <c r="A17" i="13"/>
  <c r="J16" i="13"/>
  <c r="E16" i="13"/>
  <c r="E20" i="13" s="1"/>
  <c r="B16" i="13"/>
  <c r="A16" i="13"/>
  <c r="A15" i="13"/>
  <c r="A14" i="13"/>
  <c r="A13" i="13"/>
  <c r="A12" i="13"/>
  <c r="A11" i="13"/>
  <c r="A10" i="13"/>
  <c r="A9" i="13"/>
  <c r="G8" i="13"/>
  <c r="E8" i="13"/>
  <c r="A8" i="13"/>
  <c r="C4" i="13"/>
  <c r="C3" i="13"/>
  <c r="Q2" i="13"/>
  <c r="R2" i="13" s="1"/>
  <c r="S2" i="13" s="1"/>
  <c r="T2" i="13" s="1"/>
  <c r="U2" i="13" s="1"/>
  <c r="V2" i="13" s="1"/>
  <c r="W2" i="13" s="1"/>
  <c r="X2" i="13" s="1"/>
  <c r="Y2" i="13" s="1"/>
  <c r="Z2" i="13" s="1"/>
  <c r="AA2" i="13" s="1"/>
  <c r="M8" i="11"/>
  <c r="M1" i="11"/>
  <c r="A330" i="11"/>
  <c r="A329" i="11"/>
  <c r="A328" i="11"/>
  <c r="A327" i="11"/>
  <c r="A326" i="11"/>
  <c r="A325" i="11"/>
  <c r="A324" i="11"/>
  <c r="A323" i="11"/>
  <c r="A322" i="11"/>
  <c r="A321" i="11"/>
  <c r="A320" i="11"/>
  <c r="A319" i="11"/>
  <c r="A318" i="11"/>
  <c r="B317" i="11"/>
  <c r="A317" i="11"/>
  <c r="A316" i="11"/>
  <c r="B315" i="11"/>
  <c r="A315" i="11"/>
  <c r="A314" i="11"/>
  <c r="B313" i="11"/>
  <c r="A313" i="11"/>
  <c r="A312" i="11"/>
  <c r="E311" i="11"/>
  <c r="E313" i="11" s="1"/>
  <c r="B311" i="11"/>
  <c r="A311" i="11"/>
  <c r="A310" i="11"/>
  <c r="A309" i="11"/>
  <c r="A308" i="11"/>
  <c r="B307" i="11"/>
  <c r="A307" i="11"/>
  <c r="A306" i="11"/>
  <c r="B305" i="11"/>
  <c r="A305" i="11"/>
  <c r="A304" i="11"/>
  <c r="B303" i="11"/>
  <c r="A303" i="11"/>
  <c r="A302" i="11"/>
  <c r="E301" i="11"/>
  <c r="B301" i="11"/>
  <c r="A301" i="11"/>
  <c r="A300" i="11"/>
  <c r="A299" i="11"/>
  <c r="A298" i="11"/>
  <c r="B297" i="11"/>
  <c r="A297" i="11"/>
  <c r="A296" i="11"/>
  <c r="B295" i="11"/>
  <c r="A295" i="11"/>
  <c r="A294" i="11"/>
  <c r="B293" i="11"/>
  <c r="A293" i="11"/>
  <c r="A292" i="11"/>
  <c r="E291" i="11"/>
  <c r="B291" i="11"/>
  <c r="A291" i="11"/>
  <c r="A290" i="11"/>
  <c r="A289" i="11"/>
  <c r="A288" i="11"/>
  <c r="B287" i="11"/>
  <c r="A287" i="11"/>
  <c r="A286" i="11"/>
  <c r="B285" i="11"/>
  <c r="A285" i="11"/>
  <c r="A284" i="11"/>
  <c r="B283" i="11"/>
  <c r="A283" i="11"/>
  <c r="A282" i="11"/>
  <c r="E281" i="11"/>
  <c r="B281" i="11"/>
  <c r="A281" i="11"/>
  <c r="A280" i="11"/>
  <c r="A279" i="11"/>
  <c r="A278" i="11"/>
  <c r="J277" i="11"/>
  <c r="B277" i="11"/>
  <c r="A277" i="11"/>
  <c r="A276" i="11"/>
  <c r="J275" i="11"/>
  <c r="B275" i="11"/>
  <c r="A275" i="11"/>
  <c r="A274" i="11"/>
  <c r="J273" i="11"/>
  <c r="B273" i="11"/>
  <c r="A273" i="11"/>
  <c r="A272" i="11"/>
  <c r="J271" i="11"/>
  <c r="E271" i="11"/>
  <c r="B271" i="11"/>
  <c r="A271" i="11"/>
  <c r="A270" i="11"/>
  <c r="A269" i="11"/>
  <c r="A268" i="11"/>
  <c r="A267" i="11"/>
  <c r="A266" i="11"/>
  <c r="A265" i="11"/>
  <c r="A253" i="11"/>
  <c r="B252" i="11"/>
  <c r="A252" i="11"/>
  <c r="A251" i="11"/>
  <c r="B250" i="11"/>
  <c r="A250" i="11"/>
  <c r="A249" i="11"/>
  <c r="B248" i="11"/>
  <c r="A248" i="11"/>
  <c r="A247" i="11"/>
  <c r="E246" i="11"/>
  <c r="B246" i="11"/>
  <c r="A246" i="11"/>
  <c r="A245" i="11"/>
  <c r="A244" i="11"/>
  <c r="A243" i="11"/>
  <c r="B242" i="11"/>
  <c r="A242" i="11"/>
  <c r="A241" i="11"/>
  <c r="B240" i="11"/>
  <c r="A240" i="11"/>
  <c r="A239" i="11"/>
  <c r="B238" i="11"/>
  <c r="A238" i="11"/>
  <c r="A237" i="11"/>
  <c r="E236" i="11"/>
  <c r="E242" i="11" s="1"/>
  <c r="B236" i="11"/>
  <c r="A236" i="11"/>
  <c r="A235" i="11"/>
  <c r="A234" i="11"/>
  <c r="A233" i="11"/>
  <c r="B232" i="11"/>
  <c r="A232" i="11"/>
  <c r="A231" i="11"/>
  <c r="B230" i="11"/>
  <c r="A230" i="11"/>
  <c r="A229" i="11"/>
  <c r="B228" i="11"/>
  <c r="A228" i="11"/>
  <c r="A227" i="11"/>
  <c r="E226" i="11"/>
  <c r="B226" i="11"/>
  <c r="A226" i="11"/>
  <c r="A225" i="11"/>
  <c r="A224" i="11"/>
  <c r="A223" i="11"/>
  <c r="B222" i="11"/>
  <c r="A222" i="11"/>
  <c r="A221" i="11"/>
  <c r="B220" i="11"/>
  <c r="A220" i="11"/>
  <c r="A219" i="11"/>
  <c r="B218" i="11"/>
  <c r="A218" i="11"/>
  <c r="A217" i="11"/>
  <c r="E216" i="11"/>
  <c r="B216" i="11"/>
  <c r="A216" i="11"/>
  <c r="A215" i="11"/>
  <c r="A214" i="11"/>
  <c r="A213" i="11"/>
  <c r="B212" i="11"/>
  <c r="A212" i="11"/>
  <c r="A211" i="11"/>
  <c r="B210" i="11"/>
  <c r="A210" i="11"/>
  <c r="A209" i="11"/>
  <c r="B208" i="11"/>
  <c r="A208" i="11"/>
  <c r="A207" i="11"/>
  <c r="E206" i="11"/>
  <c r="B206" i="11"/>
  <c r="A206" i="11"/>
  <c r="A205" i="11"/>
  <c r="A204" i="11"/>
  <c r="A203" i="11"/>
  <c r="B202" i="11"/>
  <c r="A202" i="11"/>
  <c r="A201" i="11"/>
  <c r="B200" i="11"/>
  <c r="A200" i="11"/>
  <c r="A199" i="11"/>
  <c r="B198" i="11"/>
  <c r="A198" i="11"/>
  <c r="A197" i="11"/>
  <c r="E196" i="11"/>
  <c r="E200" i="11" s="1"/>
  <c r="B196" i="11"/>
  <c r="A196" i="11"/>
  <c r="A195" i="11"/>
  <c r="A194" i="11"/>
  <c r="E193" i="11"/>
  <c r="A193" i="11"/>
  <c r="A192" i="11"/>
  <c r="A191" i="11"/>
  <c r="E190" i="11"/>
  <c r="A190" i="11"/>
  <c r="A189" i="11"/>
  <c r="A188" i="11"/>
  <c r="A187" i="11"/>
  <c r="A186" i="11"/>
  <c r="A185" i="11"/>
  <c r="A184" i="11"/>
  <c r="A183" i="11"/>
  <c r="A182" i="11"/>
  <c r="B181" i="11"/>
  <c r="A181" i="11"/>
  <c r="A180" i="11"/>
  <c r="B179" i="11"/>
  <c r="A179" i="11"/>
  <c r="A178" i="11"/>
  <c r="B177" i="11"/>
  <c r="A177" i="11"/>
  <c r="A176" i="11"/>
  <c r="E175" i="11"/>
  <c r="B175" i="11"/>
  <c r="A175" i="11"/>
  <c r="A174" i="11"/>
  <c r="A173" i="11"/>
  <c r="A172" i="11"/>
  <c r="B171" i="11"/>
  <c r="A171" i="11"/>
  <c r="A170" i="11"/>
  <c r="B169" i="11"/>
  <c r="A169" i="11"/>
  <c r="A168" i="11"/>
  <c r="B167" i="11"/>
  <c r="A167" i="11"/>
  <c r="A166" i="11"/>
  <c r="E165" i="11"/>
  <c r="B165" i="11"/>
  <c r="A165" i="11"/>
  <c r="A164" i="11"/>
  <c r="A163" i="11"/>
  <c r="A162" i="11"/>
  <c r="B161" i="11"/>
  <c r="A161" i="11"/>
  <c r="A160" i="11"/>
  <c r="B159" i="11"/>
  <c r="A159" i="11"/>
  <c r="A158" i="11"/>
  <c r="B157" i="11"/>
  <c r="A157" i="11"/>
  <c r="A156" i="11"/>
  <c r="E155" i="11"/>
  <c r="B155" i="11"/>
  <c r="A155" i="11"/>
  <c r="A154" i="11"/>
  <c r="A153" i="11"/>
  <c r="E152" i="11"/>
  <c r="B152" i="11"/>
  <c r="A152" i="11"/>
  <c r="A151" i="11"/>
  <c r="A150" i="11"/>
  <c r="A149" i="11"/>
  <c r="A148" i="11"/>
  <c r="A147" i="11"/>
  <c r="A146" i="11"/>
  <c r="A145" i="11"/>
  <c r="A144" i="11"/>
  <c r="B143" i="11"/>
  <c r="A143" i="11"/>
  <c r="A142" i="11"/>
  <c r="B141" i="11"/>
  <c r="A141" i="11"/>
  <c r="A140" i="11"/>
  <c r="B139" i="11"/>
  <c r="A139" i="11"/>
  <c r="A138" i="11"/>
  <c r="E137" i="11"/>
  <c r="E143" i="11" s="1"/>
  <c r="B137" i="11"/>
  <c r="A137" i="11"/>
  <c r="A136" i="11"/>
  <c r="A135" i="11"/>
  <c r="A134" i="11"/>
  <c r="E133" i="11"/>
  <c r="B133" i="11"/>
  <c r="A133" i="11"/>
  <c r="A132" i="11"/>
  <c r="E131" i="11"/>
  <c r="B131" i="11"/>
  <c r="A131" i="11"/>
  <c r="A130" i="11"/>
  <c r="E129" i="11"/>
  <c r="B129" i="11"/>
  <c r="A129" i="11"/>
  <c r="A128" i="11"/>
  <c r="E127" i="11"/>
  <c r="B127" i="11"/>
  <c r="A127" i="11"/>
  <c r="A126" i="11"/>
  <c r="A125" i="11"/>
  <c r="A124" i="11"/>
  <c r="B123" i="11"/>
  <c r="A123" i="11"/>
  <c r="A122" i="11"/>
  <c r="B121" i="11"/>
  <c r="A121" i="11"/>
  <c r="A120" i="11"/>
  <c r="B119" i="11"/>
  <c r="A119" i="11"/>
  <c r="A118" i="11"/>
  <c r="J117" i="11"/>
  <c r="E117" i="11"/>
  <c r="E119" i="11" s="1"/>
  <c r="B117" i="11"/>
  <c r="A117" i="11"/>
  <c r="A116" i="11"/>
  <c r="A115" i="11"/>
  <c r="A114" i="11"/>
  <c r="A113" i="11"/>
  <c r="A112" i="11"/>
  <c r="J111" i="11"/>
  <c r="B111" i="11"/>
  <c r="A111" i="11"/>
  <c r="A110" i="11"/>
  <c r="J109" i="11"/>
  <c r="B109" i="11"/>
  <c r="A109" i="11"/>
  <c r="A108" i="11"/>
  <c r="J107" i="11"/>
  <c r="B107" i="11"/>
  <c r="A107" i="11"/>
  <c r="A106" i="11"/>
  <c r="J105" i="11"/>
  <c r="E105" i="11"/>
  <c r="B105" i="11"/>
  <c r="A105" i="11"/>
  <c r="A104" i="11"/>
  <c r="A103" i="11"/>
  <c r="A102" i="11"/>
  <c r="J101" i="11"/>
  <c r="B101" i="11"/>
  <c r="A101" i="11"/>
  <c r="A100" i="11"/>
  <c r="J99" i="11"/>
  <c r="B99" i="11"/>
  <c r="A99" i="11"/>
  <c r="A98" i="11"/>
  <c r="J97" i="11"/>
  <c r="B97" i="11"/>
  <c r="A97" i="11"/>
  <c r="A96" i="11"/>
  <c r="J95" i="11"/>
  <c r="E95" i="11"/>
  <c r="E101" i="11" s="1"/>
  <c r="B95" i="11"/>
  <c r="A95" i="11"/>
  <c r="A94" i="11"/>
  <c r="A93" i="11"/>
  <c r="A92" i="11"/>
  <c r="J91" i="11"/>
  <c r="B91" i="11"/>
  <c r="A91" i="11"/>
  <c r="A90" i="11"/>
  <c r="J89" i="11"/>
  <c r="B89" i="11"/>
  <c r="A89" i="11"/>
  <c r="A88" i="11"/>
  <c r="J87" i="11"/>
  <c r="B87" i="11"/>
  <c r="A87" i="11"/>
  <c r="A86" i="11"/>
  <c r="J85" i="11"/>
  <c r="E85" i="11"/>
  <c r="B85" i="11"/>
  <c r="A85" i="11"/>
  <c r="A84" i="11"/>
  <c r="A83" i="11"/>
  <c r="B82" i="11"/>
  <c r="A82" i="11"/>
  <c r="A81" i="11"/>
  <c r="B80" i="11"/>
  <c r="A80" i="11"/>
  <c r="A79" i="11"/>
  <c r="B78" i="11"/>
  <c r="A78" i="11"/>
  <c r="A77" i="11"/>
  <c r="E76" i="11"/>
  <c r="E78" i="11" s="1"/>
  <c r="B76" i="11"/>
  <c r="A76" i="11"/>
  <c r="A75" i="11"/>
  <c r="A74" i="11"/>
  <c r="A73" i="11"/>
  <c r="B72" i="11"/>
  <c r="A72" i="11"/>
  <c r="A71" i="11"/>
  <c r="B70" i="11"/>
  <c r="A70" i="11"/>
  <c r="A69" i="11"/>
  <c r="B68" i="11"/>
  <c r="A68" i="11"/>
  <c r="A67" i="11"/>
  <c r="E66" i="11"/>
  <c r="E72" i="11" s="1"/>
  <c r="B66" i="11"/>
  <c r="A66" i="11"/>
  <c r="A65" i="11"/>
  <c r="A64" i="11"/>
  <c r="A63" i="11"/>
  <c r="J62" i="11"/>
  <c r="B62" i="11"/>
  <c r="A62" i="11"/>
  <c r="A61" i="11"/>
  <c r="J60" i="11"/>
  <c r="B60" i="11"/>
  <c r="A60" i="11"/>
  <c r="A59" i="11"/>
  <c r="J58" i="11"/>
  <c r="B58" i="11"/>
  <c r="A58" i="11"/>
  <c r="A57" i="11"/>
  <c r="J56" i="11"/>
  <c r="E56" i="11"/>
  <c r="E60" i="11" s="1"/>
  <c r="B56" i="11"/>
  <c r="A56" i="11"/>
  <c r="A55" i="11"/>
  <c r="A54" i="11"/>
  <c r="A53" i="11"/>
  <c r="J52" i="11"/>
  <c r="B52" i="11"/>
  <c r="A52" i="11"/>
  <c r="A51" i="11"/>
  <c r="J50" i="11"/>
  <c r="B50" i="11"/>
  <c r="A50" i="11"/>
  <c r="A49" i="11"/>
  <c r="J48" i="11"/>
  <c r="B48" i="11"/>
  <c r="A48" i="11"/>
  <c r="A47" i="11"/>
  <c r="J46" i="11"/>
  <c r="E46" i="11"/>
  <c r="E52" i="11" s="1"/>
  <c r="B46" i="11"/>
  <c r="A46" i="11"/>
  <c r="A45" i="11"/>
  <c r="A44" i="11"/>
  <c r="A43" i="11"/>
  <c r="J42" i="11"/>
  <c r="B42" i="11"/>
  <c r="A42" i="11"/>
  <c r="A41" i="11"/>
  <c r="J40" i="11"/>
  <c r="B40" i="11"/>
  <c r="A40" i="11"/>
  <c r="A39" i="11"/>
  <c r="J38" i="11"/>
  <c r="B38" i="11"/>
  <c r="A38" i="11"/>
  <c r="A37" i="11"/>
  <c r="J36" i="11"/>
  <c r="E36" i="11"/>
  <c r="B36" i="11"/>
  <c r="A36" i="11"/>
  <c r="A35" i="11"/>
  <c r="A34" i="11"/>
  <c r="A33" i="11"/>
  <c r="J32" i="11"/>
  <c r="B32" i="11"/>
  <c r="A32" i="11"/>
  <c r="A31" i="11"/>
  <c r="J30" i="11"/>
  <c r="B30" i="11"/>
  <c r="A30" i="11"/>
  <c r="A29" i="11"/>
  <c r="J28" i="11"/>
  <c r="B28" i="11"/>
  <c r="A28" i="11"/>
  <c r="A27" i="11"/>
  <c r="J26" i="11"/>
  <c r="E26" i="11"/>
  <c r="E32" i="11" s="1"/>
  <c r="B26" i="11"/>
  <c r="A26" i="11"/>
  <c r="A25" i="11"/>
  <c r="A24" i="11"/>
  <c r="A23" i="11"/>
  <c r="B22" i="11"/>
  <c r="A22" i="11"/>
  <c r="A21" i="11"/>
  <c r="B20" i="11"/>
  <c r="A20" i="11"/>
  <c r="A19" i="11"/>
  <c r="B18" i="11"/>
  <c r="A18" i="11"/>
  <c r="A17" i="11"/>
  <c r="J16" i="11"/>
  <c r="E16" i="11"/>
  <c r="E20" i="11" s="1"/>
  <c r="B16" i="11"/>
  <c r="A16" i="11"/>
  <c r="A15" i="11"/>
  <c r="A14" i="11"/>
  <c r="A13" i="11"/>
  <c r="A12" i="11"/>
  <c r="A11" i="11"/>
  <c r="A10" i="11"/>
  <c r="A9" i="11"/>
  <c r="G8" i="11"/>
  <c r="E8" i="11"/>
  <c r="A8" i="11"/>
  <c r="C4" i="11"/>
  <c r="C3" i="11"/>
  <c r="Q2" i="11"/>
  <c r="R2" i="11" s="1"/>
  <c r="S2" i="11" s="1"/>
  <c r="T2" i="11" s="1"/>
  <c r="U2" i="11" s="1"/>
  <c r="V2" i="11" s="1"/>
  <c r="W2" i="11" s="1"/>
  <c r="X2" i="11" s="1"/>
  <c r="Y2" i="11" s="1"/>
  <c r="Z2" i="11" s="1"/>
  <c r="AA2" i="11" s="1"/>
  <c r="J401" i="14"/>
  <c r="H401" i="14"/>
  <c r="J400" i="14"/>
  <c r="H400" i="14"/>
  <c r="J399" i="14"/>
  <c r="H399" i="14"/>
  <c r="J398" i="14"/>
  <c r="H398" i="14"/>
  <c r="J397" i="14"/>
  <c r="H397" i="14"/>
  <c r="J396" i="14"/>
  <c r="H396" i="14"/>
  <c r="J395" i="14"/>
  <c r="H395" i="14"/>
  <c r="J394" i="14"/>
  <c r="H394" i="14"/>
  <c r="J393" i="14"/>
  <c r="H393" i="14"/>
  <c r="J392" i="14"/>
  <c r="H392" i="14"/>
  <c r="J391" i="14"/>
  <c r="H391" i="14"/>
  <c r="J390" i="14"/>
  <c r="H390" i="14"/>
  <c r="E389" i="14"/>
  <c r="J386" i="14"/>
  <c r="H386" i="14"/>
  <c r="J385" i="14"/>
  <c r="H385" i="14"/>
  <c r="J384" i="14"/>
  <c r="H384" i="14"/>
  <c r="J383" i="14"/>
  <c r="H383" i="14"/>
  <c r="J382" i="14"/>
  <c r="H382" i="14"/>
  <c r="J381" i="14"/>
  <c r="H381" i="14"/>
  <c r="J380" i="14"/>
  <c r="H380" i="14"/>
  <c r="J379" i="14"/>
  <c r="H379" i="14"/>
  <c r="J378" i="14"/>
  <c r="H378" i="14"/>
  <c r="J377" i="14"/>
  <c r="H377" i="14"/>
  <c r="J376" i="14"/>
  <c r="H376" i="14"/>
  <c r="J375" i="14"/>
  <c r="H375" i="14"/>
  <c r="E374" i="14"/>
  <c r="E383" i="14" s="1"/>
  <c r="AA370" i="14"/>
  <c r="Z370" i="14"/>
  <c r="Y370" i="14"/>
  <c r="X370" i="14"/>
  <c r="W370" i="14"/>
  <c r="V370" i="14"/>
  <c r="U370" i="14"/>
  <c r="T370" i="14"/>
  <c r="S370" i="14"/>
  <c r="R370" i="14"/>
  <c r="Q370" i="14"/>
  <c r="P370" i="14"/>
  <c r="E370" i="14"/>
  <c r="AA367" i="14"/>
  <c r="Z367" i="14"/>
  <c r="Y367" i="14"/>
  <c r="X367" i="14"/>
  <c r="W367" i="14"/>
  <c r="V367" i="14"/>
  <c r="U367" i="14"/>
  <c r="T367" i="14"/>
  <c r="S367" i="14"/>
  <c r="R367" i="14"/>
  <c r="Q367" i="14"/>
  <c r="P367" i="14"/>
  <c r="E367" i="14"/>
  <c r="AA364" i="14"/>
  <c r="Z364" i="14"/>
  <c r="Y364" i="14"/>
  <c r="X364" i="14"/>
  <c r="W364" i="14"/>
  <c r="V364" i="14"/>
  <c r="U364" i="14"/>
  <c r="T364" i="14"/>
  <c r="S364" i="14"/>
  <c r="R364" i="14"/>
  <c r="Q364" i="14"/>
  <c r="P364" i="14"/>
  <c r="E364" i="14"/>
  <c r="AA361" i="14"/>
  <c r="Z361" i="14"/>
  <c r="Y361" i="14"/>
  <c r="X361" i="14"/>
  <c r="W361" i="14"/>
  <c r="V361" i="14"/>
  <c r="U361" i="14"/>
  <c r="T361" i="14"/>
  <c r="S361" i="14"/>
  <c r="R361" i="14"/>
  <c r="Q361" i="14"/>
  <c r="P361" i="14"/>
  <c r="E361" i="14"/>
  <c r="AA358" i="14"/>
  <c r="Z358" i="14"/>
  <c r="Y358" i="14"/>
  <c r="X358" i="14"/>
  <c r="W358" i="14"/>
  <c r="V358" i="14"/>
  <c r="U358" i="14"/>
  <c r="T358" i="14"/>
  <c r="S358" i="14"/>
  <c r="R358" i="14"/>
  <c r="Q358" i="14"/>
  <c r="P358" i="14"/>
  <c r="E358" i="14"/>
  <c r="AA355" i="14"/>
  <c r="Z355" i="14"/>
  <c r="Y355" i="14"/>
  <c r="X355" i="14"/>
  <c r="W355" i="14"/>
  <c r="V355" i="14"/>
  <c r="U355" i="14"/>
  <c r="T355" i="14"/>
  <c r="S355" i="14"/>
  <c r="R355" i="14"/>
  <c r="Q355" i="14"/>
  <c r="P355" i="14"/>
  <c r="E355" i="14"/>
  <c r="AA352" i="14"/>
  <c r="Z352" i="14"/>
  <c r="Y352" i="14"/>
  <c r="X352" i="14"/>
  <c r="W352" i="14"/>
  <c r="V352" i="14"/>
  <c r="U352" i="14"/>
  <c r="T352" i="14"/>
  <c r="S352" i="14"/>
  <c r="R352" i="14"/>
  <c r="Q352" i="14"/>
  <c r="P352" i="14"/>
  <c r="E352" i="14"/>
  <c r="AA349" i="14"/>
  <c r="Z349" i="14"/>
  <c r="Y349" i="14"/>
  <c r="X349" i="14"/>
  <c r="W349" i="14"/>
  <c r="V349" i="14"/>
  <c r="U349" i="14"/>
  <c r="T349" i="14"/>
  <c r="S349" i="14"/>
  <c r="R349" i="14"/>
  <c r="Q349" i="14"/>
  <c r="P349" i="14"/>
  <c r="E349" i="14"/>
  <c r="AA346" i="14"/>
  <c r="Z346" i="14"/>
  <c r="Y346" i="14"/>
  <c r="X346" i="14"/>
  <c r="W346" i="14"/>
  <c r="V346" i="14"/>
  <c r="U346" i="14"/>
  <c r="T346" i="14"/>
  <c r="S346" i="14"/>
  <c r="R346" i="14"/>
  <c r="Q346" i="14"/>
  <c r="P346" i="14"/>
  <c r="E346" i="14"/>
  <c r="J341" i="14"/>
  <c r="H341" i="14"/>
  <c r="J340" i="14"/>
  <c r="H340" i="14"/>
  <c r="J339" i="14"/>
  <c r="H339" i="14"/>
  <c r="J338" i="14"/>
  <c r="H338" i="14"/>
  <c r="J337" i="14"/>
  <c r="H337" i="14"/>
  <c r="J336" i="14"/>
  <c r="H336" i="14"/>
  <c r="J335" i="14"/>
  <c r="H335" i="14"/>
  <c r="J334" i="14"/>
  <c r="H334" i="14"/>
  <c r="J333" i="14"/>
  <c r="H333" i="14"/>
  <c r="J332" i="14"/>
  <c r="H332" i="14"/>
  <c r="J331" i="14"/>
  <c r="H331" i="14"/>
  <c r="J330" i="14"/>
  <c r="H330" i="14"/>
  <c r="E329" i="14"/>
  <c r="E331" i="14" s="1"/>
  <c r="J326" i="14"/>
  <c r="E326" i="14"/>
  <c r="J323" i="14"/>
  <c r="H323" i="14"/>
  <c r="J322" i="14"/>
  <c r="H322" i="14"/>
  <c r="J321" i="14"/>
  <c r="H321" i="14"/>
  <c r="J320" i="14"/>
  <c r="H320" i="14"/>
  <c r="J319" i="14"/>
  <c r="H319" i="14"/>
  <c r="J318" i="14"/>
  <c r="H318" i="14"/>
  <c r="J317" i="14"/>
  <c r="H317" i="14"/>
  <c r="J316" i="14"/>
  <c r="H316" i="14"/>
  <c r="J315" i="14"/>
  <c r="H315" i="14"/>
  <c r="J314" i="14"/>
  <c r="H314" i="14"/>
  <c r="J313" i="14"/>
  <c r="H313" i="14"/>
  <c r="J312" i="14"/>
  <c r="H312" i="14"/>
  <c r="E311" i="14"/>
  <c r="J308" i="14"/>
  <c r="E308" i="14"/>
  <c r="J305" i="14"/>
  <c r="H305" i="14"/>
  <c r="J304" i="14"/>
  <c r="H304" i="14"/>
  <c r="J303" i="14"/>
  <c r="H303" i="14"/>
  <c r="J302" i="14"/>
  <c r="H302" i="14"/>
  <c r="J301" i="14"/>
  <c r="H301" i="14"/>
  <c r="J300" i="14"/>
  <c r="H300" i="14"/>
  <c r="J299" i="14"/>
  <c r="H299" i="14"/>
  <c r="J298" i="14"/>
  <c r="H298" i="14"/>
  <c r="J297" i="14"/>
  <c r="H297" i="14"/>
  <c r="J296" i="14"/>
  <c r="H296" i="14"/>
  <c r="J295" i="14"/>
  <c r="H295" i="14"/>
  <c r="J294" i="14"/>
  <c r="H294" i="14"/>
  <c r="H293" i="14"/>
  <c r="E293" i="14"/>
  <c r="J290" i="14"/>
  <c r="H290" i="14"/>
  <c r="J289" i="14"/>
  <c r="H289" i="14"/>
  <c r="J288" i="14"/>
  <c r="H288" i="14"/>
  <c r="J287" i="14"/>
  <c r="H287" i="14"/>
  <c r="J286" i="14"/>
  <c r="H286" i="14"/>
  <c r="J285" i="14"/>
  <c r="H285" i="14"/>
  <c r="J284" i="14"/>
  <c r="H284" i="14"/>
  <c r="J283" i="14"/>
  <c r="H283" i="14"/>
  <c r="J282" i="14"/>
  <c r="H282" i="14"/>
  <c r="J281" i="14"/>
  <c r="H281" i="14"/>
  <c r="J280" i="14"/>
  <c r="H280" i="14"/>
  <c r="J279" i="14"/>
  <c r="H279" i="14"/>
  <c r="E278" i="14"/>
  <c r="J275" i="14"/>
  <c r="E275" i="14"/>
  <c r="J272" i="14"/>
  <c r="H272" i="14"/>
  <c r="J271" i="14"/>
  <c r="H271" i="14"/>
  <c r="J270" i="14"/>
  <c r="H270" i="14"/>
  <c r="J269" i="14"/>
  <c r="H269" i="14"/>
  <c r="J268" i="14"/>
  <c r="H268" i="14"/>
  <c r="J267" i="14"/>
  <c r="H267" i="14"/>
  <c r="J266" i="14"/>
  <c r="H266" i="14"/>
  <c r="J265" i="14"/>
  <c r="H265" i="14"/>
  <c r="J264" i="14"/>
  <c r="H264" i="14"/>
  <c r="J263" i="14"/>
  <c r="H263" i="14"/>
  <c r="J262" i="14"/>
  <c r="H262" i="14"/>
  <c r="J261" i="14"/>
  <c r="H261" i="14"/>
  <c r="E260" i="14"/>
  <c r="E269" i="14" s="1"/>
  <c r="E257" i="14"/>
  <c r="J256" i="14"/>
  <c r="E256" i="14"/>
  <c r="J255" i="14"/>
  <c r="E255" i="14"/>
  <c r="J252" i="14"/>
  <c r="H252" i="14"/>
  <c r="J251" i="14"/>
  <c r="H251" i="14"/>
  <c r="J250" i="14"/>
  <c r="H250" i="14"/>
  <c r="J249" i="14"/>
  <c r="H249" i="14"/>
  <c r="J248" i="14"/>
  <c r="H248" i="14"/>
  <c r="J247" i="14"/>
  <c r="H247" i="14"/>
  <c r="J246" i="14"/>
  <c r="H246" i="14"/>
  <c r="J245" i="14"/>
  <c r="H245" i="14"/>
  <c r="J244" i="14"/>
  <c r="H244" i="14"/>
  <c r="J243" i="14"/>
  <c r="H243" i="14"/>
  <c r="J242" i="14"/>
  <c r="H242" i="14"/>
  <c r="J241" i="14"/>
  <c r="H241" i="14"/>
  <c r="H240" i="14"/>
  <c r="E240" i="14"/>
  <c r="J237" i="14"/>
  <c r="H237" i="14"/>
  <c r="J236" i="14"/>
  <c r="H236" i="14"/>
  <c r="J235" i="14"/>
  <c r="H235" i="14"/>
  <c r="J234" i="14"/>
  <c r="H234" i="14"/>
  <c r="J233" i="14"/>
  <c r="H233" i="14"/>
  <c r="J232" i="14"/>
  <c r="H232" i="14"/>
  <c r="J231" i="14"/>
  <c r="H231" i="14"/>
  <c r="J230" i="14"/>
  <c r="H230" i="14"/>
  <c r="J229" i="14"/>
  <c r="H229" i="14"/>
  <c r="J228" i="14"/>
  <c r="H228" i="14"/>
  <c r="J227" i="14"/>
  <c r="H227" i="14"/>
  <c r="J226" i="14"/>
  <c r="H226" i="14"/>
  <c r="E225" i="14"/>
  <c r="E229" i="14" s="1"/>
  <c r="M222" i="14"/>
  <c r="J222" i="14"/>
  <c r="H222" i="14"/>
  <c r="M221" i="14"/>
  <c r="J221" i="14"/>
  <c r="H221" i="14"/>
  <c r="M220" i="14"/>
  <c r="J220" i="14"/>
  <c r="H220" i="14"/>
  <c r="M219" i="14"/>
  <c r="J219" i="14"/>
  <c r="H219" i="14"/>
  <c r="M218" i="14"/>
  <c r="J218" i="14"/>
  <c r="H218" i="14"/>
  <c r="M217" i="14"/>
  <c r="J217" i="14"/>
  <c r="H217" i="14"/>
  <c r="M216" i="14"/>
  <c r="J216" i="14"/>
  <c r="H216" i="14"/>
  <c r="M215" i="14"/>
  <c r="J215" i="14"/>
  <c r="H215" i="14"/>
  <c r="M214" i="14"/>
  <c r="J214" i="14"/>
  <c r="H214" i="14"/>
  <c r="M213" i="14"/>
  <c r="J213" i="14"/>
  <c r="H213" i="14"/>
  <c r="M212" i="14"/>
  <c r="J212" i="14"/>
  <c r="H212" i="14"/>
  <c r="M211" i="14"/>
  <c r="J211" i="14"/>
  <c r="H211" i="14"/>
  <c r="E210" i="14"/>
  <c r="E214" i="14" s="1"/>
  <c r="E207" i="14"/>
  <c r="J206" i="14"/>
  <c r="E206" i="14"/>
  <c r="J205" i="14"/>
  <c r="E205" i="14"/>
  <c r="J202" i="14"/>
  <c r="H202" i="14"/>
  <c r="J201" i="14"/>
  <c r="H201" i="14"/>
  <c r="J200" i="14"/>
  <c r="H200" i="14"/>
  <c r="J199" i="14"/>
  <c r="H199" i="14"/>
  <c r="J198" i="14"/>
  <c r="H198" i="14"/>
  <c r="J197" i="14"/>
  <c r="H197" i="14"/>
  <c r="J196" i="14"/>
  <c r="H196" i="14"/>
  <c r="J195" i="14"/>
  <c r="H195" i="14"/>
  <c r="J194" i="14"/>
  <c r="H194" i="14"/>
  <c r="J193" i="14"/>
  <c r="H193" i="14"/>
  <c r="J192" i="14"/>
  <c r="H192" i="14"/>
  <c r="J191" i="14"/>
  <c r="H191" i="14"/>
  <c r="E190" i="14"/>
  <c r="E199" i="14" s="1"/>
  <c r="J187" i="14"/>
  <c r="H187" i="14"/>
  <c r="J186" i="14"/>
  <c r="H186" i="14"/>
  <c r="J185" i="14"/>
  <c r="H185" i="14"/>
  <c r="J184" i="14"/>
  <c r="H184" i="14"/>
  <c r="J183" i="14"/>
  <c r="H183" i="14"/>
  <c r="J182" i="14"/>
  <c r="H182" i="14"/>
  <c r="J181" i="14"/>
  <c r="H181" i="14"/>
  <c r="J180" i="14"/>
  <c r="H180" i="14"/>
  <c r="J179" i="14"/>
  <c r="H179" i="14"/>
  <c r="J178" i="14"/>
  <c r="H178" i="14"/>
  <c r="J177" i="14"/>
  <c r="H177" i="14"/>
  <c r="J176" i="14"/>
  <c r="H176" i="14"/>
  <c r="E175" i="14"/>
  <c r="E177" i="14" s="1"/>
  <c r="E172" i="14"/>
  <c r="J169" i="14"/>
  <c r="H169" i="14"/>
  <c r="J168" i="14"/>
  <c r="H168" i="14"/>
  <c r="J167" i="14"/>
  <c r="H167" i="14"/>
  <c r="J166" i="14"/>
  <c r="H166" i="14"/>
  <c r="J165" i="14"/>
  <c r="H165" i="14"/>
  <c r="J164" i="14"/>
  <c r="H164" i="14"/>
  <c r="J163" i="14"/>
  <c r="H163" i="14"/>
  <c r="J162" i="14"/>
  <c r="H162" i="14"/>
  <c r="J161" i="14"/>
  <c r="H161" i="14"/>
  <c r="J160" i="14"/>
  <c r="H160" i="14"/>
  <c r="J159" i="14"/>
  <c r="H159" i="14"/>
  <c r="J158" i="14"/>
  <c r="H158" i="14"/>
  <c r="H157" i="14"/>
  <c r="E157" i="14"/>
  <c r="E169" i="14" s="1"/>
  <c r="E154" i="14"/>
  <c r="E152" i="14"/>
  <c r="J149" i="14"/>
  <c r="H149" i="14"/>
  <c r="J148" i="14"/>
  <c r="H148" i="14"/>
  <c r="J147" i="14"/>
  <c r="H147" i="14"/>
  <c r="J146" i="14"/>
  <c r="H146" i="14"/>
  <c r="J145" i="14"/>
  <c r="H145" i="14"/>
  <c r="J144" i="14"/>
  <c r="H144" i="14"/>
  <c r="J143" i="14"/>
  <c r="H143" i="14"/>
  <c r="J142" i="14"/>
  <c r="H142" i="14"/>
  <c r="J141" i="14"/>
  <c r="H141" i="14"/>
  <c r="J140" i="14"/>
  <c r="H140" i="14"/>
  <c r="J139" i="14"/>
  <c r="H139" i="14"/>
  <c r="E139" i="14"/>
  <c r="J138" i="14"/>
  <c r="H138" i="14"/>
  <c r="E137" i="14"/>
  <c r="E149" i="14" s="1"/>
  <c r="J134" i="14"/>
  <c r="H134" i="14"/>
  <c r="J133" i="14"/>
  <c r="H133" i="14"/>
  <c r="J132" i="14"/>
  <c r="H132" i="14"/>
  <c r="J131" i="14"/>
  <c r="H131" i="14"/>
  <c r="J130" i="14"/>
  <c r="H130" i="14"/>
  <c r="J129" i="14"/>
  <c r="H129" i="14"/>
  <c r="J128" i="14"/>
  <c r="H128" i="14"/>
  <c r="J127" i="14"/>
  <c r="H127" i="14"/>
  <c r="J126" i="14"/>
  <c r="H126" i="14"/>
  <c r="J125" i="14"/>
  <c r="H125" i="14"/>
  <c r="J124" i="14"/>
  <c r="H124" i="14"/>
  <c r="J123" i="14"/>
  <c r="H123" i="14"/>
  <c r="E122" i="14"/>
  <c r="E131" i="14" s="1"/>
  <c r="E104" i="14"/>
  <c r="J101" i="14"/>
  <c r="H101" i="14"/>
  <c r="J100" i="14"/>
  <c r="H100" i="14"/>
  <c r="J99" i="14"/>
  <c r="H99" i="14"/>
  <c r="J98" i="14"/>
  <c r="H98" i="14"/>
  <c r="J97" i="14"/>
  <c r="H97" i="14"/>
  <c r="J96" i="14"/>
  <c r="H96" i="14"/>
  <c r="J95" i="14"/>
  <c r="H95" i="14"/>
  <c r="J94" i="14"/>
  <c r="H94" i="14"/>
  <c r="J93" i="14"/>
  <c r="H93" i="14"/>
  <c r="J92" i="14"/>
  <c r="H92" i="14"/>
  <c r="J91" i="14"/>
  <c r="H91" i="14"/>
  <c r="J90" i="14"/>
  <c r="H90" i="14"/>
  <c r="E89" i="14"/>
  <c r="J87" i="14"/>
  <c r="E87" i="14"/>
  <c r="E84" i="14"/>
  <c r="E83" i="14"/>
  <c r="E82" i="14"/>
  <c r="E80" i="14"/>
  <c r="J77" i="14"/>
  <c r="E77" i="14"/>
  <c r="J76" i="14"/>
  <c r="E76" i="14"/>
  <c r="J75" i="14"/>
  <c r="E75" i="14"/>
  <c r="E73" i="14"/>
  <c r="J70" i="14"/>
  <c r="H70" i="14"/>
  <c r="J69" i="14"/>
  <c r="H69" i="14"/>
  <c r="J68" i="14"/>
  <c r="H68" i="14"/>
  <c r="J67" i="14"/>
  <c r="H67" i="14"/>
  <c r="J66" i="14"/>
  <c r="H66" i="14"/>
  <c r="J65" i="14"/>
  <c r="H65" i="14"/>
  <c r="J64" i="14"/>
  <c r="H64" i="14"/>
  <c r="J63" i="14"/>
  <c r="H63" i="14"/>
  <c r="J62" i="14"/>
  <c r="H62" i="14"/>
  <c r="J61" i="14"/>
  <c r="H61" i="14"/>
  <c r="J60" i="14"/>
  <c r="H60" i="14"/>
  <c r="J59" i="14"/>
  <c r="H59" i="14"/>
  <c r="E58" i="14"/>
  <c r="E69" i="14" s="1"/>
  <c r="J55" i="14"/>
  <c r="H55" i="14"/>
  <c r="J54" i="14"/>
  <c r="H54" i="14"/>
  <c r="J53" i="14"/>
  <c r="H53" i="14"/>
  <c r="J52" i="14"/>
  <c r="H52" i="14"/>
  <c r="J51" i="14"/>
  <c r="H51" i="14"/>
  <c r="J50" i="14"/>
  <c r="H50" i="14"/>
  <c r="J49" i="14"/>
  <c r="H49" i="14"/>
  <c r="J48" i="14"/>
  <c r="H48" i="14"/>
  <c r="J47" i="14"/>
  <c r="H47" i="14"/>
  <c r="J46" i="14"/>
  <c r="H46" i="14"/>
  <c r="J45" i="14"/>
  <c r="H45" i="14"/>
  <c r="J44" i="14"/>
  <c r="H44" i="14"/>
  <c r="E43" i="14"/>
  <c r="E46" i="14" s="1"/>
  <c r="J41" i="14"/>
  <c r="E41" i="14"/>
  <c r="J38" i="14"/>
  <c r="E38" i="14"/>
  <c r="J37" i="14"/>
  <c r="E37" i="14"/>
  <c r="J36" i="14"/>
  <c r="E36" i="14"/>
  <c r="E34" i="14"/>
  <c r="J31" i="14"/>
  <c r="H31" i="14"/>
  <c r="J30" i="14"/>
  <c r="H30" i="14"/>
  <c r="J29" i="14"/>
  <c r="H29" i="14"/>
  <c r="J28" i="14"/>
  <c r="H28" i="14"/>
  <c r="J27" i="14"/>
  <c r="H27" i="14"/>
  <c r="J26" i="14"/>
  <c r="H26" i="14"/>
  <c r="J25" i="14"/>
  <c r="H25" i="14"/>
  <c r="J24" i="14"/>
  <c r="H24" i="14"/>
  <c r="J23" i="14"/>
  <c r="H23" i="14"/>
  <c r="J22" i="14"/>
  <c r="H22" i="14"/>
  <c r="J21" i="14"/>
  <c r="H21" i="14"/>
  <c r="J20" i="14"/>
  <c r="H20" i="14"/>
  <c r="E19" i="14"/>
  <c r="J16" i="14"/>
  <c r="E16" i="14"/>
  <c r="J13" i="14"/>
  <c r="E13" i="14"/>
  <c r="E11" i="14"/>
  <c r="G8" i="14"/>
  <c r="E8" i="14"/>
  <c r="C4" i="14"/>
  <c r="C3" i="14"/>
  <c r="J401" i="12"/>
  <c r="H401" i="12"/>
  <c r="J400" i="12"/>
  <c r="H400" i="12"/>
  <c r="J399" i="12"/>
  <c r="H399" i="12"/>
  <c r="J398" i="12"/>
  <c r="H398" i="12"/>
  <c r="J397" i="12"/>
  <c r="H397" i="12"/>
  <c r="J396" i="12"/>
  <c r="H396" i="12"/>
  <c r="J395" i="12"/>
  <c r="H395" i="12"/>
  <c r="J394" i="12"/>
  <c r="H394" i="12"/>
  <c r="J393" i="12"/>
  <c r="H393" i="12"/>
  <c r="J392" i="12"/>
  <c r="H392" i="12"/>
  <c r="J391" i="12"/>
  <c r="H391" i="12"/>
  <c r="J390" i="12"/>
  <c r="H390" i="12"/>
  <c r="E389" i="12"/>
  <c r="J386" i="12"/>
  <c r="H386" i="12"/>
  <c r="J385" i="12"/>
  <c r="H385" i="12"/>
  <c r="J384" i="12"/>
  <c r="H384" i="12"/>
  <c r="J383" i="12"/>
  <c r="H383" i="12"/>
  <c r="J382" i="12"/>
  <c r="H382" i="12"/>
  <c r="J381" i="12"/>
  <c r="H381" i="12"/>
  <c r="J380" i="12"/>
  <c r="H380" i="12"/>
  <c r="J379" i="12"/>
  <c r="H379" i="12"/>
  <c r="J378" i="12"/>
  <c r="H378" i="12"/>
  <c r="J377" i="12"/>
  <c r="H377" i="12"/>
  <c r="J376" i="12"/>
  <c r="H376" i="12"/>
  <c r="J375" i="12"/>
  <c r="H375" i="12"/>
  <c r="E375" i="12"/>
  <c r="E374" i="12"/>
  <c r="E377" i="12" s="1"/>
  <c r="AA370" i="12"/>
  <c r="Z370" i="12"/>
  <c r="Y370" i="12"/>
  <c r="X370" i="12"/>
  <c r="W370" i="12"/>
  <c r="V370" i="12"/>
  <c r="U370" i="12"/>
  <c r="T370" i="12"/>
  <c r="S370" i="12"/>
  <c r="R370" i="12"/>
  <c r="Q370" i="12"/>
  <c r="P370" i="12"/>
  <c r="E370" i="12"/>
  <c r="AA367" i="12"/>
  <c r="Z367" i="12"/>
  <c r="Y367" i="12"/>
  <c r="X367" i="12"/>
  <c r="W367" i="12"/>
  <c r="V367" i="12"/>
  <c r="U367" i="12"/>
  <c r="T367" i="12"/>
  <c r="S367" i="12"/>
  <c r="R367" i="12"/>
  <c r="Q367" i="12"/>
  <c r="P367" i="12"/>
  <c r="E367" i="12"/>
  <c r="AA364" i="12"/>
  <c r="Z364" i="12"/>
  <c r="Y364" i="12"/>
  <c r="X364" i="12"/>
  <c r="W364" i="12"/>
  <c r="V364" i="12"/>
  <c r="U364" i="12"/>
  <c r="T364" i="12"/>
  <c r="S364" i="12"/>
  <c r="R364" i="12"/>
  <c r="Q364" i="12"/>
  <c r="P364" i="12"/>
  <c r="E364" i="12"/>
  <c r="AA361" i="12"/>
  <c r="Z361" i="12"/>
  <c r="Y361" i="12"/>
  <c r="X361" i="12"/>
  <c r="W361" i="12"/>
  <c r="V361" i="12"/>
  <c r="U361" i="12"/>
  <c r="T361" i="12"/>
  <c r="S361" i="12"/>
  <c r="R361" i="12"/>
  <c r="Q361" i="12"/>
  <c r="P361" i="12"/>
  <c r="E361" i="12"/>
  <c r="AA358" i="12"/>
  <c r="Z358" i="12"/>
  <c r="Y358" i="12"/>
  <c r="X358" i="12"/>
  <c r="W358" i="12"/>
  <c r="V358" i="12"/>
  <c r="U358" i="12"/>
  <c r="T358" i="12"/>
  <c r="S358" i="12"/>
  <c r="R358" i="12"/>
  <c r="Q358" i="12"/>
  <c r="P358" i="12"/>
  <c r="E358" i="12"/>
  <c r="AA355" i="12"/>
  <c r="Z355" i="12"/>
  <c r="Y355" i="12"/>
  <c r="X355" i="12"/>
  <c r="W355" i="12"/>
  <c r="V355" i="12"/>
  <c r="U355" i="12"/>
  <c r="T355" i="12"/>
  <c r="S355" i="12"/>
  <c r="R355" i="12"/>
  <c r="Q355" i="12"/>
  <c r="P355" i="12"/>
  <c r="E355" i="12"/>
  <c r="AA352" i="12"/>
  <c r="Z352" i="12"/>
  <c r="Y352" i="12"/>
  <c r="X352" i="12"/>
  <c r="W352" i="12"/>
  <c r="V352" i="12"/>
  <c r="U352" i="12"/>
  <c r="T352" i="12"/>
  <c r="S352" i="12"/>
  <c r="R352" i="12"/>
  <c r="Q352" i="12"/>
  <c r="P352" i="12"/>
  <c r="E352" i="12"/>
  <c r="AA349" i="12"/>
  <c r="Z349" i="12"/>
  <c r="Y349" i="12"/>
  <c r="X349" i="12"/>
  <c r="W349" i="12"/>
  <c r="V349" i="12"/>
  <c r="U349" i="12"/>
  <c r="T349" i="12"/>
  <c r="S349" i="12"/>
  <c r="R349" i="12"/>
  <c r="Q349" i="12"/>
  <c r="P349" i="12"/>
  <c r="E349" i="12"/>
  <c r="AA346" i="12"/>
  <c r="Z346" i="12"/>
  <c r="Y346" i="12"/>
  <c r="X346" i="12"/>
  <c r="W346" i="12"/>
  <c r="V346" i="12"/>
  <c r="U346" i="12"/>
  <c r="T346" i="12"/>
  <c r="S346" i="12"/>
  <c r="R346" i="12"/>
  <c r="Q346" i="12"/>
  <c r="P346" i="12"/>
  <c r="E346" i="12"/>
  <c r="J341" i="12"/>
  <c r="H341" i="12"/>
  <c r="J340" i="12"/>
  <c r="H340" i="12"/>
  <c r="J339" i="12"/>
  <c r="H339" i="12"/>
  <c r="J338" i="12"/>
  <c r="H338" i="12"/>
  <c r="J337" i="12"/>
  <c r="H337" i="12"/>
  <c r="J336" i="12"/>
  <c r="H336" i="12"/>
  <c r="J335" i="12"/>
  <c r="H335" i="12"/>
  <c r="J334" i="12"/>
  <c r="H334" i="12"/>
  <c r="J333" i="12"/>
  <c r="H333" i="12"/>
  <c r="J332" i="12"/>
  <c r="H332" i="12"/>
  <c r="J331" i="12"/>
  <c r="H331" i="12"/>
  <c r="J330" i="12"/>
  <c r="H330" i="12"/>
  <c r="E329" i="12"/>
  <c r="E330" i="12" s="1"/>
  <c r="J326" i="12"/>
  <c r="E326" i="12"/>
  <c r="J323" i="12"/>
  <c r="H323" i="12"/>
  <c r="J322" i="12"/>
  <c r="H322" i="12"/>
  <c r="J321" i="12"/>
  <c r="H321" i="12"/>
  <c r="J320" i="12"/>
  <c r="H320" i="12"/>
  <c r="J319" i="12"/>
  <c r="H319" i="12"/>
  <c r="J318" i="12"/>
  <c r="H318" i="12"/>
  <c r="J317" i="12"/>
  <c r="H317" i="12"/>
  <c r="J316" i="12"/>
  <c r="H316" i="12"/>
  <c r="J315" i="12"/>
  <c r="H315" i="12"/>
  <c r="J314" i="12"/>
  <c r="H314" i="12"/>
  <c r="J313" i="12"/>
  <c r="H313" i="12"/>
  <c r="J312" i="12"/>
  <c r="H312" i="12"/>
  <c r="E311" i="12"/>
  <c r="E321" i="12" s="1"/>
  <c r="J308" i="12"/>
  <c r="E308" i="12"/>
  <c r="J305" i="12"/>
  <c r="H305" i="12"/>
  <c r="J304" i="12"/>
  <c r="H304" i="12"/>
  <c r="J303" i="12"/>
  <c r="H303" i="12"/>
  <c r="J302" i="12"/>
  <c r="H302" i="12"/>
  <c r="J301" i="12"/>
  <c r="H301" i="12"/>
  <c r="J300" i="12"/>
  <c r="H300" i="12"/>
  <c r="J299" i="12"/>
  <c r="H299" i="12"/>
  <c r="J298" i="12"/>
  <c r="H298" i="12"/>
  <c r="J297" i="12"/>
  <c r="H297" i="12"/>
  <c r="J296" i="12"/>
  <c r="H296" i="12"/>
  <c r="J295" i="12"/>
  <c r="H295" i="12"/>
  <c r="J294" i="12"/>
  <c r="H294" i="12"/>
  <c r="H293" i="12"/>
  <c r="E293" i="12"/>
  <c r="E305" i="12" s="1"/>
  <c r="J290" i="12"/>
  <c r="H290" i="12"/>
  <c r="J289" i="12"/>
  <c r="H289" i="12"/>
  <c r="J288" i="12"/>
  <c r="H288" i="12"/>
  <c r="J287" i="12"/>
  <c r="H287" i="12"/>
  <c r="J286" i="12"/>
  <c r="H286" i="12"/>
  <c r="J285" i="12"/>
  <c r="H285" i="12"/>
  <c r="J284" i="12"/>
  <c r="H284" i="12"/>
  <c r="J283" i="12"/>
  <c r="H283" i="12"/>
  <c r="J282" i="12"/>
  <c r="H282" i="12"/>
  <c r="J281" i="12"/>
  <c r="H281" i="12"/>
  <c r="J280" i="12"/>
  <c r="H280" i="12"/>
  <c r="J279" i="12"/>
  <c r="H279" i="12"/>
  <c r="E278" i="12"/>
  <c r="J275" i="12"/>
  <c r="E275" i="12"/>
  <c r="J272" i="12"/>
  <c r="H272" i="12"/>
  <c r="J271" i="12"/>
  <c r="H271" i="12"/>
  <c r="J270" i="12"/>
  <c r="H270" i="12"/>
  <c r="J269" i="12"/>
  <c r="H269" i="12"/>
  <c r="J268" i="12"/>
  <c r="H268" i="12"/>
  <c r="J267" i="12"/>
  <c r="H267" i="12"/>
  <c r="J266" i="12"/>
  <c r="H266" i="12"/>
  <c r="J265" i="12"/>
  <c r="H265" i="12"/>
  <c r="J264" i="12"/>
  <c r="H264" i="12"/>
  <c r="J263" i="12"/>
  <c r="H263" i="12"/>
  <c r="J262" i="12"/>
  <c r="H262" i="12"/>
  <c r="J261" i="12"/>
  <c r="H261" i="12"/>
  <c r="E260" i="12"/>
  <c r="E268" i="12" s="1"/>
  <c r="E257" i="12"/>
  <c r="J256" i="12"/>
  <c r="E256" i="12"/>
  <c r="J255" i="12"/>
  <c r="E255" i="12"/>
  <c r="J252" i="12"/>
  <c r="H252" i="12"/>
  <c r="J251" i="12"/>
  <c r="H251" i="12"/>
  <c r="J250" i="12"/>
  <c r="H250" i="12"/>
  <c r="J249" i="12"/>
  <c r="H249" i="12"/>
  <c r="J248" i="12"/>
  <c r="H248" i="12"/>
  <c r="J247" i="12"/>
  <c r="H247" i="12"/>
  <c r="J246" i="12"/>
  <c r="H246" i="12"/>
  <c r="J245" i="12"/>
  <c r="H245" i="12"/>
  <c r="J244" i="12"/>
  <c r="H244" i="12"/>
  <c r="J243" i="12"/>
  <c r="H243" i="12"/>
  <c r="J242" i="12"/>
  <c r="H242" i="12"/>
  <c r="J241" i="12"/>
  <c r="H241" i="12"/>
  <c r="H240" i="12"/>
  <c r="E240" i="12"/>
  <c r="J237" i="12"/>
  <c r="H237" i="12"/>
  <c r="J236" i="12"/>
  <c r="H236" i="12"/>
  <c r="J235" i="12"/>
  <c r="H235" i="12"/>
  <c r="J234" i="12"/>
  <c r="H234" i="12"/>
  <c r="J233" i="12"/>
  <c r="H233" i="12"/>
  <c r="J232" i="12"/>
  <c r="H232" i="12"/>
  <c r="J231" i="12"/>
  <c r="H231" i="12"/>
  <c r="J230" i="12"/>
  <c r="H230" i="12"/>
  <c r="J229" i="12"/>
  <c r="H229" i="12"/>
  <c r="J228" i="12"/>
  <c r="H228" i="12"/>
  <c r="J227" i="12"/>
  <c r="H227" i="12"/>
  <c r="J226" i="12"/>
  <c r="H226" i="12"/>
  <c r="E225" i="12"/>
  <c r="E229" i="12" s="1"/>
  <c r="M222" i="12"/>
  <c r="J222" i="12"/>
  <c r="H222" i="12"/>
  <c r="M221" i="12"/>
  <c r="J221" i="12"/>
  <c r="H221" i="12"/>
  <c r="M220" i="12"/>
  <c r="J220" i="12"/>
  <c r="H220" i="12"/>
  <c r="M219" i="12"/>
  <c r="J219" i="12"/>
  <c r="H219" i="12"/>
  <c r="M218" i="12"/>
  <c r="J218" i="12"/>
  <c r="H218" i="12"/>
  <c r="M217" i="12"/>
  <c r="J217" i="12"/>
  <c r="H217" i="12"/>
  <c r="M216" i="12"/>
  <c r="J216" i="12"/>
  <c r="H216" i="12"/>
  <c r="M215" i="12"/>
  <c r="J215" i="12"/>
  <c r="H215" i="12"/>
  <c r="M214" i="12"/>
  <c r="J214" i="12"/>
  <c r="H214" i="12"/>
  <c r="M213" i="12"/>
  <c r="J213" i="12"/>
  <c r="H213" i="12"/>
  <c r="M212" i="12"/>
  <c r="J212" i="12"/>
  <c r="H212" i="12"/>
  <c r="M211" i="12"/>
  <c r="J211" i="12"/>
  <c r="H211" i="12"/>
  <c r="E210" i="12"/>
  <c r="E221" i="12" s="1"/>
  <c r="E207" i="12"/>
  <c r="J206" i="12"/>
  <c r="E206" i="12"/>
  <c r="J205" i="12"/>
  <c r="E205" i="12"/>
  <c r="J202" i="12"/>
  <c r="H202" i="12"/>
  <c r="J201" i="12"/>
  <c r="H201" i="12"/>
  <c r="J200" i="12"/>
  <c r="H200" i="12"/>
  <c r="J199" i="12"/>
  <c r="H199" i="12"/>
  <c r="J198" i="12"/>
  <c r="H198" i="12"/>
  <c r="J197" i="12"/>
  <c r="H197" i="12"/>
  <c r="J196" i="12"/>
  <c r="H196" i="12"/>
  <c r="J195" i="12"/>
  <c r="H195" i="12"/>
  <c r="J194" i="12"/>
  <c r="H194" i="12"/>
  <c r="J193" i="12"/>
  <c r="H193" i="12"/>
  <c r="J192" i="12"/>
  <c r="H192" i="12"/>
  <c r="J191" i="12"/>
  <c r="H191" i="12"/>
  <c r="E190" i="12"/>
  <c r="E196" i="12" s="1"/>
  <c r="J187" i="12"/>
  <c r="H187" i="12"/>
  <c r="J186" i="12"/>
  <c r="H186" i="12"/>
  <c r="J185" i="12"/>
  <c r="H185" i="12"/>
  <c r="J184" i="12"/>
  <c r="H184" i="12"/>
  <c r="J183" i="12"/>
  <c r="H183" i="12"/>
  <c r="J182" i="12"/>
  <c r="H182" i="12"/>
  <c r="J181" i="12"/>
  <c r="H181" i="12"/>
  <c r="J180" i="12"/>
  <c r="H180" i="12"/>
  <c r="J179" i="12"/>
  <c r="H179" i="12"/>
  <c r="J178" i="12"/>
  <c r="H178" i="12"/>
  <c r="J177" i="12"/>
  <c r="H177" i="12"/>
  <c r="J176" i="12"/>
  <c r="H176" i="12"/>
  <c r="E175" i="12"/>
  <c r="E172" i="12"/>
  <c r="J169" i="12"/>
  <c r="H169" i="12"/>
  <c r="J168" i="12"/>
  <c r="H168" i="12"/>
  <c r="J167" i="12"/>
  <c r="H167" i="12"/>
  <c r="J166" i="12"/>
  <c r="H166" i="12"/>
  <c r="J165" i="12"/>
  <c r="H165" i="12"/>
  <c r="J164" i="12"/>
  <c r="H164" i="12"/>
  <c r="J163" i="12"/>
  <c r="H163" i="12"/>
  <c r="J162" i="12"/>
  <c r="H162" i="12"/>
  <c r="J161" i="12"/>
  <c r="H161" i="12"/>
  <c r="J160" i="12"/>
  <c r="H160" i="12"/>
  <c r="J159" i="12"/>
  <c r="H159" i="12"/>
  <c r="J158" i="12"/>
  <c r="H158" i="12"/>
  <c r="H157" i="12"/>
  <c r="E157" i="12"/>
  <c r="E165" i="12" s="1"/>
  <c r="E154" i="12"/>
  <c r="E152" i="12"/>
  <c r="J149" i="12"/>
  <c r="H149" i="12"/>
  <c r="J148" i="12"/>
  <c r="H148" i="12"/>
  <c r="J147" i="12"/>
  <c r="H147" i="12"/>
  <c r="J146" i="12"/>
  <c r="H146" i="12"/>
  <c r="J145" i="12"/>
  <c r="H145" i="12"/>
  <c r="J144" i="12"/>
  <c r="H144" i="12"/>
  <c r="J143" i="12"/>
  <c r="H143" i="12"/>
  <c r="J142" i="12"/>
  <c r="H142" i="12"/>
  <c r="J141" i="12"/>
  <c r="H141" i="12"/>
  <c r="J140" i="12"/>
  <c r="H140" i="12"/>
  <c r="J139" i="12"/>
  <c r="H139" i="12"/>
  <c r="J138" i="12"/>
  <c r="H138" i="12"/>
  <c r="E137" i="12"/>
  <c r="E144" i="12" s="1"/>
  <c r="J134" i="12"/>
  <c r="H134" i="12"/>
  <c r="J133" i="12"/>
  <c r="H133" i="12"/>
  <c r="J132" i="12"/>
  <c r="H132" i="12"/>
  <c r="J131" i="12"/>
  <c r="H131" i="12"/>
  <c r="J130" i="12"/>
  <c r="H130" i="12"/>
  <c r="J129" i="12"/>
  <c r="H129" i="12"/>
  <c r="J128" i="12"/>
  <c r="H128" i="12"/>
  <c r="J127" i="12"/>
  <c r="H127" i="12"/>
  <c r="J126" i="12"/>
  <c r="H126" i="12"/>
  <c r="J125" i="12"/>
  <c r="H125" i="12"/>
  <c r="J124" i="12"/>
  <c r="H124" i="12"/>
  <c r="J123" i="12"/>
  <c r="H123" i="12"/>
  <c r="E122" i="12"/>
  <c r="E133" i="12" s="1"/>
  <c r="M119" i="12"/>
  <c r="J119" i="12"/>
  <c r="H119" i="12"/>
  <c r="M118" i="12"/>
  <c r="J118" i="12"/>
  <c r="H118" i="12"/>
  <c r="M117" i="12"/>
  <c r="J117" i="12"/>
  <c r="H117" i="12"/>
  <c r="M116" i="12"/>
  <c r="J116" i="12"/>
  <c r="H116" i="12"/>
  <c r="M115" i="12"/>
  <c r="J115" i="12"/>
  <c r="H115" i="12"/>
  <c r="M114" i="12"/>
  <c r="J114" i="12"/>
  <c r="H114" i="12"/>
  <c r="M113" i="12"/>
  <c r="J113" i="12"/>
  <c r="H113" i="12"/>
  <c r="M112" i="12"/>
  <c r="J112" i="12"/>
  <c r="H112" i="12"/>
  <c r="M111" i="12"/>
  <c r="J111" i="12"/>
  <c r="H111" i="12"/>
  <c r="M110" i="12"/>
  <c r="J110" i="12"/>
  <c r="H110" i="12"/>
  <c r="M109" i="12"/>
  <c r="J109" i="12"/>
  <c r="H109" i="12"/>
  <c r="M108" i="12"/>
  <c r="J108" i="12"/>
  <c r="H108" i="12"/>
  <c r="E107" i="12"/>
  <c r="E104" i="12"/>
  <c r="J101" i="12"/>
  <c r="H101" i="12"/>
  <c r="J100" i="12"/>
  <c r="H100" i="12"/>
  <c r="J99" i="12"/>
  <c r="H99" i="12"/>
  <c r="J98" i="12"/>
  <c r="H98" i="12"/>
  <c r="J97" i="12"/>
  <c r="H97" i="12"/>
  <c r="J96" i="12"/>
  <c r="H96" i="12"/>
  <c r="J95" i="12"/>
  <c r="H95" i="12"/>
  <c r="J94" i="12"/>
  <c r="H94" i="12"/>
  <c r="J93" i="12"/>
  <c r="H93" i="12"/>
  <c r="J92" i="12"/>
  <c r="H92" i="12"/>
  <c r="J91" i="12"/>
  <c r="H91" i="12"/>
  <c r="J90" i="12"/>
  <c r="H90" i="12"/>
  <c r="E89" i="12"/>
  <c r="J87" i="12"/>
  <c r="E87" i="12"/>
  <c r="E84" i="12"/>
  <c r="E83" i="12"/>
  <c r="E82" i="12"/>
  <c r="E80" i="12"/>
  <c r="J77" i="12"/>
  <c r="E77" i="12"/>
  <c r="J76" i="12"/>
  <c r="E76" i="12"/>
  <c r="J75" i="12"/>
  <c r="E75" i="12"/>
  <c r="E73" i="12"/>
  <c r="J70" i="12"/>
  <c r="H70" i="12"/>
  <c r="J69" i="12"/>
  <c r="H69" i="12"/>
  <c r="J68" i="12"/>
  <c r="H68" i="12"/>
  <c r="J67" i="12"/>
  <c r="H67" i="12"/>
  <c r="J66" i="12"/>
  <c r="H66" i="12"/>
  <c r="J65" i="12"/>
  <c r="H65" i="12"/>
  <c r="J64" i="12"/>
  <c r="H64" i="12"/>
  <c r="J63" i="12"/>
  <c r="H63" i="12"/>
  <c r="J62" i="12"/>
  <c r="H62" i="12"/>
  <c r="J61" i="12"/>
  <c r="H61" i="12"/>
  <c r="J60" i="12"/>
  <c r="H60" i="12"/>
  <c r="J59" i="12"/>
  <c r="H59" i="12"/>
  <c r="E58" i="12"/>
  <c r="E64" i="12" s="1"/>
  <c r="J55" i="12"/>
  <c r="H55" i="12"/>
  <c r="J54" i="12"/>
  <c r="H54" i="12"/>
  <c r="J53" i="12"/>
  <c r="H53" i="12"/>
  <c r="J52" i="12"/>
  <c r="H52" i="12"/>
  <c r="J51" i="12"/>
  <c r="H51" i="12"/>
  <c r="J50" i="12"/>
  <c r="H50" i="12"/>
  <c r="J49" i="12"/>
  <c r="H49" i="12"/>
  <c r="J48" i="12"/>
  <c r="H48" i="12"/>
  <c r="J47" i="12"/>
  <c r="H47" i="12"/>
  <c r="J46" i="12"/>
  <c r="H46" i="12"/>
  <c r="J45" i="12"/>
  <c r="H45" i="12"/>
  <c r="J44" i="12"/>
  <c r="H44" i="12"/>
  <c r="E43" i="12"/>
  <c r="J41" i="12"/>
  <c r="E41" i="12"/>
  <c r="J38" i="12"/>
  <c r="E38" i="12"/>
  <c r="J37" i="12"/>
  <c r="E37" i="12"/>
  <c r="J36" i="12"/>
  <c r="E36" i="12"/>
  <c r="E34" i="12"/>
  <c r="J31" i="12"/>
  <c r="H31" i="12"/>
  <c r="J30" i="12"/>
  <c r="H30" i="12"/>
  <c r="J29" i="12"/>
  <c r="H29" i="12"/>
  <c r="J28" i="12"/>
  <c r="H28" i="12"/>
  <c r="J27" i="12"/>
  <c r="H27" i="12"/>
  <c r="J26" i="12"/>
  <c r="H26" i="12"/>
  <c r="J25" i="12"/>
  <c r="H25" i="12"/>
  <c r="J24" i="12"/>
  <c r="H24" i="12"/>
  <c r="J23" i="12"/>
  <c r="H23" i="12"/>
  <c r="J22" i="12"/>
  <c r="H22" i="12"/>
  <c r="J21" i="12"/>
  <c r="H21" i="12"/>
  <c r="J20" i="12"/>
  <c r="H20" i="12"/>
  <c r="E19" i="12"/>
  <c r="E29" i="12" s="1"/>
  <c r="J16" i="12"/>
  <c r="E16" i="12"/>
  <c r="J13" i="12"/>
  <c r="P7" i="12" s="1"/>
  <c r="E13" i="12"/>
  <c r="E11" i="12"/>
  <c r="G8" i="12"/>
  <c r="E8" i="12"/>
  <c r="C4" i="12"/>
  <c r="C3" i="12"/>
  <c r="AA370" i="10"/>
  <c r="Z370" i="10"/>
  <c r="Y370" i="10"/>
  <c r="X370" i="10"/>
  <c r="W370" i="10"/>
  <c r="V370" i="10"/>
  <c r="U370" i="10"/>
  <c r="T370" i="10"/>
  <c r="S370" i="10"/>
  <c r="R370" i="10"/>
  <c r="Q370" i="10"/>
  <c r="P370" i="10"/>
  <c r="AA367" i="10"/>
  <c r="Z367" i="10"/>
  <c r="Y367" i="10"/>
  <c r="X367" i="10"/>
  <c r="W367" i="10"/>
  <c r="V367" i="10"/>
  <c r="U367" i="10"/>
  <c r="T367" i="10"/>
  <c r="S367" i="10"/>
  <c r="R367" i="10"/>
  <c r="Q367" i="10"/>
  <c r="P367" i="10"/>
  <c r="AA364" i="10"/>
  <c r="Z364" i="10"/>
  <c r="Y364" i="10"/>
  <c r="X364" i="10"/>
  <c r="W364" i="10"/>
  <c r="V364" i="10"/>
  <c r="U364" i="10"/>
  <c r="T364" i="10"/>
  <c r="S364" i="10"/>
  <c r="R364" i="10"/>
  <c r="Q364" i="10"/>
  <c r="P364" i="10"/>
  <c r="AA361" i="10"/>
  <c r="Z361" i="10"/>
  <c r="Y361" i="10"/>
  <c r="X361" i="10"/>
  <c r="W361" i="10"/>
  <c r="V361" i="10"/>
  <c r="U361" i="10"/>
  <c r="T361" i="10"/>
  <c r="S361" i="10"/>
  <c r="R361" i="10"/>
  <c r="Q361" i="10"/>
  <c r="P361" i="10"/>
  <c r="AA358" i="10"/>
  <c r="Z358" i="10"/>
  <c r="Y358" i="10"/>
  <c r="X358" i="10"/>
  <c r="W358" i="10"/>
  <c r="V358" i="10"/>
  <c r="U358" i="10"/>
  <c r="T358" i="10"/>
  <c r="S358" i="10"/>
  <c r="R358" i="10"/>
  <c r="Q358" i="10"/>
  <c r="P358" i="10"/>
  <c r="AA355" i="10"/>
  <c r="Z355" i="10"/>
  <c r="Y355" i="10"/>
  <c r="X355" i="10"/>
  <c r="W355" i="10"/>
  <c r="V355" i="10"/>
  <c r="U355" i="10"/>
  <c r="T355" i="10"/>
  <c r="S355" i="10"/>
  <c r="R355" i="10"/>
  <c r="Q355" i="10"/>
  <c r="P355" i="10"/>
  <c r="AA352" i="10"/>
  <c r="Z352" i="10"/>
  <c r="Y352" i="10"/>
  <c r="X352" i="10"/>
  <c r="W352" i="10"/>
  <c r="V352" i="10"/>
  <c r="U352" i="10"/>
  <c r="T352" i="10"/>
  <c r="S352" i="10"/>
  <c r="R352" i="10"/>
  <c r="Q352" i="10"/>
  <c r="P352" i="10"/>
  <c r="AA349" i="10"/>
  <c r="Z349" i="10"/>
  <c r="Y349" i="10"/>
  <c r="X349" i="10"/>
  <c r="W349" i="10"/>
  <c r="V349" i="10"/>
  <c r="U349" i="10"/>
  <c r="T349" i="10"/>
  <c r="S349" i="10"/>
  <c r="R349" i="10"/>
  <c r="Q349" i="10"/>
  <c r="P349" i="10"/>
  <c r="AA346" i="10"/>
  <c r="Z346" i="10"/>
  <c r="Y346" i="10"/>
  <c r="X346" i="10"/>
  <c r="W346" i="10"/>
  <c r="V346" i="10"/>
  <c r="U346" i="10"/>
  <c r="T346" i="10"/>
  <c r="S346" i="10"/>
  <c r="R346" i="10"/>
  <c r="Q346" i="10"/>
  <c r="P346" i="10"/>
  <c r="J326" i="10"/>
  <c r="J308" i="10"/>
  <c r="J275" i="10"/>
  <c r="J256" i="10"/>
  <c r="J255" i="10"/>
  <c r="M222" i="10"/>
  <c r="M221" i="10"/>
  <c r="M220" i="10"/>
  <c r="M219" i="10"/>
  <c r="M218" i="10"/>
  <c r="M217" i="10"/>
  <c r="M216" i="10"/>
  <c r="M215" i="10"/>
  <c r="M214" i="10"/>
  <c r="M213" i="10"/>
  <c r="M212" i="10"/>
  <c r="M211" i="10"/>
  <c r="J206" i="10"/>
  <c r="J205" i="10"/>
  <c r="M119" i="10"/>
  <c r="M118" i="10"/>
  <c r="M117" i="10"/>
  <c r="M116" i="10"/>
  <c r="M115" i="10"/>
  <c r="M114" i="10"/>
  <c r="M113" i="10"/>
  <c r="M112" i="10"/>
  <c r="M111" i="10"/>
  <c r="M110" i="10"/>
  <c r="M109" i="10"/>
  <c r="M108" i="10"/>
  <c r="J77" i="10"/>
  <c r="J76" i="10"/>
  <c r="J75" i="10"/>
  <c r="J38" i="10"/>
  <c r="J37" i="10"/>
  <c r="J36" i="10"/>
  <c r="J16" i="10"/>
  <c r="J401" i="10"/>
  <c r="H401" i="10"/>
  <c r="J400" i="10"/>
  <c r="H400" i="10"/>
  <c r="J399" i="10"/>
  <c r="H399" i="10"/>
  <c r="J398" i="10"/>
  <c r="H398" i="10"/>
  <c r="J397" i="10"/>
  <c r="H397" i="10"/>
  <c r="J396" i="10"/>
  <c r="H396" i="10"/>
  <c r="J395" i="10"/>
  <c r="H395" i="10"/>
  <c r="J394" i="10"/>
  <c r="H394" i="10"/>
  <c r="J393" i="10"/>
  <c r="H393" i="10"/>
  <c r="J392" i="10"/>
  <c r="H392" i="10"/>
  <c r="J391" i="10"/>
  <c r="H391" i="10"/>
  <c r="J390" i="10"/>
  <c r="H390" i="10"/>
  <c r="E389" i="10"/>
  <c r="E401" i="10" s="1"/>
  <c r="J386" i="10"/>
  <c r="H386" i="10"/>
  <c r="J385" i="10"/>
  <c r="H385" i="10"/>
  <c r="J384" i="10"/>
  <c r="H384" i="10"/>
  <c r="J383" i="10"/>
  <c r="H383" i="10"/>
  <c r="J382" i="10"/>
  <c r="H382" i="10"/>
  <c r="J381" i="10"/>
  <c r="H381" i="10"/>
  <c r="J380" i="10"/>
  <c r="H380" i="10"/>
  <c r="J379" i="10"/>
  <c r="H379" i="10"/>
  <c r="J378" i="10"/>
  <c r="H378" i="10"/>
  <c r="J377" i="10"/>
  <c r="H377" i="10"/>
  <c r="J376" i="10"/>
  <c r="H376" i="10"/>
  <c r="J375" i="10"/>
  <c r="H375" i="10"/>
  <c r="E374" i="10"/>
  <c r="E378" i="10" s="1"/>
  <c r="E370" i="10"/>
  <c r="E367" i="10"/>
  <c r="E364" i="10"/>
  <c r="E361" i="10"/>
  <c r="E358" i="10"/>
  <c r="E355" i="10"/>
  <c r="E352" i="10"/>
  <c r="E349" i="10"/>
  <c r="E346" i="10"/>
  <c r="J341" i="10"/>
  <c r="H341" i="10"/>
  <c r="J340" i="10"/>
  <c r="H340" i="10"/>
  <c r="J339" i="10"/>
  <c r="H339" i="10"/>
  <c r="J338" i="10"/>
  <c r="H338" i="10"/>
  <c r="J337" i="10"/>
  <c r="H337" i="10"/>
  <c r="J336" i="10"/>
  <c r="H336" i="10"/>
  <c r="J335" i="10"/>
  <c r="H335" i="10"/>
  <c r="J334" i="10"/>
  <c r="H334" i="10"/>
  <c r="J333" i="10"/>
  <c r="H333" i="10"/>
  <c r="J332" i="10"/>
  <c r="H332" i="10"/>
  <c r="J331" i="10"/>
  <c r="H331" i="10"/>
  <c r="J330" i="10"/>
  <c r="H330" i="10"/>
  <c r="E329" i="10"/>
  <c r="E333" i="10" s="1"/>
  <c r="E326" i="10"/>
  <c r="J323" i="10"/>
  <c r="H323" i="10"/>
  <c r="J322" i="10"/>
  <c r="H322" i="10"/>
  <c r="J321" i="10"/>
  <c r="H321" i="10"/>
  <c r="J320" i="10"/>
  <c r="H320" i="10"/>
  <c r="J319" i="10"/>
  <c r="H319" i="10"/>
  <c r="J318" i="10"/>
  <c r="H318" i="10"/>
  <c r="J317" i="10"/>
  <c r="H317" i="10"/>
  <c r="J316" i="10"/>
  <c r="H316" i="10"/>
  <c r="J315" i="10"/>
  <c r="H315" i="10"/>
  <c r="J314" i="10"/>
  <c r="H314" i="10"/>
  <c r="J313" i="10"/>
  <c r="H313" i="10"/>
  <c r="J312" i="10"/>
  <c r="H312" i="10"/>
  <c r="E311" i="10"/>
  <c r="E308" i="10"/>
  <c r="J305" i="10"/>
  <c r="H305" i="10"/>
  <c r="J304" i="10"/>
  <c r="H304" i="10"/>
  <c r="J303" i="10"/>
  <c r="H303" i="10"/>
  <c r="J302" i="10"/>
  <c r="H302" i="10"/>
  <c r="J301" i="10"/>
  <c r="H301" i="10"/>
  <c r="J300" i="10"/>
  <c r="H300" i="10"/>
  <c r="J299" i="10"/>
  <c r="H299" i="10"/>
  <c r="J298" i="10"/>
  <c r="H298" i="10"/>
  <c r="J297" i="10"/>
  <c r="H297" i="10"/>
  <c r="J296" i="10"/>
  <c r="H296" i="10"/>
  <c r="J295" i="10"/>
  <c r="H295" i="10"/>
  <c r="J294" i="10"/>
  <c r="H294" i="10"/>
  <c r="H293" i="10"/>
  <c r="E293" i="10"/>
  <c r="E302" i="10" s="1"/>
  <c r="J290" i="10"/>
  <c r="H290" i="10"/>
  <c r="J289" i="10"/>
  <c r="H289" i="10"/>
  <c r="J288" i="10"/>
  <c r="H288" i="10"/>
  <c r="J287" i="10"/>
  <c r="H287" i="10"/>
  <c r="J286" i="10"/>
  <c r="H286" i="10"/>
  <c r="J285" i="10"/>
  <c r="H285" i="10"/>
  <c r="J284" i="10"/>
  <c r="H284" i="10"/>
  <c r="J283" i="10"/>
  <c r="H283" i="10"/>
  <c r="J282" i="10"/>
  <c r="H282" i="10"/>
  <c r="J281" i="10"/>
  <c r="H281" i="10"/>
  <c r="J280" i="10"/>
  <c r="H280" i="10"/>
  <c r="J279" i="10"/>
  <c r="H279" i="10"/>
  <c r="E278" i="10"/>
  <c r="E275" i="10"/>
  <c r="J272" i="10"/>
  <c r="H272" i="10"/>
  <c r="J271" i="10"/>
  <c r="H271" i="10"/>
  <c r="J270" i="10"/>
  <c r="H270" i="10"/>
  <c r="J269" i="10"/>
  <c r="H269" i="10"/>
  <c r="J268" i="10"/>
  <c r="H268" i="10"/>
  <c r="J267" i="10"/>
  <c r="H267" i="10"/>
  <c r="J266" i="10"/>
  <c r="H266" i="10"/>
  <c r="J265" i="10"/>
  <c r="H265" i="10"/>
  <c r="J264" i="10"/>
  <c r="H264" i="10"/>
  <c r="J263" i="10"/>
  <c r="H263" i="10"/>
  <c r="J262" i="10"/>
  <c r="H262" i="10"/>
  <c r="J261" i="10"/>
  <c r="H261" i="10"/>
  <c r="E260" i="10"/>
  <c r="E269" i="10" s="1"/>
  <c r="E257" i="10"/>
  <c r="E256" i="10"/>
  <c r="E255" i="10"/>
  <c r="J252" i="10"/>
  <c r="H252" i="10"/>
  <c r="J251" i="10"/>
  <c r="H251" i="10"/>
  <c r="J250" i="10"/>
  <c r="H250" i="10"/>
  <c r="J249" i="10"/>
  <c r="H249" i="10"/>
  <c r="J248" i="10"/>
  <c r="H248" i="10"/>
  <c r="J247" i="10"/>
  <c r="H247" i="10"/>
  <c r="J246" i="10"/>
  <c r="H246" i="10"/>
  <c r="J245" i="10"/>
  <c r="H245" i="10"/>
  <c r="J244" i="10"/>
  <c r="H244" i="10"/>
  <c r="J243" i="10"/>
  <c r="H243" i="10"/>
  <c r="J242" i="10"/>
  <c r="H242" i="10"/>
  <c r="J241" i="10"/>
  <c r="H241" i="10"/>
  <c r="H240" i="10"/>
  <c r="E240" i="10"/>
  <c r="J237" i="10"/>
  <c r="H237" i="10"/>
  <c r="J236" i="10"/>
  <c r="H236" i="10"/>
  <c r="J235" i="10"/>
  <c r="H235" i="10"/>
  <c r="J234" i="10"/>
  <c r="H234" i="10"/>
  <c r="J233" i="10"/>
  <c r="H233" i="10"/>
  <c r="J232" i="10"/>
  <c r="H232" i="10"/>
  <c r="J231" i="10"/>
  <c r="H231" i="10"/>
  <c r="J230" i="10"/>
  <c r="H230" i="10"/>
  <c r="J229" i="10"/>
  <c r="H229" i="10"/>
  <c r="J228" i="10"/>
  <c r="H228" i="10"/>
  <c r="J227" i="10"/>
  <c r="H227" i="10"/>
  <c r="J226" i="10"/>
  <c r="H226" i="10"/>
  <c r="E225" i="10"/>
  <c r="E226" i="10" s="1"/>
  <c r="J222" i="10"/>
  <c r="H222" i="10"/>
  <c r="J221" i="10"/>
  <c r="H221" i="10"/>
  <c r="J220" i="10"/>
  <c r="H220" i="10"/>
  <c r="J219" i="10"/>
  <c r="H219" i="10"/>
  <c r="J218" i="10"/>
  <c r="H218" i="10"/>
  <c r="J217" i="10"/>
  <c r="H217" i="10"/>
  <c r="J216" i="10"/>
  <c r="H216" i="10"/>
  <c r="J215" i="10"/>
  <c r="H215" i="10"/>
  <c r="J214" i="10"/>
  <c r="H214" i="10"/>
  <c r="J213" i="10"/>
  <c r="H213" i="10"/>
  <c r="J212" i="10"/>
  <c r="H212" i="10"/>
  <c r="J211" i="10"/>
  <c r="H211" i="10"/>
  <c r="E210" i="10"/>
  <c r="E207" i="10"/>
  <c r="E206" i="10"/>
  <c r="E205" i="10"/>
  <c r="J202" i="10"/>
  <c r="H202" i="10"/>
  <c r="J201" i="10"/>
  <c r="H201" i="10"/>
  <c r="J200" i="10"/>
  <c r="H200" i="10"/>
  <c r="J199" i="10"/>
  <c r="H199" i="10"/>
  <c r="J198" i="10"/>
  <c r="H198" i="10"/>
  <c r="J197" i="10"/>
  <c r="H197" i="10"/>
  <c r="J196" i="10"/>
  <c r="H196" i="10"/>
  <c r="J195" i="10"/>
  <c r="H195" i="10"/>
  <c r="J194" i="10"/>
  <c r="H194" i="10"/>
  <c r="J193" i="10"/>
  <c r="H193" i="10"/>
  <c r="J192" i="10"/>
  <c r="H192" i="10"/>
  <c r="J191" i="10"/>
  <c r="H191" i="10"/>
  <c r="E190" i="10"/>
  <c r="J187" i="10"/>
  <c r="H187" i="10"/>
  <c r="J186" i="10"/>
  <c r="H186" i="10"/>
  <c r="J185" i="10"/>
  <c r="H185" i="10"/>
  <c r="J184" i="10"/>
  <c r="H184" i="10"/>
  <c r="J183" i="10"/>
  <c r="H183" i="10"/>
  <c r="J182" i="10"/>
  <c r="H182" i="10"/>
  <c r="J181" i="10"/>
  <c r="H181" i="10"/>
  <c r="J180" i="10"/>
  <c r="H180" i="10"/>
  <c r="J179" i="10"/>
  <c r="H179" i="10"/>
  <c r="J178" i="10"/>
  <c r="H178" i="10"/>
  <c r="J177" i="10"/>
  <c r="H177" i="10"/>
  <c r="J176" i="10"/>
  <c r="H176" i="10"/>
  <c r="E175" i="10"/>
  <c r="E172" i="10"/>
  <c r="J169" i="10"/>
  <c r="H169" i="10"/>
  <c r="J168" i="10"/>
  <c r="H168" i="10"/>
  <c r="J167" i="10"/>
  <c r="H167" i="10"/>
  <c r="J166" i="10"/>
  <c r="H166" i="10"/>
  <c r="J165" i="10"/>
  <c r="H165" i="10"/>
  <c r="J164" i="10"/>
  <c r="H164" i="10"/>
  <c r="J163" i="10"/>
  <c r="H163" i="10"/>
  <c r="J162" i="10"/>
  <c r="H162" i="10"/>
  <c r="J161" i="10"/>
  <c r="H161" i="10"/>
  <c r="J160" i="10"/>
  <c r="H160" i="10"/>
  <c r="J159" i="10"/>
  <c r="H159" i="10"/>
  <c r="J158" i="10"/>
  <c r="H158" i="10"/>
  <c r="H157" i="10"/>
  <c r="E157" i="10"/>
  <c r="E168" i="10" s="1"/>
  <c r="E154" i="10"/>
  <c r="E152" i="10"/>
  <c r="J149" i="10"/>
  <c r="H149" i="10"/>
  <c r="J148" i="10"/>
  <c r="H148" i="10"/>
  <c r="J147" i="10"/>
  <c r="H147" i="10"/>
  <c r="J146" i="10"/>
  <c r="H146" i="10"/>
  <c r="J145" i="10"/>
  <c r="H145" i="10"/>
  <c r="J144" i="10"/>
  <c r="H144" i="10"/>
  <c r="J143" i="10"/>
  <c r="H143" i="10"/>
  <c r="J142" i="10"/>
  <c r="H142" i="10"/>
  <c r="J141" i="10"/>
  <c r="H141" i="10"/>
  <c r="J140" i="10"/>
  <c r="H140" i="10"/>
  <c r="J139" i="10"/>
  <c r="H139" i="10"/>
  <c r="J138" i="10"/>
  <c r="H138" i="10"/>
  <c r="E137" i="10"/>
  <c r="J134" i="10"/>
  <c r="H134" i="10"/>
  <c r="J133" i="10"/>
  <c r="H133" i="10"/>
  <c r="J132" i="10"/>
  <c r="H132" i="10"/>
  <c r="J131" i="10"/>
  <c r="H131" i="10"/>
  <c r="J130" i="10"/>
  <c r="H130" i="10"/>
  <c r="J129" i="10"/>
  <c r="H129" i="10"/>
  <c r="J128" i="10"/>
  <c r="H128" i="10"/>
  <c r="J127" i="10"/>
  <c r="H127" i="10"/>
  <c r="J126" i="10"/>
  <c r="H126" i="10"/>
  <c r="J125" i="10"/>
  <c r="H125" i="10"/>
  <c r="J124" i="10"/>
  <c r="H124" i="10"/>
  <c r="J123" i="10"/>
  <c r="H123" i="10"/>
  <c r="E122" i="10"/>
  <c r="J119" i="10"/>
  <c r="H119" i="10"/>
  <c r="J118" i="10"/>
  <c r="H118" i="10"/>
  <c r="J117" i="10"/>
  <c r="H117" i="10"/>
  <c r="J116" i="10"/>
  <c r="H116" i="10"/>
  <c r="J115" i="10"/>
  <c r="H115" i="10"/>
  <c r="J114" i="10"/>
  <c r="H114" i="10"/>
  <c r="J113" i="10"/>
  <c r="H113" i="10"/>
  <c r="J112" i="10"/>
  <c r="H112" i="10"/>
  <c r="J111" i="10"/>
  <c r="H111" i="10"/>
  <c r="J110" i="10"/>
  <c r="H110" i="10"/>
  <c r="J109" i="10"/>
  <c r="H109" i="10"/>
  <c r="J108" i="10"/>
  <c r="H108" i="10"/>
  <c r="E107" i="10"/>
  <c r="E118" i="10" s="1"/>
  <c r="E104" i="10"/>
  <c r="J101" i="10"/>
  <c r="H101" i="10"/>
  <c r="J100" i="10"/>
  <c r="H100" i="10"/>
  <c r="J99" i="10"/>
  <c r="H99" i="10"/>
  <c r="J98" i="10"/>
  <c r="H98" i="10"/>
  <c r="J97" i="10"/>
  <c r="H97" i="10"/>
  <c r="J96" i="10"/>
  <c r="H96" i="10"/>
  <c r="J95" i="10"/>
  <c r="H95" i="10"/>
  <c r="J94" i="10"/>
  <c r="H94" i="10"/>
  <c r="J93" i="10"/>
  <c r="H93" i="10"/>
  <c r="J92" i="10"/>
  <c r="H92" i="10"/>
  <c r="J91" i="10"/>
  <c r="H91" i="10"/>
  <c r="J90" i="10"/>
  <c r="H90" i="10"/>
  <c r="E89" i="10"/>
  <c r="J87" i="10"/>
  <c r="E87" i="10"/>
  <c r="E84" i="10"/>
  <c r="E83" i="10"/>
  <c r="E82" i="10"/>
  <c r="E80" i="10"/>
  <c r="E77" i="10"/>
  <c r="E76" i="10"/>
  <c r="E75" i="10"/>
  <c r="E73" i="10"/>
  <c r="J70" i="10"/>
  <c r="H70" i="10"/>
  <c r="J69" i="10"/>
  <c r="H69" i="10"/>
  <c r="J68" i="10"/>
  <c r="H68" i="10"/>
  <c r="J67" i="10"/>
  <c r="H67" i="10"/>
  <c r="J66" i="10"/>
  <c r="H66" i="10"/>
  <c r="J65" i="10"/>
  <c r="H65" i="10"/>
  <c r="J64" i="10"/>
  <c r="H64" i="10"/>
  <c r="J63" i="10"/>
  <c r="H63" i="10"/>
  <c r="J62" i="10"/>
  <c r="H62" i="10"/>
  <c r="J61" i="10"/>
  <c r="H61" i="10"/>
  <c r="J60" i="10"/>
  <c r="H60" i="10"/>
  <c r="J59" i="10"/>
  <c r="H59" i="10"/>
  <c r="E58" i="10"/>
  <c r="J55" i="10"/>
  <c r="H55" i="10"/>
  <c r="J54" i="10"/>
  <c r="H54" i="10"/>
  <c r="J53" i="10"/>
  <c r="H53" i="10"/>
  <c r="J52" i="10"/>
  <c r="H52" i="10"/>
  <c r="J51" i="10"/>
  <c r="H51" i="10"/>
  <c r="J50" i="10"/>
  <c r="H50" i="10"/>
  <c r="J49" i="10"/>
  <c r="H49" i="10"/>
  <c r="J48" i="10"/>
  <c r="H48" i="10"/>
  <c r="J47" i="10"/>
  <c r="H47" i="10"/>
  <c r="J46" i="10"/>
  <c r="H46" i="10"/>
  <c r="J45" i="10"/>
  <c r="H45" i="10"/>
  <c r="J44" i="10"/>
  <c r="H44" i="10"/>
  <c r="E43" i="10"/>
  <c r="J41" i="10"/>
  <c r="E41" i="10"/>
  <c r="E38" i="10"/>
  <c r="E37" i="10"/>
  <c r="E36" i="10"/>
  <c r="E34" i="10"/>
  <c r="J31" i="10"/>
  <c r="H31" i="10"/>
  <c r="J30" i="10"/>
  <c r="H30" i="10"/>
  <c r="J29" i="10"/>
  <c r="H29" i="10"/>
  <c r="J28" i="10"/>
  <c r="H28" i="10"/>
  <c r="J27" i="10"/>
  <c r="H27" i="10"/>
  <c r="J26" i="10"/>
  <c r="H26" i="10"/>
  <c r="J25" i="10"/>
  <c r="H25" i="10"/>
  <c r="J24" i="10"/>
  <c r="H24" i="10"/>
  <c r="J23" i="10"/>
  <c r="H23" i="10"/>
  <c r="J22" i="10"/>
  <c r="H22" i="10"/>
  <c r="J21" i="10"/>
  <c r="H21" i="10"/>
  <c r="J20" i="10"/>
  <c r="H20" i="10"/>
  <c r="E19" i="10"/>
  <c r="E16" i="10"/>
  <c r="J13" i="10"/>
  <c r="P1" i="10" s="1"/>
  <c r="E13" i="10"/>
  <c r="E11" i="10"/>
  <c r="G8" i="10"/>
  <c r="E8" i="10"/>
  <c r="C4" i="10"/>
  <c r="C3" i="10"/>
  <c r="C4" i="5"/>
  <c r="C3" i="5"/>
  <c r="C4" i="4"/>
  <c r="C3" i="4"/>
  <c r="C4" i="3"/>
  <c r="C3" i="3"/>
  <c r="C4" i="2"/>
  <c r="C3" i="2"/>
  <c r="H7" i="9"/>
  <c r="B4" i="9"/>
  <c r="B3" i="9"/>
  <c r="C3" i="8"/>
  <c r="C2" i="8"/>
  <c r="C4" i="1"/>
  <c r="C3" i="1"/>
  <c r="Q57" i="9"/>
  <c r="R57" i="9"/>
  <c r="S57" i="9"/>
  <c r="T57" i="9"/>
  <c r="U57" i="9"/>
  <c r="V57" i="9"/>
  <c r="W57" i="9"/>
  <c r="X57" i="9"/>
  <c r="Y57" i="9"/>
  <c r="Z57" i="9"/>
  <c r="AA57" i="9"/>
  <c r="Q58" i="9"/>
  <c r="R58" i="9"/>
  <c r="S58" i="9"/>
  <c r="T58" i="9"/>
  <c r="U58" i="9"/>
  <c r="V58" i="9"/>
  <c r="W58" i="9"/>
  <c r="X58" i="9"/>
  <c r="Y58" i="9"/>
  <c r="Z58" i="9"/>
  <c r="AA58" i="9"/>
  <c r="Q59" i="9"/>
  <c r="R59" i="9"/>
  <c r="S59" i="9"/>
  <c r="T59" i="9"/>
  <c r="U59" i="9"/>
  <c r="V59" i="9"/>
  <c r="W59" i="9"/>
  <c r="X59" i="9"/>
  <c r="Y59" i="9"/>
  <c r="Z59" i="9"/>
  <c r="AA59" i="9"/>
  <c r="Q60" i="9"/>
  <c r="R60" i="9"/>
  <c r="S60" i="9"/>
  <c r="T60" i="9"/>
  <c r="U60" i="9"/>
  <c r="V60" i="9"/>
  <c r="W60" i="9"/>
  <c r="X60" i="9"/>
  <c r="Y60" i="9"/>
  <c r="Z60" i="9"/>
  <c r="AA60" i="9"/>
  <c r="Q61" i="9"/>
  <c r="R61" i="9"/>
  <c r="S61" i="9"/>
  <c r="T61" i="9"/>
  <c r="U61" i="9"/>
  <c r="V61" i="9"/>
  <c r="W61" i="9"/>
  <c r="X61" i="9"/>
  <c r="Y61" i="9"/>
  <c r="Z61" i="9"/>
  <c r="AA61" i="9"/>
  <c r="Q62" i="9"/>
  <c r="R62" i="9"/>
  <c r="S62" i="9"/>
  <c r="T62" i="9"/>
  <c r="U62" i="9"/>
  <c r="V62" i="9"/>
  <c r="W62" i="9"/>
  <c r="X62" i="9"/>
  <c r="Y62" i="9"/>
  <c r="Z62" i="9"/>
  <c r="AA62" i="9"/>
  <c r="Q63" i="9"/>
  <c r="R63" i="9"/>
  <c r="S63" i="9"/>
  <c r="T63" i="9"/>
  <c r="U63" i="9"/>
  <c r="V63" i="9"/>
  <c r="W63" i="9"/>
  <c r="X63" i="9"/>
  <c r="Y63" i="9"/>
  <c r="Z63" i="9"/>
  <c r="AA63" i="9"/>
  <c r="Q64" i="9"/>
  <c r="R64" i="9"/>
  <c r="S64" i="9"/>
  <c r="T64" i="9"/>
  <c r="U64" i="9"/>
  <c r="V64" i="9"/>
  <c r="W64" i="9"/>
  <c r="X64" i="9"/>
  <c r="Y64" i="9"/>
  <c r="Z64" i="9"/>
  <c r="AA64" i="9"/>
  <c r="Q65" i="9"/>
  <c r="R65" i="9"/>
  <c r="S65" i="9"/>
  <c r="T65" i="9"/>
  <c r="U65" i="9"/>
  <c r="V65" i="9"/>
  <c r="W65" i="9"/>
  <c r="X65" i="9"/>
  <c r="Y65" i="9"/>
  <c r="Z65" i="9"/>
  <c r="AA65" i="9"/>
  <c r="Q66" i="9"/>
  <c r="R66" i="9"/>
  <c r="S66" i="9"/>
  <c r="T66" i="9"/>
  <c r="U66" i="9"/>
  <c r="V66" i="9"/>
  <c r="W66" i="9"/>
  <c r="X66" i="9"/>
  <c r="Y66" i="9"/>
  <c r="Z66" i="9"/>
  <c r="AA66" i="9"/>
  <c r="Q67" i="9"/>
  <c r="R67" i="9"/>
  <c r="S67" i="9"/>
  <c r="T67" i="9"/>
  <c r="U67" i="9"/>
  <c r="V67" i="9"/>
  <c r="W67" i="9"/>
  <c r="X67" i="9"/>
  <c r="Y67" i="9"/>
  <c r="Z67" i="9"/>
  <c r="AA67" i="9"/>
  <c r="Q68" i="9"/>
  <c r="R68" i="9"/>
  <c r="S68" i="9"/>
  <c r="T68" i="9"/>
  <c r="U68" i="9"/>
  <c r="V68" i="9"/>
  <c r="W68" i="9"/>
  <c r="X68" i="9"/>
  <c r="Y68" i="9"/>
  <c r="Z68" i="9"/>
  <c r="AA68" i="9"/>
  <c r="P58" i="9"/>
  <c r="P59" i="9"/>
  <c r="P60" i="9"/>
  <c r="P61" i="9"/>
  <c r="P62" i="9"/>
  <c r="P63" i="9"/>
  <c r="P64" i="9"/>
  <c r="P65" i="9"/>
  <c r="P66" i="9"/>
  <c r="P67" i="9"/>
  <c r="P68" i="9"/>
  <c r="P57" i="9"/>
  <c r="P167" i="2"/>
  <c r="L104" i="2"/>
  <c r="J80" i="2"/>
  <c r="P19" i="2"/>
  <c r="J5" i="9"/>
  <c r="G6" i="13" s="1"/>
  <c r="J6" i="9"/>
  <c r="J4" i="9"/>
  <c r="G6" i="11" s="1"/>
  <c r="G5" i="9"/>
  <c r="G6" i="9"/>
  <c r="G4" i="9"/>
  <c r="H3" i="9"/>
  <c r="H2" i="9"/>
  <c r="P13" i="5"/>
  <c r="P14" i="5"/>
  <c r="P15" i="5"/>
  <c r="P12" i="5"/>
  <c r="M140" i="9"/>
  <c r="M139" i="9"/>
  <c r="M138" i="9"/>
  <c r="M137" i="9"/>
  <c r="M136" i="9"/>
  <c r="M135" i="9"/>
  <c r="M134" i="9"/>
  <c r="M133" i="9"/>
  <c r="M132" i="9"/>
  <c r="M131" i="9"/>
  <c r="M130" i="9"/>
  <c r="M129" i="9"/>
  <c r="M128" i="9"/>
  <c r="M123" i="9"/>
  <c r="M119" i="9"/>
  <c r="M118" i="9"/>
  <c r="M117" i="9"/>
  <c r="M115" i="9"/>
  <c r="M112" i="9"/>
  <c r="M111" i="9"/>
  <c r="M110" i="9"/>
  <c r="M109" i="9"/>
  <c r="M108" i="9"/>
  <c r="M107" i="9"/>
  <c r="M106" i="9"/>
  <c r="M105" i="9"/>
  <c r="M104" i="9"/>
  <c r="M103" i="9"/>
  <c r="M102" i="9"/>
  <c r="M101" i="9"/>
  <c r="M100" i="9"/>
  <c r="AA140" i="9"/>
  <c r="Z140" i="9"/>
  <c r="Y140" i="9"/>
  <c r="X140" i="9"/>
  <c r="W140" i="9"/>
  <c r="J140" i="9"/>
  <c r="H140" i="9"/>
  <c r="AA139" i="9"/>
  <c r="Z139" i="9"/>
  <c r="Y139" i="9"/>
  <c r="X139" i="9"/>
  <c r="W139" i="9"/>
  <c r="J139" i="9"/>
  <c r="H139" i="9"/>
  <c r="AA138" i="9"/>
  <c r="Z138" i="9"/>
  <c r="Y138" i="9"/>
  <c r="X138" i="9"/>
  <c r="W138" i="9"/>
  <c r="J138" i="9"/>
  <c r="H138" i="9"/>
  <c r="AA137" i="9"/>
  <c r="Z137" i="9"/>
  <c r="Y137" i="9"/>
  <c r="X137" i="9"/>
  <c r="W137" i="9"/>
  <c r="J137" i="9"/>
  <c r="H137" i="9"/>
  <c r="AA136" i="9"/>
  <c r="Z136" i="9"/>
  <c r="Y136" i="9"/>
  <c r="X136" i="9"/>
  <c r="W136" i="9"/>
  <c r="J136" i="9"/>
  <c r="H136" i="9"/>
  <c r="AA135" i="9"/>
  <c r="Z135" i="9"/>
  <c r="Y135" i="9"/>
  <c r="X135" i="9"/>
  <c r="W135" i="9"/>
  <c r="J135" i="9"/>
  <c r="H135" i="9"/>
  <c r="AA134" i="9"/>
  <c r="Z134" i="9"/>
  <c r="Y134" i="9"/>
  <c r="X134" i="9"/>
  <c r="W134" i="9"/>
  <c r="J134" i="9"/>
  <c r="H134" i="9"/>
  <c r="AA133" i="9"/>
  <c r="Z133" i="9"/>
  <c r="Y133" i="9"/>
  <c r="X133" i="9"/>
  <c r="W133" i="9"/>
  <c r="J133" i="9"/>
  <c r="H133" i="9"/>
  <c r="AA132" i="9"/>
  <c r="Z132" i="9"/>
  <c r="Y132" i="9"/>
  <c r="X132" i="9"/>
  <c r="W132" i="9"/>
  <c r="J132" i="9"/>
  <c r="H132" i="9"/>
  <c r="AA131" i="9"/>
  <c r="Z131" i="9"/>
  <c r="Y131" i="9"/>
  <c r="X131" i="9"/>
  <c r="W131" i="9"/>
  <c r="J131" i="9"/>
  <c r="H131" i="9"/>
  <c r="AA130" i="9"/>
  <c r="Z130" i="9"/>
  <c r="Y130" i="9"/>
  <c r="X130" i="9"/>
  <c r="W130" i="9"/>
  <c r="J130" i="9"/>
  <c r="H130" i="9"/>
  <c r="AA129" i="9"/>
  <c r="Z129" i="9"/>
  <c r="Y129" i="9"/>
  <c r="X129" i="9"/>
  <c r="W129" i="9"/>
  <c r="J129" i="9"/>
  <c r="H129" i="9"/>
  <c r="E128" i="9"/>
  <c r="E131" i="9" s="1"/>
  <c r="E123" i="9"/>
  <c r="E119" i="9"/>
  <c r="K118" i="9"/>
  <c r="E118" i="9"/>
  <c r="K117" i="9"/>
  <c r="E117" i="9"/>
  <c r="E115" i="9"/>
  <c r="J112" i="9"/>
  <c r="H112" i="9"/>
  <c r="J111" i="9"/>
  <c r="H111" i="9"/>
  <c r="J110" i="9"/>
  <c r="H110" i="9"/>
  <c r="J109" i="9"/>
  <c r="H109" i="9"/>
  <c r="J108" i="9"/>
  <c r="H108" i="9"/>
  <c r="J107" i="9"/>
  <c r="H107" i="9"/>
  <c r="J106" i="9"/>
  <c r="H106" i="9"/>
  <c r="J105" i="9"/>
  <c r="H105" i="9"/>
  <c r="J104" i="9"/>
  <c r="H104" i="9"/>
  <c r="J103" i="9"/>
  <c r="H103" i="9"/>
  <c r="J102" i="9"/>
  <c r="H102" i="9"/>
  <c r="J101" i="9"/>
  <c r="H101" i="9"/>
  <c r="E100" i="9"/>
  <c r="E112" i="9" s="1"/>
  <c r="M96" i="9"/>
  <c r="M95" i="9"/>
  <c r="M94" i="9"/>
  <c r="M93" i="9"/>
  <c r="M92" i="9"/>
  <c r="M91" i="9"/>
  <c r="M90" i="9"/>
  <c r="M89" i="9"/>
  <c r="M88" i="9"/>
  <c r="M87" i="9"/>
  <c r="M86" i="9"/>
  <c r="M85" i="9"/>
  <c r="M84" i="9"/>
  <c r="M79" i="9"/>
  <c r="M75" i="9"/>
  <c r="M74" i="9"/>
  <c r="M73" i="9"/>
  <c r="M71" i="9"/>
  <c r="M68" i="9"/>
  <c r="M67" i="9"/>
  <c r="M66" i="9"/>
  <c r="M65" i="9"/>
  <c r="M64" i="9"/>
  <c r="M63" i="9"/>
  <c r="M62" i="9"/>
  <c r="M61" i="9"/>
  <c r="M60" i="9"/>
  <c r="M59" i="9"/>
  <c r="M58" i="9"/>
  <c r="M57" i="9"/>
  <c r="M56" i="9"/>
  <c r="AA96" i="9"/>
  <c r="Z96" i="9"/>
  <c r="Y96" i="9"/>
  <c r="X96" i="9"/>
  <c r="W96" i="9"/>
  <c r="J96" i="9"/>
  <c r="H96" i="9"/>
  <c r="AA95" i="9"/>
  <c r="Z95" i="9"/>
  <c r="Y95" i="9"/>
  <c r="X95" i="9"/>
  <c r="W95" i="9"/>
  <c r="J95" i="9"/>
  <c r="H95" i="9"/>
  <c r="AA94" i="9"/>
  <c r="Z94" i="9"/>
  <c r="Y94" i="9"/>
  <c r="X94" i="9"/>
  <c r="W94" i="9"/>
  <c r="J94" i="9"/>
  <c r="H94" i="9"/>
  <c r="AA93" i="9"/>
  <c r="Z93" i="9"/>
  <c r="Y93" i="9"/>
  <c r="X93" i="9"/>
  <c r="W93" i="9"/>
  <c r="J93" i="9"/>
  <c r="H93" i="9"/>
  <c r="AA92" i="9"/>
  <c r="Z92" i="9"/>
  <c r="Y92" i="9"/>
  <c r="X92" i="9"/>
  <c r="W92" i="9"/>
  <c r="J92" i="9"/>
  <c r="H92" i="9"/>
  <c r="AA91" i="9"/>
  <c r="Z91" i="9"/>
  <c r="Y91" i="9"/>
  <c r="X91" i="9"/>
  <c r="W91" i="9"/>
  <c r="J91" i="9"/>
  <c r="H91" i="9"/>
  <c r="AA90" i="9"/>
  <c r="Z90" i="9"/>
  <c r="Y90" i="9"/>
  <c r="X90" i="9"/>
  <c r="W90" i="9"/>
  <c r="J90" i="9"/>
  <c r="H90" i="9"/>
  <c r="AA89" i="9"/>
  <c r="Z89" i="9"/>
  <c r="Y89" i="9"/>
  <c r="X89" i="9"/>
  <c r="W89" i="9"/>
  <c r="J89" i="9"/>
  <c r="H89" i="9"/>
  <c r="AA88" i="9"/>
  <c r="Z88" i="9"/>
  <c r="Y88" i="9"/>
  <c r="X88" i="9"/>
  <c r="W88" i="9"/>
  <c r="J88" i="9"/>
  <c r="H88" i="9"/>
  <c r="AA87" i="9"/>
  <c r="Z87" i="9"/>
  <c r="Y87" i="9"/>
  <c r="X87" i="9"/>
  <c r="W87" i="9"/>
  <c r="J87" i="9"/>
  <c r="H87" i="9"/>
  <c r="AA86" i="9"/>
  <c r="Z86" i="9"/>
  <c r="Y86" i="9"/>
  <c r="X86" i="9"/>
  <c r="W86" i="9"/>
  <c r="J86" i="9"/>
  <c r="H86" i="9"/>
  <c r="AA85" i="9"/>
  <c r="Z85" i="9"/>
  <c r="Y85" i="9"/>
  <c r="X85" i="9"/>
  <c r="W85" i="9"/>
  <c r="J85" i="9"/>
  <c r="H85" i="9"/>
  <c r="E84" i="9"/>
  <c r="E96" i="9" s="1"/>
  <c r="E79" i="9"/>
  <c r="E75" i="9"/>
  <c r="K74" i="9"/>
  <c r="E74" i="9"/>
  <c r="K73" i="9"/>
  <c r="E73" i="9"/>
  <c r="E71" i="9"/>
  <c r="J68" i="9"/>
  <c r="H68" i="9"/>
  <c r="J67" i="9"/>
  <c r="H67" i="9"/>
  <c r="J66" i="9"/>
  <c r="H66" i="9"/>
  <c r="J65" i="9"/>
  <c r="H65" i="9"/>
  <c r="J64" i="9"/>
  <c r="H64" i="9"/>
  <c r="J63" i="9"/>
  <c r="H63" i="9"/>
  <c r="J62" i="9"/>
  <c r="H62" i="9"/>
  <c r="J61" i="9"/>
  <c r="H61" i="9"/>
  <c r="J60" i="9"/>
  <c r="H60" i="9"/>
  <c r="J59" i="9"/>
  <c r="H59" i="9"/>
  <c r="J58" i="9"/>
  <c r="H58" i="9"/>
  <c r="J57" i="9"/>
  <c r="H57" i="9"/>
  <c r="E56" i="9"/>
  <c r="M52" i="9"/>
  <c r="M51" i="9"/>
  <c r="M50" i="9"/>
  <c r="M49" i="9"/>
  <c r="M48" i="9"/>
  <c r="M47" i="9"/>
  <c r="M46" i="9"/>
  <c r="M45" i="9"/>
  <c r="M44" i="9"/>
  <c r="M43" i="9"/>
  <c r="M42" i="9"/>
  <c r="M41" i="9"/>
  <c r="M40" i="9"/>
  <c r="M35" i="9"/>
  <c r="M31" i="9"/>
  <c r="M30" i="9"/>
  <c r="M29" i="9"/>
  <c r="M27" i="9"/>
  <c r="M24" i="9"/>
  <c r="M23" i="9"/>
  <c r="M22" i="9"/>
  <c r="M21" i="9"/>
  <c r="M20" i="9"/>
  <c r="M19" i="9"/>
  <c r="M18" i="9"/>
  <c r="M17" i="9"/>
  <c r="M16" i="9"/>
  <c r="M15" i="9"/>
  <c r="M14" i="9"/>
  <c r="M13" i="9"/>
  <c r="M12" i="9"/>
  <c r="K30" i="9"/>
  <c r="K29" i="9"/>
  <c r="M8" i="9"/>
  <c r="G8" i="9"/>
  <c r="E8" i="9"/>
  <c r="Q2" i="9"/>
  <c r="R2" i="9" s="1"/>
  <c r="S2" i="9" s="1"/>
  <c r="T2" i="9" s="1"/>
  <c r="U2" i="9" s="1"/>
  <c r="V2" i="9" s="1"/>
  <c r="W2" i="9" s="1"/>
  <c r="X2" i="9" s="1"/>
  <c r="Y2" i="9" s="1"/>
  <c r="Z2" i="9" s="1"/>
  <c r="AA2" i="9" s="1"/>
  <c r="M1" i="9"/>
  <c r="AA52" i="9"/>
  <c r="Z52" i="9"/>
  <c r="Y52" i="9"/>
  <c r="X52" i="9"/>
  <c r="W52" i="9"/>
  <c r="J52" i="9"/>
  <c r="H52" i="9"/>
  <c r="AA51" i="9"/>
  <c r="Z51" i="9"/>
  <c r="Y51" i="9"/>
  <c r="X51" i="9"/>
  <c r="W51" i="9"/>
  <c r="J51" i="9"/>
  <c r="H51" i="9"/>
  <c r="AA50" i="9"/>
  <c r="Z50" i="9"/>
  <c r="Y50" i="9"/>
  <c r="X50" i="9"/>
  <c r="W50" i="9"/>
  <c r="P50" i="9"/>
  <c r="J50" i="9"/>
  <c r="H50" i="9"/>
  <c r="AA49" i="9"/>
  <c r="Z49" i="9"/>
  <c r="Y49" i="9"/>
  <c r="X49" i="9"/>
  <c r="W49" i="9"/>
  <c r="J49" i="9"/>
  <c r="H49" i="9"/>
  <c r="AA48" i="9"/>
  <c r="Z48" i="9"/>
  <c r="Y48" i="9"/>
  <c r="X48" i="9"/>
  <c r="W48" i="9"/>
  <c r="J48" i="9"/>
  <c r="H48" i="9"/>
  <c r="AA47" i="9"/>
  <c r="Z47" i="9"/>
  <c r="Y47" i="9"/>
  <c r="X47" i="9"/>
  <c r="W47" i="9"/>
  <c r="J47" i="9"/>
  <c r="H47" i="9"/>
  <c r="AA46" i="9"/>
  <c r="Z46" i="9"/>
  <c r="Y46" i="9"/>
  <c r="X46" i="9"/>
  <c r="W46" i="9"/>
  <c r="J46" i="9"/>
  <c r="H46" i="9"/>
  <c r="AA45" i="9"/>
  <c r="Z45" i="9"/>
  <c r="Y45" i="9"/>
  <c r="X45" i="9"/>
  <c r="W45" i="9"/>
  <c r="P45" i="9"/>
  <c r="J45" i="9"/>
  <c r="H45" i="9"/>
  <c r="AA44" i="9"/>
  <c r="Z44" i="9"/>
  <c r="Y44" i="9"/>
  <c r="X44" i="9"/>
  <c r="W44" i="9"/>
  <c r="P44" i="9"/>
  <c r="J44" i="9"/>
  <c r="H44" i="9"/>
  <c r="AA43" i="9"/>
  <c r="Z43" i="9"/>
  <c r="Y43" i="9"/>
  <c r="X43" i="9"/>
  <c r="W43" i="9"/>
  <c r="P43" i="9"/>
  <c r="J43" i="9"/>
  <c r="H43" i="9"/>
  <c r="AA42" i="9"/>
  <c r="Z42" i="9"/>
  <c r="Y42" i="9"/>
  <c r="X42" i="9"/>
  <c r="W42" i="9"/>
  <c r="J42" i="9"/>
  <c r="H42" i="9"/>
  <c r="AA41" i="9"/>
  <c r="Z41" i="9"/>
  <c r="Y41" i="9"/>
  <c r="X41" i="9"/>
  <c r="W41" i="9"/>
  <c r="J41" i="9"/>
  <c r="H41" i="9"/>
  <c r="E40" i="9"/>
  <c r="E35" i="9"/>
  <c r="E31" i="9"/>
  <c r="E30" i="9"/>
  <c r="E29" i="9"/>
  <c r="E27" i="9"/>
  <c r="AA24" i="9"/>
  <c r="Z24" i="9"/>
  <c r="Y24" i="9"/>
  <c r="X24" i="9"/>
  <c r="W24" i="9"/>
  <c r="J24" i="9"/>
  <c r="H24" i="9"/>
  <c r="AA23" i="9"/>
  <c r="Z23" i="9"/>
  <c r="Y23" i="9"/>
  <c r="X23" i="9"/>
  <c r="W23" i="9"/>
  <c r="J23" i="9"/>
  <c r="H23" i="9"/>
  <c r="AA22" i="9"/>
  <c r="Z22" i="9"/>
  <c r="Y22" i="9"/>
  <c r="X22" i="9"/>
  <c r="W22" i="9"/>
  <c r="J22" i="9"/>
  <c r="H22" i="9"/>
  <c r="AA21" i="9"/>
  <c r="Z21" i="9"/>
  <c r="Y21" i="9"/>
  <c r="X21" i="9"/>
  <c r="W21" i="9"/>
  <c r="J21" i="9"/>
  <c r="H21" i="9"/>
  <c r="AA20" i="9"/>
  <c r="Z20" i="9"/>
  <c r="Y20" i="9"/>
  <c r="X20" i="9"/>
  <c r="W20" i="9"/>
  <c r="J20" i="9"/>
  <c r="H20" i="9"/>
  <c r="AA19" i="9"/>
  <c r="Z19" i="9"/>
  <c r="Y19" i="9"/>
  <c r="X19" i="9"/>
  <c r="W19" i="9"/>
  <c r="J19" i="9"/>
  <c r="H19" i="9"/>
  <c r="AA18" i="9"/>
  <c r="Z18" i="9"/>
  <c r="Y18" i="9"/>
  <c r="X18" i="9"/>
  <c r="W18" i="9"/>
  <c r="J18" i="9"/>
  <c r="H18" i="9"/>
  <c r="AA17" i="9"/>
  <c r="Z17" i="9"/>
  <c r="Y17" i="9"/>
  <c r="X17" i="9"/>
  <c r="W17" i="9"/>
  <c r="J17" i="9"/>
  <c r="H17" i="9"/>
  <c r="AA16" i="9"/>
  <c r="Z16" i="9"/>
  <c r="Y16" i="9"/>
  <c r="X16" i="9"/>
  <c r="W16" i="9"/>
  <c r="J16" i="9"/>
  <c r="H16" i="9"/>
  <c r="AA15" i="9"/>
  <c r="Z15" i="9"/>
  <c r="Y15" i="9"/>
  <c r="X15" i="9"/>
  <c r="W15" i="9"/>
  <c r="J15" i="9"/>
  <c r="H15" i="9"/>
  <c r="AA14" i="9"/>
  <c r="Z14" i="9"/>
  <c r="Y14" i="9"/>
  <c r="X14" i="9"/>
  <c r="W14" i="9"/>
  <c r="J14" i="9"/>
  <c r="H14" i="9"/>
  <c r="AA13" i="9"/>
  <c r="Z13" i="9"/>
  <c r="Y13" i="9"/>
  <c r="X13" i="9"/>
  <c r="W13" i="9"/>
  <c r="J13" i="9"/>
  <c r="H13" i="9"/>
  <c r="E12" i="9"/>
  <c r="Q2" i="3"/>
  <c r="R2" i="3" s="1"/>
  <c r="S2" i="3" s="1"/>
  <c r="T2" i="3" s="1"/>
  <c r="U2" i="3" s="1"/>
  <c r="V2" i="3" s="1"/>
  <c r="W2" i="3" s="1"/>
  <c r="X2" i="3" s="1"/>
  <c r="Y2" i="3" s="1"/>
  <c r="Z2" i="3" s="1"/>
  <c r="AA2" i="3" s="1"/>
  <c r="E246" i="3"/>
  <c r="E252" i="3" s="1"/>
  <c r="A253" i="3"/>
  <c r="B252" i="3"/>
  <c r="A252" i="3"/>
  <c r="A251" i="3"/>
  <c r="B250" i="3"/>
  <c r="A250" i="3"/>
  <c r="A249" i="3"/>
  <c r="B248" i="3"/>
  <c r="A248" i="3"/>
  <c r="A247" i="3"/>
  <c r="B246" i="3"/>
  <c r="A246" i="3"/>
  <c r="A245" i="3"/>
  <c r="A244" i="3"/>
  <c r="E236" i="3"/>
  <c r="E226" i="3"/>
  <c r="E232" i="3" s="1"/>
  <c r="A233" i="3"/>
  <c r="B232" i="3"/>
  <c r="A232" i="3"/>
  <c r="A231" i="3"/>
  <c r="B230" i="3"/>
  <c r="A230" i="3"/>
  <c r="A229" i="3"/>
  <c r="B228" i="3"/>
  <c r="A228" i="3"/>
  <c r="A227" i="3"/>
  <c r="B226" i="3"/>
  <c r="A226" i="3"/>
  <c r="A225" i="3"/>
  <c r="A224" i="3"/>
  <c r="E216" i="3"/>
  <c r="E218" i="3" s="1"/>
  <c r="A223" i="3"/>
  <c r="B222" i="3"/>
  <c r="A222" i="3"/>
  <c r="A221" i="3"/>
  <c r="B220" i="3"/>
  <c r="A220" i="3"/>
  <c r="A219" i="3"/>
  <c r="B218" i="3"/>
  <c r="A218" i="3"/>
  <c r="A217" i="3"/>
  <c r="B216" i="3"/>
  <c r="A216" i="3"/>
  <c r="A215" i="3"/>
  <c r="A214" i="3"/>
  <c r="E206" i="3"/>
  <c r="E196" i="3"/>
  <c r="E198" i="3" s="1"/>
  <c r="A203" i="3"/>
  <c r="B202" i="3"/>
  <c r="A202" i="3"/>
  <c r="A201" i="3"/>
  <c r="B200" i="3"/>
  <c r="A200" i="3"/>
  <c r="A199" i="3"/>
  <c r="B198" i="3"/>
  <c r="A198" i="3"/>
  <c r="A197" i="3"/>
  <c r="B196" i="3"/>
  <c r="A196" i="3"/>
  <c r="A195" i="3"/>
  <c r="E193" i="3"/>
  <c r="E30" i="5" l="1"/>
  <c r="G29" i="5"/>
  <c r="J207" i="10"/>
  <c r="E193" i="12"/>
  <c r="E330" i="14"/>
  <c r="E303" i="10"/>
  <c r="E214" i="12"/>
  <c r="E216" i="12"/>
  <c r="E191" i="14"/>
  <c r="E261" i="14"/>
  <c r="E271" i="14"/>
  <c r="E30" i="13"/>
  <c r="M41" i="14"/>
  <c r="E263" i="14"/>
  <c r="E248" i="3"/>
  <c r="P1" i="12"/>
  <c r="E88" i="9"/>
  <c r="E337" i="10"/>
  <c r="E23" i="12"/>
  <c r="E26" i="12"/>
  <c r="E66" i="14"/>
  <c r="E265" i="14"/>
  <c r="E91" i="9"/>
  <c r="E108" i="10"/>
  <c r="E111" i="10"/>
  <c r="E330" i="10"/>
  <c r="E341" i="10"/>
  <c r="E146" i="12"/>
  <c r="E212" i="12"/>
  <c r="E161" i="15"/>
  <c r="E181" i="15"/>
  <c r="E104" i="9"/>
  <c r="E117" i="10"/>
  <c r="E295" i="10"/>
  <c r="E305" i="10"/>
  <c r="P19" i="10"/>
  <c r="L104" i="10" s="1"/>
  <c r="E201" i="12"/>
  <c r="E315" i="13"/>
  <c r="E121" i="15"/>
  <c r="E139" i="9"/>
  <c r="E163" i="10"/>
  <c r="E377" i="10"/>
  <c r="E68" i="12"/>
  <c r="E160" i="12"/>
  <c r="E219" i="12"/>
  <c r="E89" i="13"/>
  <c r="E109" i="10"/>
  <c r="E112" i="10"/>
  <c r="E115" i="10"/>
  <c r="E160" i="10"/>
  <c r="E167" i="10"/>
  <c r="E299" i="10"/>
  <c r="E215" i="12"/>
  <c r="E316" i="12"/>
  <c r="E47" i="14"/>
  <c r="E61" i="14"/>
  <c r="E22" i="12"/>
  <c r="E25" i="12"/>
  <c r="E211" i="12"/>
  <c r="E222" i="12"/>
  <c r="E65" i="14"/>
  <c r="E315" i="11"/>
  <c r="E375" i="10"/>
  <c r="E148" i="12"/>
  <c r="E87" i="13"/>
  <c r="E119" i="15"/>
  <c r="E113" i="10"/>
  <c r="E116" i="10"/>
  <c r="E119" i="10"/>
  <c r="E297" i="10"/>
  <c r="E123" i="12"/>
  <c r="E218" i="12"/>
  <c r="E271" i="12"/>
  <c r="E52" i="15"/>
  <c r="E131" i="12"/>
  <c r="E130" i="12"/>
  <c r="E87" i="15"/>
  <c r="E107" i="15"/>
  <c r="E89" i="15"/>
  <c r="E38" i="15"/>
  <c r="E50" i="15"/>
  <c r="E82" i="15"/>
  <c r="E141" i="15"/>
  <c r="E68" i="13"/>
  <c r="E101" i="13"/>
  <c r="E107" i="13"/>
  <c r="E123" i="13"/>
  <c r="E109" i="13"/>
  <c r="E228" i="13"/>
  <c r="E70" i="13"/>
  <c r="E119" i="13"/>
  <c r="E28" i="13"/>
  <c r="E30" i="11"/>
  <c r="E99" i="11"/>
  <c r="E121" i="11"/>
  <c r="E123" i="11"/>
  <c r="E28" i="11"/>
  <c r="E97" i="11"/>
  <c r="E18" i="11"/>
  <c r="E68" i="11"/>
  <c r="J207" i="14"/>
  <c r="M41" i="10"/>
  <c r="J257" i="10"/>
  <c r="G6" i="15"/>
  <c r="P19" i="14"/>
  <c r="L104" i="14" s="1"/>
  <c r="E31" i="10"/>
  <c r="E20" i="10"/>
  <c r="E21" i="10"/>
  <c r="E52" i="10"/>
  <c r="E51" i="10"/>
  <c r="E44" i="10"/>
  <c r="E49" i="10"/>
  <c r="E50" i="10"/>
  <c r="E53" i="10"/>
  <c r="E199" i="10"/>
  <c r="E195" i="10"/>
  <c r="E191" i="10"/>
  <c r="E192" i="10"/>
  <c r="E202" i="10"/>
  <c r="E313" i="10"/>
  <c r="E118" i="12"/>
  <c r="E113" i="12"/>
  <c r="E117" i="12"/>
  <c r="E116" i="12"/>
  <c r="E115" i="12"/>
  <c r="E101" i="14"/>
  <c r="E90" i="14"/>
  <c r="E92" i="14"/>
  <c r="E96" i="14"/>
  <c r="E91" i="14"/>
  <c r="E321" i="14"/>
  <c r="E314" i="14"/>
  <c r="E323" i="14"/>
  <c r="E320" i="14"/>
  <c r="E322" i="14"/>
  <c r="E312" i="14"/>
  <c r="E315" i="14"/>
  <c r="E318" i="14"/>
  <c r="E70" i="15"/>
  <c r="E68" i="15"/>
  <c r="E72" i="15"/>
  <c r="E47" i="10"/>
  <c r="E48" i="10"/>
  <c r="E198" i="10"/>
  <c r="E201" i="10"/>
  <c r="E312" i="10"/>
  <c r="P122" i="10"/>
  <c r="E111" i="12"/>
  <c r="E119" i="12"/>
  <c r="E236" i="12"/>
  <c r="E226" i="12"/>
  <c r="E230" i="12"/>
  <c r="E234" i="12"/>
  <c r="E233" i="12"/>
  <c r="E401" i="12"/>
  <c r="E236" i="14"/>
  <c r="E227" i="14"/>
  <c r="E237" i="14"/>
  <c r="E233" i="14"/>
  <c r="E228" i="14"/>
  <c r="E231" i="14"/>
  <c r="E234" i="14"/>
  <c r="E226" i="14"/>
  <c r="E252" i="14"/>
  <c r="E251" i="14"/>
  <c r="E250" i="14"/>
  <c r="E247" i="14"/>
  <c r="E243" i="14"/>
  <c r="E242" i="14"/>
  <c r="E246" i="14"/>
  <c r="E245" i="14"/>
  <c r="E241" i="14"/>
  <c r="E249" i="14"/>
  <c r="E288" i="14"/>
  <c r="E284" i="14"/>
  <c r="E285" i="14"/>
  <c r="E282" i="14"/>
  <c r="E283" i="14"/>
  <c r="E289" i="14"/>
  <c r="E286" i="14"/>
  <c r="E281" i="14"/>
  <c r="E290" i="14"/>
  <c r="E60" i="15"/>
  <c r="E58" i="15"/>
  <c r="E287" i="15"/>
  <c r="E285" i="15"/>
  <c r="E95" i="9"/>
  <c r="E89" i="9"/>
  <c r="E85" i="9"/>
  <c r="E92" i="9"/>
  <c r="E23" i="10"/>
  <c r="E46" i="10"/>
  <c r="E55" i="10"/>
  <c r="E164" i="10"/>
  <c r="E159" i="10"/>
  <c r="E194" i="10"/>
  <c r="E197" i="10"/>
  <c r="E200" i="10"/>
  <c r="E252" i="10"/>
  <c r="E28" i="12"/>
  <c r="E24" i="12"/>
  <c r="E20" i="12"/>
  <c r="E21" i="12"/>
  <c r="E31" i="12"/>
  <c r="E108" i="12"/>
  <c r="E109" i="12"/>
  <c r="E112" i="12"/>
  <c r="E202" i="12"/>
  <c r="E198" i="12"/>
  <c r="E194" i="12"/>
  <c r="E199" i="12"/>
  <c r="E195" i="12"/>
  <c r="E191" i="12"/>
  <c r="E192" i="12"/>
  <c r="E200" i="12"/>
  <c r="E235" i="14"/>
  <c r="E287" i="14"/>
  <c r="E80" i="11"/>
  <c r="E82" i="11"/>
  <c r="E250" i="13"/>
  <c r="E87" i="9"/>
  <c r="E93" i="9"/>
  <c r="E136" i="9"/>
  <c r="E22" i="10"/>
  <c r="E45" i="10"/>
  <c r="E54" i="10"/>
  <c r="E193" i="10"/>
  <c r="E196" i="10"/>
  <c r="E27" i="12"/>
  <c r="E30" i="12"/>
  <c r="E60" i="12"/>
  <c r="E169" i="12"/>
  <c r="E166" i="12"/>
  <c r="E161" i="12"/>
  <c r="E197" i="12"/>
  <c r="J207" i="12"/>
  <c r="E95" i="14"/>
  <c r="E186" i="14"/>
  <c r="E178" i="14"/>
  <c r="E183" i="14"/>
  <c r="E182" i="14"/>
  <c r="E187" i="14"/>
  <c r="E230" i="14"/>
  <c r="E316" i="14"/>
  <c r="E319" i="14"/>
  <c r="E89" i="11"/>
  <c r="E91" i="11"/>
  <c r="E210" i="15"/>
  <c r="E208" i="15"/>
  <c r="E212" i="15"/>
  <c r="E230" i="15"/>
  <c r="E232" i="15"/>
  <c r="E228" i="15"/>
  <c r="E127" i="12"/>
  <c r="E323" i="12"/>
  <c r="E312" i="12"/>
  <c r="P7" i="14"/>
  <c r="P1" i="14"/>
  <c r="Q1" i="14" s="1"/>
  <c r="E133" i="14"/>
  <c r="E130" i="14"/>
  <c r="E127" i="14"/>
  <c r="E126" i="14"/>
  <c r="E381" i="14"/>
  <c r="E379" i="14"/>
  <c r="E48" i="11"/>
  <c r="E250" i="11"/>
  <c r="E210" i="13"/>
  <c r="E212" i="13"/>
  <c r="E208" i="13"/>
  <c r="E110" i="10"/>
  <c r="E114" i="10"/>
  <c r="E301" i="10"/>
  <c r="E376" i="10"/>
  <c r="M41" i="12"/>
  <c r="E126" i="12"/>
  <c r="E134" i="12"/>
  <c r="E314" i="12"/>
  <c r="E319" i="12"/>
  <c r="P19" i="12"/>
  <c r="E70" i="14"/>
  <c r="E67" i="14"/>
  <c r="E63" i="14"/>
  <c r="E62" i="14"/>
  <c r="E59" i="14"/>
  <c r="E125" i="14"/>
  <c r="E143" i="14"/>
  <c r="E22" i="11"/>
  <c r="E50" i="11"/>
  <c r="E169" i="11"/>
  <c r="E171" i="11"/>
  <c r="E139" i="13"/>
  <c r="E143" i="13"/>
  <c r="E141" i="13"/>
  <c r="E220" i="12"/>
  <c r="E200" i="14"/>
  <c r="E202" i="14"/>
  <c r="E201" i="14"/>
  <c r="E198" i="14"/>
  <c r="E197" i="14"/>
  <c r="E194" i="14"/>
  <c r="E193" i="14"/>
  <c r="E195" i="14"/>
  <c r="E222" i="14"/>
  <c r="E221" i="14"/>
  <c r="E216" i="14"/>
  <c r="J257" i="14"/>
  <c r="E293" i="11"/>
  <c r="E295" i="11"/>
  <c r="E28" i="15"/>
  <c r="E30" i="15"/>
  <c r="E78" i="13"/>
  <c r="E80" i="13"/>
  <c r="E82" i="13"/>
  <c r="E161" i="13"/>
  <c r="E111" i="15"/>
  <c r="E267" i="14"/>
  <c r="E157" i="13"/>
  <c r="E177" i="13"/>
  <c r="E232" i="13"/>
  <c r="E295" i="13"/>
  <c r="E157" i="15"/>
  <c r="E181" i="13"/>
  <c r="E177" i="15"/>
  <c r="P1" i="11"/>
  <c r="P7" i="13"/>
  <c r="P8" i="12"/>
  <c r="P8" i="13" s="1"/>
  <c r="P7" i="10"/>
  <c r="E42" i="15"/>
  <c r="E62" i="15"/>
  <c r="E18" i="15"/>
  <c r="E22" i="15"/>
  <c r="E78" i="15"/>
  <c r="E97" i="15"/>
  <c r="E101" i="15"/>
  <c r="E139" i="15"/>
  <c r="E242" i="15"/>
  <c r="E240" i="15"/>
  <c r="E238" i="15"/>
  <c r="E171" i="15"/>
  <c r="E167" i="15"/>
  <c r="E202" i="15"/>
  <c r="E198" i="15"/>
  <c r="E200" i="15"/>
  <c r="E222" i="15"/>
  <c r="E218" i="15"/>
  <c r="E277" i="15"/>
  <c r="E273" i="15"/>
  <c r="E275" i="15"/>
  <c r="E295" i="15"/>
  <c r="E315" i="15"/>
  <c r="E248" i="15"/>
  <c r="E252" i="15"/>
  <c r="E283" i="15"/>
  <c r="E297" i="15"/>
  <c r="E303" i="15"/>
  <c r="E317" i="15"/>
  <c r="E305" i="15"/>
  <c r="E40" i="13"/>
  <c r="E42" i="13"/>
  <c r="E38" i="13"/>
  <c r="E62" i="13"/>
  <c r="E60" i="13"/>
  <c r="E58" i="13"/>
  <c r="E22" i="13"/>
  <c r="E18" i="13"/>
  <c r="E48" i="13"/>
  <c r="E50" i="13"/>
  <c r="E52" i="13"/>
  <c r="E97" i="13"/>
  <c r="E242" i="13"/>
  <c r="E240" i="13"/>
  <c r="E238" i="13"/>
  <c r="E277" i="13"/>
  <c r="E273" i="13"/>
  <c r="E275" i="13"/>
  <c r="E171" i="13"/>
  <c r="E167" i="13"/>
  <c r="E169" i="13"/>
  <c r="E202" i="13"/>
  <c r="E198" i="13"/>
  <c r="E200" i="13"/>
  <c r="E222" i="13"/>
  <c r="E218" i="13"/>
  <c r="E287" i="13"/>
  <c r="E285" i="13"/>
  <c r="E283" i="13"/>
  <c r="E307" i="13"/>
  <c r="E305" i="13"/>
  <c r="E303" i="13"/>
  <c r="E248" i="13"/>
  <c r="E252" i="13"/>
  <c r="E297" i="13"/>
  <c r="E317" i="13"/>
  <c r="P193" i="11"/>
  <c r="E40" i="11"/>
  <c r="E42" i="11"/>
  <c r="E38" i="11"/>
  <c r="E161" i="11"/>
  <c r="E157" i="11"/>
  <c r="E181" i="11"/>
  <c r="E179" i="11"/>
  <c r="E62" i="11"/>
  <c r="E109" i="11"/>
  <c r="E107" i="11"/>
  <c r="E139" i="11"/>
  <c r="E141" i="11"/>
  <c r="E159" i="11"/>
  <c r="E208" i="11"/>
  <c r="E212" i="11"/>
  <c r="E210" i="11"/>
  <c r="E167" i="11"/>
  <c r="E228" i="11"/>
  <c r="E232" i="11"/>
  <c r="E230" i="11"/>
  <c r="E58" i="11"/>
  <c r="E111" i="11"/>
  <c r="E177" i="11"/>
  <c r="E287" i="11"/>
  <c r="E285" i="11"/>
  <c r="E283" i="11"/>
  <c r="E70" i="11"/>
  <c r="E87" i="11"/>
  <c r="E198" i="11"/>
  <c r="E202" i="11"/>
  <c r="E222" i="11"/>
  <c r="E218" i="11"/>
  <c r="E220" i="11"/>
  <c r="E240" i="11"/>
  <c r="E238" i="11"/>
  <c r="E277" i="11"/>
  <c r="E273" i="11"/>
  <c r="E275" i="11"/>
  <c r="E307" i="11"/>
  <c r="E305" i="11"/>
  <c r="E303" i="11"/>
  <c r="E248" i="11"/>
  <c r="E252" i="11"/>
  <c r="E297" i="11"/>
  <c r="E317" i="11"/>
  <c r="P201" i="14"/>
  <c r="P199" i="14"/>
  <c r="P122" i="14"/>
  <c r="E31" i="14"/>
  <c r="E30" i="14"/>
  <c r="E29" i="14"/>
  <c r="E28" i="14"/>
  <c r="E27" i="14"/>
  <c r="E26" i="14"/>
  <c r="E25" i="14"/>
  <c r="E24" i="14"/>
  <c r="E23" i="14"/>
  <c r="E22" i="14"/>
  <c r="E21" i="14"/>
  <c r="E20" i="14"/>
  <c r="E55" i="14"/>
  <c r="E54" i="14"/>
  <c r="E53" i="14"/>
  <c r="E52" i="14"/>
  <c r="E51" i="14"/>
  <c r="E50" i="14"/>
  <c r="E49" i="14"/>
  <c r="E48" i="14"/>
  <c r="E45" i="14"/>
  <c r="E44" i="14"/>
  <c r="J80" i="14"/>
  <c r="E148" i="14"/>
  <c r="E144" i="14"/>
  <c r="E140" i="14"/>
  <c r="E146" i="14"/>
  <c r="E147" i="14"/>
  <c r="E142" i="14"/>
  <c r="E145" i="14"/>
  <c r="E141" i="14"/>
  <c r="E138" i="14"/>
  <c r="E100" i="14"/>
  <c r="E97" i="14"/>
  <c r="E93" i="14"/>
  <c r="E94" i="14"/>
  <c r="E98" i="14"/>
  <c r="E99" i="14"/>
  <c r="E132" i="14"/>
  <c r="E128" i="14"/>
  <c r="E124" i="14"/>
  <c r="E134" i="14"/>
  <c r="E129" i="14"/>
  <c r="E123" i="14"/>
  <c r="E60" i="14"/>
  <c r="E64" i="14"/>
  <c r="E68" i="14"/>
  <c r="E181" i="14"/>
  <c r="E184" i="14"/>
  <c r="E180" i="14"/>
  <c r="E176" i="14"/>
  <c r="E179" i="14"/>
  <c r="E185" i="14"/>
  <c r="E219" i="14"/>
  <c r="E215" i="14"/>
  <c r="E211" i="14"/>
  <c r="E217" i="14"/>
  <c r="E220" i="14"/>
  <c r="E218" i="14"/>
  <c r="E212" i="14"/>
  <c r="E213" i="14"/>
  <c r="E192" i="14"/>
  <c r="E196" i="14"/>
  <c r="E158" i="14"/>
  <c r="E159" i="14"/>
  <c r="E160" i="14"/>
  <c r="E161" i="14"/>
  <c r="E162" i="14"/>
  <c r="E163" i="14"/>
  <c r="E164" i="14"/>
  <c r="E165" i="14"/>
  <c r="E166" i="14"/>
  <c r="E167" i="14"/>
  <c r="E168" i="14"/>
  <c r="E232" i="14"/>
  <c r="E305" i="14"/>
  <c r="E303" i="14"/>
  <c r="E301" i="14"/>
  <c r="E299" i="14"/>
  <c r="E297" i="14"/>
  <c r="E295" i="14"/>
  <c r="E304" i="14"/>
  <c r="E302" i="14"/>
  <c r="E300" i="14"/>
  <c r="E298" i="14"/>
  <c r="E296" i="14"/>
  <c r="E294" i="14"/>
  <c r="E244" i="14"/>
  <c r="E248" i="14"/>
  <c r="E264" i="14"/>
  <c r="E268" i="14"/>
  <c r="E272" i="14"/>
  <c r="E280" i="14"/>
  <c r="E279" i="14"/>
  <c r="E262" i="14"/>
  <c r="E266" i="14"/>
  <c r="E270" i="14"/>
  <c r="E313" i="14"/>
  <c r="E317" i="14"/>
  <c r="E341" i="14"/>
  <c r="E340" i="14"/>
  <c r="E339" i="14"/>
  <c r="E338" i="14"/>
  <c r="E337" i="14"/>
  <c r="E336" i="14"/>
  <c r="E335" i="14"/>
  <c r="E334" i="14"/>
  <c r="E332" i="14"/>
  <c r="E333" i="14"/>
  <c r="E382" i="14"/>
  <c r="E385" i="14"/>
  <c r="E401" i="14"/>
  <c r="E400" i="14"/>
  <c r="E399" i="14"/>
  <c r="E398" i="14"/>
  <c r="E397" i="14"/>
  <c r="E396" i="14"/>
  <c r="E395" i="14"/>
  <c r="E394" i="14"/>
  <c r="E393" i="14"/>
  <c r="E392" i="14"/>
  <c r="E391" i="14"/>
  <c r="E390" i="14"/>
  <c r="E376" i="14"/>
  <c r="E377" i="14"/>
  <c r="E378" i="14"/>
  <c r="E380" i="14"/>
  <c r="E384" i="14"/>
  <c r="E386" i="14"/>
  <c r="E375" i="14"/>
  <c r="E55" i="12"/>
  <c r="E51" i="12"/>
  <c r="E47" i="12"/>
  <c r="E54" i="12"/>
  <c r="E50" i="12"/>
  <c r="E46" i="12"/>
  <c r="E49" i="12"/>
  <c r="P122" i="12"/>
  <c r="L104" i="12"/>
  <c r="E44" i="12"/>
  <c r="E52" i="12"/>
  <c r="E61" i="12"/>
  <c r="E69" i="12"/>
  <c r="E45" i="12"/>
  <c r="E53" i="12"/>
  <c r="E252" i="12"/>
  <c r="E251" i="12"/>
  <c r="E250" i="12"/>
  <c r="E249" i="12"/>
  <c r="E248" i="12"/>
  <c r="E247" i="12"/>
  <c r="E243" i="12"/>
  <c r="E246" i="12"/>
  <c r="E242" i="12"/>
  <c r="E244" i="12"/>
  <c r="E245" i="12"/>
  <c r="E241" i="12"/>
  <c r="E48" i="12"/>
  <c r="E67" i="12"/>
  <c r="E63" i="12"/>
  <c r="E59" i="12"/>
  <c r="E70" i="12"/>
  <c r="E66" i="12"/>
  <c r="E62" i="12"/>
  <c r="E65" i="12"/>
  <c r="E101" i="12"/>
  <c r="E100" i="12"/>
  <c r="E99" i="12"/>
  <c r="E98" i="12"/>
  <c r="E97" i="12"/>
  <c r="E96" i="12"/>
  <c r="E95" i="12"/>
  <c r="E94" i="12"/>
  <c r="E93" i="12"/>
  <c r="E92" i="12"/>
  <c r="E91" i="12"/>
  <c r="E90" i="12"/>
  <c r="E143" i="12"/>
  <c r="E142" i="12"/>
  <c r="E141" i="12"/>
  <c r="E140" i="12"/>
  <c r="E139" i="12"/>
  <c r="E138" i="12"/>
  <c r="E124" i="12"/>
  <c r="E128" i="12"/>
  <c r="E132" i="12"/>
  <c r="E145" i="12"/>
  <c r="E147" i="12"/>
  <c r="E149" i="12"/>
  <c r="E158" i="12"/>
  <c r="E164" i="12"/>
  <c r="E125" i="12"/>
  <c r="E129" i="12"/>
  <c r="E167" i="12"/>
  <c r="E163" i="12"/>
  <c r="E159" i="12"/>
  <c r="E162" i="12"/>
  <c r="E168" i="12"/>
  <c r="E187" i="12"/>
  <c r="E186" i="12"/>
  <c r="E185" i="12"/>
  <c r="E184" i="12"/>
  <c r="E183" i="12"/>
  <c r="E182" i="12"/>
  <c r="E181" i="12"/>
  <c r="E180" i="12"/>
  <c r="E179" i="12"/>
  <c r="E178" i="12"/>
  <c r="E177" i="12"/>
  <c r="E176" i="12"/>
  <c r="E110" i="12"/>
  <c r="E114" i="12"/>
  <c r="E237" i="12"/>
  <c r="E272" i="12"/>
  <c r="E270" i="12"/>
  <c r="E266" i="12"/>
  <c r="E261" i="12"/>
  <c r="E269" i="12"/>
  <c r="E265" i="12"/>
  <c r="E264" i="12"/>
  <c r="E263" i="12"/>
  <c r="E262" i="12"/>
  <c r="E227" i="12"/>
  <c r="E231" i="12"/>
  <c r="E235" i="12"/>
  <c r="E228" i="12"/>
  <c r="E232" i="12"/>
  <c r="J257" i="12"/>
  <c r="E267" i="12"/>
  <c r="E213" i="12"/>
  <c r="E217" i="12"/>
  <c r="E315" i="12"/>
  <c r="E290" i="12"/>
  <c r="E289" i="12"/>
  <c r="E288" i="12"/>
  <c r="E287" i="12"/>
  <c r="E286" i="12"/>
  <c r="E285" i="12"/>
  <c r="E284" i="12"/>
  <c r="E283" i="12"/>
  <c r="E282" i="12"/>
  <c r="E281" i="12"/>
  <c r="E280" i="12"/>
  <c r="E279" i="12"/>
  <c r="E322" i="12"/>
  <c r="E318" i="12"/>
  <c r="E313" i="12"/>
  <c r="E317" i="12"/>
  <c r="E320" i="12"/>
  <c r="E294" i="12"/>
  <c r="E295" i="12"/>
  <c r="E296" i="12"/>
  <c r="E297" i="12"/>
  <c r="E298" i="12"/>
  <c r="E299" i="12"/>
  <c r="E300" i="12"/>
  <c r="E301" i="12"/>
  <c r="E302" i="12"/>
  <c r="E303" i="12"/>
  <c r="E304" i="12"/>
  <c r="E386" i="12"/>
  <c r="E385" i="12"/>
  <c r="E384" i="12"/>
  <c r="E383" i="12"/>
  <c r="E382" i="12"/>
  <c r="E381" i="12"/>
  <c r="E380" i="12"/>
  <c r="E379" i="12"/>
  <c r="E376" i="12"/>
  <c r="E341" i="12"/>
  <c r="E340" i="12"/>
  <c r="E339" i="12"/>
  <c r="E338" i="12"/>
  <c r="E337" i="12"/>
  <c r="E336" i="12"/>
  <c r="E335" i="12"/>
  <c r="E334" i="12"/>
  <c r="E333" i="12"/>
  <c r="E332" i="12"/>
  <c r="E331" i="12"/>
  <c r="E378" i="12"/>
  <c r="E390" i="12"/>
  <c r="E391" i="12"/>
  <c r="E392" i="12"/>
  <c r="E393" i="12"/>
  <c r="E394" i="12"/>
  <c r="E395" i="12"/>
  <c r="E396" i="12"/>
  <c r="E397" i="12"/>
  <c r="E398" i="12"/>
  <c r="E399" i="12"/>
  <c r="E400" i="12"/>
  <c r="E133" i="10"/>
  <c r="E130" i="10"/>
  <c r="E127" i="10"/>
  <c r="E123" i="10"/>
  <c r="E131" i="10"/>
  <c r="E126" i="10"/>
  <c r="E128" i="10"/>
  <c r="E70" i="10"/>
  <c r="E69" i="10"/>
  <c r="E68" i="10"/>
  <c r="E67" i="10"/>
  <c r="E66" i="10"/>
  <c r="E65" i="10"/>
  <c r="E64" i="10"/>
  <c r="E63" i="10"/>
  <c r="E62" i="10"/>
  <c r="E61" i="10"/>
  <c r="E60" i="10"/>
  <c r="E59" i="10"/>
  <c r="E129" i="10"/>
  <c r="P241" i="10"/>
  <c r="P202" i="10"/>
  <c r="P201" i="10"/>
  <c r="P200" i="10"/>
  <c r="P199" i="10"/>
  <c r="P198" i="10"/>
  <c r="P197" i="10"/>
  <c r="P196" i="10"/>
  <c r="P195" i="10"/>
  <c r="P194" i="10"/>
  <c r="P193" i="10"/>
  <c r="P192" i="10"/>
  <c r="Q1" i="10"/>
  <c r="P41" i="10"/>
  <c r="E124" i="10"/>
  <c r="E134" i="10"/>
  <c r="E101" i="10"/>
  <c r="E100" i="10"/>
  <c r="E99" i="10"/>
  <c r="E98" i="10"/>
  <c r="E97" i="10"/>
  <c r="E96" i="10"/>
  <c r="E95" i="10"/>
  <c r="E94" i="10"/>
  <c r="E93" i="10"/>
  <c r="E92" i="10"/>
  <c r="E91" i="10"/>
  <c r="E90" i="10"/>
  <c r="E125" i="10"/>
  <c r="E132" i="10"/>
  <c r="E187" i="10"/>
  <c r="E186" i="10"/>
  <c r="E185" i="10"/>
  <c r="E184" i="10"/>
  <c r="E183" i="10"/>
  <c r="E182" i="10"/>
  <c r="E181" i="10"/>
  <c r="E180" i="10"/>
  <c r="E179" i="10"/>
  <c r="E178" i="10"/>
  <c r="E177" i="10"/>
  <c r="E176" i="10"/>
  <c r="E24" i="10"/>
  <c r="E25" i="10"/>
  <c r="E26" i="10"/>
  <c r="E27" i="10"/>
  <c r="E28" i="10"/>
  <c r="E29" i="10"/>
  <c r="E30" i="10"/>
  <c r="E161" i="10"/>
  <c r="E165" i="10"/>
  <c r="E169" i="10"/>
  <c r="E149" i="10"/>
  <c r="E148" i="10"/>
  <c r="E147" i="10"/>
  <c r="E146" i="10"/>
  <c r="E145" i="10"/>
  <c r="E144" i="10"/>
  <c r="E143" i="10"/>
  <c r="E142" i="10"/>
  <c r="E141" i="10"/>
  <c r="E140" i="10"/>
  <c r="E139" i="10"/>
  <c r="E138" i="10"/>
  <c r="E158" i="10"/>
  <c r="E162" i="10"/>
  <c r="E166" i="10"/>
  <c r="E222" i="10"/>
  <c r="E221" i="10"/>
  <c r="E220" i="10"/>
  <c r="E219" i="10"/>
  <c r="E218" i="10"/>
  <c r="E217" i="10"/>
  <c r="E216" i="10"/>
  <c r="E215" i="10"/>
  <c r="E214" i="10"/>
  <c r="E213" i="10"/>
  <c r="E212" i="10"/>
  <c r="E211" i="10"/>
  <c r="E272" i="10"/>
  <c r="E268" i="10"/>
  <c r="E261" i="10"/>
  <c r="E271" i="10"/>
  <c r="E267" i="10"/>
  <c r="E270" i="10"/>
  <c r="E266" i="10"/>
  <c r="E264" i="10"/>
  <c r="E263" i="10"/>
  <c r="E262" i="10"/>
  <c r="E265" i="10"/>
  <c r="E237" i="10"/>
  <c r="E236" i="10"/>
  <c r="E235" i="10"/>
  <c r="E234" i="10"/>
  <c r="E233" i="10"/>
  <c r="E232" i="10"/>
  <c r="E231" i="10"/>
  <c r="E230" i="10"/>
  <c r="E229" i="10"/>
  <c r="E228" i="10"/>
  <c r="E227" i="10"/>
  <c r="E241" i="10"/>
  <c r="E242" i="10"/>
  <c r="E243" i="10"/>
  <c r="E244" i="10"/>
  <c r="E245" i="10"/>
  <c r="E246" i="10"/>
  <c r="E247" i="10"/>
  <c r="E248" i="10"/>
  <c r="E249" i="10"/>
  <c r="E250" i="10"/>
  <c r="E251" i="10"/>
  <c r="E290" i="10"/>
  <c r="E289" i="10"/>
  <c r="E288" i="10"/>
  <c r="E287" i="10"/>
  <c r="E286" i="10"/>
  <c r="E285" i="10"/>
  <c r="E284" i="10"/>
  <c r="E283" i="10"/>
  <c r="E282" i="10"/>
  <c r="E281" i="10"/>
  <c r="E280" i="10"/>
  <c r="E279" i="10"/>
  <c r="E296" i="10"/>
  <c r="E300" i="10"/>
  <c r="E304" i="10"/>
  <c r="E340" i="10"/>
  <c r="E338" i="10"/>
  <c r="E336" i="10"/>
  <c r="E334" i="10"/>
  <c r="E332" i="10"/>
  <c r="E331" i="10"/>
  <c r="E335" i="10"/>
  <c r="E339" i="10"/>
  <c r="E294" i="10"/>
  <c r="E298" i="10"/>
  <c r="E323" i="10"/>
  <c r="E322" i="10"/>
  <c r="E321" i="10"/>
  <c r="E320" i="10"/>
  <c r="E319" i="10"/>
  <c r="E318" i="10"/>
  <c r="E317" i="10"/>
  <c r="E316" i="10"/>
  <c r="E315" i="10"/>
  <c r="E314" i="10"/>
  <c r="E386" i="10"/>
  <c r="E385" i="10"/>
  <c r="E384" i="10"/>
  <c r="E383" i="10"/>
  <c r="E382" i="10"/>
  <c r="E381" i="10"/>
  <c r="E380" i="10"/>
  <c r="E379" i="10"/>
  <c r="E390" i="10"/>
  <c r="E391" i="10"/>
  <c r="E392" i="10"/>
  <c r="E393" i="10"/>
  <c r="E394" i="10"/>
  <c r="E395" i="10"/>
  <c r="E396" i="10"/>
  <c r="E397" i="10"/>
  <c r="E398" i="10"/>
  <c r="E399" i="10"/>
  <c r="E400" i="10"/>
  <c r="E22" i="9"/>
  <c r="E18" i="9"/>
  <c r="E14" i="9"/>
  <c r="E21" i="9"/>
  <c r="E17" i="9"/>
  <c r="E13" i="9"/>
  <c r="E50" i="9"/>
  <c r="E46" i="9"/>
  <c r="E42" i="9"/>
  <c r="E49" i="9"/>
  <c r="E45" i="9"/>
  <c r="E41" i="9"/>
  <c r="E66" i="9"/>
  <c r="E62" i="9"/>
  <c r="E58" i="9"/>
  <c r="E65" i="9"/>
  <c r="E61" i="9"/>
  <c r="E57" i="9"/>
  <c r="E59" i="9"/>
  <c r="E67" i="9"/>
  <c r="E16" i="9"/>
  <c r="E24" i="9"/>
  <c r="E48" i="9"/>
  <c r="E110" i="9"/>
  <c r="E106" i="9"/>
  <c r="E102" i="9"/>
  <c r="E109" i="9"/>
  <c r="E105" i="9"/>
  <c r="E101" i="9"/>
  <c r="E60" i="9"/>
  <c r="E68" i="9"/>
  <c r="E107" i="9"/>
  <c r="E19" i="9"/>
  <c r="E43" i="9"/>
  <c r="E51" i="9"/>
  <c r="E138" i="9"/>
  <c r="E134" i="9"/>
  <c r="E130" i="9"/>
  <c r="E137" i="9"/>
  <c r="E133" i="9"/>
  <c r="E129" i="9"/>
  <c r="E63" i="9"/>
  <c r="E108" i="9"/>
  <c r="E132" i="9"/>
  <c r="E140" i="9"/>
  <c r="E20" i="9"/>
  <c r="E44" i="9"/>
  <c r="E52" i="9"/>
  <c r="E64" i="9"/>
  <c r="E103" i="9"/>
  <c r="E111" i="9"/>
  <c r="E135" i="9"/>
  <c r="E15" i="9"/>
  <c r="E23" i="9"/>
  <c r="E47" i="9"/>
  <c r="E86" i="9"/>
  <c r="E90" i="9"/>
  <c r="E94" i="9"/>
  <c r="E200" i="3"/>
  <c r="E250" i="3"/>
  <c r="E230" i="3"/>
  <c r="E228" i="3"/>
  <c r="E222" i="3"/>
  <c r="E220" i="3"/>
  <c r="E202" i="3"/>
  <c r="P227" i="12" l="1"/>
  <c r="P243" i="12" s="1"/>
  <c r="E31" i="5"/>
  <c r="G30" i="5"/>
  <c r="P1" i="13"/>
  <c r="P195" i="12"/>
  <c r="P196" i="12"/>
  <c r="P192" i="12"/>
  <c r="P232" i="12"/>
  <c r="P248" i="12" s="1"/>
  <c r="Q1" i="12"/>
  <c r="Q1" i="13" s="1"/>
  <c r="P194" i="12"/>
  <c r="P41" i="12"/>
  <c r="P199" i="12"/>
  <c r="P198" i="12"/>
  <c r="P201" i="12"/>
  <c r="P200" i="12"/>
  <c r="P202" i="12"/>
  <c r="P197" i="12"/>
  <c r="P241" i="12"/>
  <c r="P193" i="12"/>
  <c r="P24" i="12"/>
  <c r="P48" i="12" s="1"/>
  <c r="Q1" i="15"/>
  <c r="Q1" i="11"/>
  <c r="P234" i="12"/>
  <c r="P250" i="12" s="1"/>
  <c r="P226" i="12"/>
  <c r="P242" i="12" s="1"/>
  <c r="J80" i="10"/>
  <c r="J83" i="10" s="1"/>
  <c r="K83" i="10" s="1"/>
  <c r="P6" i="12"/>
  <c r="P6" i="13" s="1"/>
  <c r="P127" i="12"/>
  <c r="P231" i="12"/>
  <c r="P247" i="12" s="1"/>
  <c r="P22" i="10"/>
  <c r="P125" i="14"/>
  <c r="P129" i="10"/>
  <c r="J104" i="14"/>
  <c r="J104" i="10"/>
  <c r="P22" i="12"/>
  <c r="P46" i="12" s="1"/>
  <c r="P61" i="12" s="1"/>
  <c r="P133" i="12"/>
  <c r="P23" i="10"/>
  <c r="P31" i="10"/>
  <c r="P123" i="10"/>
  <c r="P126" i="12"/>
  <c r="P130" i="10"/>
  <c r="P126" i="10"/>
  <c r="P29" i="12"/>
  <c r="P53" i="12" s="1"/>
  <c r="P68" i="12" s="1"/>
  <c r="J104" i="12"/>
  <c r="P20" i="12"/>
  <c r="P44" i="12" s="1"/>
  <c r="P59" i="12" s="1"/>
  <c r="P21" i="10"/>
  <c r="P25" i="12"/>
  <c r="P49" i="12" s="1"/>
  <c r="P64" i="12" s="1"/>
  <c r="P26" i="12"/>
  <c r="P50" i="12" s="1"/>
  <c r="P65" i="12" s="1"/>
  <c r="P1" i="15"/>
  <c r="P196" i="14"/>
  <c r="P193" i="14"/>
  <c r="P21" i="14"/>
  <c r="P198" i="14"/>
  <c r="P236" i="12"/>
  <c r="P252" i="12" s="1"/>
  <c r="P235" i="12"/>
  <c r="P251" i="12" s="1"/>
  <c r="P237" i="12"/>
  <c r="Q241" i="12" s="1"/>
  <c r="P230" i="12"/>
  <c r="P246" i="12" s="1"/>
  <c r="P20" i="10"/>
  <c r="P31" i="12"/>
  <c r="P55" i="12" s="1"/>
  <c r="P70" i="12" s="1"/>
  <c r="P233" i="12"/>
  <c r="P249" i="12" s="1"/>
  <c r="P28" i="12"/>
  <c r="P52" i="12" s="1"/>
  <c r="P67" i="12" s="1"/>
  <c r="P130" i="12"/>
  <c r="P123" i="12"/>
  <c r="P25" i="14"/>
  <c r="P241" i="14"/>
  <c r="P8" i="14"/>
  <c r="P231" i="14" s="1"/>
  <c r="P247" i="14" s="1"/>
  <c r="P7" i="15"/>
  <c r="P127" i="10"/>
  <c r="P25" i="10"/>
  <c r="P125" i="10"/>
  <c r="P29" i="10"/>
  <c r="Q193" i="11"/>
  <c r="P133" i="10"/>
  <c r="P131" i="12"/>
  <c r="P128" i="12"/>
  <c r="P229" i="12"/>
  <c r="P245" i="12" s="1"/>
  <c r="P228" i="12"/>
  <c r="P244" i="12" s="1"/>
  <c r="P134" i="12"/>
  <c r="P21" i="12"/>
  <c r="P45" i="12" s="1"/>
  <c r="P60" i="12" s="1"/>
  <c r="P131" i="14"/>
  <c r="P194" i="14"/>
  <c r="P29" i="14"/>
  <c r="P53" i="14" s="1"/>
  <c r="P202" i="14"/>
  <c r="P235" i="14"/>
  <c r="P251" i="14" s="1"/>
  <c r="P192" i="14"/>
  <c r="P126" i="14"/>
  <c r="P41" i="14"/>
  <c r="P226" i="14"/>
  <c r="P242" i="14" s="1"/>
  <c r="P195" i="14"/>
  <c r="P197" i="14"/>
  <c r="P237" i="14"/>
  <c r="Q241" i="14" s="1"/>
  <c r="P200" i="14"/>
  <c r="J80" i="12"/>
  <c r="J84" i="12" s="1"/>
  <c r="P23" i="12"/>
  <c r="P47" i="12" s="1"/>
  <c r="P62" i="12" s="1"/>
  <c r="P27" i="12"/>
  <c r="P51" i="12" s="1"/>
  <c r="P30" i="12"/>
  <c r="P54" i="12" s="1"/>
  <c r="P69" i="12" s="1"/>
  <c r="Q105" i="11"/>
  <c r="Q105" i="15"/>
  <c r="P105" i="11"/>
  <c r="P8" i="10"/>
  <c r="P7" i="11"/>
  <c r="P133" i="14"/>
  <c r="P130" i="14"/>
  <c r="P132" i="14"/>
  <c r="P22" i="14"/>
  <c r="P46" i="14" s="1"/>
  <c r="P26" i="14"/>
  <c r="P50" i="14" s="1"/>
  <c r="P30" i="14"/>
  <c r="P54" i="14" s="1"/>
  <c r="P127" i="14"/>
  <c r="J84" i="14"/>
  <c r="J83" i="14"/>
  <c r="K83" i="14" s="1"/>
  <c r="J82" i="14"/>
  <c r="Q199" i="14"/>
  <c r="Q195" i="14"/>
  <c r="Q131" i="14"/>
  <c r="Q127" i="14"/>
  <c r="Q123" i="14"/>
  <c r="Q200" i="14"/>
  <c r="Q196" i="14"/>
  <c r="Q201" i="14"/>
  <c r="Q194" i="14"/>
  <c r="Q130" i="14"/>
  <c r="Q125" i="14"/>
  <c r="Q41" i="14"/>
  <c r="Q192" i="14"/>
  <c r="Q198" i="14"/>
  <c r="Q197" i="14"/>
  <c r="Q124" i="14"/>
  <c r="Q134" i="14"/>
  <c r="Q129" i="14"/>
  <c r="Q126" i="14"/>
  <c r="Q193" i="14"/>
  <c r="Q30" i="14"/>
  <c r="Q202" i="14"/>
  <c r="Q133" i="14"/>
  <c r="Q132" i="14"/>
  <c r="Q128" i="14"/>
  <c r="Q31" i="14"/>
  <c r="Q29" i="14"/>
  <c r="Q28" i="14"/>
  <c r="Q27" i="14"/>
  <c r="Q26" i="14"/>
  <c r="Q25" i="14"/>
  <c r="Q24" i="14"/>
  <c r="Q23" i="14"/>
  <c r="Q22" i="14"/>
  <c r="Q21" i="14"/>
  <c r="Q20" i="14"/>
  <c r="Q7" i="14"/>
  <c r="R1" i="14"/>
  <c r="P23" i="14"/>
  <c r="P47" i="14" s="1"/>
  <c r="P27" i="14"/>
  <c r="P51" i="14" s="1"/>
  <c r="P31" i="14"/>
  <c r="P55" i="14" s="1"/>
  <c r="P129" i="14"/>
  <c r="P124" i="14"/>
  <c r="P123" i="14"/>
  <c r="P20" i="14"/>
  <c r="P44" i="14" s="1"/>
  <c r="P24" i="14"/>
  <c r="P48" i="14" s="1"/>
  <c r="P28" i="14"/>
  <c r="P52" i="14" s="1"/>
  <c r="P134" i="14"/>
  <c r="P128" i="14"/>
  <c r="Q202" i="12"/>
  <c r="Q201" i="12"/>
  <c r="Q200" i="12"/>
  <c r="Q199" i="12"/>
  <c r="Q198" i="12"/>
  <c r="Q197" i="12"/>
  <c r="Q196" i="12"/>
  <c r="Q195" i="12"/>
  <c r="Q194" i="12"/>
  <c r="Q193" i="12"/>
  <c r="Q192" i="12"/>
  <c r="Q132" i="12"/>
  <c r="Q128" i="12"/>
  <c r="Q124" i="12"/>
  <c r="Q131" i="12"/>
  <c r="Q127" i="12"/>
  <c r="Q123" i="12"/>
  <c r="Q31" i="12"/>
  <c r="Q30" i="12"/>
  <c r="Q29" i="12"/>
  <c r="Q28" i="12"/>
  <c r="Q27" i="12"/>
  <c r="Q26" i="12"/>
  <c r="Q25" i="12"/>
  <c r="Q24" i="12"/>
  <c r="Q23" i="12"/>
  <c r="Q22" i="12"/>
  <c r="Q21" i="12"/>
  <c r="Q20" i="12"/>
  <c r="R1" i="12"/>
  <c r="Q126" i="12"/>
  <c r="Q134" i="12"/>
  <c r="Q130" i="12"/>
  <c r="Q41" i="12"/>
  <c r="Q133" i="12"/>
  <c r="Q129" i="12"/>
  <c r="Q125" i="12"/>
  <c r="Q7" i="12"/>
  <c r="P63" i="12"/>
  <c r="P132" i="12"/>
  <c r="P125" i="12"/>
  <c r="J83" i="12"/>
  <c r="K83" i="12" s="1"/>
  <c r="J82" i="12"/>
  <c r="P129" i="12"/>
  <c r="P124" i="12"/>
  <c r="P134" i="10"/>
  <c r="P124" i="10"/>
  <c r="P26" i="10"/>
  <c r="P50" i="10" s="1"/>
  <c r="P30" i="10"/>
  <c r="P54" i="10" s="1"/>
  <c r="P131" i="10"/>
  <c r="P27" i="10"/>
  <c r="P51" i="10" s="1"/>
  <c r="P128" i="10"/>
  <c r="P132" i="10"/>
  <c r="P24" i="10"/>
  <c r="P48" i="10" s="1"/>
  <c r="P28" i="10"/>
  <c r="P52" i="10" s="1"/>
  <c r="Q202" i="10"/>
  <c r="Q201" i="10"/>
  <c r="Q200" i="10"/>
  <c r="Q199" i="10"/>
  <c r="Q198" i="10"/>
  <c r="Q197" i="10"/>
  <c r="Q196" i="10"/>
  <c r="Q195" i="10"/>
  <c r="Q194" i="10"/>
  <c r="Q193" i="10"/>
  <c r="Q192" i="10"/>
  <c r="Q132" i="10"/>
  <c r="Q131" i="10"/>
  <c r="Q126" i="10"/>
  <c r="Q41" i="10"/>
  <c r="Q31" i="10"/>
  <c r="Q30" i="10"/>
  <c r="Q29" i="10"/>
  <c r="Q28" i="10"/>
  <c r="Q27" i="10"/>
  <c r="Q26" i="10"/>
  <c r="Q25" i="10"/>
  <c r="Q24" i="10"/>
  <c r="Q23" i="10"/>
  <c r="Q22" i="10"/>
  <c r="Q21" i="10"/>
  <c r="Q20" i="10"/>
  <c r="Q133" i="10"/>
  <c r="Q125" i="10"/>
  <c r="Q134" i="10"/>
  <c r="Q124" i="10"/>
  <c r="Q7" i="10"/>
  <c r="Q130" i="10"/>
  <c r="Q123" i="10"/>
  <c r="Q128" i="10"/>
  <c r="Q129" i="10"/>
  <c r="Q127" i="10"/>
  <c r="R1" i="10"/>
  <c r="E32" i="5" l="1"/>
  <c r="G31" i="5"/>
  <c r="Q193" i="13"/>
  <c r="Q105" i="13"/>
  <c r="P105" i="13"/>
  <c r="P193" i="13"/>
  <c r="P6" i="14"/>
  <c r="P6" i="15" s="1"/>
  <c r="P49" i="14"/>
  <c r="P227" i="14"/>
  <c r="P243" i="14" s="1"/>
  <c r="P233" i="14"/>
  <c r="P249" i="14" s="1"/>
  <c r="P236" i="14"/>
  <c r="P252" i="14" s="1"/>
  <c r="P232" i="14"/>
  <c r="P248" i="14" s="1"/>
  <c r="P234" i="14"/>
  <c r="P250" i="14" s="1"/>
  <c r="J84" i="10"/>
  <c r="P55" i="10"/>
  <c r="P70" i="10" s="1"/>
  <c r="R1" i="13"/>
  <c r="J82" i="10"/>
  <c r="K82" i="10" s="1"/>
  <c r="P44" i="10"/>
  <c r="P59" i="10" s="1"/>
  <c r="R1" i="11"/>
  <c r="R105" i="11" s="1"/>
  <c r="R1" i="15"/>
  <c r="R105" i="15" s="1"/>
  <c r="P49" i="10"/>
  <c r="P64" i="10" s="1"/>
  <c r="P68" i="14"/>
  <c r="P240" i="12"/>
  <c r="P64" i="14"/>
  <c r="P47" i="10"/>
  <c r="P62" i="10" s="1"/>
  <c r="P43" i="12"/>
  <c r="P63" i="14"/>
  <c r="P66" i="14"/>
  <c r="P65" i="14"/>
  <c r="P46" i="10"/>
  <c r="P61" i="10" s="1"/>
  <c r="P8" i="15"/>
  <c r="P230" i="14"/>
  <c r="P246" i="14" s="1"/>
  <c r="P228" i="14"/>
  <c r="P45" i="14"/>
  <c r="P60" i="14" s="1"/>
  <c r="P229" i="14"/>
  <c r="P245" i="14" s="1"/>
  <c r="P193" i="15"/>
  <c r="Q193" i="15" s="1"/>
  <c r="R193" i="15" s="1"/>
  <c r="P105" i="15"/>
  <c r="P66" i="12"/>
  <c r="P58" i="12" s="1"/>
  <c r="P225" i="12"/>
  <c r="P56" i="13" s="1"/>
  <c r="Q8" i="14"/>
  <c r="Q8" i="15" s="1"/>
  <c r="Q7" i="15"/>
  <c r="Q8" i="10"/>
  <c r="Q8" i="11" s="1"/>
  <c r="Q7" i="11"/>
  <c r="Q8" i="12"/>
  <c r="Q8" i="13" s="1"/>
  <c r="Q7" i="13"/>
  <c r="P8" i="11"/>
  <c r="P6" i="10"/>
  <c r="P6" i="11" s="1"/>
  <c r="P236" i="10"/>
  <c r="P252" i="10" s="1"/>
  <c r="P232" i="10"/>
  <c r="P248" i="10" s="1"/>
  <c r="P228" i="10"/>
  <c r="P244" i="10" s="1"/>
  <c r="P235" i="10"/>
  <c r="P251" i="10" s="1"/>
  <c r="P231" i="10"/>
  <c r="P247" i="10" s="1"/>
  <c r="P227" i="10"/>
  <c r="P243" i="10" s="1"/>
  <c r="P53" i="10"/>
  <c r="P68" i="10" s="1"/>
  <c r="P234" i="10"/>
  <c r="P250" i="10" s="1"/>
  <c r="P230" i="10"/>
  <c r="P246" i="10" s="1"/>
  <c r="P226" i="10"/>
  <c r="P237" i="10"/>
  <c r="Q241" i="10" s="1"/>
  <c r="P233" i="10"/>
  <c r="P249" i="10" s="1"/>
  <c r="P229" i="10"/>
  <c r="P245" i="10" s="1"/>
  <c r="P45" i="10"/>
  <c r="P60" i="10" s="1"/>
  <c r="P65" i="10"/>
  <c r="Q87" i="14"/>
  <c r="P59" i="14"/>
  <c r="P70" i="14"/>
  <c r="P61" i="14"/>
  <c r="P67" i="14"/>
  <c r="M87" i="14"/>
  <c r="K82" i="14"/>
  <c r="P87" i="14"/>
  <c r="P62" i="14"/>
  <c r="R134" i="14"/>
  <c r="R133" i="14"/>
  <c r="R132" i="14"/>
  <c r="R131" i="14"/>
  <c r="R130" i="14"/>
  <c r="R129" i="14"/>
  <c r="R128" i="14"/>
  <c r="R127" i="14"/>
  <c r="R126" i="14"/>
  <c r="R125" i="14"/>
  <c r="R124" i="14"/>
  <c r="R123" i="14"/>
  <c r="R202" i="14"/>
  <c r="R198" i="14"/>
  <c r="R194" i="14"/>
  <c r="R199" i="14"/>
  <c r="R195" i="14"/>
  <c r="R200" i="14"/>
  <c r="R192" i="14"/>
  <c r="R193" i="14"/>
  <c r="R197" i="14"/>
  <c r="R201" i="14"/>
  <c r="R196" i="14"/>
  <c r="R87" i="14"/>
  <c r="R30" i="14"/>
  <c r="S1" i="14"/>
  <c r="R41" i="14"/>
  <c r="R31" i="14"/>
  <c r="R29" i="14"/>
  <c r="R28" i="14"/>
  <c r="R27" i="14"/>
  <c r="R26" i="14"/>
  <c r="R25" i="14"/>
  <c r="R24" i="14"/>
  <c r="R23" i="14"/>
  <c r="R22" i="14"/>
  <c r="R21" i="14"/>
  <c r="R20" i="14"/>
  <c r="P69" i="14"/>
  <c r="Q45" i="12"/>
  <c r="Q60" i="12" s="1"/>
  <c r="R87" i="12"/>
  <c r="R202" i="12"/>
  <c r="R200" i="12"/>
  <c r="R198" i="12"/>
  <c r="R196" i="12"/>
  <c r="R194" i="12"/>
  <c r="R192" i="12"/>
  <c r="R131" i="12"/>
  <c r="R127" i="12"/>
  <c r="R123" i="12"/>
  <c r="R134" i="12"/>
  <c r="R130" i="12"/>
  <c r="R126" i="12"/>
  <c r="R41" i="12"/>
  <c r="R193" i="12"/>
  <c r="R133" i="12"/>
  <c r="R125" i="12"/>
  <c r="R201" i="12"/>
  <c r="R199" i="12"/>
  <c r="R197" i="12"/>
  <c r="R195" i="12"/>
  <c r="R129" i="12"/>
  <c r="R30" i="12"/>
  <c r="R22" i="12"/>
  <c r="R20" i="12"/>
  <c r="R29" i="12"/>
  <c r="R28" i="12"/>
  <c r="R27" i="12"/>
  <c r="R26" i="12"/>
  <c r="R25" i="12"/>
  <c r="R24" i="12"/>
  <c r="R23" i="12"/>
  <c r="R21" i="12"/>
  <c r="S1" i="12"/>
  <c r="R132" i="12"/>
  <c r="R128" i="12"/>
  <c r="R124" i="12"/>
  <c r="R31" i="12"/>
  <c r="Q87" i="12"/>
  <c r="M87" i="12"/>
  <c r="K82" i="12"/>
  <c r="P87" i="12"/>
  <c r="Q6" i="10"/>
  <c r="Q6" i="11" s="1"/>
  <c r="Q230" i="10"/>
  <c r="Q246" i="10" s="1"/>
  <c r="Q47" i="10"/>
  <c r="Q231" i="10"/>
  <c r="Q247" i="10" s="1"/>
  <c r="Q226" i="10"/>
  <c r="P66" i="10"/>
  <c r="P67" i="10"/>
  <c r="P63" i="10"/>
  <c r="R131" i="10"/>
  <c r="R202" i="10"/>
  <c r="R198" i="10"/>
  <c r="R133" i="10"/>
  <c r="R125" i="10"/>
  <c r="R200" i="10"/>
  <c r="R196" i="10"/>
  <c r="R201" i="10"/>
  <c r="R197" i="10"/>
  <c r="R134" i="10"/>
  <c r="R129" i="10"/>
  <c r="R128" i="10"/>
  <c r="R124" i="10"/>
  <c r="R7" i="10"/>
  <c r="R7" i="11" s="1"/>
  <c r="R199" i="10"/>
  <c r="R195" i="10"/>
  <c r="R194" i="10"/>
  <c r="R193" i="10"/>
  <c r="R192" i="10"/>
  <c r="R132" i="10"/>
  <c r="R130" i="10"/>
  <c r="R123" i="10"/>
  <c r="R21" i="10"/>
  <c r="R31" i="10"/>
  <c r="R30" i="10"/>
  <c r="R29" i="10"/>
  <c r="R28" i="10"/>
  <c r="R27" i="10"/>
  <c r="R26" i="10"/>
  <c r="R25" i="10"/>
  <c r="R24" i="10"/>
  <c r="R23" i="10"/>
  <c r="S1" i="10"/>
  <c r="R20" i="10"/>
  <c r="R127" i="10"/>
  <c r="R126" i="10"/>
  <c r="R41" i="10"/>
  <c r="R22" i="10"/>
  <c r="Q51" i="10"/>
  <c r="Q50" i="10"/>
  <c r="P69" i="10"/>
  <c r="E33" i="5" l="1"/>
  <c r="G32" i="5"/>
  <c r="R193" i="13"/>
  <c r="R105" i="13"/>
  <c r="Q235" i="10"/>
  <c r="Q251" i="10" s="1"/>
  <c r="Q234" i="10"/>
  <c r="Q250" i="10" s="1"/>
  <c r="Q46" i="10"/>
  <c r="Q61" i="10" s="1"/>
  <c r="Q45" i="10"/>
  <c r="Q60" i="10" s="1"/>
  <c r="Q44" i="10"/>
  <c r="Q59" i="10" s="1"/>
  <c r="Q237" i="10"/>
  <c r="R241" i="10" s="1"/>
  <c r="Q235" i="12"/>
  <c r="Q251" i="12" s="1"/>
  <c r="R87" i="10"/>
  <c r="Q231" i="12"/>
  <c r="Q247" i="12" s="1"/>
  <c r="P58" i="13"/>
  <c r="P62" i="13"/>
  <c r="R193" i="11"/>
  <c r="Q53" i="14"/>
  <c r="Q68" i="14" s="1"/>
  <c r="Q6" i="14"/>
  <c r="Q6" i="15" s="1"/>
  <c r="M87" i="10"/>
  <c r="P87" i="10"/>
  <c r="P90" i="10" s="1"/>
  <c r="Q48" i="14"/>
  <c r="Q94" i="14" s="1"/>
  <c r="S1" i="11"/>
  <c r="S1" i="13"/>
  <c r="S105" i="13" s="1"/>
  <c r="S1" i="15"/>
  <c r="S105" i="15" s="1"/>
  <c r="Q87" i="10"/>
  <c r="Q236" i="10"/>
  <c r="Q252" i="10" s="1"/>
  <c r="Q228" i="10"/>
  <c r="Q244" i="10" s="1"/>
  <c r="Q54" i="10"/>
  <c r="Q53" i="10"/>
  <c r="Q68" i="10" s="1"/>
  <c r="Q48" i="10"/>
  <c r="Q63" i="10" s="1"/>
  <c r="Q50" i="12"/>
  <c r="Q65" i="12" s="1"/>
  <c r="Q54" i="12"/>
  <c r="Q69" i="12" s="1"/>
  <c r="Q233" i="10"/>
  <c r="Q249" i="10" s="1"/>
  <c r="Q229" i="10"/>
  <c r="Q245" i="10" s="1"/>
  <c r="Q232" i="10"/>
  <c r="Q248" i="10" s="1"/>
  <c r="Q55" i="10"/>
  <c r="Q49" i="10"/>
  <c r="Q64" i="10" s="1"/>
  <c r="Q227" i="10"/>
  <c r="Q243" i="10" s="1"/>
  <c r="Q52" i="10"/>
  <c r="Q227" i="12"/>
  <c r="Q243" i="12" s="1"/>
  <c r="Q237" i="14"/>
  <c r="R241" i="14" s="1"/>
  <c r="Q235" i="14"/>
  <c r="Q251" i="14" s="1"/>
  <c r="Q234" i="14"/>
  <c r="Q250" i="14" s="1"/>
  <c r="Q229" i="14"/>
  <c r="Q245" i="14" s="1"/>
  <c r="Q233" i="14"/>
  <c r="Q249" i="14" s="1"/>
  <c r="Q51" i="14"/>
  <c r="Q97" i="14" s="1"/>
  <c r="Q44" i="14"/>
  <c r="Q59" i="14" s="1"/>
  <c r="Q54" i="14"/>
  <c r="Q69" i="14" s="1"/>
  <c r="Q232" i="14"/>
  <c r="Q248" i="14" s="1"/>
  <c r="R8" i="10"/>
  <c r="R8" i="11" s="1"/>
  <c r="Q45" i="14"/>
  <c r="Q91" i="14" s="1"/>
  <c r="Q231" i="14"/>
  <c r="Q247" i="14" s="1"/>
  <c r="Q49" i="14"/>
  <c r="Q95" i="14" s="1"/>
  <c r="Q230" i="14"/>
  <c r="Q246" i="14" s="1"/>
  <c r="Q227" i="14"/>
  <c r="Q243" i="14" s="1"/>
  <c r="Q236" i="14"/>
  <c r="Q252" i="14" s="1"/>
  <c r="Q228" i="14"/>
  <c r="Q244" i="14" s="1"/>
  <c r="R7" i="14"/>
  <c r="R8" i="14" s="1"/>
  <c r="Q52" i="14"/>
  <c r="Q98" i="14" s="1"/>
  <c r="Q46" i="14"/>
  <c r="Q92" i="14" s="1"/>
  <c r="Q226" i="14"/>
  <c r="Q242" i="14" s="1"/>
  <c r="Q50" i="14"/>
  <c r="Q96" i="14" s="1"/>
  <c r="Q47" i="14"/>
  <c r="Q93" i="14" s="1"/>
  <c r="Q55" i="14"/>
  <c r="Q70" i="14" s="1"/>
  <c r="Q228" i="12"/>
  <c r="Q244" i="12" s="1"/>
  <c r="Q232" i="12"/>
  <c r="Q248" i="12" s="1"/>
  <c r="Q237" i="12"/>
  <c r="R241" i="12" s="1"/>
  <c r="Q48" i="12"/>
  <c r="Q63" i="12" s="1"/>
  <c r="Q51" i="12"/>
  <c r="Q66" i="12" s="1"/>
  <c r="Q44" i="12"/>
  <c r="Q59" i="12" s="1"/>
  <c r="Q229" i="12"/>
  <c r="Q245" i="12" s="1"/>
  <c r="S193" i="15"/>
  <c r="Q233" i="12"/>
  <c r="Q249" i="12" s="1"/>
  <c r="Q47" i="12"/>
  <c r="Q62" i="12" s="1"/>
  <c r="Q236" i="12"/>
  <c r="Q252" i="12" s="1"/>
  <c r="Q52" i="12"/>
  <c r="Q67" i="12" s="1"/>
  <c r="Q46" i="12"/>
  <c r="Q61" i="12" s="1"/>
  <c r="Q55" i="12"/>
  <c r="Q70" i="12" s="1"/>
  <c r="P60" i="13"/>
  <c r="P244" i="14"/>
  <c r="P240" i="14" s="1"/>
  <c r="P225" i="14"/>
  <c r="R7" i="12"/>
  <c r="R8" i="12" s="1"/>
  <c r="Q6" i="12"/>
  <c r="Q6" i="13" s="1"/>
  <c r="Q49" i="12"/>
  <c r="Q64" i="12" s="1"/>
  <c r="Q234" i="12"/>
  <c r="Q250" i="12" s="1"/>
  <c r="Q226" i="12"/>
  <c r="Q242" i="12" s="1"/>
  <c r="Q230" i="12"/>
  <c r="Q246" i="12" s="1"/>
  <c r="Q53" i="12"/>
  <c r="Q68" i="12" s="1"/>
  <c r="P43" i="14"/>
  <c r="P43" i="10"/>
  <c r="P242" i="10"/>
  <c r="P240" i="10" s="1"/>
  <c r="P225" i="10"/>
  <c r="P58" i="14"/>
  <c r="P99" i="14"/>
  <c r="P91" i="14"/>
  <c r="P95" i="14"/>
  <c r="P93" i="14"/>
  <c r="P90" i="14"/>
  <c r="P96" i="14"/>
  <c r="P101" i="14"/>
  <c r="P98" i="14"/>
  <c r="P94" i="14"/>
  <c r="S202" i="14"/>
  <c r="S201" i="14"/>
  <c r="S200" i="14"/>
  <c r="S199" i="14"/>
  <c r="S198" i="14"/>
  <c r="S197" i="14"/>
  <c r="S196" i="14"/>
  <c r="S195" i="14"/>
  <c r="S194" i="14"/>
  <c r="S193" i="14"/>
  <c r="S192" i="14"/>
  <c r="S134" i="14"/>
  <c r="S130" i="14"/>
  <c r="S126" i="14"/>
  <c r="S132" i="14"/>
  <c r="S123" i="14"/>
  <c r="S87" i="14"/>
  <c r="S125" i="14"/>
  <c r="T1" i="14"/>
  <c r="S131" i="14"/>
  <c r="S31" i="14"/>
  <c r="S29" i="14"/>
  <c r="S28" i="14"/>
  <c r="S27" i="14"/>
  <c r="S26" i="14"/>
  <c r="S25" i="14"/>
  <c r="S24" i="14"/>
  <c r="S23" i="14"/>
  <c r="S22" i="14"/>
  <c r="S21" i="14"/>
  <c r="S20" i="14"/>
  <c r="S129" i="14"/>
  <c r="S30" i="14"/>
  <c r="S133" i="14"/>
  <c r="S128" i="14"/>
  <c r="S127" i="14"/>
  <c r="S124" i="14"/>
  <c r="S41" i="14"/>
  <c r="P100" i="14"/>
  <c r="P97" i="14"/>
  <c r="P92" i="14"/>
  <c r="Q91" i="12"/>
  <c r="P95" i="12"/>
  <c r="P92" i="12"/>
  <c r="P96" i="12"/>
  <c r="P97" i="12"/>
  <c r="P98" i="12"/>
  <c r="P100" i="12"/>
  <c r="P93" i="12"/>
  <c r="P101" i="12"/>
  <c r="P90" i="12"/>
  <c r="P94" i="12"/>
  <c r="P99" i="12"/>
  <c r="P91" i="12"/>
  <c r="S134" i="12"/>
  <c r="S133" i="12"/>
  <c r="S132" i="12"/>
  <c r="S131" i="12"/>
  <c r="S130" i="12"/>
  <c r="S129" i="12"/>
  <c r="S128" i="12"/>
  <c r="S127" i="12"/>
  <c r="S126" i="12"/>
  <c r="S125" i="12"/>
  <c r="S124" i="12"/>
  <c r="S123" i="12"/>
  <c r="S201" i="12"/>
  <c r="S199" i="12"/>
  <c r="S197" i="12"/>
  <c r="S195" i="12"/>
  <c r="S193" i="12"/>
  <c r="S87" i="12"/>
  <c r="S202" i="12"/>
  <c r="S198" i="12"/>
  <c r="S194" i="12"/>
  <c r="S41" i="12"/>
  <c r="S29" i="12"/>
  <c r="S28" i="12"/>
  <c r="S27" i="12"/>
  <c r="S26" i="12"/>
  <c r="S25" i="12"/>
  <c r="S24" i="12"/>
  <c r="S23" i="12"/>
  <c r="S22" i="12"/>
  <c r="S21" i="12"/>
  <c r="S20" i="12"/>
  <c r="T1" i="12"/>
  <c r="S200" i="12"/>
  <c r="S196" i="12"/>
  <c r="S192" i="12"/>
  <c r="S31" i="12"/>
  <c r="S30" i="12"/>
  <c r="R51" i="10"/>
  <c r="R66" i="10" s="1"/>
  <c r="R6" i="10"/>
  <c r="R6" i="11" s="1"/>
  <c r="R49" i="10"/>
  <c r="R229" i="10"/>
  <c r="R245" i="10" s="1"/>
  <c r="R237" i="10"/>
  <c r="S241" i="10" s="1"/>
  <c r="Q62" i="10"/>
  <c r="S134" i="10"/>
  <c r="S133" i="10"/>
  <c r="S132" i="10"/>
  <c r="S131" i="10"/>
  <c r="S130" i="10"/>
  <c r="S129" i="10"/>
  <c r="S128" i="10"/>
  <c r="S127" i="10"/>
  <c r="S126" i="10"/>
  <c r="S125" i="10"/>
  <c r="S124" i="10"/>
  <c r="S123" i="10"/>
  <c r="S202" i="10"/>
  <c r="S201" i="10"/>
  <c r="S200" i="10"/>
  <c r="S199" i="10"/>
  <c r="S198" i="10"/>
  <c r="S197" i="10"/>
  <c r="S196" i="10"/>
  <c r="S195" i="10"/>
  <c r="S194" i="10"/>
  <c r="S193" i="10"/>
  <c r="S192" i="10"/>
  <c r="S7" i="10"/>
  <c r="T1" i="10"/>
  <c r="S20" i="10"/>
  <c r="S22" i="10"/>
  <c r="S87" i="10"/>
  <c r="S31" i="10"/>
  <c r="S30" i="10"/>
  <c r="S29" i="10"/>
  <c r="S28" i="10"/>
  <c r="S27" i="10"/>
  <c r="S26" i="10"/>
  <c r="S25" i="10"/>
  <c r="S24" i="10"/>
  <c r="S23" i="10"/>
  <c r="S41" i="10"/>
  <c r="S21" i="10"/>
  <c r="R46" i="10"/>
  <c r="R54" i="10"/>
  <c r="R234" i="10"/>
  <c r="R250" i="10" s="1"/>
  <c r="Q65" i="10"/>
  <c r="R231" i="10"/>
  <c r="R247" i="10" s="1"/>
  <c r="Q66" i="10"/>
  <c r="R44" i="10"/>
  <c r="R52" i="10"/>
  <c r="R232" i="10"/>
  <c r="R248" i="10" s="1"/>
  <c r="P58" i="10"/>
  <c r="Q242" i="10"/>
  <c r="Q92" i="10" l="1"/>
  <c r="Q91" i="10"/>
  <c r="E34" i="5"/>
  <c r="G33" i="5"/>
  <c r="Q99" i="14"/>
  <c r="S193" i="11"/>
  <c r="S193" i="13"/>
  <c r="R7" i="13"/>
  <c r="S105" i="11"/>
  <c r="Q63" i="14"/>
  <c r="P94" i="10"/>
  <c r="P98" i="10"/>
  <c r="P99" i="10"/>
  <c r="P101" i="10"/>
  <c r="P92" i="10"/>
  <c r="P91" i="10"/>
  <c r="P95" i="10"/>
  <c r="P93" i="10"/>
  <c r="P97" i="10"/>
  <c r="Q96" i="10"/>
  <c r="P100" i="10"/>
  <c r="Q90" i="10"/>
  <c r="Q97" i="10"/>
  <c r="Q93" i="10"/>
  <c r="Q98" i="10"/>
  <c r="Q101" i="10"/>
  <c r="P96" i="10"/>
  <c r="Q100" i="10"/>
  <c r="T1" i="13"/>
  <c r="T1" i="11"/>
  <c r="T193" i="11" s="1"/>
  <c r="T1" i="15"/>
  <c r="T105" i="15" s="1"/>
  <c r="Q66" i="14"/>
  <c r="Q69" i="10"/>
  <c r="Q70" i="10"/>
  <c r="Q100" i="12"/>
  <c r="Q67" i="10"/>
  <c r="Q101" i="14"/>
  <c r="Q60" i="14"/>
  <c r="Q225" i="10"/>
  <c r="Q62" i="11" s="1"/>
  <c r="Q94" i="10"/>
  <c r="Q62" i="14"/>
  <c r="Q67" i="14"/>
  <c r="Q90" i="14"/>
  <c r="Q99" i="10"/>
  <c r="Q100" i="14"/>
  <c r="Q225" i="12"/>
  <c r="Q60" i="13" s="1"/>
  <c r="R7" i="15"/>
  <c r="Q95" i="10"/>
  <c r="Q43" i="10"/>
  <c r="Q240" i="10"/>
  <c r="Q96" i="12"/>
  <c r="Q65" i="14"/>
  <c r="R236" i="10"/>
  <c r="R252" i="10" s="1"/>
  <c r="R48" i="10"/>
  <c r="R94" i="10" s="1"/>
  <c r="R235" i="10"/>
  <c r="R251" i="10" s="1"/>
  <c r="R230" i="10"/>
  <c r="R246" i="10" s="1"/>
  <c r="R50" i="10"/>
  <c r="R96" i="10" s="1"/>
  <c r="R233" i="10"/>
  <c r="R249" i="10" s="1"/>
  <c r="R45" i="10"/>
  <c r="R60" i="10" s="1"/>
  <c r="R55" i="10"/>
  <c r="R101" i="10" s="1"/>
  <c r="R228" i="10"/>
  <c r="R244" i="10" s="1"/>
  <c r="R227" i="10"/>
  <c r="R243" i="10" s="1"/>
  <c r="R226" i="10"/>
  <c r="R242" i="10" s="1"/>
  <c r="R53" i="10"/>
  <c r="R68" i="10" s="1"/>
  <c r="R47" i="10"/>
  <c r="R93" i="10" s="1"/>
  <c r="R8" i="15"/>
  <c r="R47" i="14"/>
  <c r="R93" i="14" s="1"/>
  <c r="S7" i="14"/>
  <c r="S7" i="15" s="1"/>
  <c r="R52" i="14"/>
  <c r="R98" i="14" s="1"/>
  <c r="R51" i="14"/>
  <c r="R97" i="14" s="1"/>
  <c r="R229" i="14"/>
  <c r="R245" i="14" s="1"/>
  <c r="Q225" i="14"/>
  <c r="Q58" i="15" s="1"/>
  <c r="Q64" i="14"/>
  <c r="Q240" i="12"/>
  <c r="Q240" i="14"/>
  <c r="Q61" i="14"/>
  <c r="Q43" i="14"/>
  <c r="Q98" i="12"/>
  <c r="Q99" i="12"/>
  <c r="Q95" i="12"/>
  <c r="Q97" i="12"/>
  <c r="Q90" i="12"/>
  <c r="Q92" i="12"/>
  <c r="Q93" i="12"/>
  <c r="Q43" i="12"/>
  <c r="R8" i="13"/>
  <c r="R230" i="12"/>
  <c r="R246" i="12" s="1"/>
  <c r="R45" i="12"/>
  <c r="R91" i="12" s="1"/>
  <c r="R236" i="12"/>
  <c r="R252" i="12" s="1"/>
  <c r="R48" i="12"/>
  <c r="R94" i="12" s="1"/>
  <c r="R6" i="12"/>
  <c r="R6" i="13" s="1"/>
  <c r="R235" i="12"/>
  <c r="R251" i="12" s="1"/>
  <c r="R232" i="12"/>
  <c r="R248" i="12" s="1"/>
  <c r="R237" i="12"/>
  <c r="S241" i="12" s="1"/>
  <c r="R228" i="12"/>
  <c r="R244" i="12" s="1"/>
  <c r="R226" i="12"/>
  <c r="R44" i="12"/>
  <c r="R229" i="12"/>
  <c r="R245" i="12" s="1"/>
  <c r="R54" i="12"/>
  <c r="R100" i="12" s="1"/>
  <c r="R53" i="12"/>
  <c r="R99" i="12" s="1"/>
  <c r="R55" i="12"/>
  <c r="R101" i="12" s="1"/>
  <c r="R233" i="12"/>
  <c r="R249" i="12" s="1"/>
  <c r="R227" i="12"/>
  <c r="R243" i="12" s="1"/>
  <c r="R51" i="12"/>
  <c r="R97" i="12" s="1"/>
  <c r="R50" i="12"/>
  <c r="R96" i="12" s="1"/>
  <c r="S7" i="12"/>
  <c r="R49" i="12"/>
  <c r="R95" i="12" s="1"/>
  <c r="R47" i="12"/>
  <c r="R93" i="12" s="1"/>
  <c r="R52" i="12"/>
  <c r="R98" i="12" s="1"/>
  <c r="R231" i="12"/>
  <c r="R247" i="12" s="1"/>
  <c r="R234" i="12"/>
  <c r="R250" i="12" s="1"/>
  <c r="R46" i="12"/>
  <c r="R92" i="12" s="1"/>
  <c r="Q94" i="12"/>
  <c r="Q101" i="12"/>
  <c r="P56" i="15"/>
  <c r="P62" i="15"/>
  <c r="P60" i="15"/>
  <c r="P58" i="15"/>
  <c r="R45" i="14"/>
  <c r="R91" i="14" s="1"/>
  <c r="S8" i="10"/>
  <c r="S8" i="11" s="1"/>
  <c r="S7" i="11"/>
  <c r="R54" i="14"/>
  <c r="R100" i="14" s="1"/>
  <c r="R46" i="14"/>
  <c r="R92" i="14" s="1"/>
  <c r="R234" i="14"/>
  <c r="R250" i="14" s="1"/>
  <c r="R48" i="14"/>
  <c r="R94" i="14" s="1"/>
  <c r="R53" i="14"/>
  <c r="R99" i="14" s="1"/>
  <c r="R228" i="14"/>
  <c r="R244" i="14" s="1"/>
  <c r="R233" i="14"/>
  <c r="R249" i="14" s="1"/>
  <c r="R227" i="14"/>
  <c r="R243" i="14" s="1"/>
  <c r="R55" i="14"/>
  <c r="R101" i="14" s="1"/>
  <c r="R44" i="14"/>
  <c r="R59" i="14" s="1"/>
  <c r="R6" i="14"/>
  <c r="R6" i="15" s="1"/>
  <c r="R231" i="14"/>
  <c r="R247" i="14" s="1"/>
  <c r="R232" i="14"/>
  <c r="R248" i="14" s="1"/>
  <c r="R50" i="14"/>
  <c r="R96" i="14" s="1"/>
  <c r="R237" i="14"/>
  <c r="S241" i="14" s="1"/>
  <c r="R236" i="14"/>
  <c r="R252" i="14" s="1"/>
  <c r="R230" i="14"/>
  <c r="R246" i="14" s="1"/>
  <c r="R49" i="14"/>
  <c r="R95" i="14" s="1"/>
  <c r="R226" i="14"/>
  <c r="R242" i="14" s="1"/>
  <c r="R235" i="14"/>
  <c r="R251" i="14" s="1"/>
  <c r="P58" i="11"/>
  <c r="P62" i="11"/>
  <c r="P56" i="11"/>
  <c r="P60" i="11"/>
  <c r="R97" i="10"/>
  <c r="T201" i="14"/>
  <c r="T197" i="14"/>
  <c r="T193" i="14"/>
  <c r="T133" i="14"/>
  <c r="T129" i="14"/>
  <c r="T125" i="14"/>
  <c r="T202" i="14"/>
  <c r="T198" i="14"/>
  <c r="T194" i="14"/>
  <c r="T192" i="14"/>
  <c r="T195" i="14"/>
  <c r="T128" i="14"/>
  <c r="T126" i="14"/>
  <c r="T31" i="14"/>
  <c r="T30" i="14"/>
  <c r="T29" i="14"/>
  <c r="T28" i="14"/>
  <c r="T27" i="14"/>
  <c r="T26" i="14"/>
  <c r="T25" i="14"/>
  <c r="T24" i="14"/>
  <c r="T23" i="14"/>
  <c r="T22" i="14"/>
  <c r="T21" i="14"/>
  <c r="T20" i="14"/>
  <c r="U1" i="14"/>
  <c r="T196" i="14"/>
  <c r="T199" i="14"/>
  <c r="T200" i="14"/>
  <c r="T131" i="14"/>
  <c r="T130" i="14"/>
  <c r="T123" i="14"/>
  <c r="T127" i="14"/>
  <c r="T124" i="14"/>
  <c r="T41" i="14"/>
  <c r="T134" i="14"/>
  <c r="T87" i="14"/>
  <c r="T132" i="14"/>
  <c r="P89" i="14"/>
  <c r="P89" i="12"/>
  <c r="T202" i="12"/>
  <c r="T201" i="12"/>
  <c r="T200" i="12"/>
  <c r="T199" i="12"/>
  <c r="T198" i="12"/>
  <c r="T197" i="12"/>
  <c r="T196" i="12"/>
  <c r="T195" i="12"/>
  <c r="T194" i="12"/>
  <c r="T193" i="12"/>
  <c r="T192" i="12"/>
  <c r="T134" i="12"/>
  <c r="T130" i="12"/>
  <c r="T126" i="12"/>
  <c r="T133" i="12"/>
  <c r="T129" i="12"/>
  <c r="T125" i="12"/>
  <c r="T87" i="12"/>
  <c r="T132" i="12"/>
  <c r="T124" i="12"/>
  <c r="T128" i="12"/>
  <c r="T31" i="12"/>
  <c r="T30" i="12"/>
  <c r="T29" i="12"/>
  <c r="U1" i="12"/>
  <c r="T131" i="12"/>
  <c r="T127" i="12"/>
  <c r="T123" i="12"/>
  <c r="T41" i="12"/>
  <c r="T28" i="12"/>
  <c r="T27" i="12"/>
  <c r="T26" i="12"/>
  <c r="T25" i="12"/>
  <c r="T24" i="12"/>
  <c r="T23" i="12"/>
  <c r="T22" i="12"/>
  <c r="T21" i="12"/>
  <c r="T20" i="12"/>
  <c r="Q58" i="12"/>
  <c r="S55" i="10"/>
  <c r="S101" i="10" s="1"/>
  <c r="R61" i="10"/>
  <c r="R92" i="10"/>
  <c r="R69" i="10"/>
  <c r="R100" i="10"/>
  <c r="R64" i="10"/>
  <c r="R95" i="10"/>
  <c r="R90" i="10"/>
  <c r="R59" i="10"/>
  <c r="R98" i="10"/>
  <c r="R67" i="10"/>
  <c r="T202" i="10"/>
  <c r="T201" i="10"/>
  <c r="T200" i="10"/>
  <c r="T199" i="10"/>
  <c r="T198" i="10"/>
  <c r="T197" i="10"/>
  <c r="T196" i="10"/>
  <c r="T195" i="10"/>
  <c r="T194" i="10"/>
  <c r="T193" i="10"/>
  <c r="T192" i="10"/>
  <c r="T134" i="10"/>
  <c r="T130" i="10"/>
  <c r="T129" i="10"/>
  <c r="T128" i="10"/>
  <c r="T124" i="10"/>
  <c r="U1" i="10"/>
  <c r="T132" i="10"/>
  <c r="T127" i="10"/>
  <c r="T123" i="10"/>
  <c r="T41" i="10"/>
  <c r="T31" i="10"/>
  <c r="T30" i="10"/>
  <c r="T29" i="10"/>
  <c r="T28" i="10"/>
  <c r="T27" i="10"/>
  <c r="T26" i="10"/>
  <c r="T25" i="10"/>
  <c r="T24" i="10"/>
  <c r="T23" i="10"/>
  <c r="T22" i="10"/>
  <c r="T21" i="10"/>
  <c r="T20" i="10"/>
  <c r="T125" i="10"/>
  <c r="T87" i="10"/>
  <c r="T126" i="10"/>
  <c r="T133" i="10"/>
  <c r="T131" i="10"/>
  <c r="T193" i="13" l="1"/>
  <c r="E35" i="5"/>
  <c r="G35" i="5" s="1"/>
  <c r="G34" i="5"/>
  <c r="T105" i="11"/>
  <c r="T105" i="13"/>
  <c r="Q58" i="13"/>
  <c r="T193" i="15"/>
  <c r="Q60" i="11"/>
  <c r="Q56" i="11"/>
  <c r="P89" i="10"/>
  <c r="S49" i="10"/>
  <c r="S95" i="10" s="1"/>
  <c r="S50" i="10"/>
  <c r="S96" i="10" s="1"/>
  <c r="U1" i="13"/>
  <c r="U105" i="13" s="1"/>
  <c r="U1" i="15"/>
  <c r="S230" i="10"/>
  <c r="S246" i="10" s="1"/>
  <c r="U1" i="11"/>
  <c r="U193" i="11" s="1"/>
  <c r="S48" i="10"/>
  <c r="S94" i="10" s="1"/>
  <c r="S54" i="10"/>
  <c r="S100" i="10" s="1"/>
  <c r="Q62" i="13"/>
  <c r="Q56" i="13"/>
  <c r="R65" i="10"/>
  <c r="Q58" i="10"/>
  <c r="R62" i="10"/>
  <c r="R91" i="10"/>
  <c r="R62" i="14"/>
  <c r="Q89" i="10"/>
  <c r="S237" i="10"/>
  <c r="T241" i="10" s="1"/>
  <c r="S6" i="10"/>
  <c r="S6" i="11" s="1"/>
  <c r="S47" i="10"/>
  <c r="S93" i="10" s="1"/>
  <c r="Q89" i="14"/>
  <c r="Q58" i="11"/>
  <c r="R225" i="12"/>
  <c r="R60" i="13" s="1"/>
  <c r="S236" i="10"/>
  <c r="S252" i="10" s="1"/>
  <c r="S229" i="10"/>
  <c r="S245" i="10" s="1"/>
  <c r="S235" i="10"/>
  <c r="S251" i="10" s="1"/>
  <c r="R66" i="14"/>
  <c r="R99" i="10"/>
  <c r="T7" i="10"/>
  <c r="T7" i="11" s="1"/>
  <c r="R225" i="10"/>
  <c r="R58" i="11" s="1"/>
  <c r="S234" i="10"/>
  <c r="S250" i="10" s="1"/>
  <c r="S52" i="10"/>
  <c r="S98" i="10" s="1"/>
  <c r="S226" i="10"/>
  <c r="S242" i="10" s="1"/>
  <c r="S53" i="10"/>
  <c r="S99" i="10" s="1"/>
  <c r="S228" i="10"/>
  <c r="S244" i="10" s="1"/>
  <c r="S231" i="10"/>
  <c r="S247" i="10" s="1"/>
  <c r="Q58" i="14"/>
  <c r="S46" i="10"/>
  <c r="S92" i="10" s="1"/>
  <c r="S44" i="10"/>
  <c r="S59" i="10" s="1"/>
  <c r="S227" i="10"/>
  <c r="S243" i="10" s="1"/>
  <c r="S45" i="10"/>
  <c r="S91" i="10" s="1"/>
  <c r="S233" i="10"/>
  <c r="S249" i="10" s="1"/>
  <c r="S51" i="10"/>
  <c r="S97" i="10" s="1"/>
  <c r="S232" i="10"/>
  <c r="S248" i="10" s="1"/>
  <c r="S8" i="14"/>
  <c r="S232" i="14" s="1"/>
  <c r="S248" i="14" s="1"/>
  <c r="Q56" i="15"/>
  <c r="R240" i="10"/>
  <c r="Q60" i="15"/>
  <c r="Q62" i="15"/>
  <c r="R43" i="10"/>
  <c r="R63" i="10"/>
  <c r="R70" i="10"/>
  <c r="R225" i="14"/>
  <c r="R58" i="15" s="1"/>
  <c r="R242" i="12"/>
  <c r="R240" i="12" s="1"/>
  <c r="R67" i="14"/>
  <c r="R66" i="12"/>
  <c r="R62" i="12"/>
  <c r="R69" i="12"/>
  <c r="R64" i="12"/>
  <c r="R70" i="12"/>
  <c r="R61" i="12"/>
  <c r="R63" i="12"/>
  <c r="R43" i="12"/>
  <c r="R90" i="12"/>
  <c r="R89" i="12" s="1"/>
  <c r="R60" i="14"/>
  <c r="R59" i="12"/>
  <c r="R60" i="12"/>
  <c r="Q89" i="12"/>
  <c r="R65" i="12"/>
  <c r="R68" i="12"/>
  <c r="R67" i="12"/>
  <c r="S7" i="13"/>
  <c r="S8" i="12"/>
  <c r="R70" i="14"/>
  <c r="R68" i="14"/>
  <c r="R90" i="14"/>
  <c r="R89" i="14" s="1"/>
  <c r="R63" i="14"/>
  <c r="R43" i="14"/>
  <c r="R69" i="14"/>
  <c r="R61" i="14"/>
  <c r="R240" i="14"/>
  <c r="R64" i="14"/>
  <c r="R65" i="14"/>
  <c r="U200" i="14"/>
  <c r="U196" i="14"/>
  <c r="U192" i="14"/>
  <c r="U132" i="14"/>
  <c r="U128" i="14"/>
  <c r="U124" i="14"/>
  <c r="U87" i="14"/>
  <c r="U201" i="14"/>
  <c r="U197" i="14"/>
  <c r="U195" i="14"/>
  <c r="U194" i="14"/>
  <c r="U199" i="14"/>
  <c r="U198" i="14"/>
  <c r="U193" i="14"/>
  <c r="U133" i="14"/>
  <c r="U131" i="14"/>
  <c r="U41" i="14"/>
  <c r="U202" i="14"/>
  <c r="U134" i="14"/>
  <c r="U31" i="14"/>
  <c r="U30" i="14"/>
  <c r="U29" i="14"/>
  <c r="U127" i="14"/>
  <c r="U28" i="14"/>
  <c r="U27" i="14"/>
  <c r="U26" i="14"/>
  <c r="U25" i="14"/>
  <c r="U24" i="14"/>
  <c r="U23" i="14"/>
  <c r="U22" i="14"/>
  <c r="U21" i="14"/>
  <c r="U20" i="14"/>
  <c r="U130" i="14"/>
  <c r="U126" i="14"/>
  <c r="U125" i="14"/>
  <c r="U123" i="14"/>
  <c r="V1" i="14"/>
  <c r="U129" i="14"/>
  <c r="U202" i="12"/>
  <c r="U201" i="12"/>
  <c r="U200" i="12"/>
  <c r="U199" i="12"/>
  <c r="U198" i="12"/>
  <c r="U197" i="12"/>
  <c r="U196" i="12"/>
  <c r="U195" i="12"/>
  <c r="U194" i="12"/>
  <c r="U193" i="12"/>
  <c r="U192" i="12"/>
  <c r="U133" i="12"/>
  <c r="U129" i="12"/>
  <c r="U125" i="12"/>
  <c r="U87" i="12"/>
  <c r="U132" i="12"/>
  <c r="U128" i="12"/>
  <c r="U124" i="12"/>
  <c r="U31" i="12"/>
  <c r="U30" i="12"/>
  <c r="U29" i="12"/>
  <c r="U28" i="12"/>
  <c r="U27" i="12"/>
  <c r="U26" i="12"/>
  <c r="U25" i="12"/>
  <c r="U24" i="12"/>
  <c r="U23" i="12"/>
  <c r="U22" i="12"/>
  <c r="U21" i="12"/>
  <c r="U20" i="12"/>
  <c r="V1" i="12"/>
  <c r="U131" i="12"/>
  <c r="U127" i="12"/>
  <c r="U123" i="12"/>
  <c r="U41" i="12"/>
  <c r="U134" i="12"/>
  <c r="U130" i="12"/>
  <c r="U126" i="12"/>
  <c r="S65" i="10"/>
  <c r="U202" i="10"/>
  <c r="U201" i="10"/>
  <c r="U200" i="10"/>
  <c r="U199" i="10"/>
  <c r="U198" i="10"/>
  <c r="U197" i="10"/>
  <c r="U196" i="10"/>
  <c r="U195" i="10"/>
  <c r="U194" i="10"/>
  <c r="U193" i="10"/>
  <c r="U192" i="10"/>
  <c r="U133" i="10"/>
  <c r="U129" i="10"/>
  <c r="U134" i="10"/>
  <c r="U132" i="10"/>
  <c r="U127" i="10"/>
  <c r="U123" i="10"/>
  <c r="U41" i="10"/>
  <c r="U31" i="10"/>
  <c r="U30" i="10"/>
  <c r="U29" i="10"/>
  <c r="U28" i="10"/>
  <c r="U27" i="10"/>
  <c r="U26" i="10"/>
  <c r="U25" i="10"/>
  <c r="U24" i="10"/>
  <c r="U23" i="10"/>
  <c r="U22" i="10"/>
  <c r="U21" i="10"/>
  <c r="U20" i="10"/>
  <c r="U130" i="10"/>
  <c r="U126" i="10"/>
  <c r="U87" i="10"/>
  <c r="U128" i="10"/>
  <c r="V1" i="10"/>
  <c r="U131" i="10"/>
  <c r="U125" i="10"/>
  <c r="U124" i="10"/>
  <c r="S70" i="10"/>
  <c r="R56" i="11" l="1"/>
  <c r="R58" i="13"/>
  <c r="R56" i="13"/>
  <c r="U193" i="15"/>
  <c r="U105" i="11"/>
  <c r="U193" i="13"/>
  <c r="U105" i="15"/>
  <c r="S235" i="14"/>
  <c r="S251" i="14" s="1"/>
  <c r="S233" i="14"/>
  <c r="S249" i="14" s="1"/>
  <c r="S236" i="14"/>
  <c r="S252" i="14" s="1"/>
  <c r="S8" i="15"/>
  <c r="S54" i="14"/>
  <c r="S100" i="14" s="1"/>
  <c r="S227" i="14"/>
  <c r="S243" i="14" s="1"/>
  <c r="R62" i="15"/>
  <c r="S53" i="14"/>
  <c r="S99" i="14" s="1"/>
  <c r="S234" i="14"/>
  <c r="S250" i="14" s="1"/>
  <c r="S64" i="10"/>
  <c r="S63" i="10"/>
  <c r="S69" i="10"/>
  <c r="S49" i="14"/>
  <c r="S95" i="14" s="1"/>
  <c r="S50" i="14"/>
  <c r="S96" i="14" s="1"/>
  <c r="V1" i="13"/>
  <c r="V193" i="13" s="1"/>
  <c r="V1" i="15"/>
  <c r="V105" i="15" s="1"/>
  <c r="S55" i="14"/>
  <c r="S101" i="14" s="1"/>
  <c r="S48" i="14"/>
  <c r="S94" i="14" s="1"/>
  <c r="S237" i="14"/>
  <c r="T241" i="14" s="1"/>
  <c r="V1" i="11"/>
  <c r="V105" i="11" s="1"/>
  <c r="R62" i="13"/>
  <c r="S225" i="10"/>
  <c r="S60" i="11" s="1"/>
  <c r="T8" i="10"/>
  <c r="T231" i="10" s="1"/>
  <c r="T247" i="10" s="1"/>
  <c r="S68" i="10"/>
  <c r="S60" i="10"/>
  <c r="R89" i="10"/>
  <c r="R60" i="11"/>
  <c r="R56" i="15"/>
  <c r="S231" i="14"/>
  <c r="S247" i="14" s="1"/>
  <c r="S45" i="14"/>
  <c r="S91" i="14" s="1"/>
  <c r="S51" i="14"/>
  <c r="S97" i="14" s="1"/>
  <c r="T7" i="14"/>
  <c r="S44" i="14"/>
  <c r="S90" i="14" s="1"/>
  <c r="R62" i="11"/>
  <c r="R60" i="15"/>
  <c r="S62" i="10"/>
  <c r="S61" i="10"/>
  <c r="S46" i="14"/>
  <c r="S92" i="14" s="1"/>
  <c r="S228" i="14"/>
  <c r="S244" i="14" s="1"/>
  <c r="S52" i="14"/>
  <c r="S98" i="14" s="1"/>
  <c r="S230" i="14"/>
  <c r="S246" i="14" s="1"/>
  <c r="S226" i="14"/>
  <c r="S242" i="14" s="1"/>
  <c r="S47" i="14"/>
  <c r="S93" i="14" s="1"/>
  <c r="S66" i="10"/>
  <c r="S90" i="10"/>
  <c r="S89" i="10" s="1"/>
  <c r="S43" i="10"/>
  <c r="R58" i="10"/>
  <c r="S240" i="10"/>
  <c r="S67" i="10"/>
  <c r="S6" i="14"/>
  <c r="S6" i="15" s="1"/>
  <c r="S229" i="14"/>
  <c r="S245" i="14" s="1"/>
  <c r="S229" i="12"/>
  <c r="S245" i="12" s="1"/>
  <c r="S50" i="12"/>
  <c r="S228" i="12"/>
  <c r="S244" i="12" s="1"/>
  <c r="S47" i="12"/>
  <c r="S227" i="12"/>
  <c r="S243" i="12" s="1"/>
  <c r="S233" i="12"/>
  <c r="S249" i="12" s="1"/>
  <c r="S8" i="13"/>
  <c r="S237" i="12"/>
  <c r="T241" i="12" s="1"/>
  <c r="S44" i="12"/>
  <c r="S232" i="12"/>
  <c r="S248" i="12" s="1"/>
  <c r="S226" i="12"/>
  <c r="S231" i="12"/>
  <c r="S247" i="12" s="1"/>
  <c r="S48" i="12"/>
  <c r="S55" i="12"/>
  <c r="S51" i="12"/>
  <c r="S49" i="12"/>
  <c r="S54" i="12"/>
  <c r="S45" i="12"/>
  <c r="S236" i="12"/>
  <c r="S252" i="12" s="1"/>
  <c r="S52" i="12"/>
  <c r="S230" i="12"/>
  <c r="S246" i="12" s="1"/>
  <c r="T7" i="12"/>
  <c r="S235" i="12"/>
  <c r="S251" i="12" s="1"/>
  <c r="S46" i="12"/>
  <c r="S6" i="12"/>
  <c r="S6" i="13" s="1"/>
  <c r="S53" i="12"/>
  <c r="S234" i="12"/>
  <c r="S250" i="12" s="1"/>
  <c r="R58" i="12"/>
  <c r="R58" i="14"/>
  <c r="V105" i="13"/>
  <c r="V134" i="14"/>
  <c r="V133" i="14"/>
  <c r="V132" i="14"/>
  <c r="V131" i="14"/>
  <c r="V130" i="14"/>
  <c r="V129" i="14"/>
  <c r="V128" i="14"/>
  <c r="V127" i="14"/>
  <c r="V126" i="14"/>
  <c r="V125" i="14"/>
  <c r="V124" i="14"/>
  <c r="V123" i="14"/>
  <c r="V199" i="14"/>
  <c r="V195" i="14"/>
  <c r="V200" i="14"/>
  <c r="V196" i="14"/>
  <c r="V198" i="14"/>
  <c r="V193" i="14"/>
  <c r="V202" i="14"/>
  <c r="V197" i="14"/>
  <c r="V201" i="14"/>
  <c r="V194" i="14"/>
  <c r="V192" i="14"/>
  <c r="V87" i="14"/>
  <c r="V41" i="14"/>
  <c r="V31" i="14"/>
  <c r="V29" i="14"/>
  <c r="V28" i="14"/>
  <c r="V27" i="14"/>
  <c r="V26" i="14"/>
  <c r="V25" i="14"/>
  <c r="V24" i="14"/>
  <c r="V23" i="14"/>
  <c r="V22" i="14"/>
  <c r="V21" i="14"/>
  <c r="V20" i="14"/>
  <c r="V30" i="14"/>
  <c r="W1" i="14"/>
  <c r="V87" i="12"/>
  <c r="V201" i="12"/>
  <c r="V199" i="12"/>
  <c r="V197" i="12"/>
  <c r="V195" i="12"/>
  <c r="V193" i="12"/>
  <c r="V132" i="12"/>
  <c r="V128" i="12"/>
  <c r="V124" i="12"/>
  <c r="V131" i="12"/>
  <c r="V127" i="12"/>
  <c r="V123" i="12"/>
  <c r="V41" i="12"/>
  <c r="V196" i="12"/>
  <c r="V194" i="12"/>
  <c r="V126" i="12"/>
  <c r="V202" i="12"/>
  <c r="V200" i="12"/>
  <c r="V198" i="12"/>
  <c r="V192" i="12"/>
  <c r="V134" i="12"/>
  <c r="V130" i="12"/>
  <c r="V133" i="12"/>
  <c r="V129" i="12"/>
  <c r="V125" i="12"/>
  <c r="V31" i="12"/>
  <c r="V30" i="12"/>
  <c r="V28" i="12"/>
  <c r="V27" i="12"/>
  <c r="V26" i="12"/>
  <c r="V25" i="12"/>
  <c r="V24" i="12"/>
  <c r="V23" i="12"/>
  <c r="V22" i="12"/>
  <c r="V21" i="12"/>
  <c r="V20" i="12"/>
  <c r="W1" i="12"/>
  <c r="V29" i="12"/>
  <c r="V132" i="10"/>
  <c r="V202" i="10"/>
  <c r="V201" i="10"/>
  <c r="V200" i="10"/>
  <c r="V199" i="10"/>
  <c r="V198" i="10"/>
  <c r="V197" i="10"/>
  <c r="V196" i="10"/>
  <c r="V195" i="10"/>
  <c r="V130" i="10"/>
  <c r="V126" i="10"/>
  <c r="V87" i="10"/>
  <c r="V131" i="10"/>
  <c r="V125" i="10"/>
  <c r="V128" i="10"/>
  <c r="V31" i="10"/>
  <c r="V30" i="10"/>
  <c r="V29" i="10"/>
  <c r="V28" i="10"/>
  <c r="V27" i="10"/>
  <c r="V26" i="10"/>
  <c r="V25" i="10"/>
  <c r="V24" i="10"/>
  <c r="V23" i="10"/>
  <c r="W1" i="10"/>
  <c r="V20" i="10"/>
  <c r="V194" i="10"/>
  <c r="V193" i="10"/>
  <c r="V192" i="10"/>
  <c r="V127" i="10"/>
  <c r="V41" i="10"/>
  <c r="V22" i="10"/>
  <c r="V133" i="10"/>
  <c r="V129" i="10"/>
  <c r="V124" i="10"/>
  <c r="V21" i="10"/>
  <c r="V134" i="10"/>
  <c r="V123" i="10"/>
  <c r="T44" i="10" l="1"/>
  <c r="T59" i="10" s="1"/>
  <c r="T228" i="10"/>
  <c r="T244" i="10" s="1"/>
  <c r="T229" i="10"/>
  <c r="T245" i="10" s="1"/>
  <c r="V193" i="15"/>
  <c r="V193" i="11"/>
  <c r="S68" i="14"/>
  <c r="T47" i="10"/>
  <c r="T93" i="10" s="1"/>
  <c r="S69" i="14"/>
  <c r="T53" i="10"/>
  <c r="T68" i="10" s="1"/>
  <c r="T54" i="10"/>
  <c r="T100" i="10" s="1"/>
  <c r="T230" i="10"/>
  <c r="T246" i="10" s="1"/>
  <c r="S58" i="11"/>
  <c r="T235" i="10"/>
  <c r="T251" i="10" s="1"/>
  <c r="S62" i="11"/>
  <c r="T6" i="10"/>
  <c r="T6" i="11" s="1"/>
  <c r="T233" i="10"/>
  <c r="T249" i="10" s="1"/>
  <c r="S240" i="14"/>
  <c r="S64" i="14"/>
  <c r="S70" i="14"/>
  <c r="S63" i="14"/>
  <c r="S65" i="14"/>
  <c r="W1" i="11"/>
  <c r="W1" i="15"/>
  <c r="W105" i="15" s="1"/>
  <c r="W1" i="13"/>
  <c r="T8" i="11"/>
  <c r="T49" i="10"/>
  <c r="T50" i="10"/>
  <c r="S56" i="11"/>
  <c r="T236" i="10"/>
  <c r="T252" i="10" s="1"/>
  <c r="U7" i="10"/>
  <c r="T45" i="10"/>
  <c r="T60" i="10" s="1"/>
  <c r="T232" i="10"/>
  <c r="T248" i="10" s="1"/>
  <c r="T226" i="10"/>
  <c r="T242" i="10" s="1"/>
  <c r="T46" i="10"/>
  <c r="T92" i="10" s="1"/>
  <c r="T237" i="10"/>
  <c r="U241" i="10" s="1"/>
  <c r="T55" i="10"/>
  <c r="T101" i="10" s="1"/>
  <c r="T227" i="10"/>
  <c r="T243" i="10" s="1"/>
  <c r="T51" i="10"/>
  <c r="T97" i="10" s="1"/>
  <c r="T234" i="10"/>
  <c r="T250" i="10" s="1"/>
  <c r="T48" i="10"/>
  <c r="T94" i="10" s="1"/>
  <c r="T52" i="10"/>
  <c r="T98" i="10" s="1"/>
  <c r="S61" i="14"/>
  <c r="S60" i="14"/>
  <c r="S89" i="14"/>
  <c r="S66" i="14"/>
  <c r="S62" i="14"/>
  <c r="S58" i="10"/>
  <c r="S67" i="14"/>
  <c r="S59" i="14"/>
  <c r="S43" i="14"/>
  <c r="T8" i="14"/>
  <c r="T7" i="15"/>
  <c r="S225" i="14"/>
  <c r="S60" i="15" s="1"/>
  <c r="S100" i="12"/>
  <c r="S69" i="12"/>
  <c r="S59" i="12"/>
  <c r="S43" i="12"/>
  <c r="S90" i="12"/>
  <c r="S92" i="12"/>
  <c r="S61" i="12"/>
  <c r="S98" i="12"/>
  <c r="S67" i="12"/>
  <c r="S64" i="12"/>
  <c r="S95" i="12"/>
  <c r="S93" i="12"/>
  <c r="S62" i="12"/>
  <c r="S66" i="12"/>
  <c r="S97" i="12"/>
  <c r="S225" i="12"/>
  <c r="S242" i="12"/>
  <c r="S240" i="12" s="1"/>
  <c r="S94" i="12"/>
  <c r="S63" i="12"/>
  <c r="S99" i="12"/>
  <c r="S68" i="12"/>
  <c r="T7" i="13"/>
  <c r="T8" i="12"/>
  <c r="S91" i="12"/>
  <c r="S60" i="12"/>
  <c r="S101" i="12"/>
  <c r="S70" i="12"/>
  <c r="S65" i="12"/>
  <c r="S96" i="12"/>
  <c r="W202" i="14"/>
  <c r="W201" i="14"/>
  <c r="W200" i="14"/>
  <c r="W199" i="14"/>
  <c r="W198" i="14"/>
  <c r="W197" i="14"/>
  <c r="W196" i="14"/>
  <c r="W195" i="14"/>
  <c r="W194" i="14"/>
  <c r="W193" i="14"/>
  <c r="W192" i="14"/>
  <c r="W131" i="14"/>
  <c r="W127" i="14"/>
  <c r="W123" i="14"/>
  <c r="W134" i="14"/>
  <c r="W129" i="14"/>
  <c r="W124" i="14"/>
  <c r="W133" i="14"/>
  <c r="W130" i="14"/>
  <c r="W126" i="14"/>
  <c r="W41" i="14"/>
  <c r="X1" i="14"/>
  <c r="W132" i="14"/>
  <c r="W128" i="14"/>
  <c r="W30" i="14"/>
  <c r="W31" i="14"/>
  <c r="W29" i="14"/>
  <c r="W125" i="14"/>
  <c r="W87" i="14"/>
  <c r="W28" i="14"/>
  <c r="W27" i="14"/>
  <c r="W26" i="14"/>
  <c r="W25" i="14"/>
  <c r="W24" i="14"/>
  <c r="W23" i="14"/>
  <c r="W22" i="14"/>
  <c r="W21" i="14"/>
  <c r="W20" i="14"/>
  <c r="W134" i="12"/>
  <c r="W133" i="12"/>
  <c r="W132" i="12"/>
  <c r="W131" i="12"/>
  <c r="W130" i="12"/>
  <c r="W129" i="12"/>
  <c r="W128" i="12"/>
  <c r="W127" i="12"/>
  <c r="W126" i="12"/>
  <c r="W125" i="12"/>
  <c r="W124" i="12"/>
  <c r="W123" i="12"/>
  <c r="W202" i="12"/>
  <c r="W200" i="12"/>
  <c r="W198" i="12"/>
  <c r="W196" i="12"/>
  <c r="W194" i="12"/>
  <c r="W192" i="12"/>
  <c r="W201" i="12"/>
  <c r="W197" i="12"/>
  <c r="W193" i="12"/>
  <c r="W31" i="12"/>
  <c r="W22" i="12"/>
  <c r="W20" i="12"/>
  <c r="W87" i="12"/>
  <c r="W30" i="12"/>
  <c r="W28" i="12"/>
  <c r="W27" i="12"/>
  <c r="W26" i="12"/>
  <c r="W25" i="12"/>
  <c r="W24" i="12"/>
  <c r="W23" i="12"/>
  <c r="W21" i="12"/>
  <c r="X1" i="12"/>
  <c r="W199" i="12"/>
  <c r="W195" i="12"/>
  <c r="W41" i="12"/>
  <c r="W29" i="12"/>
  <c r="W134" i="10"/>
  <c r="W133" i="10"/>
  <c r="W132" i="10"/>
  <c r="W131" i="10"/>
  <c r="W130" i="10"/>
  <c r="W129" i="10"/>
  <c r="W128" i="10"/>
  <c r="W127" i="10"/>
  <c r="W126" i="10"/>
  <c r="W125" i="10"/>
  <c r="W124" i="10"/>
  <c r="W123" i="10"/>
  <c r="W201" i="10"/>
  <c r="W197" i="10"/>
  <c r="W199" i="10"/>
  <c r="W195" i="10"/>
  <c r="W200" i="10"/>
  <c r="W196" i="10"/>
  <c r="W194" i="10"/>
  <c r="W193" i="10"/>
  <c r="W192" i="10"/>
  <c r="X1" i="10"/>
  <c r="W202" i="10"/>
  <c r="W198" i="10"/>
  <c r="W41" i="10"/>
  <c r="W22" i="10"/>
  <c r="W87" i="10"/>
  <c r="W21" i="10"/>
  <c r="W20" i="10"/>
  <c r="W31" i="10"/>
  <c r="W30" i="10"/>
  <c r="W29" i="10"/>
  <c r="W28" i="10"/>
  <c r="W27" i="10"/>
  <c r="W26" i="10"/>
  <c r="W25" i="10"/>
  <c r="W24" i="10"/>
  <c r="W23" i="10"/>
  <c r="T90" i="10" l="1"/>
  <c r="W193" i="11"/>
  <c r="T69" i="10"/>
  <c r="T62" i="10"/>
  <c r="W193" i="15"/>
  <c r="T99" i="10"/>
  <c r="W105" i="11"/>
  <c r="T240" i="10"/>
  <c r="W193" i="13"/>
  <c r="X1" i="15"/>
  <c r="X193" i="15" s="1"/>
  <c r="X1" i="11"/>
  <c r="X193" i="11" s="1"/>
  <c r="W105" i="13"/>
  <c r="T225" i="10"/>
  <c r="T58" i="11" s="1"/>
  <c r="X1" i="13"/>
  <c r="X105" i="13" s="1"/>
  <c r="T67" i="10"/>
  <c r="T66" i="10"/>
  <c r="T61" i="10"/>
  <c r="T91" i="10"/>
  <c r="T63" i="10"/>
  <c r="T96" i="10"/>
  <c r="T65" i="10"/>
  <c r="U8" i="10"/>
  <c r="U7" i="11"/>
  <c r="T95" i="10"/>
  <c r="T64" i="10"/>
  <c r="T70" i="10"/>
  <c r="T43" i="10"/>
  <c r="S58" i="14"/>
  <c r="T49" i="14"/>
  <c r="T227" i="14"/>
  <c r="T243" i="14" s="1"/>
  <c r="T55" i="14"/>
  <c r="T54" i="14"/>
  <c r="U7" i="14"/>
  <c r="T45" i="14"/>
  <c r="T8" i="15"/>
  <c r="T229" i="14"/>
  <c r="T245" i="14" s="1"/>
  <c r="T47" i="14"/>
  <c r="T48" i="14"/>
  <c r="T235" i="14"/>
  <c r="T251" i="14" s="1"/>
  <c r="T237" i="14"/>
  <c r="U241" i="14" s="1"/>
  <c r="T232" i="14"/>
  <c r="T248" i="14" s="1"/>
  <c r="T231" i="14"/>
  <c r="T247" i="14" s="1"/>
  <c r="T46" i="14"/>
  <c r="T52" i="14"/>
  <c r="T230" i="14"/>
  <c r="T246" i="14" s="1"/>
  <c r="T51" i="14"/>
  <c r="T53" i="14"/>
  <c r="T234" i="14"/>
  <c r="T250" i="14" s="1"/>
  <c r="T44" i="14"/>
  <c r="T228" i="14"/>
  <c r="T244" i="14" s="1"/>
  <c r="T236" i="14"/>
  <c r="T252" i="14" s="1"/>
  <c r="T233" i="14"/>
  <c r="T249" i="14" s="1"/>
  <c r="T6" i="14"/>
  <c r="T6" i="15" s="1"/>
  <c r="T226" i="14"/>
  <c r="T50" i="14"/>
  <c r="S62" i="15"/>
  <c r="S56" i="15"/>
  <c r="S58" i="15"/>
  <c r="T56" i="11"/>
  <c r="S58" i="12"/>
  <c r="S58" i="13"/>
  <c r="S56" i="13"/>
  <c r="S62" i="13"/>
  <c r="S60" i="13"/>
  <c r="T44" i="12"/>
  <c r="T46" i="12"/>
  <c r="T226" i="12"/>
  <c r="T45" i="12"/>
  <c r="T227" i="12"/>
  <c r="T243" i="12" s="1"/>
  <c r="T47" i="12"/>
  <c r="T237" i="12"/>
  <c r="U241" i="12" s="1"/>
  <c r="T230" i="12"/>
  <c r="T246" i="12" s="1"/>
  <c r="T50" i="12"/>
  <c r="T234" i="12"/>
  <c r="T250" i="12" s="1"/>
  <c r="T6" i="12"/>
  <c r="T6" i="13" s="1"/>
  <c r="T228" i="12"/>
  <c r="T244" i="12" s="1"/>
  <c r="T53" i="12"/>
  <c r="T235" i="12"/>
  <c r="T251" i="12" s="1"/>
  <c r="T236" i="12"/>
  <c r="T252" i="12" s="1"/>
  <c r="T55" i="12"/>
  <c r="T229" i="12"/>
  <c r="T245" i="12" s="1"/>
  <c r="T49" i="12"/>
  <c r="T52" i="12"/>
  <c r="T233" i="12"/>
  <c r="T249" i="12" s="1"/>
  <c r="U7" i="12"/>
  <c r="T232" i="12"/>
  <c r="T248" i="12" s="1"/>
  <c r="T51" i="12"/>
  <c r="T48" i="12"/>
  <c r="T54" i="12"/>
  <c r="T231" i="12"/>
  <c r="T247" i="12" s="1"/>
  <c r="T8" i="13"/>
  <c r="S89" i="12"/>
  <c r="X202" i="14"/>
  <c r="X198" i="14"/>
  <c r="X194" i="14"/>
  <c r="X134" i="14"/>
  <c r="X130" i="14"/>
  <c r="X126" i="14"/>
  <c r="X199" i="14"/>
  <c r="X195" i="14"/>
  <c r="X197" i="14"/>
  <c r="X201" i="14"/>
  <c r="X196" i="14"/>
  <c r="X127" i="14"/>
  <c r="X125" i="14"/>
  <c r="X87" i="14"/>
  <c r="X31" i="14"/>
  <c r="X30" i="14"/>
  <c r="X29" i="14"/>
  <c r="X28" i="14"/>
  <c r="X27" i="14"/>
  <c r="X26" i="14"/>
  <c r="X25" i="14"/>
  <c r="X24" i="14"/>
  <c r="X23" i="14"/>
  <c r="X22" i="14"/>
  <c r="X21" i="14"/>
  <c r="X20" i="14"/>
  <c r="Y1" i="14"/>
  <c r="X192" i="14"/>
  <c r="X200" i="14"/>
  <c r="X193" i="14"/>
  <c r="X132" i="14"/>
  <c r="X131" i="14"/>
  <c r="X129" i="14"/>
  <c r="X128" i="14"/>
  <c r="X124" i="14"/>
  <c r="X133" i="14"/>
  <c r="X41" i="14"/>
  <c r="X123" i="14"/>
  <c r="X202" i="12"/>
  <c r="X200" i="12"/>
  <c r="X198" i="12"/>
  <c r="X196" i="12"/>
  <c r="X194" i="12"/>
  <c r="X192" i="12"/>
  <c r="X131" i="12"/>
  <c r="X127" i="12"/>
  <c r="X123" i="12"/>
  <c r="X134" i="12"/>
  <c r="X130" i="12"/>
  <c r="X126" i="12"/>
  <c r="X193" i="12"/>
  <c r="X129" i="12"/>
  <c r="X201" i="12"/>
  <c r="X199" i="12"/>
  <c r="X197" i="12"/>
  <c r="X195" i="12"/>
  <c r="X133" i="12"/>
  <c r="X125" i="12"/>
  <c r="X87" i="12"/>
  <c r="X31" i="12"/>
  <c r="X30" i="12"/>
  <c r="X29" i="12"/>
  <c r="X28" i="12"/>
  <c r="X27" i="12"/>
  <c r="X26" i="12"/>
  <c r="X25" i="12"/>
  <c r="X24" i="12"/>
  <c r="X23" i="12"/>
  <c r="X22" i="12"/>
  <c r="X21" i="12"/>
  <c r="X20" i="12"/>
  <c r="Y1" i="12"/>
  <c r="X41" i="12"/>
  <c r="X132" i="12"/>
  <c r="X128" i="12"/>
  <c r="X124" i="12"/>
  <c r="X131" i="10"/>
  <c r="X202" i="10"/>
  <c r="X201" i="10"/>
  <c r="X200" i="10"/>
  <c r="X199" i="10"/>
  <c r="X198" i="10"/>
  <c r="X197" i="10"/>
  <c r="X196" i="10"/>
  <c r="X195" i="10"/>
  <c r="X194" i="10"/>
  <c r="X193" i="10"/>
  <c r="X192" i="10"/>
  <c r="X125" i="10"/>
  <c r="Y1" i="10"/>
  <c r="X133" i="10"/>
  <c r="X128" i="10"/>
  <c r="X124" i="10"/>
  <c r="X41" i="10"/>
  <c r="X31" i="10"/>
  <c r="X30" i="10"/>
  <c r="X29" i="10"/>
  <c r="X28" i="10"/>
  <c r="X27" i="10"/>
  <c r="X26" i="10"/>
  <c r="X25" i="10"/>
  <c r="X24" i="10"/>
  <c r="X23" i="10"/>
  <c r="X22" i="10"/>
  <c r="X21" i="10"/>
  <c r="X20" i="10"/>
  <c r="X127" i="10"/>
  <c r="X126" i="10"/>
  <c r="X129" i="10"/>
  <c r="X134" i="10"/>
  <c r="X123" i="10"/>
  <c r="X87" i="10"/>
  <c r="X132" i="10"/>
  <c r="X130" i="10"/>
  <c r="X105" i="15" l="1"/>
  <c r="X105" i="11"/>
  <c r="X193" i="13"/>
  <c r="Y1" i="13"/>
  <c r="Y1" i="11"/>
  <c r="Y193" i="11" s="1"/>
  <c r="T62" i="11"/>
  <c r="T60" i="11"/>
  <c r="Y1" i="15"/>
  <c r="Y193" i="15" s="1"/>
  <c r="T89" i="10"/>
  <c r="T58" i="10"/>
  <c r="U8" i="11"/>
  <c r="U401" i="10"/>
  <c r="U233" i="10"/>
  <c r="U249" i="10" s="1"/>
  <c r="U45" i="10"/>
  <c r="U395" i="10"/>
  <c r="U392" i="10"/>
  <c r="U53" i="10"/>
  <c r="U234" i="10"/>
  <c r="U250" i="10" s="1"/>
  <c r="U44" i="10"/>
  <c r="U397" i="10"/>
  <c r="U235" i="10"/>
  <c r="U251" i="10" s="1"/>
  <c r="U6" i="10"/>
  <c r="U6" i="11" s="1"/>
  <c r="U391" i="10"/>
  <c r="U49" i="10"/>
  <c r="U231" i="10"/>
  <c r="U247" i="10" s="1"/>
  <c r="U51" i="10"/>
  <c r="U236" i="10"/>
  <c r="U252" i="10" s="1"/>
  <c r="U399" i="10"/>
  <c r="U229" i="10"/>
  <c r="U245" i="10" s="1"/>
  <c r="U237" i="10"/>
  <c r="V241" i="10" s="1"/>
  <c r="U400" i="10"/>
  <c r="U226" i="10"/>
  <c r="U48" i="10"/>
  <c r="U52" i="10"/>
  <c r="U50" i="10"/>
  <c r="U227" i="10"/>
  <c r="U243" i="10" s="1"/>
  <c r="U390" i="10"/>
  <c r="U396" i="10"/>
  <c r="U394" i="10"/>
  <c r="U398" i="10"/>
  <c r="V7" i="10"/>
  <c r="U54" i="10"/>
  <c r="U230" i="10"/>
  <c r="U246" i="10" s="1"/>
  <c r="U232" i="10"/>
  <c r="U248" i="10" s="1"/>
  <c r="U46" i="10"/>
  <c r="U393" i="10"/>
  <c r="U47" i="10"/>
  <c r="U228" i="10"/>
  <c r="U244" i="10" s="1"/>
  <c r="U55" i="10"/>
  <c r="T43" i="14"/>
  <c r="T90" i="14"/>
  <c r="T59" i="14"/>
  <c r="T93" i="14"/>
  <c r="T62" i="14"/>
  <c r="U8" i="14"/>
  <c r="U7" i="15"/>
  <c r="T95" i="14"/>
  <c r="T64" i="14"/>
  <c r="T98" i="14"/>
  <c r="T67" i="14"/>
  <c r="T100" i="14"/>
  <c r="T69" i="14"/>
  <c r="T96" i="14"/>
  <c r="T65" i="14"/>
  <c r="T99" i="14"/>
  <c r="T68" i="14"/>
  <c r="T92" i="14"/>
  <c r="T61" i="14"/>
  <c r="T101" i="14"/>
  <c r="T70" i="14"/>
  <c r="T242" i="14"/>
  <c r="T240" i="14" s="1"/>
  <c r="T225" i="14"/>
  <c r="T97" i="14"/>
  <c r="T66" i="14"/>
  <c r="T94" i="14"/>
  <c r="T63" i="14"/>
  <c r="T91" i="14"/>
  <c r="T60" i="14"/>
  <c r="T97" i="12"/>
  <c r="T66" i="12"/>
  <c r="T225" i="12"/>
  <c r="T242" i="12"/>
  <c r="T240" i="12" s="1"/>
  <c r="T95" i="12"/>
  <c r="T64" i="12"/>
  <c r="T93" i="12"/>
  <c r="T62" i="12"/>
  <c r="T92" i="12"/>
  <c r="T61" i="12"/>
  <c r="T98" i="12"/>
  <c r="T67" i="12"/>
  <c r="T100" i="12"/>
  <c r="T69" i="12"/>
  <c r="U7" i="13"/>
  <c r="U8" i="12"/>
  <c r="T99" i="12"/>
  <c r="T68" i="12"/>
  <c r="T65" i="12"/>
  <c r="T96" i="12"/>
  <c r="T90" i="12"/>
  <c r="T43" i="12"/>
  <c r="T59" i="12"/>
  <c r="T94" i="12"/>
  <c r="T63" i="12"/>
  <c r="T70" i="12"/>
  <c r="T101" i="12"/>
  <c r="T91" i="12"/>
  <c r="T60" i="12"/>
  <c r="Y105" i="11"/>
  <c r="Y105" i="13"/>
  <c r="Y193" i="13"/>
  <c r="Y201" i="14"/>
  <c r="Y197" i="14"/>
  <c r="Y193" i="14"/>
  <c r="Y133" i="14"/>
  <c r="Y129" i="14"/>
  <c r="Y125" i="14"/>
  <c r="Y87" i="14"/>
  <c r="Y202" i="14"/>
  <c r="Y198" i="14"/>
  <c r="Y194" i="14"/>
  <c r="Y199" i="14"/>
  <c r="Y196" i="14"/>
  <c r="Y200" i="14"/>
  <c r="Y192" i="14"/>
  <c r="Y132" i="14"/>
  <c r="Y130" i="14"/>
  <c r="Y123" i="14"/>
  <c r="Y41" i="14"/>
  <c r="Y195" i="14"/>
  <c r="Y127" i="14"/>
  <c r="Y124" i="14"/>
  <c r="Y128" i="14"/>
  <c r="Y30" i="14"/>
  <c r="Z1" i="14"/>
  <c r="Y28" i="14"/>
  <c r="Y27" i="14"/>
  <c r="Y26" i="14"/>
  <c r="Y25" i="14"/>
  <c r="Y24" i="14"/>
  <c r="Y23" i="14"/>
  <c r="Y22" i="14"/>
  <c r="Y21" i="14"/>
  <c r="Y20" i="14"/>
  <c r="Y131" i="14"/>
  <c r="Y134" i="14"/>
  <c r="Y126" i="14"/>
  <c r="Y31" i="14"/>
  <c r="Y29" i="14"/>
  <c r="Y202" i="12"/>
  <c r="Y201" i="12"/>
  <c r="Y200" i="12"/>
  <c r="Y199" i="12"/>
  <c r="Y198" i="12"/>
  <c r="Y197" i="12"/>
  <c r="Y196" i="12"/>
  <c r="Y195" i="12"/>
  <c r="Y194" i="12"/>
  <c r="Y193" i="12"/>
  <c r="Y192" i="12"/>
  <c r="Y134" i="12"/>
  <c r="Y130" i="12"/>
  <c r="Y126" i="12"/>
  <c r="Y133" i="12"/>
  <c r="Y129" i="12"/>
  <c r="Y125" i="12"/>
  <c r="Y87" i="12"/>
  <c r="Y31" i="12"/>
  <c r="Y30" i="12"/>
  <c r="Y29" i="12"/>
  <c r="Y28" i="12"/>
  <c r="Y27" i="12"/>
  <c r="Y26" i="12"/>
  <c r="Y25" i="12"/>
  <c r="Y24" i="12"/>
  <c r="Y23" i="12"/>
  <c r="Y22" i="12"/>
  <c r="Y21" i="12"/>
  <c r="Y20" i="12"/>
  <c r="Z1" i="12"/>
  <c r="Y132" i="12"/>
  <c r="Y124" i="12"/>
  <c r="Y128" i="12"/>
  <c r="Y41" i="12"/>
  <c r="Y131" i="12"/>
  <c r="Y127" i="12"/>
  <c r="Y123" i="12"/>
  <c r="Y202" i="10"/>
  <c r="Y201" i="10"/>
  <c r="Y200" i="10"/>
  <c r="Y199" i="10"/>
  <c r="Y198" i="10"/>
  <c r="Y197" i="10"/>
  <c r="Y196" i="10"/>
  <c r="Y195" i="10"/>
  <c r="Y194" i="10"/>
  <c r="Y193" i="10"/>
  <c r="Y192" i="10"/>
  <c r="Y134" i="10"/>
  <c r="Y130" i="10"/>
  <c r="Y133" i="10"/>
  <c r="Y131" i="10"/>
  <c r="Y128" i="10"/>
  <c r="Y124" i="10"/>
  <c r="Y41" i="10"/>
  <c r="Y31" i="10"/>
  <c r="Y30" i="10"/>
  <c r="Y29" i="10"/>
  <c r="Y28" i="10"/>
  <c r="Y27" i="10"/>
  <c r="Y26" i="10"/>
  <c r="Y25" i="10"/>
  <c r="Y24" i="10"/>
  <c r="Y23" i="10"/>
  <c r="Y22" i="10"/>
  <c r="Y21" i="10"/>
  <c r="Y20" i="10"/>
  <c r="Y129" i="10"/>
  <c r="Y127" i="10"/>
  <c r="Y123" i="10"/>
  <c r="Y87" i="10"/>
  <c r="Y132" i="10"/>
  <c r="Y125" i="10"/>
  <c r="Y126" i="10"/>
  <c r="Z1" i="10"/>
  <c r="Y105" i="15" l="1"/>
  <c r="Z1" i="11"/>
  <c r="Z305" i="10"/>
  <c r="Z303" i="10"/>
  <c r="Z301" i="10"/>
  <c r="Z299" i="10"/>
  <c r="Z297" i="10"/>
  <c r="Z295" i="10"/>
  <c r="Z293" i="10"/>
  <c r="Z289" i="10"/>
  <c r="Z287" i="10"/>
  <c r="Z285" i="10"/>
  <c r="Z283" i="10"/>
  <c r="Z281" i="10"/>
  <c r="Z279" i="10"/>
  <c r="Z272" i="10"/>
  <c r="Z270" i="10"/>
  <c r="Z268" i="10"/>
  <c r="Z266" i="10"/>
  <c r="Z264" i="10"/>
  <c r="Z262" i="10"/>
  <c r="Z260" i="10"/>
  <c r="Z304" i="10"/>
  <c r="Z302" i="10"/>
  <c r="Z300" i="10"/>
  <c r="Z298" i="10"/>
  <c r="Z296" i="10"/>
  <c r="Z294" i="10"/>
  <c r="Z290" i="10"/>
  <c r="Z288" i="10"/>
  <c r="Z286" i="10"/>
  <c r="Z284" i="10"/>
  <c r="Z282" i="10"/>
  <c r="Z280" i="10"/>
  <c r="Z278" i="10"/>
  <c r="Z271" i="10"/>
  <c r="Z269" i="10"/>
  <c r="Z267" i="10"/>
  <c r="Z265" i="10"/>
  <c r="Z263" i="10"/>
  <c r="Z261" i="10"/>
  <c r="Z141" i="10"/>
  <c r="Z149" i="10"/>
  <c r="Z138" i="10"/>
  <c r="Z146" i="10"/>
  <c r="Z143" i="10"/>
  <c r="Z140" i="10"/>
  <c r="Z148" i="10"/>
  <c r="Z139" i="10"/>
  <c r="Z147" i="10"/>
  <c r="Z144" i="10"/>
  <c r="Z145" i="10"/>
  <c r="Z142" i="10"/>
  <c r="Z1" i="13"/>
  <c r="Z85" i="13" s="1"/>
  <c r="Z304" i="12"/>
  <c r="Z302" i="12"/>
  <c r="Z300" i="12"/>
  <c r="Z298" i="12"/>
  <c r="Z296" i="12"/>
  <c r="Z294" i="12"/>
  <c r="Z290" i="12"/>
  <c r="Z288" i="12"/>
  <c r="Z286" i="12"/>
  <c r="Z305" i="12"/>
  <c r="Z303" i="12"/>
  <c r="Z301" i="12"/>
  <c r="Z299" i="12"/>
  <c r="Z297" i="12"/>
  <c r="Z295" i="12"/>
  <c r="Z293" i="12"/>
  <c r="Z289" i="12"/>
  <c r="Z287" i="12"/>
  <c r="Z145" i="12"/>
  <c r="Z142" i="12"/>
  <c r="Z139" i="12"/>
  <c r="Z147" i="12"/>
  <c r="Z285" i="12"/>
  <c r="Z283" i="12"/>
  <c r="Z281" i="12"/>
  <c r="Z279" i="12"/>
  <c r="Z272" i="12"/>
  <c r="Z270" i="12"/>
  <c r="Z268" i="12"/>
  <c r="Z266" i="12"/>
  <c r="Z264" i="12"/>
  <c r="Z262" i="12"/>
  <c r="Z260" i="12"/>
  <c r="Z144" i="12"/>
  <c r="Z143" i="12"/>
  <c r="Z284" i="12"/>
  <c r="Z282" i="12"/>
  <c r="Z280" i="12"/>
  <c r="Z278" i="12"/>
  <c r="Z271" i="12"/>
  <c r="Z269" i="12"/>
  <c r="Z267" i="12"/>
  <c r="Z265" i="12"/>
  <c r="Z263" i="12"/>
  <c r="Z261" i="12"/>
  <c r="Z140" i="12"/>
  <c r="Z148" i="12"/>
  <c r="Z146" i="12"/>
  <c r="Z141" i="12"/>
  <c r="Z149" i="12"/>
  <c r="Z138" i="12"/>
  <c r="Z1" i="15"/>
  <c r="Z311" i="15" s="1"/>
  <c r="Z297" i="14"/>
  <c r="Z305" i="14"/>
  <c r="Z282" i="14"/>
  <c r="Z300" i="14"/>
  <c r="Z295" i="14"/>
  <c r="Z303" i="14"/>
  <c r="Z280" i="14"/>
  <c r="Z298" i="14"/>
  <c r="Z283" i="14"/>
  <c r="Z299" i="14"/>
  <c r="Z284" i="14"/>
  <c r="Z294" i="14"/>
  <c r="Z302" i="14"/>
  <c r="Z279" i="14"/>
  <c r="Z281" i="14"/>
  <c r="Z266" i="14"/>
  <c r="Z139" i="14"/>
  <c r="Z147" i="14"/>
  <c r="Z301" i="14"/>
  <c r="Z287" i="14"/>
  <c r="Z261" i="14"/>
  <c r="Z269" i="14"/>
  <c r="Z144" i="14"/>
  <c r="Z304" i="14"/>
  <c r="Z290" i="14"/>
  <c r="Z264" i="14"/>
  <c r="Z272" i="14"/>
  <c r="Z141" i="14"/>
  <c r="Z149" i="14"/>
  <c r="Z285" i="14"/>
  <c r="Z267" i="14"/>
  <c r="Z138" i="14"/>
  <c r="Z146" i="14"/>
  <c r="Z286" i="14"/>
  <c r="Z268" i="14"/>
  <c r="Z145" i="14"/>
  <c r="Z289" i="14"/>
  <c r="Z263" i="14"/>
  <c r="Z271" i="14"/>
  <c r="Z142" i="14"/>
  <c r="Z262" i="14"/>
  <c r="Z265" i="14"/>
  <c r="Z288" i="14"/>
  <c r="Z140" i="14"/>
  <c r="Z148" i="14"/>
  <c r="Z296" i="14"/>
  <c r="Z270" i="14"/>
  <c r="Z143" i="14"/>
  <c r="U100" i="10"/>
  <c r="U69" i="10"/>
  <c r="U98" i="10"/>
  <c r="U67" i="10"/>
  <c r="U66" i="10"/>
  <c r="U97" i="10"/>
  <c r="U60" i="10"/>
  <c r="U91" i="10"/>
  <c r="U101" i="10"/>
  <c r="U70" i="10"/>
  <c r="U92" i="10"/>
  <c r="U61" i="10"/>
  <c r="V7" i="11"/>
  <c r="V8" i="10"/>
  <c r="W7" i="10" s="1"/>
  <c r="U389" i="10"/>
  <c r="U94" i="10"/>
  <c r="U63" i="10"/>
  <c r="U99" i="10"/>
  <c r="U68" i="10"/>
  <c r="U242" i="10"/>
  <c r="U240" i="10" s="1"/>
  <c r="U225" i="10"/>
  <c r="U95" i="10"/>
  <c r="U64" i="10"/>
  <c r="U93" i="10"/>
  <c r="U62" i="10"/>
  <c r="U96" i="10"/>
  <c r="U65" i="10"/>
  <c r="U90" i="10"/>
  <c r="U43" i="10"/>
  <c r="U59" i="10"/>
  <c r="T58" i="15"/>
  <c r="T56" i="15"/>
  <c r="T60" i="15"/>
  <c r="T62" i="15"/>
  <c r="T58" i="14"/>
  <c r="U47" i="14"/>
  <c r="U401" i="14"/>
  <c r="U6" i="14"/>
  <c r="U6" i="15" s="1"/>
  <c r="U44" i="14"/>
  <c r="U393" i="14"/>
  <c r="U394" i="14"/>
  <c r="U45" i="14"/>
  <c r="U236" i="14"/>
  <c r="U252" i="14" s="1"/>
  <c r="U55" i="14"/>
  <c r="U390" i="14"/>
  <c r="U392" i="14"/>
  <c r="U227" i="14"/>
  <c r="U243" i="14" s="1"/>
  <c r="U48" i="14"/>
  <c r="U228" i="14"/>
  <c r="U244" i="14" s="1"/>
  <c r="U234" i="14"/>
  <c r="U250" i="14" s="1"/>
  <c r="U233" i="14"/>
  <c r="U249" i="14" s="1"/>
  <c r="U226" i="14"/>
  <c r="U235" i="14"/>
  <c r="U251" i="14" s="1"/>
  <c r="V7" i="14"/>
  <c r="U8" i="15"/>
  <c r="U231" i="14"/>
  <c r="U247" i="14" s="1"/>
  <c r="U399" i="14"/>
  <c r="U397" i="14"/>
  <c r="U230" i="14"/>
  <c r="U246" i="14" s="1"/>
  <c r="U396" i="14"/>
  <c r="U395" i="14"/>
  <c r="U398" i="14"/>
  <c r="U400" i="14"/>
  <c r="U232" i="14"/>
  <c r="U248" i="14" s="1"/>
  <c r="U54" i="14"/>
  <c r="U46" i="14"/>
  <c r="U51" i="14"/>
  <c r="U50" i="14"/>
  <c r="U391" i="14"/>
  <c r="U237" i="14"/>
  <c r="V241" i="14" s="1"/>
  <c r="U53" i="14"/>
  <c r="U52" i="14"/>
  <c r="U229" i="14"/>
  <c r="U245" i="14" s="1"/>
  <c r="U49" i="14"/>
  <c r="T89" i="14"/>
  <c r="U53" i="12"/>
  <c r="U391" i="12"/>
  <c r="U236" i="12"/>
  <c r="U252" i="12" s="1"/>
  <c r="U50" i="12"/>
  <c r="U396" i="12"/>
  <c r="U230" i="12"/>
  <c r="U246" i="12" s="1"/>
  <c r="U6" i="12"/>
  <c r="U6" i="13" s="1"/>
  <c r="U52" i="12"/>
  <c r="U233" i="12"/>
  <c r="U249" i="12" s="1"/>
  <c r="U401" i="12"/>
  <c r="U237" i="12"/>
  <c r="V241" i="12" s="1"/>
  <c r="U55" i="12"/>
  <c r="U395" i="12"/>
  <c r="U390" i="12"/>
  <c r="U235" i="12"/>
  <c r="U251" i="12" s="1"/>
  <c r="U400" i="12"/>
  <c r="U227" i="12"/>
  <c r="U243" i="12" s="1"/>
  <c r="U44" i="12"/>
  <c r="U48" i="12"/>
  <c r="U54" i="12"/>
  <c r="U232" i="12"/>
  <c r="U248" i="12" s="1"/>
  <c r="U8" i="13"/>
  <c r="U46" i="12"/>
  <c r="U394" i="12"/>
  <c r="U228" i="12"/>
  <c r="U244" i="12" s="1"/>
  <c r="U45" i="12"/>
  <c r="U393" i="12"/>
  <c r="V7" i="12"/>
  <c r="U231" i="12"/>
  <c r="U247" i="12" s="1"/>
  <c r="U398" i="12"/>
  <c r="U392" i="12"/>
  <c r="U226" i="12"/>
  <c r="U49" i="12"/>
  <c r="U229" i="12"/>
  <c r="U245" i="12" s="1"/>
  <c r="U397" i="12"/>
  <c r="U234" i="12"/>
  <c r="U250" i="12" s="1"/>
  <c r="U399" i="12"/>
  <c r="U51" i="12"/>
  <c r="U47" i="12"/>
  <c r="T58" i="12"/>
  <c r="T62" i="13"/>
  <c r="T58" i="13"/>
  <c r="T56" i="13"/>
  <c r="T60" i="13"/>
  <c r="T89" i="12"/>
  <c r="Z313" i="15"/>
  <c r="Z52" i="15"/>
  <c r="Z26" i="15"/>
  <c r="Z291" i="15"/>
  <c r="Z196" i="15"/>
  <c r="Z105" i="15"/>
  <c r="Z165" i="15"/>
  <c r="Z46" i="15"/>
  <c r="Z307" i="15"/>
  <c r="Z297" i="15"/>
  <c r="Z157" i="15"/>
  <c r="Z109" i="15"/>
  <c r="Z66" i="15"/>
  <c r="Z107" i="15"/>
  <c r="Z68" i="15"/>
  <c r="Z303" i="15"/>
  <c r="Z177" i="15"/>
  <c r="AA258" i="15" s="1"/>
  <c r="Z97" i="15"/>
  <c r="Z271" i="15"/>
  <c r="Z119" i="15"/>
  <c r="Z18" i="15"/>
  <c r="Z287" i="15"/>
  <c r="Z181" i="15"/>
  <c r="AA262" i="15" s="1"/>
  <c r="Z121" i="15"/>
  <c r="Z95" i="15"/>
  <c r="Z236" i="15"/>
  <c r="Z193" i="15"/>
  <c r="Z48" i="15"/>
  <c r="Z36" i="13"/>
  <c r="Z18" i="13"/>
  <c r="Z99" i="13"/>
  <c r="Z236" i="13"/>
  <c r="Z127" i="13"/>
  <c r="Z307" i="13"/>
  <c r="Z161" i="13"/>
  <c r="Z139" i="13"/>
  <c r="Z281" i="13"/>
  <c r="Z119" i="13"/>
  <c r="Z238" i="13"/>
  <c r="Z82" i="11"/>
  <c r="Z157" i="11"/>
  <c r="Z32" i="11"/>
  <c r="Z42" i="11"/>
  <c r="Z62" i="11"/>
  <c r="Z26" i="11"/>
  <c r="Z38" i="11"/>
  <c r="Z48" i="11"/>
  <c r="Z72" i="11"/>
  <c r="Z131" i="11"/>
  <c r="Z121" i="11"/>
  <c r="Z109" i="11"/>
  <c r="Z97" i="11"/>
  <c r="Z87" i="11"/>
  <c r="Z171" i="11"/>
  <c r="Z165" i="11"/>
  <c r="Z66" i="11"/>
  <c r="Z28" i="11"/>
  <c r="Z16" i="11"/>
  <c r="Z78" i="11"/>
  <c r="Z315" i="11"/>
  <c r="Z273" i="11"/>
  <c r="Z275" i="11"/>
  <c r="Z277" i="11"/>
  <c r="Z196" i="11"/>
  <c r="Z281" i="11"/>
  <c r="Z179" i="11"/>
  <c r="AA260" i="11" s="1"/>
  <c r="Z141" i="11"/>
  <c r="Z159" i="11"/>
  <c r="Z18" i="11"/>
  <c r="Z52" i="11"/>
  <c r="Z133" i="11"/>
  <c r="Z119" i="11"/>
  <c r="Z101" i="11"/>
  <c r="Z89" i="11"/>
  <c r="Z167" i="11"/>
  <c r="Z76" i="11"/>
  <c r="Z50" i="11"/>
  <c r="Z20" i="11"/>
  <c r="Z293" i="11"/>
  <c r="Z285" i="11"/>
  <c r="Z295" i="11"/>
  <c r="Z177" i="11"/>
  <c r="AA258" i="11" s="1"/>
  <c r="Z198" i="11"/>
  <c r="Z137" i="11"/>
  <c r="Z271" i="11"/>
  <c r="Z22" i="11"/>
  <c r="Z129" i="11"/>
  <c r="Z117" i="11"/>
  <c r="Z99" i="11"/>
  <c r="Z85" i="11"/>
  <c r="Z155" i="11"/>
  <c r="Z70" i="11"/>
  <c r="Z311" i="11"/>
  <c r="Z36" i="11"/>
  <c r="Z68" i="11"/>
  <c r="Z287" i="11"/>
  <c r="Z303" i="11"/>
  <c r="Z236" i="11"/>
  <c r="Z161" i="11"/>
  <c r="Z175" i="11"/>
  <c r="AA256" i="11" s="1"/>
  <c r="Z105" i="11"/>
  <c r="Z143" i="11"/>
  <c r="Z127" i="11"/>
  <c r="Z95" i="11"/>
  <c r="Z193" i="11"/>
  <c r="Z139" i="11"/>
  <c r="Z305" i="11"/>
  <c r="Z200" i="11"/>
  <c r="Z301" i="11"/>
  <c r="Z111" i="11"/>
  <c r="Z317" i="11"/>
  <c r="Z60" i="11"/>
  <c r="Z40" i="11"/>
  <c r="Z297" i="11"/>
  <c r="Z240" i="11"/>
  <c r="Z238" i="11"/>
  <c r="Z107" i="11"/>
  <c r="Z313" i="11"/>
  <c r="Z56" i="11"/>
  <c r="Z46" i="11"/>
  <c r="Z307" i="11"/>
  <c r="Z283" i="11"/>
  <c r="Z202" i="11"/>
  <c r="Z30" i="11"/>
  <c r="Z123" i="11"/>
  <c r="Z91" i="11"/>
  <c r="Z80" i="11"/>
  <c r="Z169" i="11"/>
  <c r="Z58" i="11"/>
  <c r="Z291" i="11"/>
  <c r="Z181" i="11"/>
  <c r="AA262" i="11" s="1"/>
  <c r="Z242" i="11"/>
  <c r="Z386" i="14"/>
  <c r="Z385" i="14"/>
  <c r="Z384" i="14"/>
  <c r="Z401" i="14"/>
  <c r="Z400" i="14"/>
  <c r="Z399" i="14"/>
  <c r="Z398" i="14"/>
  <c r="Z397" i="14"/>
  <c r="Z396" i="14"/>
  <c r="Z395" i="14"/>
  <c r="Z394" i="14"/>
  <c r="Z393" i="14"/>
  <c r="Z392" i="14"/>
  <c r="Z391" i="14"/>
  <c r="Z390" i="14"/>
  <c r="Z389" i="14"/>
  <c r="Z381" i="14"/>
  <c r="Z380" i="14"/>
  <c r="Z382" i="14"/>
  <c r="Z378" i="14"/>
  <c r="Z377" i="14"/>
  <c r="Z376" i="14"/>
  <c r="Z375" i="14"/>
  <c r="Z341" i="14"/>
  <c r="Z340" i="14"/>
  <c r="Z339" i="14"/>
  <c r="Z338" i="14"/>
  <c r="Z337" i="14"/>
  <c r="Z336" i="14"/>
  <c r="Z335" i="14"/>
  <c r="Z334" i="14"/>
  <c r="Z333" i="14"/>
  <c r="Z383" i="14"/>
  <c r="Z379" i="14"/>
  <c r="Z330" i="14"/>
  <c r="Z329" i="14"/>
  <c r="Z321" i="14"/>
  <c r="Z317" i="14"/>
  <c r="Z313" i="14"/>
  <c r="Z293" i="14"/>
  <c r="Z374" i="14"/>
  <c r="Z315" i="14"/>
  <c r="Z331" i="14"/>
  <c r="Z322" i="14"/>
  <c r="Z320" i="14"/>
  <c r="Z311" i="14"/>
  <c r="Z260" i="14"/>
  <c r="Z252" i="14"/>
  <c r="Z251" i="14"/>
  <c r="Z250" i="14"/>
  <c r="Z249" i="14"/>
  <c r="Z248" i="14"/>
  <c r="Z247" i="14"/>
  <c r="Z246" i="14"/>
  <c r="Z245" i="14"/>
  <c r="Z244" i="14"/>
  <c r="Z243" i="14"/>
  <c r="Z242" i="14"/>
  <c r="Z241" i="14"/>
  <c r="Z240" i="14"/>
  <c r="Z237" i="14"/>
  <c r="Z332" i="14"/>
  <c r="Z319" i="14"/>
  <c r="Z314" i="14"/>
  <c r="Z278" i="14"/>
  <c r="Z323" i="14"/>
  <c r="Z318" i="14"/>
  <c r="Z236" i="14"/>
  <c r="Z235" i="14"/>
  <c r="Z234" i="14"/>
  <c r="Z233" i="14"/>
  <c r="Z232" i="14"/>
  <c r="Z231" i="14"/>
  <c r="Z230" i="14"/>
  <c r="Z229" i="14"/>
  <c r="Z228" i="14"/>
  <c r="Z187" i="14"/>
  <c r="Z186" i="14"/>
  <c r="Z185" i="14"/>
  <c r="Z184" i="14"/>
  <c r="Z183" i="14"/>
  <c r="Z182" i="14"/>
  <c r="Z181" i="14"/>
  <c r="Z180" i="14"/>
  <c r="Z179" i="14"/>
  <c r="Z178" i="14"/>
  <c r="Z177" i="14"/>
  <c r="Z176" i="14"/>
  <c r="Z175" i="14"/>
  <c r="Z134" i="14"/>
  <c r="Z133" i="14"/>
  <c r="Z132" i="14"/>
  <c r="Z131" i="14"/>
  <c r="Z130" i="14"/>
  <c r="Z129" i="14"/>
  <c r="Z128" i="14"/>
  <c r="Z127" i="14"/>
  <c r="Z126" i="14"/>
  <c r="Z125" i="14"/>
  <c r="Z124" i="14"/>
  <c r="Z123" i="14"/>
  <c r="Z312" i="14"/>
  <c r="Z316" i="14"/>
  <c r="Z200" i="14"/>
  <c r="Z196" i="14"/>
  <c r="Z192" i="14"/>
  <c r="Z169" i="14"/>
  <c r="Z168" i="14"/>
  <c r="Z167" i="14"/>
  <c r="Z166" i="14"/>
  <c r="Z165" i="14"/>
  <c r="Z164" i="14"/>
  <c r="Z163" i="14"/>
  <c r="Z162" i="14"/>
  <c r="Z161" i="14"/>
  <c r="Z160" i="14"/>
  <c r="Z159" i="14"/>
  <c r="Z158" i="14"/>
  <c r="Z157" i="14"/>
  <c r="Z100" i="14"/>
  <c r="Z70" i="14"/>
  <c r="Z69" i="14"/>
  <c r="Z68" i="14"/>
  <c r="Z67" i="14"/>
  <c r="Z66" i="14"/>
  <c r="Z65" i="14"/>
  <c r="Z64" i="14"/>
  <c r="Z63" i="14"/>
  <c r="Z62" i="14"/>
  <c r="Z61" i="14"/>
  <c r="Z60" i="14"/>
  <c r="Z59" i="14"/>
  <c r="Z58" i="14"/>
  <c r="Z227" i="14"/>
  <c r="Z226" i="14"/>
  <c r="Z225" i="14"/>
  <c r="Z201" i="14"/>
  <c r="Z197" i="14"/>
  <c r="Z193" i="14"/>
  <c r="Z202" i="14"/>
  <c r="Z190" i="14"/>
  <c r="Z93" i="14"/>
  <c r="Z89" i="14"/>
  <c r="Z195" i="14"/>
  <c r="Z194" i="14"/>
  <c r="Z191" i="14"/>
  <c r="Z198" i="14"/>
  <c r="Z199" i="14"/>
  <c r="Z137" i="14"/>
  <c r="Z101" i="14"/>
  <c r="Z99" i="14"/>
  <c r="Z91" i="14"/>
  <c r="Z54" i="14"/>
  <c r="Z50" i="14"/>
  <c r="Z45" i="14"/>
  <c r="Z31" i="14"/>
  <c r="Z30" i="14"/>
  <c r="Z29" i="14"/>
  <c r="Z98" i="14"/>
  <c r="Z96" i="14"/>
  <c r="Z55" i="14"/>
  <c r="Z46" i="14"/>
  <c r="Z44" i="14"/>
  <c r="Z28" i="14"/>
  <c r="Z27" i="14"/>
  <c r="Z26" i="14"/>
  <c r="Z25" i="14"/>
  <c r="Z24" i="14"/>
  <c r="Z23" i="14"/>
  <c r="Z22" i="14"/>
  <c r="Z21" i="14"/>
  <c r="Z20" i="14"/>
  <c r="Z6" i="14"/>
  <c r="Z6" i="15" s="1"/>
  <c r="Z8" i="14"/>
  <c r="Z8" i="15" s="1"/>
  <c r="Z49" i="14"/>
  <c r="Z48" i="14"/>
  <c r="Z47" i="14"/>
  <c r="Z95" i="14"/>
  <c r="Z94" i="14"/>
  <c r="Z92" i="14"/>
  <c r="Z87" i="14"/>
  <c r="Z53" i="14"/>
  <c r="Z52" i="14"/>
  <c r="Z51" i="14"/>
  <c r="Z41" i="14"/>
  <c r="Z7" i="14"/>
  <c r="Z7" i="15" s="1"/>
  <c r="AA1" i="14"/>
  <c r="Z97" i="14"/>
  <c r="Z90" i="14"/>
  <c r="Z43" i="14"/>
  <c r="Z386" i="12"/>
  <c r="Z385" i="12"/>
  <c r="Z401" i="12"/>
  <c r="Z397" i="12"/>
  <c r="Z393" i="12"/>
  <c r="Z389" i="12"/>
  <c r="Z400" i="12"/>
  <c r="Z396" i="12"/>
  <c r="Z392" i="12"/>
  <c r="Z384" i="12"/>
  <c r="Z380" i="12"/>
  <c r="Z398" i="12"/>
  <c r="Z394" i="12"/>
  <c r="Z390" i="12"/>
  <c r="Z391" i="12"/>
  <c r="Z383" i="12"/>
  <c r="Z382" i="12"/>
  <c r="Z381" i="12"/>
  <c r="Z374" i="12"/>
  <c r="Z395" i="12"/>
  <c r="Z379" i="12"/>
  <c r="Z377" i="12"/>
  <c r="Z399" i="12"/>
  <c r="Z378" i="12"/>
  <c r="Z376" i="12"/>
  <c r="Z341" i="12"/>
  <c r="Z340" i="12"/>
  <c r="Z339" i="12"/>
  <c r="Z338" i="12"/>
  <c r="Z337" i="12"/>
  <c r="Z336" i="12"/>
  <c r="Z335" i="12"/>
  <c r="Z334" i="12"/>
  <c r="Z333" i="12"/>
  <c r="Z322" i="12"/>
  <c r="Z318" i="12"/>
  <c r="Z316" i="12"/>
  <c r="Z315" i="12"/>
  <c r="Z314" i="12"/>
  <c r="Z313" i="12"/>
  <c r="Z312" i="12"/>
  <c r="Z311" i="12"/>
  <c r="Z375" i="12"/>
  <c r="Z329" i="12"/>
  <c r="Z323" i="12"/>
  <c r="Z321" i="12"/>
  <c r="Z320" i="12"/>
  <c r="Z332" i="12"/>
  <c r="Z331" i="12"/>
  <c r="Z169" i="12"/>
  <c r="Z168" i="12"/>
  <c r="Z167" i="12"/>
  <c r="Z166" i="12"/>
  <c r="Z165" i="12"/>
  <c r="Z164" i="12"/>
  <c r="Z163" i="12"/>
  <c r="Z162" i="12"/>
  <c r="Z161" i="12"/>
  <c r="Z160" i="12"/>
  <c r="Z159" i="12"/>
  <c r="Z158" i="12"/>
  <c r="Z157" i="12"/>
  <c r="Z319" i="12"/>
  <c r="Z251" i="12"/>
  <c r="Z247" i="12"/>
  <c r="Z243" i="12"/>
  <c r="Z236" i="12"/>
  <c r="Z232" i="12"/>
  <c r="Z228" i="12"/>
  <c r="Z317" i="12"/>
  <c r="Z250" i="12"/>
  <c r="Z246" i="12"/>
  <c r="Z242" i="12"/>
  <c r="Z235" i="12"/>
  <c r="Z231" i="12"/>
  <c r="Z227" i="12"/>
  <c r="Z252" i="12"/>
  <c r="Z248" i="12"/>
  <c r="Z244" i="12"/>
  <c r="Z240" i="12"/>
  <c r="Z237" i="12"/>
  <c r="Z233" i="12"/>
  <c r="Z330" i="12"/>
  <c r="Z249" i="12"/>
  <c r="Z226" i="12"/>
  <c r="Z225" i="12"/>
  <c r="Z202" i="12"/>
  <c r="Z201" i="12"/>
  <c r="Z200" i="12"/>
  <c r="Z199" i="12"/>
  <c r="Z198" i="12"/>
  <c r="Z197" i="12"/>
  <c r="Z196" i="12"/>
  <c r="Z195" i="12"/>
  <c r="Z194" i="12"/>
  <c r="Z193" i="12"/>
  <c r="Z192" i="12"/>
  <c r="Z191" i="12"/>
  <c r="Z190" i="12"/>
  <c r="Z187" i="12"/>
  <c r="Z186" i="12"/>
  <c r="Z185" i="12"/>
  <c r="Z184" i="12"/>
  <c r="Z183" i="12"/>
  <c r="Z182" i="12"/>
  <c r="Z181" i="12"/>
  <c r="Z180" i="12"/>
  <c r="Z179" i="12"/>
  <c r="Z178" i="12"/>
  <c r="Z177" i="12"/>
  <c r="Z176" i="12"/>
  <c r="Z175" i="12"/>
  <c r="Z87" i="12"/>
  <c r="Z55" i="12"/>
  <c r="Z54" i="12"/>
  <c r="Z53" i="12"/>
  <c r="Z52" i="12"/>
  <c r="Z51" i="12"/>
  <c r="Z50" i="12"/>
  <c r="Z49" i="12"/>
  <c r="Z48" i="12"/>
  <c r="Z47" i="12"/>
  <c r="Z46" i="12"/>
  <c r="Z45" i="12"/>
  <c r="Z44" i="12"/>
  <c r="Z43" i="12"/>
  <c r="Z234" i="12"/>
  <c r="Z241" i="12"/>
  <c r="Z230" i="12"/>
  <c r="Z229" i="12"/>
  <c r="Z137" i="12"/>
  <c r="Z133" i="12"/>
  <c r="Z129" i="12"/>
  <c r="Z125" i="12"/>
  <c r="Z132" i="12"/>
  <c r="Z128" i="12"/>
  <c r="Z124" i="12"/>
  <c r="Z67" i="12"/>
  <c r="Z63" i="12"/>
  <c r="Z59" i="12"/>
  <c r="Z41" i="12"/>
  <c r="Z8" i="12"/>
  <c r="Z8" i="13" s="1"/>
  <c r="Z127" i="12"/>
  <c r="Z123" i="12"/>
  <c r="Z101" i="12"/>
  <c r="Z99" i="12"/>
  <c r="Z96" i="12"/>
  <c r="Z93" i="12"/>
  <c r="Z92" i="12"/>
  <c r="Z89" i="12"/>
  <c r="Z131" i="12"/>
  <c r="Z100" i="12"/>
  <c r="Z98" i="12"/>
  <c r="Z97" i="12"/>
  <c r="Z95" i="12"/>
  <c r="Z94" i="12"/>
  <c r="Z91" i="12"/>
  <c r="Z90" i="12"/>
  <c r="Z70" i="12"/>
  <c r="Z66" i="12"/>
  <c r="Z62" i="12"/>
  <c r="Z58" i="12"/>
  <c r="Z245" i="12"/>
  <c r="Z30" i="12"/>
  <c r="Z7" i="12"/>
  <c r="Z7" i="13" s="1"/>
  <c r="AA1" i="12"/>
  <c r="Z65" i="12"/>
  <c r="Z64" i="12"/>
  <c r="Z29" i="12"/>
  <c r="Z6" i="12"/>
  <c r="Z6" i="13" s="1"/>
  <c r="Z134" i="12"/>
  <c r="Z130" i="12"/>
  <c r="Z126" i="12"/>
  <c r="Z69" i="12"/>
  <c r="Z68" i="12"/>
  <c r="Z61" i="12"/>
  <c r="Z60" i="12"/>
  <c r="Z31" i="12"/>
  <c r="Z28" i="12"/>
  <c r="Z27" i="12"/>
  <c r="Z26" i="12"/>
  <c r="Z25" i="12"/>
  <c r="Z24" i="12"/>
  <c r="Z23" i="12"/>
  <c r="Z22" i="12"/>
  <c r="Z21" i="12"/>
  <c r="Z20" i="12"/>
  <c r="Z401" i="10"/>
  <c r="Z397" i="10"/>
  <c r="Z393" i="10"/>
  <c r="Z385" i="10"/>
  <c r="Z341" i="10"/>
  <c r="Z340" i="10"/>
  <c r="Z339" i="10"/>
  <c r="Z338" i="10"/>
  <c r="Z337" i="10"/>
  <c r="Z336" i="10"/>
  <c r="Z335" i="10"/>
  <c r="Z334" i="10"/>
  <c r="Z333" i="10"/>
  <c r="Z332" i="10"/>
  <c r="Z331" i="10"/>
  <c r="Z330" i="10"/>
  <c r="Z399" i="10"/>
  <c r="Z395" i="10"/>
  <c r="Z398" i="10"/>
  <c r="Z394" i="10"/>
  <c r="Z391" i="10"/>
  <c r="Z390" i="10"/>
  <c r="Z389" i="10"/>
  <c r="Z386" i="10"/>
  <c r="Z382" i="10"/>
  <c r="Z377" i="10"/>
  <c r="Z376" i="10"/>
  <c r="Z375" i="10"/>
  <c r="Z374" i="10"/>
  <c r="Z392" i="10"/>
  <c r="Z383" i="10"/>
  <c r="Z380" i="10"/>
  <c r="Z378" i="10"/>
  <c r="Z329" i="10"/>
  <c r="Z400" i="10"/>
  <c r="Z381" i="10"/>
  <c r="Z379" i="10"/>
  <c r="Z396" i="10"/>
  <c r="Z321" i="10"/>
  <c r="Z319" i="10"/>
  <c r="Z317" i="10"/>
  <c r="Z315" i="10"/>
  <c r="Z313" i="10"/>
  <c r="Z312" i="10"/>
  <c r="Z311" i="10"/>
  <c r="Z322" i="10"/>
  <c r="Z320" i="10"/>
  <c r="Z318" i="10"/>
  <c r="Z316" i="10"/>
  <c r="Z314" i="10"/>
  <c r="Z252" i="10"/>
  <c r="Z251" i="10"/>
  <c r="Z250" i="10"/>
  <c r="Z249" i="10"/>
  <c r="Z248" i="10"/>
  <c r="Z247" i="10"/>
  <c r="Z246" i="10"/>
  <c r="Z245" i="10"/>
  <c r="Z244" i="10"/>
  <c r="Z243" i="10"/>
  <c r="Z242" i="10"/>
  <c r="Z241" i="10"/>
  <c r="Z240" i="10"/>
  <c r="Z237" i="10"/>
  <c r="Z236" i="10"/>
  <c r="Z235" i="10"/>
  <c r="Z234" i="10"/>
  <c r="Z233" i="10"/>
  <c r="Z232" i="10"/>
  <c r="Z231" i="10"/>
  <c r="Z230" i="10"/>
  <c r="Z229" i="10"/>
  <c r="Z228" i="10"/>
  <c r="Z227" i="10"/>
  <c r="Z226" i="10"/>
  <c r="Z384" i="10"/>
  <c r="Z323" i="10"/>
  <c r="Z202" i="10"/>
  <c r="Z201" i="10"/>
  <c r="Z200" i="10"/>
  <c r="Z199" i="10"/>
  <c r="Z198" i="10"/>
  <c r="Z197" i="10"/>
  <c r="Z196" i="10"/>
  <c r="Z195" i="10"/>
  <c r="Z194" i="10"/>
  <c r="Z193" i="10"/>
  <c r="Z192" i="10"/>
  <c r="Z191" i="10"/>
  <c r="Z190" i="10"/>
  <c r="Z187" i="10"/>
  <c r="Z186" i="10"/>
  <c r="Z185" i="10"/>
  <c r="Z184" i="10"/>
  <c r="Z183" i="10"/>
  <c r="Z182" i="10"/>
  <c r="Z181" i="10"/>
  <c r="Z180" i="10"/>
  <c r="Z179" i="10"/>
  <c r="Z178" i="10"/>
  <c r="Z177" i="10"/>
  <c r="Z176" i="10"/>
  <c r="Z175" i="10"/>
  <c r="Z137" i="10"/>
  <c r="Z133" i="10"/>
  <c r="Z129" i="10"/>
  <c r="Z225" i="10"/>
  <c r="Z166" i="10"/>
  <c r="Z162" i="10"/>
  <c r="Z158" i="10"/>
  <c r="Z127" i="10"/>
  <c r="Z123" i="10"/>
  <c r="Z87" i="10"/>
  <c r="Z169" i="10"/>
  <c r="Z165" i="10"/>
  <c r="Z161" i="10"/>
  <c r="Z157" i="10"/>
  <c r="Z134" i="10"/>
  <c r="Z132" i="10"/>
  <c r="Z126" i="10"/>
  <c r="Z55" i="10"/>
  <c r="Z54" i="10"/>
  <c r="Z53" i="10"/>
  <c r="Z52" i="10"/>
  <c r="Z51" i="10"/>
  <c r="Z50" i="10"/>
  <c r="Z49" i="10"/>
  <c r="Z48" i="10"/>
  <c r="Z47" i="10"/>
  <c r="Z46" i="10"/>
  <c r="Z45" i="10"/>
  <c r="Z44" i="10"/>
  <c r="Z43" i="10"/>
  <c r="Z7" i="10"/>
  <c r="Z7" i="11" s="1"/>
  <c r="Z6" i="10"/>
  <c r="Z6" i="11" s="1"/>
  <c r="Z167" i="10"/>
  <c r="Z163" i="10"/>
  <c r="Z159" i="10"/>
  <c r="Z168" i="10"/>
  <c r="Z164" i="10"/>
  <c r="Z160" i="10"/>
  <c r="Z98" i="10"/>
  <c r="Z95" i="10"/>
  <c r="Z91" i="10"/>
  <c r="Z69" i="10"/>
  <c r="Z65" i="10"/>
  <c r="Z61" i="10"/>
  <c r="Z21" i="10"/>
  <c r="Z31" i="10"/>
  <c r="Z30" i="10"/>
  <c r="Z29" i="10"/>
  <c r="Z28" i="10"/>
  <c r="Z27" i="10"/>
  <c r="Z26" i="10"/>
  <c r="Z25" i="10"/>
  <c r="Z24" i="10"/>
  <c r="Z23" i="10"/>
  <c r="AA1" i="10"/>
  <c r="Z101" i="10"/>
  <c r="Z97" i="10"/>
  <c r="Z96" i="10"/>
  <c r="Z92" i="10"/>
  <c r="Z70" i="10"/>
  <c r="Z62" i="10"/>
  <c r="Z58" i="10"/>
  <c r="Z131" i="10"/>
  <c r="Z125" i="10"/>
  <c r="Z124" i="10"/>
  <c r="Z99" i="10"/>
  <c r="Z94" i="10"/>
  <c r="Z90" i="10"/>
  <c r="Z68" i="10"/>
  <c r="Z64" i="10"/>
  <c r="Z60" i="10"/>
  <c r="Z20" i="10"/>
  <c r="Z8" i="10"/>
  <c r="Z8" i="11" s="1"/>
  <c r="Z130" i="10"/>
  <c r="Z100" i="10"/>
  <c r="Z93" i="10"/>
  <c r="Z89" i="10"/>
  <c r="Z67" i="10"/>
  <c r="Z63" i="10"/>
  <c r="Z59" i="10"/>
  <c r="Z128" i="10"/>
  <c r="Z66" i="10"/>
  <c r="Z41" i="10"/>
  <c r="Z22" i="10"/>
  <c r="Z179" i="15" l="1"/>
  <c r="AA260" i="15" s="1"/>
  <c r="Z285" i="15"/>
  <c r="Z301" i="15"/>
  <c r="Z139" i="15"/>
  <c r="Z242" i="15"/>
  <c r="Z129" i="15"/>
  <c r="Z200" i="15"/>
  <c r="Z82" i="15"/>
  <c r="Z317" i="15"/>
  <c r="Z143" i="15"/>
  <c r="Z28" i="15"/>
  <c r="Z89" i="15"/>
  <c r="Z159" i="15"/>
  <c r="Z16" i="15"/>
  <c r="Z91" i="15"/>
  <c r="Z275" i="15"/>
  <c r="Z80" i="15"/>
  <c r="Z99" i="15"/>
  <c r="Z277" i="15"/>
  <c r="Z141" i="15"/>
  <c r="Z315" i="15"/>
  <c r="Z273" i="15"/>
  <c r="Z60" i="15"/>
  <c r="Z40" i="15"/>
  <c r="Z137" i="15"/>
  <c r="Z155" i="15"/>
  <c r="Z101" i="15"/>
  <c r="Z202" i="15"/>
  <c r="Z76" i="15"/>
  <c r="Z111" i="15"/>
  <c r="Z70" i="15"/>
  <c r="Z171" i="15"/>
  <c r="Z62" i="15"/>
  <c r="Z32" i="15"/>
  <c r="Z56" i="15"/>
  <c r="Z78" i="15"/>
  <c r="Z238" i="15"/>
  <c r="Z167" i="15"/>
  <c r="Z117" i="15"/>
  <c r="Z281" i="15"/>
  <c r="Z22" i="15"/>
  <c r="Z123" i="15"/>
  <c r="Z198" i="15"/>
  <c r="Z20" i="15"/>
  <c r="Z72" i="15"/>
  <c r="Z50" i="15"/>
  <c r="Z38" i="15"/>
  <c r="Z87" i="15"/>
  <c r="Z295" i="15"/>
  <c r="Z36" i="15"/>
  <c r="Z127" i="15"/>
  <c r="Z283" i="15"/>
  <c r="Z42" i="15"/>
  <c r="Z133" i="15"/>
  <c r="Z30" i="15"/>
  <c r="Z161" i="15"/>
  <c r="Z169" i="15"/>
  <c r="Z175" i="15"/>
  <c r="AA256" i="15" s="1"/>
  <c r="Z85" i="15"/>
  <c r="Z131" i="15"/>
  <c r="Z305" i="15"/>
  <c r="Z58" i="15"/>
  <c r="Z240" i="15"/>
  <c r="Z293" i="15"/>
  <c r="Z42" i="13"/>
  <c r="Z275" i="13"/>
  <c r="Z72" i="13"/>
  <c r="Z129" i="13"/>
  <c r="Z109" i="13"/>
  <c r="Z303" i="13"/>
  <c r="Z101" i="13"/>
  <c r="Z143" i="13"/>
  <c r="Z171" i="13"/>
  <c r="Z58" i="13"/>
  <c r="Z38" i="13"/>
  <c r="Z82" i="13"/>
  <c r="Z141" i="13"/>
  <c r="Z87" i="13"/>
  <c r="Z30" i="13"/>
  <c r="Z48" i="13"/>
  <c r="Z131" i="13"/>
  <c r="Z305" i="13"/>
  <c r="Z117" i="13"/>
  <c r="Z177" i="13"/>
  <c r="AA258" i="13" s="1"/>
  <c r="Z89" i="13"/>
  <c r="Z22" i="13"/>
  <c r="Z28" i="13"/>
  <c r="Z97" i="13"/>
  <c r="Z175" i="13"/>
  <c r="AA256" i="13" s="1"/>
  <c r="Z196" i="13"/>
  <c r="Z200" i="13"/>
  <c r="Z179" i="13"/>
  <c r="AA260" i="13" s="1"/>
  <c r="Z169" i="13"/>
  <c r="Z311" i="13"/>
  <c r="Z271" i="13"/>
  <c r="Z111" i="13"/>
  <c r="Z78" i="13"/>
  <c r="Z66" i="13"/>
  <c r="Z240" i="13"/>
  <c r="Z315" i="13"/>
  <c r="Z301" i="13"/>
  <c r="Z277" i="13"/>
  <c r="Z283" i="13"/>
  <c r="Z198" i="13"/>
  <c r="Z80" i="13"/>
  <c r="Z62" i="13"/>
  <c r="Z297" i="13"/>
  <c r="Z123" i="13"/>
  <c r="Z16" i="13"/>
  <c r="Z76" i="13"/>
  <c r="Z285" i="13"/>
  <c r="Z68" i="13"/>
  <c r="Z50" i="13"/>
  <c r="Z273" i="13"/>
  <c r="Z287" i="13"/>
  <c r="Z181" i="13"/>
  <c r="AA262" i="13" s="1"/>
  <c r="Z40" i="13"/>
  <c r="Z20" i="13"/>
  <c r="Z291" i="13"/>
  <c r="Z133" i="13"/>
  <c r="Z32" i="13"/>
  <c r="Z26" i="13"/>
  <c r="Z155" i="13"/>
  <c r="Z137" i="13"/>
  <c r="Z95" i="13"/>
  <c r="Z165" i="13"/>
  <c r="Z60" i="13"/>
  <c r="Z242" i="13"/>
  <c r="Z167" i="13"/>
  <c r="Z157" i="13"/>
  <c r="Z293" i="13"/>
  <c r="Z317" i="13"/>
  <c r="Z56" i="13"/>
  <c r="Z46" i="13"/>
  <c r="Z121" i="13"/>
  <c r="Z202" i="13"/>
  <c r="Z313" i="13"/>
  <c r="Z107" i="13"/>
  <c r="Z193" i="13"/>
  <c r="Z295" i="13"/>
  <c r="Z91" i="13"/>
  <c r="Z159" i="13"/>
  <c r="Z70" i="13"/>
  <c r="Z52" i="13"/>
  <c r="Z105" i="13"/>
  <c r="W8" i="10"/>
  <c r="W7" i="11"/>
  <c r="AA1" i="11"/>
  <c r="AA72" i="11" s="1"/>
  <c r="AA305" i="10"/>
  <c r="AA303" i="10"/>
  <c r="AA301" i="10"/>
  <c r="AA299" i="10"/>
  <c r="AA297" i="10"/>
  <c r="AA295" i="10"/>
  <c r="AA293" i="10"/>
  <c r="AA289" i="10"/>
  <c r="AA287" i="10"/>
  <c r="AA285" i="10"/>
  <c r="AA283" i="10"/>
  <c r="AA281" i="10"/>
  <c r="AA279" i="10"/>
  <c r="AA272" i="10"/>
  <c r="AA270" i="10"/>
  <c r="AA268" i="10"/>
  <c r="AA266" i="10"/>
  <c r="AA264" i="10"/>
  <c r="AA262" i="10"/>
  <c r="AA260" i="10"/>
  <c r="AA300" i="10"/>
  <c r="AA282" i="10"/>
  <c r="AA261" i="10"/>
  <c r="AA144" i="10"/>
  <c r="AA294" i="10"/>
  <c r="AA271" i="10"/>
  <c r="AA141" i="10"/>
  <c r="AA149" i="10"/>
  <c r="AA304" i="10"/>
  <c r="AA286" i="10"/>
  <c r="AA265" i="10"/>
  <c r="AA138" i="10"/>
  <c r="AA146" i="10"/>
  <c r="AA298" i="10"/>
  <c r="AA280" i="10"/>
  <c r="AA143" i="10"/>
  <c r="AA296" i="10"/>
  <c r="AA278" i="10"/>
  <c r="AA142" i="10"/>
  <c r="AA288" i="10"/>
  <c r="AA267" i="10"/>
  <c r="AA139" i="10"/>
  <c r="AA147" i="10"/>
  <c r="AA284" i="10"/>
  <c r="AA145" i="10"/>
  <c r="AA140" i="10"/>
  <c r="AA302" i="10"/>
  <c r="AA269" i="10"/>
  <c r="AA148" i="10"/>
  <c r="AA263" i="10"/>
  <c r="AA290" i="10"/>
  <c r="AA1" i="13"/>
  <c r="AA16" i="13" s="1"/>
  <c r="AA304" i="12"/>
  <c r="AA302" i="12"/>
  <c r="AA300" i="12"/>
  <c r="AA298" i="12"/>
  <c r="AA296" i="12"/>
  <c r="AA294" i="12"/>
  <c r="AA290" i="12"/>
  <c r="AA288" i="12"/>
  <c r="AA286" i="12"/>
  <c r="AA289" i="12"/>
  <c r="AA140" i="12"/>
  <c r="AA148" i="12"/>
  <c r="AA301" i="12"/>
  <c r="AA145" i="12"/>
  <c r="AA295" i="12"/>
  <c r="AA285" i="12"/>
  <c r="AA283" i="12"/>
  <c r="AA281" i="12"/>
  <c r="AA279" i="12"/>
  <c r="AA272" i="12"/>
  <c r="AA270" i="12"/>
  <c r="AA268" i="12"/>
  <c r="AA266" i="12"/>
  <c r="AA264" i="12"/>
  <c r="AA262" i="12"/>
  <c r="AA260" i="12"/>
  <c r="AA142" i="12"/>
  <c r="AA305" i="12"/>
  <c r="AA287" i="12"/>
  <c r="AA139" i="12"/>
  <c r="AA147" i="12"/>
  <c r="AA303" i="12"/>
  <c r="AA284" i="12"/>
  <c r="AA282" i="12"/>
  <c r="AA280" i="12"/>
  <c r="AA278" i="12"/>
  <c r="AA271" i="12"/>
  <c r="AA269" i="12"/>
  <c r="AA267" i="12"/>
  <c r="AA265" i="12"/>
  <c r="AA263" i="12"/>
  <c r="AA261" i="12"/>
  <c r="AA138" i="12"/>
  <c r="AA146" i="12"/>
  <c r="AA297" i="12"/>
  <c r="AA143" i="12"/>
  <c r="AA299" i="12"/>
  <c r="AA141" i="12"/>
  <c r="AA149" i="12"/>
  <c r="AA144" i="12"/>
  <c r="AA293" i="12"/>
  <c r="AA1" i="15"/>
  <c r="AA66" i="15" s="1"/>
  <c r="AA294" i="14"/>
  <c r="AA302" i="14"/>
  <c r="AA279" i="14"/>
  <c r="AA297" i="14"/>
  <c r="AA305" i="14"/>
  <c r="AA282" i="14"/>
  <c r="AA300" i="14"/>
  <c r="AA295" i="14"/>
  <c r="AA303" i="14"/>
  <c r="AA280" i="14"/>
  <c r="AA296" i="14"/>
  <c r="AA304" i="14"/>
  <c r="AA281" i="14"/>
  <c r="AA299" i="14"/>
  <c r="AA284" i="14"/>
  <c r="AA289" i="14"/>
  <c r="AA263" i="14"/>
  <c r="AA271" i="14"/>
  <c r="AA142" i="14"/>
  <c r="AA298" i="14"/>
  <c r="AA266" i="14"/>
  <c r="AA139" i="14"/>
  <c r="AA147" i="14"/>
  <c r="AA301" i="14"/>
  <c r="AA287" i="14"/>
  <c r="AA261" i="14"/>
  <c r="AA269" i="14"/>
  <c r="AA144" i="14"/>
  <c r="AA290" i="14"/>
  <c r="AA264" i="14"/>
  <c r="AA272" i="14"/>
  <c r="AA141" i="14"/>
  <c r="AA149" i="14"/>
  <c r="AA265" i="14"/>
  <c r="AA140" i="14"/>
  <c r="AA148" i="14"/>
  <c r="AA286" i="14"/>
  <c r="AA268" i="14"/>
  <c r="AA145" i="14"/>
  <c r="AA270" i="14"/>
  <c r="AA143" i="14"/>
  <c r="AA138" i="14"/>
  <c r="AA283" i="14"/>
  <c r="AA262" i="14"/>
  <c r="AA285" i="14"/>
  <c r="AA146" i="14"/>
  <c r="AA288" i="14"/>
  <c r="AA267" i="14"/>
  <c r="U89" i="10"/>
  <c r="U58" i="10"/>
  <c r="V236" i="10"/>
  <c r="V252" i="10" s="1"/>
  <c r="V234" i="10"/>
  <c r="V250" i="10" s="1"/>
  <c r="V228" i="10"/>
  <c r="V244" i="10" s="1"/>
  <c r="V226" i="10"/>
  <c r="V394" i="10"/>
  <c r="V392" i="10"/>
  <c r="V51" i="10"/>
  <c r="V397" i="10"/>
  <c r="V231" i="10"/>
  <c r="V247" i="10" s="1"/>
  <c r="V237" i="10"/>
  <c r="W241" i="10" s="1"/>
  <c r="V395" i="10"/>
  <c r="V53" i="10"/>
  <c r="V6" i="10"/>
  <c r="V6" i="11" s="1"/>
  <c r="V229" i="10"/>
  <c r="V245" i="10" s="1"/>
  <c r="V44" i="10"/>
  <c r="V50" i="10"/>
  <c r="V52" i="10"/>
  <c r="V391" i="10"/>
  <c r="V398" i="10"/>
  <c r="V49" i="10"/>
  <c r="V227" i="10"/>
  <c r="V243" i="10" s="1"/>
  <c r="V55" i="10"/>
  <c r="V233" i="10"/>
  <c r="V249" i="10" s="1"/>
  <c r="V393" i="10"/>
  <c r="V45" i="10"/>
  <c r="V399" i="10"/>
  <c r="V230" i="10"/>
  <c r="V246" i="10" s="1"/>
  <c r="V396" i="10"/>
  <c r="V235" i="10"/>
  <c r="V251" i="10" s="1"/>
  <c r="V8" i="11"/>
  <c r="V46" i="10"/>
  <c r="V400" i="10"/>
  <c r="V48" i="10"/>
  <c r="V54" i="10"/>
  <c r="V47" i="10"/>
  <c r="V401" i="10"/>
  <c r="V232" i="10"/>
  <c r="V248" i="10" s="1"/>
  <c r="V390" i="10"/>
  <c r="U60" i="11"/>
  <c r="U56" i="11"/>
  <c r="U62" i="11"/>
  <c r="U58" i="11"/>
  <c r="U95" i="14"/>
  <c r="U64" i="14"/>
  <c r="U61" i="14"/>
  <c r="U92" i="14"/>
  <c r="V7" i="15"/>
  <c r="V8" i="14"/>
  <c r="W7" i="14" s="1"/>
  <c r="U91" i="14"/>
  <c r="U60" i="14"/>
  <c r="U100" i="14"/>
  <c r="U69" i="14"/>
  <c r="U389" i="14"/>
  <c r="U98" i="14"/>
  <c r="U67" i="14"/>
  <c r="U96" i="14"/>
  <c r="U65" i="14"/>
  <c r="U225" i="14"/>
  <c r="U242" i="14"/>
  <c r="U240" i="14" s="1"/>
  <c r="U94" i="14"/>
  <c r="U63" i="14"/>
  <c r="U70" i="14"/>
  <c r="U101" i="14"/>
  <c r="U62" i="14"/>
  <c r="U93" i="14"/>
  <c r="U68" i="14"/>
  <c r="U99" i="14"/>
  <c r="U97" i="14"/>
  <c r="U66" i="14"/>
  <c r="U59" i="14"/>
  <c r="U90" i="14"/>
  <c r="U43" i="14"/>
  <c r="U90" i="12"/>
  <c r="U59" i="12"/>
  <c r="U43" i="12"/>
  <c r="U95" i="12"/>
  <c r="U64" i="12"/>
  <c r="U68" i="12"/>
  <c r="U99" i="12"/>
  <c r="U97" i="12"/>
  <c r="U66" i="12"/>
  <c r="U91" i="12"/>
  <c r="U60" i="12"/>
  <c r="U389" i="12"/>
  <c r="U242" i="12"/>
  <c r="U240" i="12" s="1"/>
  <c r="U225" i="12"/>
  <c r="V8" i="12"/>
  <c r="W7" i="12" s="1"/>
  <c r="V7" i="13"/>
  <c r="U100" i="12"/>
  <c r="U69" i="12"/>
  <c r="U101" i="12"/>
  <c r="U70" i="12"/>
  <c r="U98" i="12"/>
  <c r="U67" i="12"/>
  <c r="U96" i="12"/>
  <c r="U65" i="12"/>
  <c r="U93" i="12"/>
  <c r="U62" i="12"/>
  <c r="U92" i="12"/>
  <c r="U61" i="12"/>
  <c r="U94" i="12"/>
  <c r="U63" i="12"/>
  <c r="AA311" i="11"/>
  <c r="AA82" i="11"/>
  <c r="AA121" i="11"/>
  <c r="AA198" i="11"/>
  <c r="AA46" i="11"/>
  <c r="AA313" i="11"/>
  <c r="AA66" i="11"/>
  <c r="AA56" i="11"/>
  <c r="AA85" i="11"/>
  <c r="AA18" i="11"/>
  <c r="AA291" i="11"/>
  <c r="AA179" i="11"/>
  <c r="AA139" i="11"/>
  <c r="AA193" i="11"/>
  <c r="AA111" i="11"/>
  <c r="AA305" i="11"/>
  <c r="AA283" i="11"/>
  <c r="AA240" i="11"/>
  <c r="AA131" i="11"/>
  <c r="AA87" i="11"/>
  <c r="AA181" i="11"/>
  <c r="AA242" i="11"/>
  <c r="AA161" i="11"/>
  <c r="AA80" i="11"/>
  <c r="AA171" i="11"/>
  <c r="AA281" i="11"/>
  <c r="AA317" i="11"/>
  <c r="AA133" i="11"/>
  <c r="AA303" i="11"/>
  <c r="AA58" i="11"/>
  <c r="AA301" i="11"/>
  <c r="AA159" i="11"/>
  <c r="AA109" i="11"/>
  <c r="AA307" i="11"/>
  <c r="AA137" i="11"/>
  <c r="AA317" i="15"/>
  <c r="AA119" i="15"/>
  <c r="AA89" i="15"/>
  <c r="AA50" i="15"/>
  <c r="AA127" i="15"/>
  <c r="AA291" i="15"/>
  <c r="AA273" i="15"/>
  <c r="AA198" i="15"/>
  <c r="AA159" i="15"/>
  <c r="AA99" i="15"/>
  <c r="AA82" i="15"/>
  <c r="AA40" i="15"/>
  <c r="AA48" i="15"/>
  <c r="AA301" i="15"/>
  <c r="AA242" i="15"/>
  <c r="AA202" i="15"/>
  <c r="AA141" i="15"/>
  <c r="AA169" i="15"/>
  <c r="AA117" i="15"/>
  <c r="AA285" i="15"/>
  <c r="AA281" i="15"/>
  <c r="AA107" i="15"/>
  <c r="AA275" i="15"/>
  <c r="AA271" i="15"/>
  <c r="AA139" i="15"/>
  <c r="AA18" i="15"/>
  <c r="AA68" i="15"/>
  <c r="AA97" i="15"/>
  <c r="AA105" i="15"/>
  <c r="M105" i="15" s="1"/>
  <c r="AA167" i="15"/>
  <c r="AA85" i="15"/>
  <c r="AA28" i="15"/>
  <c r="AA46" i="15"/>
  <c r="AA129" i="15"/>
  <c r="AA401" i="14"/>
  <c r="AA400" i="14"/>
  <c r="AA399" i="14"/>
  <c r="AA398" i="14"/>
  <c r="AA397" i="14"/>
  <c r="AA396" i="14"/>
  <c r="AA395" i="14"/>
  <c r="AA394" i="14"/>
  <c r="AA393" i="14"/>
  <c r="AA392" i="14"/>
  <c r="AA391" i="14"/>
  <c r="AA390" i="14"/>
  <c r="AA389" i="14"/>
  <c r="AA386" i="14"/>
  <c r="AA385" i="14"/>
  <c r="AA384" i="14"/>
  <c r="AA383" i="14"/>
  <c r="AA382" i="14"/>
  <c r="AA381" i="14"/>
  <c r="AA380" i="14"/>
  <c r="AA379" i="14"/>
  <c r="AA378" i="14"/>
  <c r="AA374" i="14"/>
  <c r="AA376" i="14"/>
  <c r="AA341" i="14"/>
  <c r="AA337" i="14"/>
  <c r="AA335" i="14"/>
  <c r="AA334" i="14"/>
  <c r="AA333" i="14"/>
  <c r="AA323" i="14"/>
  <c r="AA322" i="14"/>
  <c r="AA321" i="14"/>
  <c r="AA320" i="14"/>
  <c r="AA319" i="14"/>
  <c r="AA318" i="14"/>
  <c r="AA317" i="14"/>
  <c r="AA316" i="14"/>
  <c r="AA315" i="14"/>
  <c r="AA314" i="14"/>
  <c r="AA313" i="14"/>
  <c r="AA312" i="14"/>
  <c r="AA311" i="14"/>
  <c r="AA375" i="14"/>
  <c r="AA340" i="14"/>
  <c r="AA336" i="14"/>
  <c r="AA332" i="14"/>
  <c r="AA377" i="14"/>
  <c r="AA339" i="14"/>
  <c r="AA338" i="14"/>
  <c r="AA331" i="14"/>
  <c r="AA330" i="14"/>
  <c r="AA329" i="14"/>
  <c r="AA260" i="14"/>
  <c r="AA252" i="14"/>
  <c r="AA248" i="14"/>
  <c r="AA244" i="14"/>
  <c r="AA240" i="14"/>
  <c r="AA293" i="14"/>
  <c r="AA251" i="14"/>
  <c r="AA242" i="14"/>
  <c r="AA237" i="14"/>
  <c r="AA236" i="14"/>
  <c r="AA232" i="14"/>
  <c r="AA228" i="14"/>
  <c r="AA202" i="14"/>
  <c r="AA201" i="14"/>
  <c r="AA200" i="14"/>
  <c r="AA199" i="14"/>
  <c r="AA198" i="14"/>
  <c r="AA197" i="14"/>
  <c r="AA196" i="14"/>
  <c r="AA195" i="14"/>
  <c r="AA194" i="14"/>
  <c r="AA193" i="14"/>
  <c r="AA192" i="14"/>
  <c r="AA191" i="14"/>
  <c r="AA190" i="14"/>
  <c r="AA137" i="14"/>
  <c r="AA101" i="14"/>
  <c r="AA100" i="14"/>
  <c r="AA99" i="14"/>
  <c r="AA98" i="14"/>
  <c r="AA97" i="14"/>
  <c r="AA278" i="14"/>
  <c r="AA250" i="14"/>
  <c r="AA241" i="14"/>
  <c r="AA233" i="14"/>
  <c r="AA231" i="14"/>
  <c r="AA184" i="14"/>
  <c r="AA180" i="14"/>
  <c r="AA176" i="14"/>
  <c r="AA132" i="14"/>
  <c r="AA128" i="14"/>
  <c r="AA124" i="14"/>
  <c r="AA96" i="14"/>
  <c r="AA95" i="14"/>
  <c r="AA94" i="14"/>
  <c r="AA93" i="14"/>
  <c r="AA92" i="14"/>
  <c r="AA91" i="14"/>
  <c r="AA90" i="14"/>
  <c r="AA89" i="14"/>
  <c r="AA249" i="14"/>
  <c r="AA247" i="14"/>
  <c r="AA234" i="14"/>
  <c r="AA243" i="14"/>
  <c r="AA235" i="14"/>
  <c r="AA229" i="14"/>
  <c r="AA182" i="14"/>
  <c r="AA177" i="14"/>
  <c r="AA175" i="14"/>
  <c r="AA169" i="14"/>
  <c r="AA167" i="14"/>
  <c r="AA165" i="14"/>
  <c r="AA163" i="14"/>
  <c r="AA161" i="14"/>
  <c r="AA159" i="14"/>
  <c r="AA157" i="14"/>
  <c r="AA246" i="14"/>
  <c r="AA230" i="14"/>
  <c r="AA187" i="14"/>
  <c r="AA178" i="14"/>
  <c r="AA126" i="14"/>
  <c r="AA68" i="14"/>
  <c r="AA64" i="14"/>
  <c r="AA60" i="14"/>
  <c r="AA46" i="14"/>
  <c r="AA45" i="14"/>
  <c r="AA44" i="14"/>
  <c r="AA43" i="14"/>
  <c r="AA7" i="14"/>
  <c r="AA7" i="15" s="1"/>
  <c r="AA6" i="14"/>
  <c r="AA6" i="15" s="1"/>
  <c r="AA245" i="14"/>
  <c r="AA226" i="14"/>
  <c r="AA225" i="14"/>
  <c r="AA186" i="14"/>
  <c r="AA168" i="14"/>
  <c r="AA166" i="14"/>
  <c r="AA164" i="14"/>
  <c r="AA162" i="14"/>
  <c r="AA160" i="14"/>
  <c r="AA158" i="14"/>
  <c r="AA227" i="14"/>
  <c r="AA181" i="14"/>
  <c r="AA179" i="14"/>
  <c r="AA125" i="14"/>
  <c r="AA123" i="14"/>
  <c r="AA62" i="14"/>
  <c r="AA53" i="14"/>
  <c r="AA49" i="14"/>
  <c r="AA41" i="14"/>
  <c r="AA133" i="14"/>
  <c r="AA87" i="14"/>
  <c r="AA70" i="14"/>
  <c r="AA61" i="14"/>
  <c r="AA59" i="14"/>
  <c r="AA58" i="14"/>
  <c r="AA52" i="14"/>
  <c r="AA51" i="14"/>
  <c r="AA8" i="14"/>
  <c r="AA8" i="15" s="1"/>
  <c r="AA183" i="14"/>
  <c r="AA54" i="14"/>
  <c r="AA134" i="14"/>
  <c r="AA129" i="14"/>
  <c r="AA69" i="14"/>
  <c r="AA67" i="14"/>
  <c r="AA48" i="14"/>
  <c r="AA47" i="14"/>
  <c r="AA31" i="14"/>
  <c r="AA29" i="14"/>
  <c r="AA185" i="14"/>
  <c r="AA66" i="14"/>
  <c r="AA127" i="14"/>
  <c r="AA63" i="14"/>
  <c r="AA55" i="14"/>
  <c r="AA50" i="14"/>
  <c r="AA30" i="14"/>
  <c r="AA28" i="14"/>
  <c r="AA27" i="14"/>
  <c r="AA26" i="14"/>
  <c r="AA25" i="14"/>
  <c r="AA24" i="14"/>
  <c r="AA23" i="14"/>
  <c r="AA22" i="14"/>
  <c r="AA21" i="14"/>
  <c r="AA20" i="14"/>
  <c r="AA131" i="14"/>
  <c r="AA130" i="14"/>
  <c r="AA65" i="14"/>
  <c r="AA401" i="12"/>
  <c r="AA400" i="12"/>
  <c r="AA399" i="12"/>
  <c r="AA398" i="12"/>
  <c r="AA397" i="12"/>
  <c r="AA396" i="12"/>
  <c r="AA395" i="12"/>
  <c r="AA394" i="12"/>
  <c r="AA393" i="12"/>
  <c r="AA392" i="12"/>
  <c r="AA391" i="12"/>
  <c r="AA390" i="12"/>
  <c r="AA389" i="12"/>
  <c r="AA386" i="12"/>
  <c r="AA385" i="12"/>
  <c r="AA384" i="12"/>
  <c r="AA383" i="12"/>
  <c r="AA382" i="12"/>
  <c r="AA381" i="12"/>
  <c r="AA380" i="12"/>
  <c r="AA379" i="12"/>
  <c r="AA377" i="12"/>
  <c r="AA376" i="12"/>
  <c r="AA375" i="12"/>
  <c r="AA374" i="12"/>
  <c r="AA323" i="12"/>
  <c r="AA322" i="12"/>
  <c r="AA321" i="12"/>
  <c r="AA320" i="12"/>
  <c r="AA319" i="12"/>
  <c r="AA318" i="12"/>
  <c r="AA317" i="12"/>
  <c r="AA378" i="12"/>
  <c r="AA340" i="12"/>
  <c r="AA336" i="12"/>
  <c r="AA332" i="12"/>
  <c r="AA329" i="12"/>
  <c r="AA339" i="12"/>
  <c r="AA337" i="12"/>
  <c r="AA331" i="12"/>
  <c r="AA330" i="12"/>
  <c r="AA313" i="12"/>
  <c r="AA338" i="12"/>
  <c r="AA315" i="12"/>
  <c r="AA311" i="12"/>
  <c r="AA335" i="12"/>
  <c r="AA334" i="12"/>
  <c r="AA333" i="12"/>
  <c r="AA314" i="12"/>
  <c r="AA341" i="12"/>
  <c r="AA316" i="12"/>
  <c r="AA252" i="12"/>
  <c r="AA251" i="12"/>
  <c r="AA250" i="12"/>
  <c r="AA249" i="12"/>
  <c r="AA248" i="12"/>
  <c r="AA247" i="12"/>
  <c r="AA246" i="12"/>
  <c r="AA245" i="12"/>
  <c r="AA244" i="12"/>
  <c r="AA243" i="12"/>
  <c r="AA242" i="12"/>
  <c r="AA241" i="12"/>
  <c r="AA240" i="12"/>
  <c r="AA237" i="12"/>
  <c r="AA236" i="12"/>
  <c r="AA235" i="12"/>
  <c r="AA234" i="12"/>
  <c r="AA233" i="12"/>
  <c r="AA232" i="12"/>
  <c r="AA231" i="12"/>
  <c r="AA230" i="12"/>
  <c r="AA229" i="12"/>
  <c r="AA228" i="12"/>
  <c r="AA227" i="12"/>
  <c r="AA226" i="12"/>
  <c r="AA225" i="12"/>
  <c r="AA312" i="12"/>
  <c r="AA167" i="12"/>
  <c r="AA163" i="12"/>
  <c r="AA159" i="12"/>
  <c r="AA134" i="12"/>
  <c r="AA133" i="12"/>
  <c r="AA132" i="12"/>
  <c r="AA131" i="12"/>
  <c r="AA130" i="12"/>
  <c r="AA129" i="12"/>
  <c r="AA128" i="12"/>
  <c r="AA127" i="12"/>
  <c r="AA126" i="12"/>
  <c r="AA125" i="12"/>
  <c r="AA124" i="12"/>
  <c r="AA123" i="12"/>
  <c r="AA70" i="12"/>
  <c r="AA69" i="12"/>
  <c r="AA68" i="12"/>
  <c r="AA67" i="12"/>
  <c r="AA66" i="12"/>
  <c r="AA65" i="12"/>
  <c r="AA64" i="12"/>
  <c r="AA63" i="12"/>
  <c r="AA62" i="12"/>
  <c r="AA61" i="12"/>
  <c r="AA60" i="12"/>
  <c r="AA59" i="12"/>
  <c r="AA58" i="12"/>
  <c r="AA187" i="12"/>
  <c r="AA185" i="12"/>
  <c r="AA183" i="12"/>
  <c r="AA181" i="12"/>
  <c r="AA179" i="12"/>
  <c r="AA177" i="12"/>
  <c r="AA175" i="12"/>
  <c r="AA165" i="12"/>
  <c r="AA160" i="12"/>
  <c r="AA158" i="12"/>
  <c r="AA87" i="12"/>
  <c r="AA201" i="12"/>
  <c r="AA199" i="12"/>
  <c r="AA197" i="12"/>
  <c r="AA195" i="12"/>
  <c r="AA193" i="12"/>
  <c r="AA191" i="12"/>
  <c r="AA161" i="12"/>
  <c r="AA101" i="12"/>
  <c r="AA100" i="12"/>
  <c r="AA99" i="12"/>
  <c r="AA98" i="12"/>
  <c r="AA97" i="12"/>
  <c r="AA96" i="12"/>
  <c r="AA95" i="12"/>
  <c r="AA94" i="12"/>
  <c r="AA93" i="12"/>
  <c r="AA92" i="12"/>
  <c r="AA91" i="12"/>
  <c r="AA90" i="12"/>
  <c r="AA89" i="12"/>
  <c r="AA55" i="12"/>
  <c r="AA51" i="12"/>
  <c r="AA47" i="12"/>
  <c r="AA43" i="12"/>
  <c r="AA168" i="12"/>
  <c r="AA166" i="12"/>
  <c r="AA157" i="12"/>
  <c r="AA186" i="12"/>
  <c r="AA184" i="12"/>
  <c r="AA182" i="12"/>
  <c r="AA180" i="12"/>
  <c r="AA178" i="12"/>
  <c r="AA176" i="12"/>
  <c r="AA54" i="12"/>
  <c r="AA50" i="12"/>
  <c r="AA46" i="12"/>
  <c r="AA169" i="12"/>
  <c r="AA49" i="12"/>
  <c r="AA48" i="12"/>
  <c r="AA41" i="12"/>
  <c r="AA29" i="12"/>
  <c r="AA6" i="12"/>
  <c r="AA6" i="13" s="1"/>
  <c r="AA200" i="12"/>
  <c r="AA196" i="12"/>
  <c r="AA192" i="12"/>
  <c r="AA164" i="12"/>
  <c r="AA162" i="12"/>
  <c r="AA8" i="12"/>
  <c r="AA8" i="13" s="1"/>
  <c r="AA53" i="12"/>
  <c r="AA52" i="12"/>
  <c r="AA45" i="12"/>
  <c r="AA44" i="12"/>
  <c r="AA31" i="12"/>
  <c r="AA28" i="12"/>
  <c r="AA27" i="12"/>
  <c r="AA26" i="12"/>
  <c r="AA25" i="12"/>
  <c r="AA24" i="12"/>
  <c r="AA23" i="12"/>
  <c r="AA22" i="12"/>
  <c r="AA21" i="12"/>
  <c r="AA20" i="12"/>
  <c r="AA7" i="12"/>
  <c r="AA7" i="13" s="1"/>
  <c r="AA202" i="12"/>
  <c r="AA198" i="12"/>
  <c r="AA194" i="12"/>
  <c r="AA190" i="12"/>
  <c r="AA137" i="12"/>
  <c r="AA30" i="12"/>
  <c r="AA401" i="10"/>
  <c r="AA400" i="10"/>
  <c r="AA399" i="10"/>
  <c r="AA398" i="10"/>
  <c r="AA397" i="10"/>
  <c r="AA396" i="10"/>
  <c r="AA395" i="10"/>
  <c r="AA394" i="10"/>
  <c r="AA393" i="10"/>
  <c r="AA392" i="10"/>
  <c r="AA386" i="10"/>
  <c r="AA385" i="10"/>
  <c r="AA384" i="10"/>
  <c r="AA383" i="10"/>
  <c r="AA382" i="10"/>
  <c r="AA381" i="10"/>
  <c r="AA380" i="10"/>
  <c r="AA379" i="10"/>
  <c r="AA378" i="10"/>
  <c r="AA391" i="10"/>
  <c r="AA390" i="10"/>
  <c r="AA389" i="10"/>
  <c r="AA341" i="10"/>
  <c r="AA340" i="10"/>
  <c r="AA339" i="10"/>
  <c r="AA338" i="10"/>
  <c r="AA337" i="10"/>
  <c r="AA336" i="10"/>
  <c r="AA335" i="10"/>
  <c r="AA334" i="10"/>
  <c r="AA333" i="10"/>
  <c r="AA332" i="10"/>
  <c r="AA331" i="10"/>
  <c r="AA330" i="10"/>
  <c r="AA374" i="10"/>
  <c r="AA329" i="10"/>
  <c r="AA377" i="10"/>
  <c r="AA323" i="10"/>
  <c r="AA375" i="10"/>
  <c r="AA376" i="10"/>
  <c r="AA321" i="10"/>
  <c r="AA319" i="10"/>
  <c r="AA317" i="10"/>
  <c r="AA315" i="10"/>
  <c r="AA313" i="10"/>
  <c r="AA312" i="10"/>
  <c r="AA311" i="10"/>
  <c r="AA322" i="10"/>
  <c r="AA318" i="10"/>
  <c r="AA314" i="10"/>
  <c r="AA250" i="10"/>
  <c r="AA246" i="10"/>
  <c r="AA242" i="10"/>
  <c r="AA237" i="10"/>
  <c r="AA249" i="10"/>
  <c r="AA245" i="10"/>
  <c r="AA241" i="10"/>
  <c r="AA236" i="10"/>
  <c r="AA232" i="10"/>
  <c r="AA228" i="10"/>
  <c r="AA134" i="10"/>
  <c r="AA133" i="10"/>
  <c r="AA132" i="10"/>
  <c r="AA131" i="10"/>
  <c r="AA130" i="10"/>
  <c r="AA129" i="10"/>
  <c r="AA128" i="10"/>
  <c r="AA127" i="10"/>
  <c r="AA126" i="10"/>
  <c r="AA125" i="10"/>
  <c r="AA124" i="10"/>
  <c r="AA123" i="10"/>
  <c r="AA320" i="10"/>
  <c r="AA316" i="10"/>
  <c r="AA252" i="10"/>
  <c r="AA248" i="10"/>
  <c r="AA244" i="10"/>
  <c r="AA240" i="10"/>
  <c r="AA251" i="10"/>
  <c r="AA225" i="10"/>
  <c r="AA169" i="10"/>
  <c r="AA168" i="10"/>
  <c r="AA167" i="10"/>
  <c r="AA166" i="10"/>
  <c r="AA165" i="10"/>
  <c r="AA164" i="10"/>
  <c r="AA163" i="10"/>
  <c r="AA162" i="10"/>
  <c r="AA161" i="10"/>
  <c r="AA160" i="10"/>
  <c r="AA159" i="10"/>
  <c r="AA158" i="10"/>
  <c r="AA157" i="10"/>
  <c r="AA234" i="10"/>
  <c r="AA233" i="10"/>
  <c r="AA247" i="10"/>
  <c r="AA227" i="10"/>
  <c r="AA226" i="10"/>
  <c r="AA202" i="10"/>
  <c r="AA201" i="10"/>
  <c r="AA200" i="10"/>
  <c r="AA199" i="10"/>
  <c r="AA198" i="10"/>
  <c r="AA197" i="10"/>
  <c r="AA196" i="10"/>
  <c r="AA195" i="10"/>
  <c r="AA194" i="10"/>
  <c r="AA193" i="10"/>
  <c r="AA192" i="10"/>
  <c r="AA191" i="10"/>
  <c r="AA190" i="10"/>
  <c r="AA137" i="10"/>
  <c r="AA55" i="10"/>
  <c r="AA54" i="10"/>
  <c r="AA53" i="10"/>
  <c r="AA52" i="10"/>
  <c r="AA51" i="10"/>
  <c r="AA50" i="10"/>
  <c r="AA49" i="10"/>
  <c r="AA48" i="10"/>
  <c r="AA47" i="10"/>
  <c r="AA46" i="10"/>
  <c r="AA45" i="10"/>
  <c r="AA44" i="10"/>
  <c r="AA43" i="10"/>
  <c r="AA7" i="10"/>
  <c r="AA7" i="11" s="1"/>
  <c r="AA6" i="10"/>
  <c r="AA6" i="11" s="1"/>
  <c r="AA235" i="10"/>
  <c r="AA231" i="10"/>
  <c r="AA230" i="10"/>
  <c r="AA229" i="10"/>
  <c r="AA186" i="10"/>
  <c r="AA184" i="10"/>
  <c r="AA182" i="10"/>
  <c r="AA180" i="10"/>
  <c r="AA178" i="10"/>
  <c r="AA176" i="10"/>
  <c r="AA96" i="10"/>
  <c r="AA95" i="10"/>
  <c r="AA94" i="10"/>
  <c r="AA93" i="10"/>
  <c r="AA92" i="10"/>
  <c r="AA91" i="10"/>
  <c r="AA90" i="10"/>
  <c r="AA89" i="10"/>
  <c r="AA70" i="10"/>
  <c r="AA69" i="10"/>
  <c r="AA68" i="10"/>
  <c r="AA67" i="10"/>
  <c r="AA66" i="10"/>
  <c r="AA65" i="10"/>
  <c r="AA64" i="10"/>
  <c r="AA63" i="10"/>
  <c r="AA62" i="10"/>
  <c r="AA61" i="10"/>
  <c r="AA60" i="10"/>
  <c r="AA59" i="10"/>
  <c r="AA58" i="10"/>
  <c r="AA243" i="10"/>
  <c r="AA187" i="10"/>
  <c r="AA185" i="10"/>
  <c r="AA183" i="10"/>
  <c r="AA181" i="10"/>
  <c r="AA179" i="10"/>
  <c r="AA177" i="10"/>
  <c r="AA175" i="10"/>
  <c r="AA99" i="10"/>
  <c r="AA20" i="10"/>
  <c r="AA8" i="10"/>
  <c r="AA8" i="11" s="1"/>
  <c r="AA22" i="10"/>
  <c r="AA98" i="10"/>
  <c r="AA100" i="10"/>
  <c r="AA87" i="10"/>
  <c r="AA31" i="10"/>
  <c r="AA30" i="10"/>
  <c r="AA29" i="10"/>
  <c r="AA28" i="10"/>
  <c r="AA27" i="10"/>
  <c r="AA26" i="10"/>
  <c r="AA25" i="10"/>
  <c r="AA24" i="10"/>
  <c r="AA23" i="10"/>
  <c r="AA101" i="10"/>
  <c r="AA97" i="10"/>
  <c r="AA41" i="10"/>
  <c r="AA21" i="10"/>
  <c r="AA307" i="15" l="1"/>
  <c r="AA277" i="15"/>
  <c r="AA293" i="15"/>
  <c r="AA95" i="15"/>
  <c r="AA20" i="15"/>
  <c r="AA87" i="15"/>
  <c r="AA32" i="15"/>
  <c r="AA303" i="15"/>
  <c r="AA121" i="15"/>
  <c r="AA240" i="15"/>
  <c r="AA42" i="15"/>
  <c r="AA91" i="15"/>
  <c r="AA275" i="11"/>
  <c r="AA123" i="11"/>
  <c r="AA107" i="11"/>
  <c r="AA42" i="11"/>
  <c r="AA277" i="11"/>
  <c r="AA68" i="11"/>
  <c r="AA157" i="11"/>
  <c r="AA32" i="11"/>
  <c r="AA38" i="11"/>
  <c r="AA76" i="11"/>
  <c r="AA119" i="11"/>
  <c r="AA89" i="11"/>
  <c r="AA60" i="15"/>
  <c r="AA22" i="15"/>
  <c r="AA52" i="15"/>
  <c r="AA133" i="15"/>
  <c r="AA131" i="15"/>
  <c r="AA36" i="15"/>
  <c r="AA137" i="15"/>
  <c r="AA305" i="15"/>
  <c r="AA76" i="15"/>
  <c r="AA181" i="15"/>
  <c r="AA16" i="15"/>
  <c r="AA193" i="15"/>
  <c r="AA40" i="11"/>
  <c r="AA95" i="11"/>
  <c r="AA60" i="11"/>
  <c r="AA117" i="11"/>
  <c r="AA285" i="11"/>
  <c r="AA169" i="11"/>
  <c r="AA22" i="11"/>
  <c r="AA273" i="11"/>
  <c r="AA48" i="11"/>
  <c r="AA165" i="11"/>
  <c r="AA97" i="11"/>
  <c r="AA155" i="11"/>
  <c r="AA161" i="15"/>
  <c r="AA30" i="15"/>
  <c r="AA313" i="15"/>
  <c r="AA26" i="15"/>
  <c r="AA165" i="15"/>
  <c r="AA62" i="15"/>
  <c r="AA157" i="15"/>
  <c r="AA38" i="15"/>
  <c r="AA123" i="15"/>
  <c r="AA238" i="15"/>
  <c r="AA72" i="15"/>
  <c r="AA171" i="15"/>
  <c r="AA78" i="11"/>
  <c r="AA315" i="11"/>
  <c r="AA175" i="11"/>
  <c r="AA28" i="11"/>
  <c r="AA26" i="11"/>
  <c r="AA202" i="11"/>
  <c r="AA91" i="11"/>
  <c r="AA238" i="11"/>
  <c r="AA129" i="11"/>
  <c r="AA99" i="11"/>
  <c r="AA52" i="11"/>
  <c r="AA315" i="15"/>
  <c r="AA143" i="15"/>
  <c r="AA177" i="15"/>
  <c r="AA175" i="15"/>
  <c r="AA179" i="15"/>
  <c r="AA56" i="15"/>
  <c r="AA196" i="15"/>
  <c r="AA78" i="15"/>
  <c r="AA101" i="15"/>
  <c r="AA295" i="15"/>
  <c r="AA109" i="15"/>
  <c r="AA70" i="15"/>
  <c r="AA293" i="11"/>
  <c r="AA287" i="11"/>
  <c r="AA141" i="11"/>
  <c r="AA177" i="11"/>
  <c r="AA20" i="11"/>
  <c r="AA196" i="11"/>
  <c r="AA50" i="11"/>
  <c r="AA295" i="11"/>
  <c r="AA101" i="11"/>
  <c r="AA16" i="11"/>
  <c r="AA62" i="11"/>
  <c r="AA80" i="15"/>
  <c r="AA155" i="15"/>
  <c r="AA283" i="15"/>
  <c r="AA200" i="15"/>
  <c r="AA236" i="15"/>
  <c r="AA111" i="15"/>
  <c r="AA287" i="15"/>
  <c r="AA58" i="15"/>
  <c r="AA311" i="15"/>
  <c r="AA297" i="15"/>
  <c r="AA30" i="11"/>
  <c r="AA105" i="11"/>
  <c r="M105" i="11" s="1"/>
  <c r="AA236" i="11"/>
  <c r="AA200" i="11"/>
  <c r="AA143" i="11"/>
  <c r="AA167" i="11"/>
  <c r="AA271" i="11"/>
  <c r="AA70" i="11"/>
  <c r="AA297" i="11"/>
  <c r="AA127" i="11"/>
  <c r="AA36" i="11"/>
  <c r="AA193" i="13"/>
  <c r="AA107" i="13"/>
  <c r="AA22" i="13"/>
  <c r="AA271" i="13"/>
  <c r="AA32" i="13"/>
  <c r="AA82" i="13"/>
  <c r="AA165" i="13"/>
  <c r="AA307" i="13"/>
  <c r="AA317" i="13"/>
  <c r="AA202" i="13"/>
  <c r="AA157" i="13"/>
  <c r="AA141" i="13"/>
  <c r="AA119" i="13"/>
  <c r="AA123" i="13"/>
  <c r="AA91" i="13"/>
  <c r="AA315" i="13"/>
  <c r="AA297" i="13"/>
  <c r="AA133" i="13"/>
  <c r="AA60" i="13"/>
  <c r="AA30" i="13"/>
  <c r="AA285" i="13"/>
  <c r="AA85" i="13"/>
  <c r="AA179" i="13"/>
  <c r="AA242" i="13"/>
  <c r="AA87" i="13"/>
  <c r="AA131" i="13"/>
  <c r="AA281" i="13"/>
  <c r="AA273" i="13"/>
  <c r="AA301" i="13"/>
  <c r="AA97" i="13"/>
  <c r="AA129" i="13"/>
  <c r="AA101" i="13"/>
  <c r="AA171" i="13"/>
  <c r="AA303" i="13"/>
  <c r="AA155" i="13"/>
  <c r="AA18" i="13"/>
  <c r="AA28" i="13"/>
  <c r="AA95" i="13"/>
  <c r="AA200" i="13"/>
  <c r="AA236" i="13"/>
  <c r="AA143" i="13"/>
  <c r="AA291" i="13"/>
  <c r="AA137" i="13"/>
  <c r="AA111" i="13"/>
  <c r="AA38" i="13"/>
  <c r="AA127" i="13"/>
  <c r="AA169" i="13"/>
  <c r="AA20" i="13"/>
  <c r="AA139" i="13"/>
  <c r="AA105" i="13"/>
  <c r="M105" i="13" s="1"/>
  <c r="AA277" i="13"/>
  <c r="AA283" i="13"/>
  <c r="AA159" i="13"/>
  <c r="AA40" i="13"/>
  <c r="AA161" i="13"/>
  <c r="AA36" i="13"/>
  <c r="AA50" i="13"/>
  <c r="AA46" i="13"/>
  <c r="AA313" i="13"/>
  <c r="AA177" i="13"/>
  <c r="AA26" i="13"/>
  <c r="AA99" i="13"/>
  <c r="AA175" i="13"/>
  <c r="AA58" i="13"/>
  <c r="AA181" i="13"/>
  <c r="AA117" i="13"/>
  <c r="AA62" i="13"/>
  <c r="AA56" i="13"/>
  <c r="AA167" i="13"/>
  <c r="AA305" i="13"/>
  <c r="AA275" i="13"/>
  <c r="AA287" i="13"/>
  <c r="AA42" i="13"/>
  <c r="AA89" i="13"/>
  <c r="AA198" i="13"/>
  <c r="AA72" i="13"/>
  <c r="AA238" i="13"/>
  <c r="AA52" i="13"/>
  <c r="AA78" i="13"/>
  <c r="AA66" i="13"/>
  <c r="AA311" i="13"/>
  <c r="AA293" i="13"/>
  <c r="AA68" i="13"/>
  <c r="AA240" i="13"/>
  <c r="AA80" i="13"/>
  <c r="AA48" i="13"/>
  <c r="AA196" i="13"/>
  <c r="AA121" i="13"/>
  <c r="AA295" i="13"/>
  <c r="AA70" i="13"/>
  <c r="AA109" i="13"/>
  <c r="AA76" i="13"/>
  <c r="W7" i="15"/>
  <c r="W8" i="14"/>
  <c r="W7" i="13"/>
  <c r="W8" i="12"/>
  <c r="W377" i="10"/>
  <c r="W50" i="10"/>
  <c r="W385" i="10"/>
  <c r="W44" i="10"/>
  <c r="W376" i="10"/>
  <c r="W230" i="10"/>
  <c r="W246" i="10" s="1"/>
  <c r="W232" i="10"/>
  <c r="W248" i="10" s="1"/>
  <c r="W55" i="10"/>
  <c r="W48" i="10"/>
  <c r="W378" i="10"/>
  <c r="W386" i="10"/>
  <c r="W379" i="10"/>
  <c r="W381" i="10"/>
  <c r="W375" i="10"/>
  <c r="W52" i="10"/>
  <c r="W383" i="10"/>
  <c r="W399" i="10"/>
  <c r="W390" i="10"/>
  <c r="W382" i="10"/>
  <c r="X7" i="10"/>
  <c r="W229" i="10"/>
  <c r="W245" i="10" s="1"/>
  <c r="W226" i="10"/>
  <c r="W227" i="10"/>
  <c r="W243" i="10" s="1"/>
  <c r="W392" i="10"/>
  <c r="W233" i="10"/>
  <c r="W249" i="10" s="1"/>
  <c r="W384" i="10"/>
  <c r="W395" i="10"/>
  <c r="W231" i="10"/>
  <c r="W247" i="10" s="1"/>
  <c r="W396" i="10"/>
  <c r="W6" i="10"/>
  <c r="W6" i="11" s="1"/>
  <c r="W393" i="10"/>
  <c r="W237" i="10"/>
  <c r="X241" i="10" s="1"/>
  <c r="W400" i="10"/>
  <c r="W45" i="10"/>
  <c r="W397" i="10"/>
  <c r="W234" i="10"/>
  <c r="W250" i="10" s="1"/>
  <c r="W51" i="10"/>
  <c r="W49" i="10"/>
  <c r="W401" i="10"/>
  <c r="W380" i="10"/>
  <c r="W236" i="10"/>
  <c r="W252" i="10" s="1"/>
  <c r="W228" i="10"/>
  <c r="W244" i="10" s="1"/>
  <c r="W53" i="10"/>
  <c r="W47" i="10"/>
  <c r="W46" i="10"/>
  <c r="W391" i="10"/>
  <c r="W54" i="10"/>
  <c r="W394" i="10"/>
  <c r="W235" i="10"/>
  <c r="W251" i="10" s="1"/>
  <c r="W398" i="10"/>
  <c r="W8" i="11"/>
  <c r="V64" i="10"/>
  <c r="V95" i="10"/>
  <c r="V65" i="10"/>
  <c r="V96" i="10"/>
  <c r="V99" i="10"/>
  <c r="V68" i="10"/>
  <c r="V242" i="10"/>
  <c r="V240" i="10" s="1"/>
  <c r="V225" i="10"/>
  <c r="V93" i="10"/>
  <c r="V62" i="10"/>
  <c r="V61" i="10"/>
  <c r="V92" i="10"/>
  <c r="V59" i="10"/>
  <c r="V90" i="10"/>
  <c r="V43" i="10"/>
  <c r="V66" i="10"/>
  <c r="V97" i="10"/>
  <c r="V389" i="10"/>
  <c r="V69" i="10"/>
  <c r="V100" i="10"/>
  <c r="V101" i="10"/>
  <c r="V70" i="10"/>
  <c r="V63" i="10"/>
  <c r="V94" i="10"/>
  <c r="V91" i="10"/>
  <c r="V60" i="10"/>
  <c r="V98" i="10"/>
  <c r="V67" i="10"/>
  <c r="U89" i="14"/>
  <c r="U60" i="15"/>
  <c r="U58" i="15"/>
  <c r="U56" i="15"/>
  <c r="U62" i="15"/>
  <c r="V46" i="14"/>
  <c r="V395" i="14"/>
  <c r="V6" i="14"/>
  <c r="V6" i="15" s="1"/>
  <c r="V229" i="14"/>
  <c r="V245" i="14" s="1"/>
  <c r="V399" i="14"/>
  <c r="V55" i="14"/>
  <c r="V234" i="14"/>
  <c r="V250" i="14" s="1"/>
  <c r="V54" i="14"/>
  <c r="V227" i="14"/>
  <c r="V243" i="14" s="1"/>
  <c r="V236" i="14"/>
  <c r="V252" i="14" s="1"/>
  <c r="V49" i="14"/>
  <c r="V53" i="14"/>
  <c r="V228" i="14"/>
  <c r="V244" i="14" s="1"/>
  <c r="V394" i="14"/>
  <c r="V50" i="14"/>
  <c r="V232" i="14"/>
  <c r="V248" i="14" s="1"/>
  <c r="V400" i="14"/>
  <c r="V391" i="14"/>
  <c r="V393" i="14"/>
  <c r="V390" i="14"/>
  <c r="V392" i="14"/>
  <c r="V397" i="14"/>
  <c r="V47" i="14"/>
  <c r="V396" i="14"/>
  <c r="V233" i="14"/>
  <c r="V249" i="14" s="1"/>
  <c r="V52" i="14"/>
  <c r="V235" i="14"/>
  <c r="V251" i="14" s="1"/>
  <c r="V45" i="14"/>
  <c r="V401" i="14"/>
  <c r="V44" i="14"/>
  <c r="V226" i="14"/>
  <c r="V8" i="15"/>
  <c r="V230" i="14"/>
  <c r="V246" i="14" s="1"/>
  <c r="V231" i="14"/>
  <c r="V247" i="14" s="1"/>
  <c r="V398" i="14"/>
  <c r="V237" i="14"/>
  <c r="W241" i="14" s="1"/>
  <c r="V48" i="14"/>
  <c r="V51" i="14"/>
  <c r="U58" i="14"/>
  <c r="U58" i="12"/>
  <c r="U89" i="12"/>
  <c r="V8" i="13"/>
  <c r="V398" i="12"/>
  <c r="V234" i="12"/>
  <c r="V250" i="12" s="1"/>
  <c r="V45" i="12"/>
  <c r="V395" i="12"/>
  <c r="V230" i="12"/>
  <c r="V246" i="12" s="1"/>
  <c r="V44" i="12"/>
  <c r="V46" i="12"/>
  <c r="V392" i="12"/>
  <c r="V51" i="12"/>
  <c r="V229" i="12"/>
  <c r="V245" i="12" s="1"/>
  <c r="V397" i="12"/>
  <c r="V228" i="12"/>
  <c r="V244" i="12" s="1"/>
  <c r="V54" i="12"/>
  <c r="V396" i="12"/>
  <c r="V236" i="12"/>
  <c r="V252" i="12" s="1"/>
  <c r="V233" i="12"/>
  <c r="V249" i="12" s="1"/>
  <c r="V6" i="12"/>
  <c r="V6" i="13" s="1"/>
  <c r="V226" i="12"/>
  <c r="V47" i="12"/>
  <c r="V399" i="12"/>
  <c r="V394" i="12"/>
  <c r="V52" i="12"/>
  <c r="V235" i="12"/>
  <c r="V251" i="12" s="1"/>
  <c r="V390" i="12"/>
  <c r="V401" i="12"/>
  <c r="V231" i="12"/>
  <c r="V247" i="12" s="1"/>
  <c r="V49" i="12"/>
  <c r="V393" i="12"/>
  <c r="V227" i="12"/>
  <c r="V243" i="12" s="1"/>
  <c r="V48" i="12"/>
  <c r="V237" i="12"/>
  <c r="W241" i="12" s="1"/>
  <c r="V391" i="12"/>
  <c r="V50" i="12"/>
  <c r="V53" i="12"/>
  <c r="V400" i="12"/>
  <c r="V232" i="12"/>
  <c r="V248" i="12" s="1"/>
  <c r="V55" i="12"/>
  <c r="U56" i="13"/>
  <c r="U60" i="13"/>
  <c r="U62" i="13"/>
  <c r="U58" i="13"/>
  <c r="W62" i="10" l="1"/>
  <c r="W93" i="10"/>
  <c r="X7" i="11"/>
  <c r="X8" i="10"/>
  <c r="W90" i="10"/>
  <c r="W59" i="10"/>
  <c r="W43" i="10"/>
  <c r="W99" i="10"/>
  <c r="W68" i="10"/>
  <c r="W91" i="10"/>
  <c r="W60" i="10"/>
  <c r="W389" i="10"/>
  <c r="W96" i="10"/>
  <c r="W65" i="10"/>
  <c r="W94" i="10"/>
  <c r="W63" i="10"/>
  <c r="W70" i="10"/>
  <c r="W101" i="10"/>
  <c r="W237" i="12"/>
  <c r="X241" i="12" s="1"/>
  <c r="W401" i="12"/>
  <c r="W233" i="12"/>
  <c r="W249" i="12" s="1"/>
  <c r="W397" i="12"/>
  <c r="W229" i="12"/>
  <c r="W245" i="12" s="1"/>
  <c r="W393" i="12"/>
  <c r="W383" i="12"/>
  <c r="W379" i="12"/>
  <c r="W378" i="12"/>
  <c r="W47" i="12"/>
  <c r="W45" i="12"/>
  <c r="W400" i="12"/>
  <c r="W51" i="12"/>
  <c r="W8" i="13"/>
  <c r="W52" i="12"/>
  <c r="W54" i="12"/>
  <c r="W380" i="12"/>
  <c r="W395" i="12"/>
  <c r="W236" i="12"/>
  <c r="W252" i="12" s="1"/>
  <c r="X7" i="12"/>
  <c r="W49" i="12"/>
  <c r="W384" i="12"/>
  <c r="W227" i="12"/>
  <c r="W243" i="12" s="1"/>
  <c r="W399" i="12"/>
  <c r="W377" i="12"/>
  <c r="W390" i="12"/>
  <c r="W231" i="12"/>
  <c r="W247" i="12" s="1"/>
  <c r="W44" i="12"/>
  <c r="W382" i="12"/>
  <c r="W394" i="12"/>
  <c r="W235" i="12"/>
  <c r="W251" i="12" s="1"/>
  <c r="W48" i="12"/>
  <c r="W386" i="12"/>
  <c r="W226" i="12"/>
  <c r="W398" i="12"/>
  <c r="W376" i="12"/>
  <c r="W6" i="12"/>
  <c r="W6" i="13" s="1"/>
  <c r="W392" i="12"/>
  <c r="W55" i="12"/>
  <c r="W230" i="12"/>
  <c r="W246" i="12" s="1"/>
  <c r="W53" i="12"/>
  <c r="W381" i="12"/>
  <c r="W50" i="12"/>
  <c r="W396" i="12"/>
  <c r="W234" i="12"/>
  <c r="W250" i="12" s="1"/>
  <c r="W46" i="12"/>
  <c r="W385" i="12"/>
  <c r="W228" i="12"/>
  <c r="W244" i="12" s="1"/>
  <c r="W375" i="12"/>
  <c r="W391" i="12"/>
  <c r="W232" i="12"/>
  <c r="W248" i="12" s="1"/>
  <c r="W100" i="10"/>
  <c r="W69" i="10"/>
  <c r="W98" i="10"/>
  <c r="W67" i="10"/>
  <c r="W95" i="10"/>
  <c r="W64" i="10"/>
  <c r="W225" i="10"/>
  <c r="W242" i="10"/>
  <c r="W240" i="10" s="1"/>
  <c r="W374" i="10"/>
  <c r="W382" i="14"/>
  <c r="W378" i="14"/>
  <c r="W235" i="14"/>
  <c r="W251" i="14" s="1"/>
  <c r="W400" i="14"/>
  <c r="W396" i="14"/>
  <c r="W392" i="14"/>
  <c r="W226" i="14"/>
  <c r="W386" i="14"/>
  <c r="W230" i="14"/>
  <c r="W246" i="14" s="1"/>
  <c r="W52" i="14"/>
  <c r="W47" i="14"/>
  <c r="W395" i="14"/>
  <c r="W227" i="14"/>
  <c r="W243" i="14" s="1"/>
  <c r="W397" i="14"/>
  <c r="W48" i="14"/>
  <c r="W51" i="14"/>
  <c r="W399" i="14"/>
  <c r="W229" i="14"/>
  <c r="W245" i="14" s="1"/>
  <c r="W401" i="14"/>
  <c r="W50" i="14"/>
  <c r="W55" i="14"/>
  <c r="W6" i="14"/>
  <c r="W6" i="15" s="1"/>
  <c r="W236" i="14"/>
  <c r="W252" i="14" s="1"/>
  <c r="W231" i="14"/>
  <c r="W247" i="14" s="1"/>
  <c r="W45" i="14"/>
  <c r="W237" i="14"/>
  <c r="X241" i="14" s="1"/>
  <c r="W398" i="14"/>
  <c r="W377" i="14"/>
  <c r="W49" i="14"/>
  <c r="W375" i="14"/>
  <c r="W8" i="15"/>
  <c r="W381" i="14"/>
  <c r="W53" i="14"/>
  <c r="W379" i="14"/>
  <c r="W385" i="14"/>
  <c r="W383" i="14"/>
  <c r="W44" i="14"/>
  <c r="W391" i="14"/>
  <c r="W228" i="14"/>
  <c r="W244" i="14" s="1"/>
  <c r="W393" i="14"/>
  <c r="W384" i="14"/>
  <c r="W46" i="14"/>
  <c r="W390" i="14"/>
  <c r="W54" i="14"/>
  <c r="W394" i="14"/>
  <c r="W233" i="14"/>
  <c r="W249" i="14" s="1"/>
  <c r="W234" i="14"/>
  <c r="W250" i="14" s="1"/>
  <c r="W232" i="14"/>
  <c r="W248" i="14" s="1"/>
  <c r="W376" i="14"/>
  <c r="X7" i="14"/>
  <c r="W380" i="14"/>
  <c r="W92" i="10"/>
  <c r="W61" i="10"/>
  <c r="W66" i="10"/>
  <c r="W97" i="10"/>
  <c r="V89" i="10"/>
  <c r="V58" i="10"/>
  <c r="V60" i="11"/>
  <c r="V56" i="11"/>
  <c r="V58" i="11"/>
  <c r="V62" i="11"/>
  <c r="V91" i="14"/>
  <c r="V60" i="14"/>
  <c r="V389" i="14"/>
  <c r="V68" i="14"/>
  <c r="V99" i="14"/>
  <c r="V69" i="14"/>
  <c r="V100" i="14"/>
  <c r="V225" i="14"/>
  <c r="V242" i="14"/>
  <c r="V240" i="14" s="1"/>
  <c r="V93" i="14"/>
  <c r="V62" i="14"/>
  <c r="V96" i="14"/>
  <c r="V65" i="14"/>
  <c r="V95" i="14"/>
  <c r="V64" i="14"/>
  <c r="V97" i="14"/>
  <c r="V66" i="14"/>
  <c r="V59" i="14"/>
  <c r="V90" i="14"/>
  <c r="V43" i="14"/>
  <c r="V98" i="14"/>
  <c r="V67" i="14"/>
  <c r="V101" i="14"/>
  <c r="V70" i="14"/>
  <c r="V63" i="14"/>
  <c r="V94" i="14"/>
  <c r="V61" i="14"/>
  <c r="V92" i="14"/>
  <c r="V95" i="12"/>
  <c r="V64" i="12"/>
  <c r="V93" i="12"/>
  <c r="V62" i="12"/>
  <c r="V92" i="12"/>
  <c r="V61" i="12"/>
  <c r="V91" i="12"/>
  <c r="V60" i="12"/>
  <c r="V389" i="12"/>
  <c r="V99" i="12"/>
  <c r="V68" i="12"/>
  <c r="V94" i="12"/>
  <c r="V63" i="12"/>
  <c r="V98" i="12"/>
  <c r="V67" i="12"/>
  <c r="V242" i="12"/>
  <c r="V240" i="12" s="1"/>
  <c r="V225" i="12"/>
  <c r="V59" i="12"/>
  <c r="V90" i="12"/>
  <c r="V43" i="12"/>
  <c r="V101" i="12"/>
  <c r="V70" i="12"/>
  <c r="V96" i="12"/>
  <c r="V65" i="12"/>
  <c r="V100" i="12"/>
  <c r="V69" i="12"/>
  <c r="V97" i="12"/>
  <c r="V66" i="12"/>
  <c r="W374" i="12" l="1"/>
  <c r="W97" i="14"/>
  <c r="W66" i="14"/>
  <c r="W117" i="11"/>
  <c r="W121" i="11"/>
  <c r="W123" i="11"/>
  <c r="W119" i="11"/>
  <c r="W95" i="12"/>
  <c r="W64" i="12"/>
  <c r="W97" i="12"/>
  <c r="W66" i="12"/>
  <c r="W94" i="14"/>
  <c r="W63" i="14"/>
  <c r="W242" i="14"/>
  <c r="W225" i="14"/>
  <c r="W59" i="12"/>
  <c r="W43" i="12"/>
  <c r="W90" i="12"/>
  <c r="X7" i="13"/>
  <c r="X8" i="12"/>
  <c r="W374" i="14"/>
  <c r="W60" i="11"/>
  <c r="W58" i="11"/>
  <c r="W56" i="11"/>
  <c r="W62" i="11"/>
  <c r="W96" i="12"/>
  <c r="W65" i="12"/>
  <c r="W60" i="12"/>
  <c r="W91" i="12"/>
  <c r="W58" i="10"/>
  <c r="W90" i="14"/>
  <c r="W59" i="14"/>
  <c r="W43" i="14"/>
  <c r="W95" i="14"/>
  <c r="W64" i="14"/>
  <c r="W101" i="14"/>
  <c r="W70" i="14"/>
  <c r="W240" i="14"/>
  <c r="W242" i="12"/>
  <c r="W240" i="12" s="1"/>
  <c r="W225" i="12"/>
  <c r="W389" i="12"/>
  <c r="W121" i="13" s="1"/>
  <c r="W93" i="12"/>
  <c r="W62" i="12"/>
  <c r="W89" i="10"/>
  <c r="W100" i="14"/>
  <c r="W69" i="14"/>
  <c r="W96" i="14"/>
  <c r="W65" i="14"/>
  <c r="W123" i="13"/>
  <c r="W99" i="12"/>
  <c r="W68" i="12"/>
  <c r="X8" i="11"/>
  <c r="X383" i="10"/>
  <c r="X391" i="10"/>
  <c r="X226" i="10"/>
  <c r="X50" i="10"/>
  <c r="X382" i="10"/>
  <c r="X398" i="10"/>
  <c r="X390" i="10"/>
  <c r="X233" i="10"/>
  <c r="X249" i="10" s="1"/>
  <c r="X47" i="10"/>
  <c r="X381" i="10"/>
  <c r="X397" i="10"/>
  <c r="X232" i="10"/>
  <c r="X248" i="10" s="1"/>
  <c r="X380" i="10"/>
  <c r="X396" i="10"/>
  <c r="X375" i="10"/>
  <c r="X231" i="10"/>
  <c r="X247" i="10" s="1"/>
  <c r="X53" i="10"/>
  <c r="X46" i="10"/>
  <c r="X44" i="10"/>
  <c r="X379" i="10"/>
  <c r="X395" i="10"/>
  <c r="X230" i="10"/>
  <c r="X246" i="10" s="1"/>
  <c r="X51" i="10"/>
  <c r="X386" i="10"/>
  <c r="X378" i="10"/>
  <c r="X394" i="10"/>
  <c r="X376" i="10"/>
  <c r="X237" i="10"/>
  <c r="Y241" i="10" s="1"/>
  <c r="X229" i="10"/>
  <c r="X245" i="10" s="1"/>
  <c r="X49" i="10"/>
  <c r="X385" i="10"/>
  <c r="X401" i="10"/>
  <c r="X393" i="10"/>
  <c r="X377" i="10"/>
  <c r="X236" i="10"/>
  <c r="X252" i="10" s="1"/>
  <c r="X228" i="10"/>
  <c r="X244" i="10" s="1"/>
  <c r="X384" i="10"/>
  <c r="X400" i="10"/>
  <c r="X392" i="10"/>
  <c r="X235" i="10"/>
  <c r="X251" i="10" s="1"/>
  <c r="X227" i="10"/>
  <c r="X243" i="10" s="1"/>
  <c r="X45" i="10"/>
  <c r="X54" i="10"/>
  <c r="X6" i="10"/>
  <c r="X6" i="11" s="1"/>
  <c r="X399" i="10"/>
  <c r="X234" i="10"/>
  <c r="X250" i="10" s="1"/>
  <c r="X52" i="10"/>
  <c r="X55" i="10"/>
  <c r="X48" i="10"/>
  <c r="Y7" i="10"/>
  <c r="W389" i="14"/>
  <c r="W93" i="14"/>
  <c r="W62" i="14"/>
  <c r="W94" i="12"/>
  <c r="W63" i="12"/>
  <c r="W100" i="12"/>
  <c r="W69" i="12"/>
  <c r="X7" i="15"/>
  <c r="X8" i="14"/>
  <c r="W92" i="14"/>
  <c r="W61" i="14"/>
  <c r="W98" i="14"/>
  <c r="W67" i="14"/>
  <c r="W101" i="12"/>
  <c r="W70" i="12"/>
  <c r="W67" i="12"/>
  <c r="W98" i="12"/>
  <c r="W99" i="14"/>
  <c r="W68" i="14"/>
  <c r="W91" i="14"/>
  <c r="W60" i="14"/>
  <c r="W92" i="12"/>
  <c r="W61" i="12"/>
  <c r="V58" i="14"/>
  <c r="V89" i="14"/>
  <c r="V58" i="15"/>
  <c r="V60" i="15"/>
  <c r="V62" i="15"/>
  <c r="V56" i="15"/>
  <c r="V89" i="12"/>
  <c r="V58" i="12"/>
  <c r="V62" i="13"/>
  <c r="V56" i="13"/>
  <c r="V58" i="13"/>
  <c r="V60" i="13"/>
  <c r="W117" i="13" l="1"/>
  <c r="W119" i="13"/>
  <c r="X101" i="10"/>
  <c r="X70" i="10"/>
  <c r="X8" i="15"/>
  <c r="X395" i="14"/>
  <c r="X384" i="14"/>
  <c r="X227" i="14"/>
  <c r="X243" i="14" s="1"/>
  <c r="X237" i="14"/>
  <c r="Y241" i="14" s="1"/>
  <c r="X394" i="14"/>
  <c r="X382" i="14"/>
  <c r="X383" i="14"/>
  <c r="X226" i="14"/>
  <c r="X235" i="14"/>
  <c r="X251" i="14" s="1"/>
  <c r="X229" i="14"/>
  <c r="X245" i="14" s="1"/>
  <c r="X50" i="14"/>
  <c r="X401" i="14"/>
  <c r="X393" i="14"/>
  <c r="X378" i="14"/>
  <c r="X379" i="14"/>
  <c r="X233" i="14"/>
  <c r="X249" i="14" s="1"/>
  <c r="X231" i="14"/>
  <c r="X247" i="14" s="1"/>
  <c r="X400" i="14"/>
  <c r="X392" i="14"/>
  <c r="X377" i="14"/>
  <c r="X385" i="14"/>
  <c r="X228" i="14"/>
  <c r="X244" i="14" s="1"/>
  <c r="X399" i="14"/>
  <c r="X391" i="14"/>
  <c r="X376" i="14"/>
  <c r="X380" i="14"/>
  <c r="X398" i="14"/>
  <c r="X390" i="14"/>
  <c r="X375" i="14"/>
  <c r="X234" i="14"/>
  <c r="X250" i="14" s="1"/>
  <c r="X397" i="14"/>
  <c r="X230" i="14"/>
  <c r="X246" i="14" s="1"/>
  <c r="X236" i="14"/>
  <c r="X252" i="14" s="1"/>
  <c r="X396" i="14"/>
  <c r="X386" i="14"/>
  <c r="X381" i="14"/>
  <c r="X232" i="14"/>
  <c r="X248" i="14" s="1"/>
  <c r="X53" i="14"/>
  <c r="X44" i="14"/>
  <c r="X48" i="14"/>
  <c r="X6" i="14"/>
  <c r="X6" i="15" s="1"/>
  <c r="X55" i="14"/>
  <c r="X52" i="14"/>
  <c r="X51" i="14"/>
  <c r="X47" i="14"/>
  <c r="X45" i="14"/>
  <c r="X54" i="14"/>
  <c r="X46" i="14"/>
  <c r="X49" i="14"/>
  <c r="Y7" i="14"/>
  <c r="X98" i="10"/>
  <c r="X67" i="10"/>
  <c r="X97" i="10"/>
  <c r="X66" i="10"/>
  <c r="X374" i="10"/>
  <c r="X389" i="10"/>
  <c r="W60" i="13"/>
  <c r="W56" i="13"/>
  <c r="W58" i="13"/>
  <c r="W62" i="13"/>
  <c r="W117" i="15"/>
  <c r="W123" i="15"/>
  <c r="W119" i="15"/>
  <c r="W121" i="15"/>
  <c r="W58" i="12"/>
  <c r="X93" i="10"/>
  <c r="X62" i="10"/>
  <c r="W89" i="12"/>
  <c r="X95" i="10"/>
  <c r="X64" i="10"/>
  <c r="W62" i="15"/>
  <c r="W60" i="15"/>
  <c r="W58" i="15"/>
  <c r="W56" i="15"/>
  <c r="X99" i="10"/>
  <c r="X68" i="10"/>
  <c r="X65" i="10"/>
  <c r="X96" i="10"/>
  <c r="W58" i="14"/>
  <c r="X100" i="10"/>
  <c r="X69" i="10"/>
  <c r="X59" i="10"/>
  <c r="X90" i="10"/>
  <c r="X43" i="10"/>
  <c r="X225" i="10"/>
  <c r="X242" i="10"/>
  <c r="X240" i="10" s="1"/>
  <c r="W89" i="14"/>
  <c r="X8" i="13"/>
  <c r="X384" i="12"/>
  <c r="X400" i="12"/>
  <c r="X392" i="12"/>
  <c r="X376" i="12"/>
  <c r="X235" i="12"/>
  <c r="X251" i="12" s="1"/>
  <c r="X45" i="12"/>
  <c r="X227" i="12"/>
  <c r="X243" i="12" s="1"/>
  <c r="X383" i="12"/>
  <c r="X399" i="12"/>
  <c r="X391" i="12"/>
  <c r="X375" i="12"/>
  <c r="X231" i="12"/>
  <c r="X247" i="12" s="1"/>
  <c r="X382" i="12"/>
  <c r="X398" i="12"/>
  <c r="X390" i="12"/>
  <c r="X237" i="12"/>
  <c r="Y241" i="12" s="1"/>
  <c r="X6" i="12"/>
  <c r="X6" i="13" s="1"/>
  <c r="X55" i="12"/>
  <c r="X381" i="12"/>
  <c r="X397" i="12"/>
  <c r="X377" i="12"/>
  <c r="X233" i="12"/>
  <c r="X249" i="12" s="1"/>
  <c r="X52" i="12"/>
  <c r="X54" i="12"/>
  <c r="X380" i="12"/>
  <c r="X396" i="12"/>
  <c r="X234" i="12"/>
  <c r="X250" i="12" s="1"/>
  <c r="X229" i="12"/>
  <c r="X245" i="12" s="1"/>
  <c r="X48" i="12"/>
  <c r="X47" i="12"/>
  <c r="X379" i="12"/>
  <c r="X395" i="12"/>
  <c r="X230" i="12"/>
  <c r="X246" i="12" s="1"/>
  <c r="X236" i="12"/>
  <c r="X252" i="12" s="1"/>
  <c r="X44" i="12"/>
  <c r="X46" i="12"/>
  <c r="X386" i="12"/>
  <c r="X378" i="12"/>
  <c r="X394" i="12"/>
  <c r="X226" i="12"/>
  <c r="X232" i="12"/>
  <c r="X248" i="12" s="1"/>
  <c r="X53" i="12"/>
  <c r="X51" i="12"/>
  <c r="X385" i="12"/>
  <c r="X401" i="12"/>
  <c r="X393" i="12"/>
  <c r="X49" i="12"/>
  <c r="X228" i="12"/>
  <c r="X244" i="12" s="1"/>
  <c r="X50" i="12"/>
  <c r="Y7" i="12"/>
  <c r="X94" i="10"/>
  <c r="X63" i="10"/>
  <c r="Y7" i="11"/>
  <c r="Y8" i="10"/>
  <c r="X60" i="10"/>
  <c r="X91" i="10"/>
  <c r="X61" i="10"/>
  <c r="X92" i="10"/>
  <c r="X92" i="12" l="1"/>
  <c r="X61" i="12"/>
  <c r="Y7" i="15"/>
  <c r="Y8" i="14"/>
  <c r="X101" i="14"/>
  <c r="X70" i="14"/>
  <c r="X97" i="12"/>
  <c r="X66" i="12"/>
  <c r="X43" i="12"/>
  <c r="X90" i="12"/>
  <c r="X59" i="12"/>
  <c r="X374" i="12"/>
  <c r="X95" i="14"/>
  <c r="X64" i="14"/>
  <c r="Y7" i="13"/>
  <c r="Y8" i="12"/>
  <c r="X99" i="12"/>
  <c r="X68" i="12"/>
  <c r="X101" i="12"/>
  <c r="X70" i="12"/>
  <c r="X92" i="14"/>
  <c r="X61" i="14"/>
  <c r="X94" i="14"/>
  <c r="X63" i="14"/>
  <c r="X242" i="14"/>
  <c r="X240" i="14" s="1"/>
  <c r="X225" i="14"/>
  <c r="X96" i="12"/>
  <c r="X65" i="12"/>
  <c r="X62" i="11"/>
  <c r="X58" i="11"/>
  <c r="X56" i="11"/>
  <c r="X60" i="11"/>
  <c r="X100" i="14"/>
  <c r="X69" i="14"/>
  <c r="X90" i="14"/>
  <c r="X43" i="14"/>
  <c r="X59" i="14"/>
  <c r="X225" i="12"/>
  <c r="X242" i="12"/>
  <c r="X240" i="12" s="1"/>
  <c r="X100" i="12"/>
  <c r="X69" i="12"/>
  <c r="X91" i="14"/>
  <c r="X60" i="14"/>
  <c r="X99" i="14"/>
  <c r="X68" i="14"/>
  <c r="Y8" i="11"/>
  <c r="Y394" i="10"/>
  <c r="Y377" i="10"/>
  <c r="Y230" i="10"/>
  <c r="Y246" i="10" s="1"/>
  <c r="Y49" i="10"/>
  <c r="Y55" i="10"/>
  <c r="Y54" i="10"/>
  <c r="Y47" i="10"/>
  <c r="Y53" i="10"/>
  <c r="Y401" i="10"/>
  <c r="Y393" i="10"/>
  <c r="Y376" i="10"/>
  <c r="Y234" i="10"/>
  <c r="Y250" i="10" s="1"/>
  <c r="Y400" i="10"/>
  <c r="Y392" i="10"/>
  <c r="Y375" i="10"/>
  <c r="Y51" i="10"/>
  <c r="Y52" i="10"/>
  <c r="Y45" i="10"/>
  <c r="Y50" i="10"/>
  <c r="Y6" i="10"/>
  <c r="Y6" i="11" s="1"/>
  <c r="Y46" i="10"/>
  <c r="Y399" i="10"/>
  <c r="Y391" i="10"/>
  <c r="Y380" i="10"/>
  <c r="Y237" i="10"/>
  <c r="Y236" i="10"/>
  <c r="Y252" i="10" s="1"/>
  <c r="Y44" i="10"/>
  <c r="Y398" i="10"/>
  <c r="Y390" i="10"/>
  <c r="Y383" i="10"/>
  <c r="Y233" i="10"/>
  <c r="Y249" i="10" s="1"/>
  <c r="Y228" i="10"/>
  <c r="Y244" i="10" s="1"/>
  <c r="Y48" i="10"/>
  <c r="Y385" i="10"/>
  <c r="Y229" i="10"/>
  <c r="Y245" i="10" s="1"/>
  <c r="Y397" i="10"/>
  <c r="Y381" i="10"/>
  <c r="Y232" i="10"/>
  <c r="Y248" i="10" s="1"/>
  <c r="Y396" i="10"/>
  <c r="Y386" i="10"/>
  <c r="Y379" i="10"/>
  <c r="Y384" i="10"/>
  <c r="Y227" i="10"/>
  <c r="Y243" i="10" s="1"/>
  <c r="Y235" i="10"/>
  <c r="Y251" i="10" s="1"/>
  <c r="Y395" i="10"/>
  <c r="Y382" i="10"/>
  <c r="Y378" i="10"/>
  <c r="Y226" i="10"/>
  <c r="Y231" i="10"/>
  <c r="Y247" i="10" s="1"/>
  <c r="X95" i="12"/>
  <c r="X64" i="12"/>
  <c r="X98" i="12"/>
  <c r="X67" i="12"/>
  <c r="X389" i="12"/>
  <c r="X89" i="10"/>
  <c r="X93" i="14"/>
  <c r="X62" i="14"/>
  <c r="X374" i="14"/>
  <c r="X93" i="12"/>
  <c r="X62" i="12"/>
  <c r="X91" i="12"/>
  <c r="X60" i="12"/>
  <c r="X58" i="10"/>
  <c r="X97" i="14"/>
  <c r="X66" i="14"/>
  <c r="X389" i="14"/>
  <c r="X94" i="12"/>
  <c r="X63" i="12"/>
  <c r="X123" i="11"/>
  <c r="X117" i="11"/>
  <c r="X119" i="11"/>
  <c r="X121" i="11"/>
  <c r="X98" i="14"/>
  <c r="X67" i="14"/>
  <c r="X96" i="14"/>
  <c r="X65" i="14"/>
  <c r="Y374" i="10" l="1"/>
  <c r="Y62" i="10"/>
  <c r="Y93" i="10"/>
  <c r="Y69" i="10"/>
  <c r="Y100" i="10"/>
  <c r="X89" i="14"/>
  <c r="Y8" i="13"/>
  <c r="Y401" i="12"/>
  <c r="Y393" i="12"/>
  <c r="Y375" i="12"/>
  <c r="Y398" i="12"/>
  <c r="Y390" i="12"/>
  <c r="Y383" i="12"/>
  <c r="Y396" i="12"/>
  <c r="Y378" i="12"/>
  <c r="Y226" i="12"/>
  <c r="Y53" i="12"/>
  <c r="Y395" i="12"/>
  <c r="Y234" i="12"/>
  <c r="Y250" i="12" s="1"/>
  <c r="Y227" i="12"/>
  <c r="Y243" i="12" s="1"/>
  <c r="Y45" i="12"/>
  <c r="Y394" i="12"/>
  <c r="Y385" i="12"/>
  <c r="Y237" i="12"/>
  <c r="Y236" i="12"/>
  <c r="Y252" i="12" s="1"/>
  <c r="Y49" i="12"/>
  <c r="Y392" i="12"/>
  <c r="Y382" i="12"/>
  <c r="Y233" i="12"/>
  <c r="Y249" i="12" s="1"/>
  <c r="Y232" i="12"/>
  <c r="Y248" i="12" s="1"/>
  <c r="Y230" i="12"/>
  <c r="Y246" i="12" s="1"/>
  <c r="Y52" i="12"/>
  <c r="Y55" i="12"/>
  <c r="Y391" i="12"/>
  <c r="Y229" i="12"/>
  <c r="Y245" i="12" s="1"/>
  <c r="Y228" i="12"/>
  <c r="Y244" i="12" s="1"/>
  <c r="Y48" i="12"/>
  <c r="Y51" i="12"/>
  <c r="Y54" i="12"/>
  <c r="Y50" i="12"/>
  <c r="Y400" i="12"/>
  <c r="Y384" i="12"/>
  <c r="Y380" i="12"/>
  <c r="Y44" i="12"/>
  <c r="Y47" i="12"/>
  <c r="Y46" i="12"/>
  <c r="Y6" i="12"/>
  <c r="Y6" i="13" s="1"/>
  <c r="Y399" i="12"/>
  <c r="Y386" i="12"/>
  <c r="Y379" i="12"/>
  <c r="Y376" i="12"/>
  <c r="Y235" i="12"/>
  <c r="Y251" i="12" s="1"/>
  <c r="Y397" i="12"/>
  <c r="Y381" i="12"/>
  <c r="Y377" i="12"/>
  <c r="Y231" i="12"/>
  <c r="Y247" i="12" s="1"/>
  <c r="X89" i="12"/>
  <c r="X121" i="15"/>
  <c r="X123" i="15"/>
  <c r="X119" i="15"/>
  <c r="X117" i="15"/>
  <c r="Y389" i="10"/>
  <c r="Y121" i="11" s="1"/>
  <c r="Y61" i="10"/>
  <c r="Y92" i="10"/>
  <c r="Y70" i="10"/>
  <c r="Y101" i="10"/>
  <c r="Y95" i="10"/>
  <c r="Y64" i="10"/>
  <c r="X58" i="15"/>
  <c r="X62" i="15"/>
  <c r="X60" i="15"/>
  <c r="X56" i="15"/>
  <c r="Y59" i="10"/>
  <c r="Y90" i="10"/>
  <c r="Y43" i="10"/>
  <c r="Y96" i="10"/>
  <c r="Y65" i="10"/>
  <c r="Y91" i="10"/>
  <c r="Y60" i="10"/>
  <c r="Y94" i="10"/>
  <c r="Y63" i="10"/>
  <c r="Y98" i="10"/>
  <c r="Y67" i="10"/>
  <c r="X58" i="13"/>
  <c r="X62" i="13"/>
  <c r="X56" i="13"/>
  <c r="X60" i="13"/>
  <c r="Y117" i="11"/>
  <c r="X58" i="12"/>
  <c r="Y242" i="10"/>
  <c r="Y240" i="10" s="1"/>
  <c r="M240" i="10" s="1"/>
  <c r="Y225" i="10"/>
  <c r="Y66" i="10"/>
  <c r="Y97" i="10"/>
  <c r="Y68" i="10"/>
  <c r="Y99" i="10"/>
  <c r="X58" i="14"/>
  <c r="X123" i="13"/>
  <c r="X119" i="13"/>
  <c r="X121" i="13"/>
  <c r="X117" i="13"/>
  <c r="Y8" i="15"/>
  <c r="Y380" i="14"/>
  <c r="Y397" i="14"/>
  <c r="Y396" i="14"/>
  <c r="Y228" i="14"/>
  <c r="Y244" i="14" s="1"/>
  <c r="Y53" i="14"/>
  <c r="Y234" i="14"/>
  <c r="Y250" i="14" s="1"/>
  <c r="Y379" i="14"/>
  <c r="Y395" i="14"/>
  <c r="Y392" i="14"/>
  <c r="Y52" i="14"/>
  <c r="Y231" i="14"/>
  <c r="Y247" i="14" s="1"/>
  <c r="Y46" i="14"/>
  <c r="Y6" i="14"/>
  <c r="Y6" i="15" s="1"/>
  <c r="Y386" i="14"/>
  <c r="Y378" i="14"/>
  <c r="Y393" i="14"/>
  <c r="Y51" i="14"/>
  <c r="Y44" i="14"/>
  <c r="Y385" i="14"/>
  <c r="Y377" i="14"/>
  <c r="Y391" i="14"/>
  <c r="Y50" i="14"/>
  <c r="Y384" i="14"/>
  <c r="Y376" i="14"/>
  <c r="Y398" i="14"/>
  <c r="Y233" i="14"/>
  <c r="Y249" i="14" s="1"/>
  <c r="Y49" i="14"/>
  <c r="Y232" i="14"/>
  <c r="Y248" i="14" s="1"/>
  <c r="Y383" i="14"/>
  <c r="Y375" i="14"/>
  <c r="Y394" i="14"/>
  <c r="Y229" i="14"/>
  <c r="Y245" i="14" s="1"/>
  <c r="Y48" i="14"/>
  <c r="Y230" i="14"/>
  <c r="Y246" i="14" s="1"/>
  <c r="Y382" i="14"/>
  <c r="Y401" i="14"/>
  <c r="Y390" i="14"/>
  <c r="Y227" i="14"/>
  <c r="Y243" i="14" s="1"/>
  <c r="Y237" i="14"/>
  <c r="Y55" i="14"/>
  <c r="Y47" i="14"/>
  <c r="Y236" i="14"/>
  <c r="Y252" i="14" s="1"/>
  <c r="Y226" i="14"/>
  <c r="Y381" i="14"/>
  <c r="Y235" i="14"/>
  <c r="Y251" i="14" s="1"/>
  <c r="Y399" i="14"/>
  <c r="Y54" i="14"/>
  <c r="Y400" i="14"/>
  <c r="Y45" i="14"/>
  <c r="Y123" i="11" l="1"/>
  <c r="Y119" i="11"/>
  <c r="Y100" i="14"/>
  <c r="Y69" i="14"/>
  <c r="Y96" i="12"/>
  <c r="Y65" i="12"/>
  <c r="Y98" i="12"/>
  <c r="Y67" i="12"/>
  <c r="Y242" i="12"/>
  <c r="Y240" i="12" s="1"/>
  <c r="M240" i="12" s="1"/>
  <c r="Y225" i="12"/>
  <c r="Y374" i="14"/>
  <c r="Y96" i="14"/>
  <c r="Y65" i="14"/>
  <c r="Y89" i="10"/>
  <c r="Y100" i="12"/>
  <c r="Y69" i="12"/>
  <c r="Y389" i="14"/>
  <c r="Y99" i="14"/>
  <c r="Y68" i="14"/>
  <c r="Y58" i="10"/>
  <c r="Y92" i="12"/>
  <c r="Y61" i="12"/>
  <c r="Y97" i="12"/>
  <c r="Y66" i="12"/>
  <c r="Y92" i="14"/>
  <c r="Y61" i="14"/>
  <c r="Y58" i="11"/>
  <c r="M58" i="11" s="1"/>
  <c r="Y60" i="11"/>
  <c r="M60" i="11" s="1"/>
  <c r="Y56" i="11"/>
  <c r="M56" i="11" s="1"/>
  <c r="Y62" i="11"/>
  <c r="M62" i="11" s="1"/>
  <c r="M225" i="10"/>
  <c r="Y93" i="12"/>
  <c r="Y62" i="12"/>
  <c r="Y94" i="12"/>
  <c r="Y63" i="12"/>
  <c r="Y91" i="12"/>
  <c r="Y60" i="12"/>
  <c r="Y225" i="14"/>
  <c r="Y242" i="14"/>
  <c r="Y240" i="14" s="1"/>
  <c r="M240" i="14" s="1"/>
  <c r="Y95" i="14"/>
  <c r="Y64" i="14"/>
  <c r="Y90" i="12"/>
  <c r="Y43" i="12"/>
  <c r="Y59" i="12"/>
  <c r="Y389" i="12"/>
  <c r="Y59" i="14"/>
  <c r="Y90" i="14"/>
  <c r="Y43" i="14"/>
  <c r="Y98" i="14"/>
  <c r="Y67" i="14"/>
  <c r="Y91" i="14"/>
  <c r="Y60" i="14"/>
  <c r="Y62" i="14"/>
  <c r="Y93" i="14"/>
  <c r="Y94" i="14"/>
  <c r="Y63" i="14"/>
  <c r="Y97" i="14"/>
  <c r="Y66" i="14"/>
  <c r="Y95" i="12"/>
  <c r="Y64" i="12"/>
  <c r="Y374" i="12"/>
  <c r="Y70" i="14"/>
  <c r="Y101" i="14"/>
  <c r="Y101" i="12"/>
  <c r="Y70" i="12"/>
  <c r="Y99" i="12"/>
  <c r="Y68" i="12"/>
  <c r="Y58" i="15" l="1"/>
  <c r="M58" i="15" s="1"/>
  <c r="Y60" i="15"/>
  <c r="M60" i="15" s="1"/>
  <c r="Y56" i="15"/>
  <c r="M56" i="15" s="1"/>
  <c r="Y62" i="15"/>
  <c r="M62" i="15" s="1"/>
  <c r="M225" i="14"/>
  <c r="Y89" i="14"/>
  <c r="M58" i="10"/>
  <c r="Y123" i="13"/>
  <c r="Y121" i="13"/>
  <c r="Y117" i="13"/>
  <c r="Y119" i="13"/>
  <c r="Y58" i="14"/>
  <c r="Y119" i="15"/>
  <c r="Y123" i="15"/>
  <c r="Y117" i="15"/>
  <c r="Y121" i="15"/>
  <c r="Y58" i="12"/>
  <c r="Y62" i="13"/>
  <c r="M62" i="13" s="1"/>
  <c r="Y58" i="13"/>
  <c r="M58" i="13" s="1"/>
  <c r="Y60" i="13"/>
  <c r="M60" i="13" s="1"/>
  <c r="Y56" i="13"/>
  <c r="M56" i="13" s="1"/>
  <c r="M225" i="12"/>
  <c r="Y89" i="12"/>
  <c r="E190" i="3"/>
  <c r="A243" i="3"/>
  <c r="B242" i="3"/>
  <c r="A242" i="3"/>
  <c r="A241" i="3"/>
  <c r="B240" i="3"/>
  <c r="A240" i="3"/>
  <c r="A239" i="3"/>
  <c r="B238" i="3"/>
  <c r="A238" i="3"/>
  <c r="A237" i="3"/>
  <c r="B236" i="3"/>
  <c r="A236" i="3"/>
  <c r="A235" i="3"/>
  <c r="A234" i="3"/>
  <c r="A213" i="3"/>
  <c r="B212" i="3"/>
  <c r="A212" i="3"/>
  <c r="A211" i="3"/>
  <c r="B210" i="3"/>
  <c r="A210" i="3"/>
  <c r="A209" i="3"/>
  <c r="B208" i="3"/>
  <c r="A208" i="3"/>
  <c r="A207" i="3"/>
  <c r="B206" i="3"/>
  <c r="A206" i="3"/>
  <c r="A205" i="3"/>
  <c r="A204" i="3"/>
  <c r="A194" i="3"/>
  <c r="A193" i="3"/>
  <c r="A192" i="3"/>
  <c r="A191" i="3"/>
  <c r="A190" i="3"/>
  <c r="A189" i="3"/>
  <c r="A188" i="3"/>
  <c r="A187" i="3"/>
  <c r="A186" i="3"/>
  <c r="A185" i="3"/>
  <c r="A184" i="3"/>
  <c r="A183" i="3"/>
  <c r="A14" i="3"/>
  <c r="J317" i="3"/>
  <c r="J315" i="3"/>
  <c r="J313" i="3"/>
  <c r="J311" i="3"/>
  <c r="A348" i="3"/>
  <c r="E311" i="3"/>
  <c r="E351" i="3"/>
  <c r="E357" i="3" s="1"/>
  <c r="A358" i="3"/>
  <c r="B357" i="3"/>
  <c r="A357" i="3"/>
  <c r="A356" i="3"/>
  <c r="B355" i="3"/>
  <c r="A355" i="3"/>
  <c r="A354" i="3"/>
  <c r="B353" i="3"/>
  <c r="A353" i="3"/>
  <c r="A352" i="3"/>
  <c r="B351" i="3"/>
  <c r="A351" i="3"/>
  <c r="A350" i="3"/>
  <c r="A349" i="3"/>
  <c r="E341" i="3"/>
  <c r="E343" i="3" s="1"/>
  <c r="B347" i="3"/>
  <c r="A347" i="3"/>
  <c r="A346" i="3"/>
  <c r="B345" i="3"/>
  <c r="A345" i="3"/>
  <c r="A344" i="3"/>
  <c r="B343" i="3"/>
  <c r="A343" i="3"/>
  <c r="A342" i="3"/>
  <c r="B341" i="3"/>
  <c r="A341" i="3"/>
  <c r="A340" i="3"/>
  <c r="A339" i="3"/>
  <c r="E331" i="3"/>
  <c r="E321" i="3"/>
  <c r="E325" i="3" s="1"/>
  <c r="E152" i="3"/>
  <c r="A153" i="3"/>
  <c r="B152" i="3"/>
  <c r="A152" i="3"/>
  <c r="A151" i="3"/>
  <c r="A338" i="3"/>
  <c r="B337" i="3"/>
  <c r="A337" i="3"/>
  <c r="A336" i="3"/>
  <c r="B335" i="3"/>
  <c r="A335" i="3"/>
  <c r="A334" i="3"/>
  <c r="B333" i="3"/>
  <c r="A333" i="3"/>
  <c r="A332" i="3"/>
  <c r="B331" i="3"/>
  <c r="A331" i="3"/>
  <c r="A330" i="3"/>
  <c r="A329" i="3"/>
  <c r="A328" i="3"/>
  <c r="B327" i="3"/>
  <c r="A327" i="3"/>
  <c r="A326" i="3"/>
  <c r="B325" i="3"/>
  <c r="A325" i="3"/>
  <c r="A324" i="3"/>
  <c r="B323" i="3"/>
  <c r="A323" i="3"/>
  <c r="A322" i="3"/>
  <c r="B321" i="3"/>
  <c r="A321" i="3"/>
  <c r="A320" i="3"/>
  <c r="A319" i="3"/>
  <c r="A318" i="3"/>
  <c r="B317" i="3"/>
  <c r="A317" i="3"/>
  <c r="A316" i="3"/>
  <c r="B315" i="3"/>
  <c r="A315" i="3"/>
  <c r="A314" i="3"/>
  <c r="B313" i="3"/>
  <c r="A313" i="3"/>
  <c r="A312" i="3"/>
  <c r="B311" i="3"/>
  <c r="A311" i="3"/>
  <c r="A310" i="3"/>
  <c r="A309" i="3"/>
  <c r="A308" i="3"/>
  <c r="A307" i="3"/>
  <c r="A306" i="3"/>
  <c r="A305" i="3"/>
  <c r="A304" i="3"/>
  <c r="E175" i="3"/>
  <c r="E181" i="3" s="1"/>
  <c r="A182" i="3"/>
  <c r="B181" i="3"/>
  <c r="A181" i="3"/>
  <c r="A180" i="3"/>
  <c r="B179" i="3"/>
  <c r="A179" i="3"/>
  <c r="A178" i="3"/>
  <c r="E177" i="3"/>
  <c r="B177" i="3"/>
  <c r="A177" i="3"/>
  <c r="A176" i="3"/>
  <c r="B175" i="3"/>
  <c r="A175" i="3"/>
  <c r="A174" i="3"/>
  <c r="A173" i="3"/>
  <c r="E165" i="3"/>
  <c r="E171" i="3" s="1"/>
  <c r="A172" i="3"/>
  <c r="B171" i="3"/>
  <c r="A171" i="3"/>
  <c r="A170" i="3"/>
  <c r="B169" i="3"/>
  <c r="A169" i="3"/>
  <c r="A168" i="3"/>
  <c r="E167" i="3"/>
  <c r="B167" i="3"/>
  <c r="A167" i="3"/>
  <c r="A166" i="3"/>
  <c r="B165" i="3"/>
  <c r="A165" i="3"/>
  <c r="A164" i="3"/>
  <c r="A163" i="3"/>
  <c r="E155" i="3"/>
  <c r="E161" i="3" s="1"/>
  <c r="A162" i="3"/>
  <c r="B161" i="3"/>
  <c r="A161" i="3"/>
  <c r="A160" i="3"/>
  <c r="B159" i="3"/>
  <c r="A159" i="3"/>
  <c r="A158" i="3"/>
  <c r="E157" i="3"/>
  <c r="B157" i="3"/>
  <c r="A157" i="3"/>
  <c r="A156" i="3"/>
  <c r="B155" i="3"/>
  <c r="A155" i="3"/>
  <c r="A154" i="3"/>
  <c r="A150" i="3"/>
  <c r="A149" i="3"/>
  <c r="A148" i="3"/>
  <c r="A147" i="3"/>
  <c r="A146" i="3"/>
  <c r="A15" i="3"/>
  <c r="A13" i="3"/>
  <c r="A370" i="3"/>
  <c r="A369" i="3"/>
  <c r="A368" i="3"/>
  <c r="A367" i="3"/>
  <c r="A366" i="3"/>
  <c r="A365" i="3"/>
  <c r="A364" i="3"/>
  <c r="A363" i="3"/>
  <c r="A362" i="3"/>
  <c r="A361" i="3"/>
  <c r="A360" i="3"/>
  <c r="A359"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2" i="3"/>
  <c r="A11" i="3"/>
  <c r="A10" i="3"/>
  <c r="A9" i="3"/>
  <c r="A8" i="3"/>
  <c r="E137" i="3"/>
  <c r="E143" i="3" s="1"/>
  <c r="B143" i="3"/>
  <c r="B141" i="3"/>
  <c r="B139" i="3"/>
  <c r="B137" i="3"/>
  <c r="E133" i="3"/>
  <c r="E131" i="3"/>
  <c r="E129" i="3"/>
  <c r="E127" i="3"/>
  <c r="B133" i="3"/>
  <c r="B131" i="3"/>
  <c r="B129" i="3"/>
  <c r="B127" i="3"/>
  <c r="E464" i="2"/>
  <c r="E475" i="2" s="1"/>
  <c r="J476" i="2"/>
  <c r="H476" i="2"/>
  <c r="J475" i="2"/>
  <c r="H475" i="2"/>
  <c r="J474" i="2"/>
  <c r="H474" i="2"/>
  <c r="J473" i="2"/>
  <c r="H473" i="2"/>
  <c r="J472" i="2"/>
  <c r="H472" i="2"/>
  <c r="J471" i="2"/>
  <c r="H471" i="2"/>
  <c r="J470" i="2"/>
  <c r="H470" i="2"/>
  <c r="J469" i="2"/>
  <c r="H469" i="2"/>
  <c r="J468" i="2"/>
  <c r="H468" i="2"/>
  <c r="E468" i="2"/>
  <c r="J467" i="2"/>
  <c r="H467" i="2"/>
  <c r="J466" i="2"/>
  <c r="H466" i="2"/>
  <c r="J465" i="2"/>
  <c r="H465" i="2"/>
  <c r="E449" i="2"/>
  <c r="J461" i="2"/>
  <c r="H461" i="2"/>
  <c r="J460" i="2"/>
  <c r="H460" i="2"/>
  <c r="J459" i="2"/>
  <c r="H459" i="2"/>
  <c r="J458" i="2"/>
  <c r="H458" i="2"/>
  <c r="J457" i="2"/>
  <c r="H457" i="2"/>
  <c r="J456" i="2"/>
  <c r="H456" i="2"/>
  <c r="J455" i="2"/>
  <c r="H455" i="2"/>
  <c r="J454" i="2"/>
  <c r="H454" i="2"/>
  <c r="J453" i="2"/>
  <c r="H453" i="2"/>
  <c r="J452" i="2"/>
  <c r="H452" i="2"/>
  <c r="J451" i="2"/>
  <c r="H451" i="2"/>
  <c r="J450" i="2"/>
  <c r="H450" i="2"/>
  <c r="E117" i="3"/>
  <c r="E121" i="3" s="1"/>
  <c r="E105" i="3"/>
  <c r="E111" i="3" s="1"/>
  <c r="B123" i="3"/>
  <c r="B121" i="3"/>
  <c r="B119" i="3"/>
  <c r="J117" i="3"/>
  <c r="B117" i="3"/>
  <c r="J111" i="3"/>
  <c r="B111" i="3"/>
  <c r="J109" i="3"/>
  <c r="B109" i="3"/>
  <c r="J107" i="3"/>
  <c r="B107" i="3"/>
  <c r="J105" i="3"/>
  <c r="B105" i="3"/>
  <c r="E95" i="3"/>
  <c r="J101" i="3"/>
  <c r="B101" i="3"/>
  <c r="J99" i="3"/>
  <c r="E99" i="3"/>
  <c r="B99" i="3"/>
  <c r="J97" i="3"/>
  <c r="B97" i="3"/>
  <c r="J95" i="3"/>
  <c r="B95" i="3"/>
  <c r="E85" i="3"/>
  <c r="J91" i="3"/>
  <c r="B91" i="3"/>
  <c r="J89" i="3"/>
  <c r="B89" i="3"/>
  <c r="J87" i="3"/>
  <c r="B87" i="3"/>
  <c r="J85" i="3"/>
  <c r="E89" i="3"/>
  <c r="B85" i="3"/>
  <c r="E76" i="3"/>
  <c r="B82" i="3"/>
  <c r="B80" i="3"/>
  <c r="B78" i="3"/>
  <c r="B76" i="3"/>
  <c r="E66" i="3"/>
  <c r="B72" i="3"/>
  <c r="B70" i="3"/>
  <c r="B68" i="3"/>
  <c r="B66" i="3"/>
  <c r="E56" i="3"/>
  <c r="E62" i="3" s="1"/>
  <c r="J62" i="3"/>
  <c r="B62" i="3"/>
  <c r="J60" i="3"/>
  <c r="B60" i="3"/>
  <c r="J58" i="3"/>
  <c r="B58" i="3"/>
  <c r="J56" i="3"/>
  <c r="E60" i="3"/>
  <c r="B56" i="3"/>
  <c r="E46" i="3"/>
  <c r="E52" i="3" s="1"/>
  <c r="B52" i="3"/>
  <c r="B50" i="3"/>
  <c r="B48" i="3"/>
  <c r="B46" i="3"/>
  <c r="E36" i="3"/>
  <c r="J42" i="3"/>
  <c r="B42" i="3"/>
  <c r="J40" i="3"/>
  <c r="B40" i="3"/>
  <c r="J38" i="3"/>
  <c r="B38" i="3"/>
  <c r="J36" i="3"/>
  <c r="B36" i="3"/>
  <c r="E26" i="3"/>
  <c r="J32" i="3"/>
  <c r="B32" i="3"/>
  <c r="J30" i="3"/>
  <c r="B30" i="3"/>
  <c r="J28" i="3"/>
  <c r="B28" i="3"/>
  <c r="J26" i="3"/>
  <c r="B26" i="3"/>
  <c r="E227" i="2"/>
  <c r="E16" i="3"/>
  <c r="B22" i="3"/>
  <c r="B20" i="3"/>
  <c r="B18" i="3"/>
  <c r="B16" i="3"/>
  <c r="J16" i="3"/>
  <c r="M8" i="3"/>
  <c r="E8" i="2"/>
  <c r="E8" i="3"/>
  <c r="M1" i="3"/>
  <c r="G8" i="3"/>
  <c r="E445" i="2"/>
  <c r="E442" i="2"/>
  <c r="E439" i="2"/>
  <c r="E436" i="2"/>
  <c r="E433" i="2"/>
  <c r="E430" i="2"/>
  <c r="E427" i="2"/>
  <c r="E424" i="2"/>
  <c r="E421" i="2"/>
  <c r="E404" i="2"/>
  <c r="E412" i="2" s="1"/>
  <c r="E401" i="2"/>
  <c r="J416" i="2"/>
  <c r="H416" i="2"/>
  <c r="J415" i="2"/>
  <c r="H415" i="2"/>
  <c r="J414" i="2"/>
  <c r="H414" i="2"/>
  <c r="J413" i="2"/>
  <c r="H413" i="2"/>
  <c r="J412" i="2"/>
  <c r="H412" i="2"/>
  <c r="J411" i="2"/>
  <c r="H411" i="2"/>
  <c r="J410" i="2"/>
  <c r="H410" i="2"/>
  <c r="J409" i="2"/>
  <c r="H409" i="2"/>
  <c r="J408" i="2"/>
  <c r="H408" i="2"/>
  <c r="J407" i="2"/>
  <c r="H407" i="2"/>
  <c r="J406" i="2"/>
  <c r="H406" i="2"/>
  <c r="J405" i="2"/>
  <c r="H405" i="2"/>
  <c r="E386" i="2"/>
  <c r="E391" i="2" s="1"/>
  <c r="E383" i="2"/>
  <c r="J398" i="2"/>
  <c r="H398" i="2"/>
  <c r="J397" i="2"/>
  <c r="H397" i="2"/>
  <c r="J396" i="2"/>
  <c r="H396" i="2"/>
  <c r="J395" i="2"/>
  <c r="H395" i="2"/>
  <c r="J394" i="2"/>
  <c r="H394" i="2"/>
  <c r="J393" i="2"/>
  <c r="H393" i="2"/>
  <c r="J392" i="2"/>
  <c r="H392" i="2"/>
  <c r="J391" i="2"/>
  <c r="H391" i="2"/>
  <c r="J390" i="2"/>
  <c r="H390" i="2"/>
  <c r="J389" i="2"/>
  <c r="H389" i="2"/>
  <c r="J388" i="2"/>
  <c r="H388" i="2"/>
  <c r="J387" i="2"/>
  <c r="H387" i="2"/>
  <c r="H368" i="2"/>
  <c r="H315" i="2"/>
  <c r="E368" i="2"/>
  <c r="E378" i="2" s="1"/>
  <c r="E353" i="2"/>
  <c r="J380" i="2"/>
  <c r="H380" i="2"/>
  <c r="J379" i="2"/>
  <c r="H379" i="2"/>
  <c r="J378" i="2"/>
  <c r="H378" i="2"/>
  <c r="J377" i="2"/>
  <c r="H377" i="2"/>
  <c r="J376" i="2"/>
  <c r="H376" i="2"/>
  <c r="J375" i="2"/>
  <c r="H375" i="2"/>
  <c r="J374" i="2"/>
  <c r="H374" i="2"/>
  <c r="J373" i="2"/>
  <c r="H373" i="2"/>
  <c r="J372" i="2"/>
  <c r="H372" i="2"/>
  <c r="J371" i="2"/>
  <c r="H371" i="2"/>
  <c r="J370" i="2"/>
  <c r="H370" i="2"/>
  <c r="J369" i="2"/>
  <c r="H369" i="2"/>
  <c r="E350" i="2"/>
  <c r="J365" i="2"/>
  <c r="H365" i="2"/>
  <c r="J364" i="2"/>
  <c r="H364" i="2"/>
  <c r="J363" i="2"/>
  <c r="H363" i="2"/>
  <c r="J362" i="2"/>
  <c r="H362" i="2"/>
  <c r="J361" i="2"/>
  <c r="H361" i="2"/>
  <c r="J360" i="2"/>
  <c r="H360" i="2"/>
  <c r="J359" i="2"/>
  <c r="H359" i="2"/>
  <c r="J358" i="2"/>
  <c r="H358" i="2"/>
  <c r="J357" i="2"/>
  <c r="H357" i="2"/>
  <c r="J356" i="2"/>
  <c r="H356" i="2"/>
  <c r="J355" i="2"/>
  <c r="H355" i="2"/>
  <c r="J354" i="2"/>
  <c r="H354" i="2"/>
  <c r="E335" i="2"/>
  <c r="E344" i="2" s="1"/>
  <c r="E332" i="2"/>
  <c r="E331" i="2"/>
  <c r="E330" i="2"/>
  <c r="J347" i="2"/>
  <c r="H347" i="2"/>
  <c r="J346" i="2"/>
  <c r="H346" i="2"/>
  <c r="J345" i="2"/>
  <c r="H345" i="2"/>
  <c r="J344" i="2"/>
  <c r="H344" i="2"/>
  <c r="J343" i="2"/>
  <c r="H343" i="2"/>
  <c r="J342" i="2"/>
  <c r="H342" i="2"/>
  <c r="J341" i="2"/>
  <c r="H341" i="2"/>
  <c r="J340" i="2"/>
  <c r="H340" i="2"/>
  <c r="J339" i="2"/>
  <c r="H339" i="2"/>
  <c r="J338" i="2"/>
  <c r="H338" i="2"/>
  <c r="J337" i="2"/>
  <c r="H337" i="2"/>
  <c r="J336" i="2"/>
  <c r="H336" i="2"/>
  <c r="E315" i="2"/>
  <c r="E320" i="2" s="1"/>
  <c r="E300" i="2"/>
  <c r="E312" i="2" s="1"/>
  <c r="E285" i="2"/>
  <c r="E288" i="2" s="1"/>
  <c r="J297" i="2"/>
  <c r="H297" i="2"/>
  <c r="J296" i="2"/>
  <c r="H296" i="2"/>
  <c r="J295" i="2"/>
  <c r="H295" i="2"/>
  <c r="J294" i="2"/>
  <c r="H294" i="2"/>
  <c r="J293" i="2"/>
  <c r="H293" i="2"/>
  <c r="J292" i="2"/>
  <c r="H292" i="2"/>
  <c r="J291" i="2"/>
  <c r="H291" i="2"/>
  <c r="J290" i="2"/>
  <c r="H290" i="2"/>
  <c r="J289" i="2"/>
  <c r="H289" i="2"/>
  <c r="J288" i="2"/>
  <c r="H288" i="2"/>
  <c r="J287" i="2"/>
  <c r="H287" i="2"/>
  <c r="J286" i="2"/>
  <c r="H286" i="2"/>
  <c r="J282" i="2"/>
  <c r="E282" i="2"/>
  <c r="E281" i="2"/>
  <c r="E280" i="2"/>
  <c r="J327" i="2"/>
  <c r="H327" i="2"/>
  <c r="J326" i="2"/>
  <c r="H326" i="2"/>
  <c r="J325" i="2"/>
  <c r="H325" i="2"/>
  <c r="J324" i="2"/>
  <c r="H324" i="2"/>
  <c r="J323" i="2"/>
  <c r="H323" i="2"/>
  <c r="J322" i="2"/>
  <c r="H322" i="2"/>
  <c r="J321" i="2"/>
  <c r="H321" i="2"/>
  <c r="J320" i="2"/>
  <c r="H320" i="2"/>
  <c r="J319" i="2"/>
  <c r="H319" i="2"/>
  <c r="J318" i="2"/>
  <c r="H318" i="2"/>
  <c r="J317" i="2"/>
  <c r="H317" i="2"/>
  <c r="J316" i="2"/>
  <c r="H316" i="2"/>
  <c r="J312" i="2"/>
  <c r="H312" i="2"/>
  <c r="J311" i="2"/>
  <c r="H311" i="2"/>
  <c r="J310" i="2"/>
  <c r="H310" i="2"/>
  <c r="J309" i="2"/>
  <c r="H309" i="2"/>
  <c r="J308" i="2"/>
  <c r="H308" i="2"/>
  <c r="J307" i="2"/>
  <c r="H307" i="2"/>
  <c r="J306" i="2"/>
  <c r="H306" i="2"/>
  <c r="J305" i="2"/>
  <c r="H305" i="2"/>
  <c r="J304" i="2"/>
  <c r="H304" i="2"/>
  <c r="J303" i="2"/>
  <c r="H303" i="2"/>
  <c r="J302" i="2"/>
  <c r="H302" i="2"/>
  <c r="J301" i="2"/>
  <c r="H301" i="2"/>
  <c r="B107" i="4"/>
  <c r="B106" i="4"/>
  <c r="G39" i="17" s="1"/>
  <c r="B105" i="4"/>
  <c r="B104" i="4"/>
  <c r="B103" i="4"/>
  <c r="B102" i="4"/>
  <c r="B101" i="4"/>
  <c r="G206" i="3" s="1"/>
  <c r="B100" i="4"/>
  <c r="B99" i="4"/>
  <c r="B98" i="4"/>
  <c r="B97" i="4"/>
  <c r="B96" i="4"/>
  <c r="B95" i="4"/>
  <c r="B94" i="4"/>
  <c r="B93" i="4"/>
  <c r="B92" i="4"/>
  <c r="B91" i="4"/>
  <c r="B90" i="4"/>
  <c r="B89" i="4"/>
  <c r="B88" i="4"/>
  <c r="B87" i="4"/>
  <c r="B86" i="4"/>
  <c r="B85" i="4"/>
  <c r="B84" i="4"/>
  <c r="B83" i="4"/>
  <c r="B82" i="4"/>
  <c r="B81" i="4"/>
  <c r="B80" i="4"/>
  <c r="B79" i="4"/>
  <c r="B78" i="4"/>
  <c r="B77" i="4"/>
  <c r="B76" i="4"/>
  <c r="B75" i="4"/>
  <c r="B74" i="4"/>
  <c r="B73" i="4"/>
  <c r="B72" i="4"/>
  <c r="B71" i="4"/>
  <c r="B70" i="4"/>
  <c r="B69" i="4"/>
  <c r="B68" i="4"/>
  <c r="B67" i="4"/>
  <c r="B66" i="4"/>
  <c r="B65" i="4"/>
  <c r="B64" i="4"/>
  <c r="B63" i="4"/>
  <c r="B62" i="4"/>
  <c r="B61" i="4"/>
  <c r="B60" i="4"/>
  <c r="B59" i="4"/>
  <c r="B58" i="4"/>
  <c r="B57" i="4"/>
  <c r="B56" i="4"/>
  <c r="B55" i="4"/>
  <c r="B54" i="4"/>
  <c r="B53" i="4"/>
  <c r="B52" i="4"/>
  <c r="B51" i="4"/>
  <c r="B50" i="4"/>
  <c r="E265" i="2"/>
  <c r="E276" i="2" s="1"/>
  <c r="J277" i="2"/>
  <c r="H277" i="2"/>
  <c r="J276" i="2"/>
  <c r="H276" i="2"/>
  <c r="J275" i="2"/>
  <c r="H275" i="2"/>
  <c r="J274" i="2"/>
  <c r="H274" i="2"/>
  <c r="J273" i="2"/>
  <c r="H273" i="2"/>
  <c r="J272" i="2"/>
  <c r="H272" i="2"/>
  <c r="J271" i="2"/>
  <c r="H271" i="2"/>
  <c r="J270" i="2"/>
  <c r="H270" i="2"/>
  <c r="J269" i="2"/>
  <c r="H269" i="2"/>
  <c r="J268" i="2"/>
  <c r="H268" i="2"/>
  <c r="J267" i="2"/>
  <c r="H267" i="2"/>
  <c r="J266" i="2"/>
  <c r="H266" i="2"/>
  <c r="E250" i="2"/>
  <c r="E260" i="2" s="1"/>
  <c r="E247" i="2"/>
  <c r="J262" i="2"/>
  <c r="H262" i="2"/>
  <c r="J261" i="2"/>
  <c r="H261" i="2"/>
  <c r="J260" i="2"/>
  <c r="H260" i="2"/>
  <c r="J259" i="2"/>
  <c r="H259" i="2"/>
  <c r="J258" i="2"/>
  <c r="H258" i="2"/>
  <c r="J257" i="2"/>
  <c r="H257" i="2"/>
  <c r="J256" i="2"/>
  <c r="H256" i="2"/>
  <c r="J255" i="2"/>
  <c r="H255" i="2"/>
  <c r="J254" i="2"/>
  <c r="H254" i="2"/>
  <c r="J253" i="2"/>
  <c r="H253" i="2"/>
  <c r="J252" i="2"/>
  <c r="H252" i="2"/>
  <c r="J251" i="2"/>
  <c r="H251" i="2"/>
  <c r="E471" i="2" l="1"/>
  <c r="E473" i="2"/>
  <c r="M58" i="14"/>
  <c r="M58" i="12"/>
  <c r="G152" i="20"/>
  <c r="G152" i="19"/>
  <c r="G152" i="18"/>
  <c r="G107" i="21"/>
  <c r="G41" i="21"/>
  <c r="G171" i="18"/>
  <c r="G165" i="20"/>
  <c r="G165" i="19"/>
  <c r="G165" i="18"/>
  <c r="G169" i="19"/>
  <c r="G171" i="19"/>
  <c r="G169" i="18"/>
  <c r="G167" i="20"/>
  <c r="G167" i="18"/>
  <c r="G167" i="19"/>
  <c r="G171" i="20"/>
  <c r="G169" i="20"/>
  <c r="G125" i="21"/>
  <c r="G137" i="21"/>
  <c r="G132" i="21"/>
  <c r="G133" i="21"/>
  <c r="G126" i="21"/>
  <c r="G135" i="21"/>
  <c r="G134" i="21"/>
  <c r="G136" i="21"/>
  <c r="G130" i="21"/>
  <c r="G129" i="21"/>
  <c r="G128" i="21"/>
  <c r="G131" i="21"/>
  <c r="G127" i="21"/>
  <c r="G62" i="21"/>
  <c r="G59" i="21"/>
  <c r="G71" i="21"/>
  <c r="G68" i="21"/>
  <c r="G63" i="21"/>
  <c r="G67" i="21"/>
  <c r="G66" i="21"/>
  <c r="G70" i="21"/>
  <c r="G60" i="21"/>
  <c r="G61" i="21"/>
  <c r="G65" i="21"/>
  <c r="G64" i="21"/>
  <c r="G69" i="21"/>
  <c r="G36" i="18"/>
  <c r="G40" i="19"/>
  <c r="G38" i="18"/>
  <c r="G40" i="20"/>
  <c r="G36" i="19"/>
  <c r="G42" i="20"/>
  <c r="G40" i="18"/>
  <c r="G36" i="20"/>
  <c r="G42" i="18"/>
  <c r="G38" i="19"/>
  <c r="G42" i="19"/>
  <c r="G38" i="20"/>
  <c r="G117" i="20"/>
  <c r="G119" i="20"/>
  <c r="G123" i="20"/>
  <c r="G117" i="18"/>
  <c r="G117" i="19"/>
  <c r="G119" i="19"/>
  <c r="G121" i="19"/>
  <c r="G121" i="18"/>
  <c r="G121" i="20"/>
  <c r="G123" i="19"/>
  <c r="G119" i="18"/>
  <c r="G123" i="18"/>
  <c r="G202" i="19"/>
  <c r="G196" i="19"/>
  <c r="G202" i="20"/>
  <c r="G196" i="20"/>
  <c r="G196" i="18"/>
  <c r="G202" i="18"/>
  <c r="G198" i="19"/>
  <c r="G198" i="20"/>
  <c r="G198" i="18"/>
  <c r="G200" i="18"/>
  <c r="G200" i="20"/>
  <c r="G200" i="19"/>
  <c r="G155" i="19"/>
  <c r="G155" i="18"/>
  <c r="G157" i="18"/>
  <c r="G157" i="19"/>
  <c r="G161" i="20"/>
  <c r="G155" i="20"/>
  <c r="G159" i="20"/>
  <c r="G161" i="19"/>
  <c r="G157" i="20"/>
  <c r="G159" i="19"/>
  <c r="G159" i="18"/>
  <c r="G161" i="18"/>
  <c r="G16" i="20"/>
  <c r="G16" i="19"/>
  <c r="G20" i="20"/>
  <c r="G16" i="18"/>
  <c r="G18" i="19"/>
  <c r="G20" i="19"/>
  <c r="G20" i="18"/>
  <c r="G22" i="19"/>
  <c r="G18" i="18"/>
  <c r="G18" i="20"/>
  <c r="G22" i="18"/>
  <c r="G22" i="20"/>
  <c r="G258" i="15"/>
  <c r="G260" i="11"/>
  <c r="G256" i="20"/>
  <c r="G262" i="19"/>
  <c r="G256" i="15"/>
  <c r="G262" i="13"/>
  <c r="G256" i="18"/>
  <c r="G262" i="20"/>
  <c r="G256" i="11"/>
  <c r="G256" i="19"/>
  <c r="G256" i="13"/>
  <c r="G262" i="18"/>
  <c r="G260" i="15"/>
  <c r="G258" i="11"/>
  <c r="G260" i="20"/>
  <c r="G258" i="19"/>
  <c r="G258" i="13"/>
  <c r="G298" i="3"/>
  <c r="G296" i="3"/>
  <c r="G260" i="19"/>
  <c r="G258" i="18"/>
  <c r="G260" i="13"/>
  <c r="G262" i="11"/>
  <c r="G260" i="18"/>
  <c r="G262" i="15"/>
  <c r="G258" i="20"/>
  <c r="G302" i="3"/>
  <c r="G300" i="3"/>
  <c r="G85" i="18"/>
  <c r="G87" i="20"/>
  <c r="G85" i="19"/>
  <c r="G89" i="18"/>
  <c r="G85" i="20"/>
  <c r="G87" i="18"/>
  <c r="G89" i="20"/>
  <c r="G91" i="18"/>
  <c r="G87" i="19"/>
  <c r="G91" i="19"/>
  <c r="G91" i="20"/>
  <c r="G89" i="19"/>
  <c r="G190" i="18"/>
  <c r="G190" i="20"/>
  <c r="G190" i="19"/>
  <c r="G193" i="19"/>
  <c r="G193" i="20"/>
  <c r="G50" i="17"/>
  <c r="G193" i="18"/>
  <c r="G56" i="19"/>
  <c r="G60" i="18"/>
  <c r="G62" i="19"/>
  <c r="G58" i="20"/>
  <c r="G60" i="19"/>
  <c r="G56" i="18"/>
  <c r="G58" i="18"/>
  <c r="G56" i="20"/>
  <c r="G58" i="19"/>
  <c r="G60" i="20"/>
  <c r="G62" i="20"/>
  <c r="G62" i="18"/>
  <c r="G127" i="19"/>
  <c r="G127" i="20"/>
  <c r="G127" i="18"/>
  <c r="G216" i="18"/>
  <c r="G216" i="19"/>
  <c r="G222" i="20"/>
  <c r="G222" i="19"/>
  <c r="G216" i="20"/>
  <c r="G222" i="18"/>
  <c r="G218" i="18"/>
  <c r="G220" i="18"/>
  <c r="G218" i="20"/>
  <c r="G218" i="19"/>
  <c r="G220" i="19"/>
  <c r="G220" i="20"/>
  <c r="E380" i="2"/>
  <c r="G92" i="21"/>
  <c r="G93" i="21"/>
  <c r="G104" i="21"/>
  <c r="G96" i="21"/>
  <c r="G99" i="21"/>
  <c r="G98" i="21"/>
  <c r="G97" i="21"/>
  <c r="G100" i="21"/>
  <c r="G101" i="21"/>
  <c r="G94" i="21"/>
  <c r="G102" i="21"/>
  <c r="G103" i="21"/>
  <c r="G95" i="21"/>
  <c r="G26" i="21"/>
  <c r="G32" i="21"/>
  <c r="G33" i="21"/>
  <c r="G37" i="21"/>
  <c r="G31" i="21"/>
  <c r="G27" i="21"/>
  <c r="G28" i="21"/>
  <c r="G29" i="21"/>
  <c r="G35" i="21"/>
  <c r="G36" i="21"/>
  <c r="G30" i="21"/>
  <c r="G38" i="21"/>
  <c r="G34" i="21"/>
  <c r="G99" i="18"/>
  <c r="G95" i="20"/>
  <c r="G95" i="19"/>
  <c r="G95" i="18"/>
  <c r="G99" i="20"/>
  <c r="G97" i="19"/>
  <c r="G101" i="20"/>
  <c r="G101" i="19"/>
  <c r="G97" i="18"/>
  <c r="G99" i="19"/>
  <c r="G97" i="20"/>
  <c r="G101" i="18"/>
  <c r="G105" i="20"/>
  <c r="G105" i="19"/>
  <c r="G105" i="18"/>
  <c r="G109" i="18"/>
  <c r="G111" i="20"/>
  <c r="G109" i="19"/>
  <c r="G111" i="19"/>
  <c r="G107" i="20"/>
  <c r="G109" i="20"/>
  <c r="G111" i="18"/>
  <c r="G107" i="18"/>
  <c r="G107" i="19"/>
  <c r="G206" i="19"/>
  <c r="G206" i="18"/>
  <c r="G206" i="20"/>
  <c r="G208" i="18"/>
  <c r="G212" i="19"/>
  <c r="G208" i="19"/>
  <c r="G208" i="20"/>
  <c r="G210" i="20"/>
  <c r="G210" i="18"/>
  <c r="G210" i="19"/>
  <c r="G212" i="20"/>
  <c r="G212" i="18"/>
  <c r="G72" i="20"/>
  <c r="G68" i="20"/>
  <c r="G70" i="19"/>
  <c r="G70" i="18"/>
  <c r="G70" i="20"/>
  <c r="G66" i="18"/>
  <c r="G66" i="19"/>
  <c r="G66" i="20"/>
  <c r="G72" i="18"/>
  <c r="G68" i="19"/>
  <c r="G68" i="18"/>
  <c r="G72" i="19"/>
  <c r="G131" i="20"/>
  <c r="G133" i="20"/>
  <c r="G129" i="19"/>
  <c r="G131" i="18"/>
  <c r="G131" i="19"/>
  <c r="G129" i="18"/>
  <c r="G133" i="18"/>
  <c r="G129" i="20"/>
  <c r="G133" i="19"/>
  <c r="G226" i="20"/>
  <c r="G226" i="18"/>
  <c r="G228" i="19"/>
  <c r="G226" i="19"/>
  <c r="G232" i="19"/>
  <c r="G228" i="18"/>
  <c r="G232" i="18"/>
  <c r="G230" i="20"/>
  <c r="G228" i="20"/>
  <c r="G230" i="19"/>
  <c r="G230" i="18"/>
  <c r="G232" i="20"/>
  <c r="G248" i="19"/>
  <c r="G248" i="18"/>
  <c r="G246" i="20"/>
  <c r="G246" i="19"/>
  <c r="G246" i="18"/>
  <c r="G248" i="20"/>
  <c r="G252" i="20"/>
  <c r="G252" i="18"/>
  <c r="G250" i="20"/>
  <c r="G250" i="18"/>
  <c r="G250" i="19"/>
  <c r="G252" i="19"/>
  <c r="G112" i="21"/>
  <c r="G110" i="21"/>
  <c r="G116" i="21"/>
  <c r="G122" i="21"/>
  <c r="G117" i="21"/>
  <c r="G115" i="21"/>
  <c r="G118" i="21"/>
  <c r="G121" i="21"/>
  <c r="G113" i="21"/>
  <c r="G114" i="21"/>
  <c r="G111" i="21"/>
  <c r="G120" i="21"/>
  <c r="G119" i="21"/>
  <c r="G44" i="21"/>
  <c r="G56" i="21"/>
  <c r="G45" i="21"/>
  <c r="G46" i="21"/>
  <c r="G48" i="21"/>
  <c r="G52" i="21"/>
  <c r="G53" i="21"/>
  <c r="G54" i="21"/>
  <c r="G55" i="21"/>
  <c r="G51" i="21"/>
  <c r="G47" i="21"/>
  <c r="G50" i="21"/>
  <c r="G49" i="21"/>
  <c r="G30" i="19"/>
  <c r="G26" i="18"/>
  <c r="G26" i="19"/>
  <c r="G30" i="18"/>
  <c r="G28" i="19"/>
  <c r="G32" i="18"/>
  <c r="G26" i="20"/>
  <c r="G28" i="18"/>
  <c r="G28" i="20"/>
  <c r="G32" i="19"/>
  <c r="G32" i="20"/>
  <c r="G30" i="20"/>
  <c r="G177" i="18"/>
  <c r="G175" i="20"/>
  <c r="G175" i="18"/>
  <c r="G175" i="19"/>
  <c r="G179" i="20"/>
  <c r="G181" i="20"/>
  <c r="G177" i="20"/>
  <c r="G179" i="18"/>
  <c r="G177" i="19"/>
  <c r="G179" i="19"/>
  <c r="G181" i="19"/>
  <c r="G181" i="18"/>
  <c r="G46" i="20"/>
  <c r="G48" i="18"/>
  <c r="G50" i="19"/>
  <c r="G48" i="20"/>
  <c r="G50" i="18"/>
  <c r="G50" i="20"/>
  <c r="G52" i="18"/>
  <c r="G46" i="19"/>
  <c r="G52" i="20"/>
  <c r="G46" i="18"/>
  <c r="G48" i="19"/>
  <c r="G52" i="19"/>
  <c r="G82" i="19"/>
  <c r="G76" i="18"/>
  <c r="G76" i="20"/>
  <c r="G80" i="18"/>
  <c r="G76" i="19"/>
  <c r="G82" i="20"/>
  <c r="G78" i="19"/>
  <c r="G80" i="20"/>
  <c r="G82" i="18"/>
  <c r="G78" i="18"/>
  <c r="G80" i="19"/>
  <c r="G78" i="20"/>
  <c r="G137" i="20"/>
  <c r="G143" i="19"/>
  <c r="G141" i="20"/>
  <c r="G137" i="18"/>
  <c r="G137" i="19"/>
  <c r="G141" i="18"/>
  <c r="G143" i="18"/>
  <c r="G141" i="19"/>
  <c r="G139" i="20"/>
  <c r="G139" i="19"/>
  <c r="G143" i="20"/>
  <c r="G139" i="18"/>
  <c r="G236" i="18"/>
  <c r="G242" i="19"/>
  <c r="G242" i="20"/>
  <c r="G236" i="19"/>
  <c r="G236" i="20"/>
  <c r="G240" i="18"/>
  <c r="G238" i="18"/>
  <c r="G238" i="20"/>
  <c r="G238" i="19"/>
  <c r="G240" i="20"/>
  <c r="G240" i="19"/>
  <c r="G242" i="18"/>
  <c r="G260" i="12"/>
  <c r="G269" i="10"/>
  <c r="G261" i="14"/>
  <c r="G260" i="14"/>
  <c r="G265" i="14"/>
  <c r="G268" i="12"/>
  <c r="G263" i="14"/>
  <c r="G269" i="14"/>
  <c r="G271" i="12"/>
  <c r="G271" i="14"/>
  <c r="G260" i="10"/>
  <c r="G262" i="10"/>
  <c r="G262" i="14"/>
  <c r="G265" i="10"/>
  <c r="G263" i="10"/>
  <c r="G262" i="12"/>
  <c r="G264" i="12"/>
  <c r="G268" i="10"/>
  <c r="G270" i="10"/>
  <c r="G265" i="12"/>
  <c r="G268" i="14"/>
  <c r="G264" i="10"/>
  <c r="G267" i="10"/>
  <c r="G269" i="12"/>
  <c r="G264" i="14"/>
  <c r="G261" i="10"/>
  <c r="G266" i="14"/>
  <c r="G266" i="10"/>
  <c r="G263" i="12"/>
  <c r="G270" i="12"/>
  <c r="G271" i="10"/>
  <c r="G272" i="10"/>
  <c r="G272" i="12"/>
  <c r="G266" i="12"/>
  <c r="G272" i="14"/>
  <c r="G261" i="12"/>
  <c r="G267" i="14"/>
  <c r="G270" i="14"/>
  <c r="G267" i="12"/>
  <c r="G358" i="10"/>
  <c r="G358" i="14"/>
  <c r="G358" i="12"/>
  <c r="G85" i="13"/>
  <c r="G91" i="15"/>
  <c r="G87" i="13"/>
  <c r="G85" i="15"/>
  <c r="G85" i="11"/>
  <c r="G87" i="15"/>
  <c r="G91" i="13"/>
  <c r="G89" i="13"/>
  <c r="G89" i="15"/>
  <c r="G91" i="11"/>
  <c r="G87" i="11"/>
  <c r="G89" i="11"/>
  <c r="G159" i="15"/>
  <c r="G155" i="15"/>
  <c r="G161" i="15"/>
  <c r="G159" i="13"/>
  <c r="G155" i="13"/>
  <c r="G155" i="11"/>
  <c r="G157" i="11"/>
  <c r="G161" i="13"/>
  <c r="G157" i="13"/>
  <c r="G161" i="11"/>
  <c r="G157" i="15"/>
  <c r="G159" i="11"/>
  <c r="G63" i="17"/>
  <c r="G69" i="17"/>
  <c r="G65" i="17"/>
  <c r="G67" i="17"/>
  <c r="G206" i="13"/>
  <c r="G206" i="15"/>
  <c r="G206" i="11"/>
  <c r="G212" i="13"/>
  <c r="G212" i="15"/>
  <c r="G210" i="11"/>
  <c r="G212" i="11"/>
  <c r="G208" i="13"/>
  <c r="G210" i="15"/>
  <c r="G210" i="13"/>
  <c r="G208" i="15"/>
  <c r="G208" i="11"/>
  <c r="G121" i="3"/>
  <c r="G473" i="2"/>
  <c r="G155" i="3"/>
  <c r="G157" i="3"/>
  <c r="G161" i="3"/>
  <c r="G206" i="10"/>
  <c r="G206" i="12"/>
  <c r="G206" i="14"/>
  <c r="G225" i="10"/>
  <c r="G229" i="14"/>
  <c r="G225" i="12"/>
  <c r="G229" i="12"/>
  <c r="G226" i="10"/>
  <c r="G225" i="14"/>
  <c r="G227" i="10"/>
  <c r="G232" i="10"/>
  <c r="G237" i="12"/>
  <c r="G227" i="12"/>
  <c r="G235" i="14"/>
  <c r="G226" i="12"/>
  <c r="G228" i="12"/>
  <c r="G236" i="14"/>
  <c r="G236" i="10"/>
  <c r="G227" i="14"/>
  <c r="G237" i="14"/>
  <c r="G235" i="10"/>
  <c r="G231" i="10"/>
  <c r="G235" i="12"/>
  <c r="G230" i="14"/>
  <c r="G231" i="14"/>
  <c r="G234" i="12"/>
  <c r="G229" i="10"/>
  <c r="G232" i="14"/>
  <c r="G233" i="12"/>
  <c r="G231" i="12"/>
  <c r="G228" i="10"/>
  <c r="G230" i="12"/>
  <c r="G228" i="14"/>
  <c r="G230" i="10"/>
  <c r="G226" i="14"/>
  <c r="G233" i="10"/>
  <c r="G234" i="14"/>
  <c r="G236" i="12"/>
  <c r="G232" i="12"/>
  <c r="G234" i="10"/>
  <c r="G233" i="14"/>
  <c r="G237" i="10"/>
  <c r="G257" i="14"/>
  <c r="G257" i="12"/>
  <c r="G257" i="10"/>
  <c r="G293" i="10"/>
  <c r="G305" i="12"/>
  <c r="G293" i="12"/>
  <c r="G299" i="10"/>
  <c r="G297" i="10"/>
  <c r="G303" i="10"/>
  <c r="G295" i="10"/>
  <c r="G302" i="10"/>
  <c r="G305" i="10"/>
  <c r="G293" i="14"/>
  <c r="G302" i="12"/>
  <c r="G299" i="14"/>
  <c r="G301" i="12"/>
  <c r="G303" i="14"/>
  <c r="G300" i="12"/>
  <c r="G301" i="14"/>
  <c r="G298" i="10"/>
  <c r="G304" i="10"/>
  <c r="G303" i="12"/>
  <c r="G300" i="14"/>
  <c r="G298" i="12"/>
  <c r="G301" i="10"/>
  <c r="G294" i="10"/>
  <c r="G297" i="12"/>
  <c r="G296" i="12"/>
  <c r="G299" i="12"/>
  <c r="G297" i="14"/>
  <c r="G295" i="12"/>
  <c r="G294" i="12"/>
  <c r="G294" i="14"/>
  <c r="G298" i="14"/>
  <c r="G300" i="10"/>
  <c r="G296" i="14"/>
  <c r="G305" i="14"/>
  <c r="G302" i="14"/>
  <c r="G296" i="10"/>
  <c r="G295" i="14"/>
  <c r="G304" i="12"/>
  <c r="G304" i="14"/>
  <c r="G329" i="12"/>
  <c r="G330" i="12"/>
  <c r="G329" i="10"/>
  <c r="G330" i="10"/>
  <c r="G331" i="14"/>
  <c r="G330" i="14"/>
  <c r="G329" i="14"/>
  <c r="G333" i="10"/>
  <c r="G337" i="10"/>
  <c r="G341" i="10"/>
  <c r="G332" i="10"/>
  <c r="G339" i="10"/>
  <c r="G337" i="14"/>
  <c r="G336" i="12"/>
  <c r="G337" i="12"/>
  <c r="G338" i="12"/>
  <c r="G333" i="14"/>
  <c r="G331" i="10"/>
  <c r="G339" i="12"/>
  <c r="G340" i="12"/>
  <c r="G332" i="14"/>
  <c r="G335" i="12"/>
  <c r="G341" i="14"/>
  <c r="G334" i="10"/>
  <c r="G341" i="12"/>
  <c r="G334" i="14"/>
  <c r="G336" i="14"/>
  <c r="G336" i="10"/>
  <c r="G335" i="14"/>
  <c r="G332" i="12"/>
  <c r="G340" i="10"/>
  <c r="G338" i="14"/>
  <c r="G338" i="10"/>
  <c r="G340" i="14"/>
  <c r="G331" i="12"/>
  <c r="G339" i="14"/>
  <c r="G335" i="10"/>
  <c r="G333" i="12"/>
  <c r="G334" i="12"/>
  <c r="G355" i="14"/>
  <c r="G355" i="12"/>
  <c r="G355" i="10"/>
  <c r="G367" i="12"/>
  <c r="G367" i="10"/>
  <c r="G367" i="14"/>
  <c r="G36" i="13"/>
  <c r="G40" i="15"/>
  <c r="G38" i="15"/>
  <c r="G36" i="11"/>
  <c r="G36" i="15"/>
  <c r="G42" i="11"/>
  <c r="G42" i="13"/>
  <c r="G38" i="13"/>
  <c r="G40" i="13"/>
  <c r="G40" i="11"/>
  <c r="G38" i="11"/>
  <c r="G42" i="15"/>
  <c r="G78" i="11"/>
  <c r="G76" i="11"/>
  <c r="G82" i="15"/>
  <c r="G76" i="13"/>
  <c r="G80" i="15"/>
  <c r="G76" i="15"/>
  <c r="G78" i="13"/>
  <c r="G78" i="15"/>
  <c r="G82" i="11"/>
  <c r="G82" i="13"/>
  <c r="G80" i="11"/>
  <c r="G80" i="13"/>
  <c r="G117" i="11"/>
  <c r="G117" i="15"/>
  <c r="G375" i="10"/>
  <c r="G119" i="15"/>
  <c r="G374" i="12"/>
  <c r="G119" i="13"/>
  <c r="G378" i="10"/>
  <c r="G121" i="15"/>
  <c r="G374" i="14"/>
  <c r="G123" i="13"/>
  <c r="G117" i="13"/>
  <c r="G119" i="11"/>
  <c r="G377" i="10"/>
  <c r="G377" i="12"/>
  <c r="G121" i="11"/>
  <c r="G123" i="11"/>
  <c r="G123" i="15"/>
  <c r="G375" i="12"/>
  <c r="G383" i="14"/>
  <c r="G374" i="10"/>
  <c r="G121" i="13"/>
  <c r="G380" i="12"/>
  <c r="G378" i="14"/>
  <c r="G385" i="14"/>
  <c r="G385" i="10"/>
  <c r="G377" i="14"/>
  <c r="G382" i="14"/>
  <c r="G385" i="12"/>
  <c r="G383" i="10"/>
  <c r="G384" i="12"/>
  <c r="G382" i="10"/>
  <c r="G376" i="12"/>
  <c r="G379" i="14"/>
  <c r="G376" i="10"/>
  <c r="G379" i="12"/>
  <c r="G380" i="10"/>
  <c r="G381" i="12"/>
  <c r="G386" i="10"/>
  <c r="G378" i="12"/>
  <c r="G382" i="12"/>
  <c r="G383" i="12"/>
  <c r="G384" i="14"/>
  <c r="G384" i="10"/>
  <c r="G380" i="14"/>
  <c r="G379" i="10"/>
  <c r="G376" i="14"/>
  <c r="G375" i="14"/>
  <c r="G386" i="12"/>
  <c r="G381" i="14"/>
  <c r="G381" i="10"/>
  <c r="G386" i="14"/>
  <c r="G143" i="15"/>
  <c r="G137" i="13"/>
  <c r="G137" i="15"/>
  <c r="G141" i="15"/>
  <c r="G137" i="11"/>
  <c r="G143" i="11"/>
  <c r="G139" i="13"/>
  <c r="G139" i="11"/>
  <c r="G139" i="15"/>
  <c r="G143" i="13"/>
  <c r="G141" i="13"/>
  <c r="G141" i="11"/>
  <c r="G281" i="13"/>
  <c r="G281" i="15"/>
  <c r="G281" i="11"/>
  <c r="G285" i="13"/>
  <c r="G285" i="15"/>
  <c r="G287" i="11"/>
  <c r="G283" i="15"/>
  <c r="G283" i="11"/>
  <c r="G287" i="13"/>
  <c r="G287" i="15"/>
  <c r="G283" i="13"/>
  <c r="G285" i="11"/>
  <c r="G315" i="13"/>
  <c r="G313" i="11"/>
  <c r="G313" i="15"/>
  <c r="G311" i="15"/>
  <c r="G315" i="11"/>
  <c r="G313" i="13"/>
  <c r="G311" i="13"/>
  <c r="G311" i="11"/>
  <c r="G317" i="11"/>
  <c r="G317" i="15"/>
  <c r="G317" i="13"/>
  <c r="G315" i="15"/>
  <c r="G53" i="17"/>
  <c r="G57" i="17"/>
  <c r="G55" i="17"/>
  <c r="G59" i="17"/>
  <c r="G196" i="13"/>
  <c r="G196" i="15"/>
  <c r="G196" i="11"/>
  <c r="G200" i="11"/>
  <c r="G198" i="11"/>
  <c r="G198" i="15"/>
  <c r="G198" i="13"/>
  <c r="G202" i="15"/>
  <c r="G202" i="13"/>
  <c r="G200" i="13"/>
  <c r="G200" i="15"/>
  <c r="G202" i="11"/>
  <c r="G97" i="17"/>
  <c r="G93" i="17"/>
  <c r="G99" i="17"/>
  <c r="G95" i="17"/>
  <c r="G236" i="15"/>
  <c r="G236" i="13"/>
  <c r="G242" i="11"/>
  <c r="G236" i="11"/>
  <c r="G240" i="15"/>
  <c r="G242" i="13"/>
  <c r="G240" i="11"/>
  <c r="G238" i="11"/>
  <c r="G238" i="15"/>
  <c r="G238" i="13"/>
  <c r="G240" i="13"/>
  <c r="G242" i="15"/>
  <c r="G240" i="10"/>
  <c r="G240" i="12"/>
  <c r="G240" i="14"/>
  <c r="G251" i="10"/>
  <c r="G244" i="14"/>
  <c r="G244" i="10"/>
  <c r="G245" i="12"/>
  <c r="G252" i="10"/>
  <c r="G251" i="14"/>
  <c r="G250" i="12"/>
  <c r="G243" i="14"/>
  <c r="G245" i="10"/>
  <c r="G245" i="14"/>
  <c r="G242" i="10"/>
  <c r="G252" i="12"/>
  <c r="G246" i="14"/>
  <c r="G242" i="14"/>
  <c r="G249" i="10"/>
  <c r="G251" i="12"/>
  <c r="G246" i="10"/>
  <c r="G248" i="12"/>
  <c r="G243" i="10"/>
  <c r="G252" i="14"/>
  <c r="G241" i="10"/>
  <c r="G247" i="14"/>
  <c r="G248" i="14"/>
  <c r="G241" i="12"/>
  <c r="G250" i="14"/>
  <c r="G246" i="12"/>
  <c r="G241" i="14"/>
  <c r="G244" i="12"/>
  <c r="G247" i="12"/>
  <c r="G250" i="10"/>
  <c r="G242" i="12"/>
  <c r="G248" i="10"/>
  <c r="G247" i="10"/>
  <c r="G249" i="12"/>
  <c r="G243" i="12"/>
  <c r="G249" i="14"/>
  <c r="G346" i="10"/>
  <c r="G346" i="12"/>
  <c r="G346" i="14"/>
  <c r="G46" i="15"/>
  <c r="G52" i="11"/>
  <c r="G48" i="15"/>
  <c r="G50" i="15"/>
  <c r="G52" i="15"/>
  <c r="G46" i="13"/>
  <c r="G46" i="11"/>
  <c r="G50" i="13"/>
  <c r="G48" i="11"/>
  <c r="G50" i="11"/>
  <c r="G52" i="13"/>
  <c r="G48" i="13"/>
  <c r="G291" i="11"/>
  <c r="G293" i="15"/>
  <c r="G293" i="13"/>
  <c r="G291" i="13"/>
  <c r="G291" i="15"/>
  <c r="G297" i="13"/>
  <c r="G295" i="13"/>
  <c r="G295" i="11"/>
  <c r="G297" i="11"/>
  <c r="G293" i="11"/>
  <c r="G295" i="15"/>
  <c r="G297" i="15"/>
  <c r="G36" i="3"/>
  <c r="G210" i="12"/>
  <c r="G215" i="12"/>
  <c r="G214" i="14"/>
  <c r="G214" i="12"/>
  <c r="G222" i="12"/>
  <c r="G218" i="12"/>
  <c r="G219" i="12"/>
  <c r="G221" i="12"/>
  <c r="G210" i="10"/>
  <c r="G212" i="12"/>
  <c r="G211" i="12"/>
  <c r="G216" i="12"/>
  <c r="G210" i="14"/>
  <c r="G220" i="10"/>
  <c r="G213" i="14"/>
  <c r="G211" i="10"/>
  <c r="G212" i="14"/>
  <c r="G220" i="12"/>
  <c r="G218" i="10"/>
  <c r="G217" i="10"/>
  <c r="G212" i="10"/>
  <c r="G213" i="12"/>
  <c r="G221" i="14"/>
  <c r="G215" i="10"/>
  <c r="G217" i="14"/>
  <c r="G222" i="10"/>
  <c r="G216" i="14"/>
  <c r="G220" i="14"/>
  <c r="G221" i="10"/>
  <c r="G218" i="14"/>
  <c r="G219" i="14"/>
  <c r="G219" i="10"/>
  <c r="G217" i="12"/>
  <c r="G215" i="14"/>
  <c r="G211" i="14"/>
  <c r="G216" i="10"/>
  <c r="G214" i="10"/>
  <c r="G213" i="10"/>
  <c r="G222" i="14"/>
  <c r="G281" i="2"/>
  <c r="G312" i="2"/>
  <c r="G16" i="3"/>
  <c r="G52" i="3"/>
  <c r="G99" i="3"/>
  <c r="G325" i="3"/>
  <c r="G357" i="3"/>
  <c r="G308" i="12"/>
  <c r="G308" i="10"/>
  <c r="G308" i="14"/>
  <c r="G370" i="14"/>
  <c r="G370" i="10"/>
  <c r="G370" i="12"/>
  <c r="G389" i="10"/>
  <c r="G389" i="12"/>
  <c r="G401" i="10"/>
  <c r="G389" i="14"/>
  <c r="G393" i="10"/>
  <c r="G399" i="12"/>
  <c r="G393" i="14"/>
  <c r="G396" i="10"/>
  <c r="G390" i="14"/>
  <c r="G401" i="14"/>
  <c r="G398" i="12"/>
  <c r="G390" i="10"/>
  <c r="G397" i="12"/>
  <c r="G399" i="10"/>
  <c r="G396" i="12"/>
  <c r="G401" i="12"/>
  <c r="G400" i="10"/>
  <c r="G395" i="12"/>
  <c r="G391" i="12"/>
  <c r="G397" i="14"/>
  <c r="G392" i="10"/>
  <c r="G394" i="14"/>
  <c r="G394" i="12"/>
  <c r="G391" i="14"/>
  <c r="G393" i="12"/>
  <c r="G395" i="10"/>
  <c r="G392" i="12"/>
  <c r="G392" i="14"/>
  <c r="G398" i="14"/>
  <c r="G390" i="12"/>
  <c r="G395" i="14"/>
  <c r="G398" i="10"/>
  <c r="G391" i="10"/>
  <c r="G396" i="14"/>
  <c r="G397" i="10"/>
  <c r="G399" i="14"/>
  <c r="G394" i="10"/>
  <c r="G400" i="12"/>
  <c r="G400" i="14"/>
  <c r="G152" i="15"/>
  <c r="G152" i="11"/>
  <c r="G152" i="13"/>
  <c r="G107" i="17"/>
  <c r="G103" i="17"/>
  <c r="G105" i="17"/>
  <c r="G109" i="17"/>
  <c r="G246" i="15"/>
  <c r="G250" i="15"/>
  <c r="G246" i="11"/>
  <c r="G246" i="13"/>
  <c r="G250" i="11"/>
  <c r="G248" i="15"/>
  <c r="G252" i="11"/>
  <c r="G252" i="13"/>
  <c r="G248" i="13"/>
  <c r="G248" i="11"/>
  <c r="G250" i="13"/>
  <c r="G252" i="15"/>
  <c r="G255" i="10"/>
  <c r="G255" i="14"/>
  <c r="G255" i="12"/>
  <c r="G275" i="14"/>
  <c r="G275" i="10"/>
  <c r="G275" i="12"/>
  <c r="G311" i="10"/>
  <c r="G311" i="14"/>
  <c r="G321" i="12"/>
  <c r="G311" i="12"/>
  <c r="G316" i="12"/>
  <c r="G315" i="10"/>
  <c r="G318" i="10"/>
  <c r="G312" i="14"/>
  <c r="G319" i="12"/>
  <c r="G321" i="10"/>
  <c r="G318" i="14"/>
  <c r="G316" i="14"/>
  <c r="G319" i="14"/>
  <c r="G315" i="14"/>
  <c r="G322" i="10"/>
  <c r="G317" i="10"/>
  <c r="G313" i="14"/>
  <c r="G315" i="12"/>
  <c r="G319" i="10"/>
  <c r="G314" i="14"/>
  <c r="G320" i="14"/>
  <c r="G312" i="12"/>
  <c r="G316" i="10"/>
  <c r="G323" i="14"/>
  <c r="G313" i="10"/>
  <c r="G314" i="10"/>
  <c r="G323" i="10"/>
  <c r="G323" i="12"/>
  <c r="G322" i="14"/>
  <c r="G320" i="12"/>
  <c r="G320" i="10"/>
  <c r="G317" i="12"/>
  <c r="G313" i="12"/>
  <c r="G317" i="14"/>
  <c r="G312" i="10"/>
  <c r="G321" i="14"/>
  <c r="G318" i="12"/>
  <c r="G314" i="12"/>
  <c r="G322" i="12"/>
  <c r="G349" i="14"/>
  <c r="G349" i="10"/>
  <c r="G349" i="12"/>
  <c r="G361" i="14"/>
  <c r="G361" i="10"/>
  <c r="G361" i="12"/>
  <c r="G20" i="11"/>
  <c r="G20" i="15"/>
  <c r="G16" i="15"/>
  <c r="G20" i="13"/>
  <c r="G16" i="13"/>
  <c r="G16" i="11"/>
  <c r="G18" i="11"/>
  <c r="G18" i="13"/>
  <c r="G22" i="15"/>
  <c r="G18" i="15"/>
  <c r="G22" i="13"/>
  <c r="G22" i="11"/>
  <c r="G56" i="11"/>
  <c r="G60" i="11"/>
  <c r="G56" i="13"/>
  <c r="G56" i="15"/>
  <c r="G58" i="11"/>
  <c r="G58" i="13"/>
  <c r="G62" i="15"/>
  <c r="G58" i="15"/>
  <c r="G60" i="15"/>
  <c r="G62" i="13"/>
  <c r="G62" i="11"/>
  <c r="G60" i="13"/>
  <c r="G95" i="11"/>
  <c r="G101" i="13"/>
  <c r="G97" i="11"/>
  <c r="G99" i="11"/>
  <c r="G95" i="15"/>
  <c r="G99" i="13"/>
  <c r="G99" i="15"/>
  <c r="G95" i="13"/>
  <c r="G101" i="11"/>
  <c r="G97" i="15"/>
  <c r="G97" i="13"/>
  <c r="G101" i="15"/>
  <c r="G127" i="15"/>
  <c r="G127" i="11"/>
  <c r="G127" i="13"/>
  <c r="G165" i="3"/>
  <c r="G169" i="15"/>
  <c r="G165" i="15"/>
  <c r="G165" i="13"/>
  <c r="G165" i="11"/>
  <c r="G171" i="13"/>
  <c r="G167" i="13"/>
  <c r="G169" i="13"/>
  <c r="G171" i="15"/>
  <c r="G171" i="11"/>
  <c r="G167" i="15"/>
  <c r="G169" i="11"/>
  <c r="G167" i="11"/>
  <c r="G271" i="11"/>
  <c r="G271" i="15"/>
  <c r="G271" i="13"/>
  <c r="G275" i="15"/>
  <c r="G273" i="11"/>
  <c r="G277" i="15"/>
  <c r="G277" i="11"/>
  <c r="G275" i="11"/>
  <c r="G277" i="13"/>
  <c r="G273" i="13"/>
  <c r="G275" i="13"/>
  <c r="G273" i="15"/>
  <c r="G32" i="17"/>
  <c r="G190" i="15"/>
  <c r="G190" i="11"/>
  <c r="G190" i="13"/>
  <c r="G73" i="17"/>
  <c r="G77" i="17"/>
  <c r="G216" i="15"/>
  <c r="G75" i="17"/>
  <c r="G79" i="17"/>
  <c r="G216" i="13"/>
  <c r="G220" i="15"/>
  <c r="G216" i="11"/>
  <c r="G220" i="13"/>
  <c r="G218" i="13"/>
  <c r="G222" i="13"/>
  <c r="G218" i="15"/>
  <c r="G222" i="11"/>
  <c r="G220" i="11"/>
  <c r="G222" i="15"/>
  <c r="G218" i="11"/>
  <c r="G256" i="10"/>
  <c r="G256" i="12"/>
  <c r="G256" i="14"/>
  <c r="G278" i="12"/>
  <c r="G278" i="14"/>
  <c r="G278" i="10"/>
  <c r="G283" i="12"/>
  <c r="G281" i="14"/>
  <c r="G284" i="12"/>
  <c r="G281" i="10"/>
  <c r="G281" i="12"/>
  <c r="G280" i="14"/>
  <c r="G284" i="10"/>
  <c r="G282" i="12"/>
  <c r="G279" i="14"/>
  <c r="G287" i="14"/>
  <c r="G290" i="14"/>
  <c r="G286" i="10"/>
  <c r="G282" i="10"/>
  <c r="G279" i="12"/>
  <c r="G288" i="14"/>
  <c r="G288" i="12"/>
  <c r="G285" i="10"/>
  <c r="G285" i="12"/>
  <c r="G288" i="10"/>
  <c r="G286" i="12"/>
  <c r="G283" i="14"/>
  <c r="G290" i="10"/>
  <c r="G279" i="10"/>
  <c r="G287" i="12"/>
  <c r="G283" i="10"/>
  <c r="G286" i="14"/>
  <c r="G289" i="10"/>
  <c r="G289" i="12"/>
  <c r="G289" i="14"/>
  <c r="G290" i="12"/>
  <c r="G284" i="14"/>
  <c r="G287" i="10"/>
  <c r="G280" i="12"/>
  <c r="G282" i="14"/>
  <c r="G285" i="14"/>
  <c r="G280" i="10"/>
  <c r="G326" i="12"/>
  <c r="G326" i="10"/>
  <c r="G326" i="14"/>
  <c r="G352" i="12"/>
  <c r="G352" i="10"/>
  <c r="G352" i="14"/>
  <c r="G364" i="10"/>
  <c r="G364" i="12"/>
  <c r="G364" i="14"/>
  <c r="G26" i="11"/>
  <c r="G26" i="13"/>
  <c r="G32" i="15"/>
  <c r="G32" i="11"/>
  <c r="G30" i="13"/>
  <c r="G28" i="13"/>
  <c r="G28" i="11"/>
  <c r="G32" i="13"/>
  <c r="G30" i="11"/>
  <c r="G26" i="15"/>
  <c r="G28" i="15"/>
  <c r="G30" i="15"/>
  <c r="G66" i="13"/>
  <c r="G70" i="13"/>
  <c r="G66" i="11"/>
  <c r="G66" i="15"/>
  <c r="G72" i="11"/>
  <c r="G68" i="13"/>
  <c r="G72" i="13"/>
  <c r="G68" i="11"/>
  <c r="G68" i="15"/>
  <c r="G70" i="11"/>
  <c r="G72" i="15"/>
  <c r="G70" i="15"/>
  <c r="G111" i="13"/>
  <c r="G105" i="13"/>
  <c r="G105" i="11"/>
  <c r="G109" i="13"/>
  <c r="G105" i="15"/>
  <c r="G107" i="15"/>
  <c r="G109" i="15"/>
  <c r="G107" i="13"/>
  <c r="G107" i="11"/>
  <c r="G109" i="11"/>
  <c r="G111" i="11"/>
  <c r="G111" i="15"/>
  <c r="G131" i="11"/>
  <c r="G131" i="13"/>
  <c r="G129" i="15"/>
  <c r="G129" i="13"/>
  <c r="G133" i="13"/>
  <c r="G129" i="11"/>
  <c r="G131" i="15"/>
  <c r="G133" i="15"/>
  <c r="G133" i="11"/>
  <c r="G175" i="3"/>
  <c r="G21" i="17"/>
  <c r="G17" i="17"/>
  <c r="G23" i="17"/>
  <c r="G19" i="17"/>
  <c r="G179" i="13"/>
  <c r="G175" i="11"/>
  <c r="G181" i="15"/>
  <c r="G175" i="13"/>
  <c r="G175" i="15"/>
  <c r="G179" i="15"/>
  <c r="G179" i="11"/>
  <c r="G177" i="11"/>
  <c r="G177" i="13"/>
  <c r="G181" i="13"/>
  <c r="G181" i="11"/>
  <c r="G177" i="15"/>
  <c r="G307" i="15"/>
  <c r="G301" i="13"/>
  <c r="G301" i="11"/>
  <c r="G301" i="15"/>
  <c r="G305" i="11"/>
  <c r="G303" i="11"/>
  <c r="G305" i="13"/>
  <c r="G303" i="15"/>
  <c r="G305" i="15"/>
  <c r="G307" i="13"/>
  <c r="G303" i="13"/>
  <c r="G307" i="11"/>
  <c r="G193" i="3"/>
  <c r="G193" i="13"/>
  <c r="G193" i="15"/>
  <c r="G193" i="11"/>
  <c r="G83" i="17"/>
  <c r="G85" i="17"/>
  <c r="G89" i="17"/>
  <c r="G87" i="17"/>
  <c r="G226" i="13"/>
  <c r="G226" i="11"/>
  <c r="G228" i="13"/>
  <c r="G226" i="15"/>
  <c r="G230" i="13"/>
  <c r="G228" i="11"/>
  <c r="G232" i="13"/>
  <c r="G228" i="15"/>
  <c r="G230" i="11"/>
  <c r="G230" i="15"/>
  <c r="G232" i="11"/>
  <c r="G232" i="15"/>
  <c r="G320" i="2"/>
  <c r="G344" i="2"/>
  <c r="G331" i="3"/>
  <c r="G401" i="2"/>
  <c r="G343" i="3"/>
  <c r="G412" i="2"/>
  <c r="G76" i="3"/>
  <c r="G383" i="2"/>
  <c r="G421" i="2"/>
  <c r="G433" i="2"/>
  <c r="G445" i="2"/>
  <c r="G471" i="2"/>
  <c r="G468" i="2"/>
  <c r="G475" i="2"/>
  <c r="G167" i="3"/>
  <c r="G171" i="3"/>
  <c r="G190" i="3"/>
  <c r="G226" i="3"/>
  <c r="G232" i="3"/>
  <c r="G230" i="3"/>
  <c r="G228" i="3"/>
  <c r="G331" i="2"/>
  <c r="G427" i="2"/>
  <c r="G439" i="2"/>
  <c r="G196" i="3"/>
  <c r="G198" i="3"/>
  <c r="G202" i="3"/>
  <c r="G200" i="3"/>
  <c r="G332" i="2"/>
  <c r="G430" i="2"/>
  <c r="G442" i="2"/>
  <c r="G449" i="2"/>
  <c r="E353" i="3"/>
  <c r="G353" i="3" s="1"/>
  <c r="G246" i="3"/>
  <c r="G248" i="3"/>
  <c r="G252" i="3"/>
  <c r="G250" i="3"/>
  <c r="G218" i="3"/>
  <c r="G216" i="3"/>
  <c r="G222" i="3"/>
  <c r="G220" i="3"/>
  <c r="G288" i="2"/>
  <c r="G330" i="2"/>
  <c r="G350" i="2"/>
  <c r="G380" i="2"/>
  <c r="G378" i="2"/>
  <c r="G391" i="2"/>
  <c r="G424" i="2"/>
  <c r="G436" i="2"/>
  <c r="G26" i="3"/>
  <c r="G60" i="3"/>
  <c r="G62" i="3"/>
  <c r="G89" i="3"/>
  <c r="G111" i="3"/>
  <c r="E465" i="2"/>
  <c r="G465" i="2" s="1"/>
  <c r="G143" i="3"/>
  <c r="G177" i="3"/>
  <c r="G181" i="3"/>
  <c r="G152" i="3"/>
  <c r="E355" i="3"/>
  <c r="G355" i="3" s="1"/>
  <c r="E208" i="3"/>
  <c r="G208" i="3" s="1"/>
  <c r="E212" i="3"/>
  <c r="G212" i="3" s="1"/>
  <c r="E242" i="3"/>
  <c r="G242" i="3" s="1"/>
  <c r="E238" i="3"/>
  <c r="G238" i="3" s="1"/>
  <c r="G236" i="3"/>
  <c r="E240" i="3"/>
  <c r="G240" i="3" s="1"/>
  <c r="E345" i="3"/>
  <c r="G345" i="3" s="1"/>
  <c r="E347" i="3"/>
  <c r="G347" i="3" s="1"/>
  <c r="E210" i="3"/>
  <c r="G210" i="3" s="1"/>
  <c r="G351" i="3"/>
  <c r="G341" i="3"/>
  <c r="G321" i="3"/>
  <c r="E323" i="3"/>
  <c r="G323" i="3" s="1"/>
  <c r="E327" i="3"/>
  <c r="G327" i="3" s="1"/>
  <c r="G311" i="3"/>
  <c r="E317" i="3"/>
  <c r="G317" i="3" s="1"/>
  <c r="E313" i="3"/>
  <c r="G313" i="3" s="1"/>
  <c r="E315" i="3"/>
  <c r="G315" i="3" s="1"/>
  <c r="E335" i="3"/>
  <c r="G335" i="3" s="1"/>
  <c r="E333" i="3"/>
  <c r="G333" i="3" s="1"/>
  <c r="E337" i="3"/>
  <c r="G337" i="3" s="1"/>
  <c r="E179" i="3"/>
  <c r="G179" i="3" s="1"/>
  <c r="E169" i="3"/>
  <c r="G169" i="3" s="1"/>
  <c r="E159" i="3"/>
  <c r="G159" i="3" s="1"/>
  <c r="E139" i="3"/>
  <c r="G139" i="3" s="1"/>
  <c r="E141" i="3"/>
  <c r="G141" i="3" s="1"/>
  <c r="G137" i="3"/>
  <c r="E101" i="3"/>
  <c r="G101" i="3" s="1"/>
  <c r="E97" i="3"/>
  <c r="G97" i="3" s="1"/>
  <c r="G133" i="3"/>
  <c r="G131" i="3"/>
  <c r="G129" i="3"/>
  <c r="G127" i="3"/>
  <c r="E469" i="2"/>
  <c r="G469" i="2" s="1"/>
  <c r="E472" i="2"/>
  <c r="G472" i="2" s="1"/>
  <c r="E466" i="2"/>
  <c r="G466" i="2" s="1"/>
  <c r="E470" i="2"/>
  <c r="G470" i="2" s="1"/>
  <c r="E474" i="2"/>
  <c r="G474" i="2" s="1"/>
  <c r="E476" i="2"/>
  <c r="G476" i="2" s="1"/>
  <c r="G464" i="2"/>
  <c r="E467" i="2"/>
  <c r="G467" i="2" s="1"/>
  <c r="E461" i="2"/>
  <c r="G461" i="2" s="1"/>
  <c r="E460" i="2"/>
  <c r="G460" i="2" s="1"/>
  <c r="E459" i="2"/>
  <c r="G459" i="2" s="1"/>
  <c r="E458" i="2"/>
  <c r="G458" i="2" s="1"/>
  <c r="E457" i="2"/>
  <c r="G457" i="2" s="1"/>
  <c r="E456" i="2"/>
  <c r="G456" i="2" s="1"/>
  <c r="E455" i="2"/>
  <c r="G455" i="2" s="1"/>
  <c r="E454" i="2"/>
  <c r="G454" i="2" s="1"/>
  <c r="E453" i="2"/>
  <c r="G453" i="2" s="1"/>
  <c r="E452" i="2"/>
  <c r="G452" i="2" s="1"/>
  <c r="E451" i="2"/>
  <c r="G451" i="2" s="1"/>
  <c r="E450" i="2"/>
  <c r="G450" i="2" s="1"/>
  <c r="E109" i="3"/>
  <c r="G109" i="3" s="1"/>
  <c r="E32" i="3"/>
  <c r="G32" i="3" s="1"/>
  <c r="E123" i="3"/>
  <c r="G123" i="3" s="1"/>
  <c r="G117" i="3"/>
  <c r="E119" i="3"/>
  <c r="G119" i="3" s="1"/>
  <c r="G105" i="3"/>
  <c r="E107" i="3"/>
  <c r="G107" i="3" s="1"/>
  <c r="G95" i="3"/>
  <c r="E91" i="3"/>
  <c r="G91" i="3" s="1"/>
  <c r="G85" i="3"/>
  <c r="E87" i="3"/>
  <c r="G87" i="3" s="1"/>
  <c r="E72" i="3"/>
  <c r="G72" i="3" s="1"/>
  <c r="E70" i="3"/>
  <c r="G70" i="3" s="1"/>
  <c r="E78" i="3"/>
  <c r="G78" i="3" s="1"/>
  <c r="E80" i="3"/>
  <c r="G80" i="3" s="1"/>
  <c r="E82" i="3"/>
  <c r="G82" i="3" s="1"/>
  <c r="E48" i="3"/>
  <c r="G48" i="3" s="1"/>
  <c r="G66" i="3"/>
  <c r="E68" i="3"/>
  <c r="G68" i="3" s="1"/>
  <c r="G46" i="3"/>
  <c r="E50" i="3"/>
  <c r="G50" i="3" s="1"/>
  <c r="E20" i="3"/>
  <c r="G20" i="3" s="1"/>
  <c r="E28" i="3"/>
  <c r="G28" i="3" s="1"/>
  <c r="E40" i="3"/>
  <c r="G40" i="3" s="1"/>
  <c r="G56" i="3"/>
  <c r="E58" i="3"/>
  <c r="G58" i="3" s="1"/>
  <c r="E22" i="3"/>
  <c r="G22" i="3" s="1"/>
  <c r="E38" i="3"/>
  <c r="G38" i="3" s="1"/>
  <c r="E18" i="3"/>
  <c r="G18" i="3" s="1"/>
  <c r="E30" i="3"/>
  <c r="G30" i="3" s="1"/>
  <c r="E42" i="3"/>
  <c r="G42" i="3" s="1"/>
  <c r="E377" i="2"/>
  <c r="G377" i="2" s="1"/>
  <c r="E413" i="2"/>
  <c r="G413" i="2" s="1"/>
  <c r="E408" i="2"/>
  <c r="G408" i="2" s="1"/>
  <c r="G404" i="2"/>
  <c r="E406" i="2"/>
  <c r="G406" i="2" s="1"/>
  <c r="E410" i="2"/>
  <c r="G410" i="2" s="1"/>
  <c r="E411" i="2"/>
  <c r="G411" i="2" s="1"/>
  <c r="E415" i="2"/>
  <c r="G415" i="2" s="1"/>
  <c r="E405" i="2"/>
  <c r="G405" i="2" s="1"/>
  <c r="E409" i="2"/>
  <c r="G409" i="2" s="1"/>
  <c r="E414" i="2"/>
  <c r="G414" i="2" s="1"/>
  <c r="E407" i="2"/>
  <c r="G407" i="2" s="1"/>
  <c r="E416" i="2"/>
  <c r="G416" i="2" s="1"/>
  <c r="E364" i="2"/>
  <c r="G364" i="2" s="1"/>
  <c r="G353" i="2"/>
  <c r="E379" i="2"/>
  <c r="G379" i="2" s="1"/>
  <c r="E372" i="2"/>
  <c r="G372" i="2" s="1"/>
  <c r="E369" i="2"/>
  <c r="G369" i="2" s="1"/>
  <c r="E376" i="2"/>
  <c r="G376" i="2" s="1"/>
  <c r="E373" i="2"/>
  <c r="G373" i="2" s="1"/>
  <c r="E370" i="2"/>
  <c r="G370" i="2" s="1"/>
  <c r="G368" i="2"/>
  <c r="E374" i="2"/>
  <c r="G374" i="2" s="1"/>
  <c r="G386" i="2"/>
  <c r="E398" i="2"/>
  <c r="G398" i="2" s="1"/>
  <c r="E394" i="2"/>
  <c r="G394" i="2" s="1"/>
  <c r="E390" i="2"/>
  <c r="G390" i="2" s="1"/>
  <c r="E397" i="2"/>
  <c r="G397" i="2" s="1"/>
  <c r="E393" i="2"/>
  <c r="G393" i="2" s="1"/>
  <c r="E389" i="2"/>
  <c r="G389" i="2" s="1"/>
  <c r="E392" i="2"/>
  <c r="G392" i="2" s="1"/>
  <c r="E387" i="2"/>
  <c r="G387" i="2" s="1"/>
  <c r="E395" i="2"/>
  <c r="G395" i="2" s="1"/>
  <c r="E388" i="2"/>
  <c r="G388" i="2" s="1"/>
  <c r="E396" i="2"/>
  <c r="G396" i="2" s="1"/>
  <c r="E371" i="2"/>
  <c r="G371" i="2" s="1"/>
  <c r="E375" i="2"/>
  <c r="G375" i="2" s="1"/>
  <c r="E356" i="2"/>
  <c r="G356" i="2" s="1"/>
  <c r="E358" i="2"/>
  <c r="G358" i="2" s="1"/>
  <c r="E360" i="2"/>
  <c r="G360" i="2" s="1"/>
  <c r="E354" i="2"/>
  <c r="G354" i="2" s="1"/>
  <c r="E362" i="2"/>
  <c r="G362" i="2" s="1"/>
  <c r="E355" i="2"/>
  <c r="G355" i="2" s="1"/>
  <c r="E357" i="2"/>
  <c r="G357" i="2" s="1"/>
  <c r="E359" i="2"/>
  <c r="G359" i="2" s="1"/>
  <c r="E361" i="2"/>
  <c r="G361" i="2" s="1"/>
  <c r="E363" i="2"/>
  <c r="G363" i="2" s="1"/>
  <c r="E365" i="2"/>
  <c r="G365" i="2" s="1"/>
  <c r="E295" i="2"/>
  <c r="G295" i="2" s="1"/>
  <c r="E293" i="2"/>
  <c r="G293" i="2" s="1"/>
  <c r="E336" i="2"/>
  <c r="G336" i="2" s="1"/>
  <c r="G335" i="2"/>
  <c r="E290" i="2"/>
  <c r="G290" i="2" s="1"/>
  <c r="E340" i="2"/>
  <c r="G340" i="2" s="1"/>
  <c r="E342" i="2"/>
  <c r="G342" i="2" s="1"/>
  <c r="E338" i="2"/>
  <c r="G338" i="2" s="1"/>
  <c r="E346" i="2"/>
  <c r="G346" i="2" s="1"/>
  <c r="E296" i="2"/>
  <c r="G296" i="2" s="1"/>
  <c r="E339" i="2"/>
  <c r="G339" i="2" s="1"/>
  <c r="E343" i="2"/>
  <c r="G343" i="2" s="1"/>
  <c r="E347" i="2"/>
  <c r="G347" i="2" s="1"/>
  <c r="E286" i="2"/>
  <c r="G286" i="2" s="1"/>
  <c r="E289" i="2"/>
  <c r="G289" i="2" s="1"/>
  <c r="E292" i="2"/>
  <c r="G292" i="2" s="1"/>
  <c r="E337" i="2"/>
  <c r="G337" i="2" s="1"/>
  <c r="E341" i="2"/>
  <c r="G341" i="2" s="1"/>
  <c r="E345" i="2"/>
  <c r="G345" i="2" s="1"/>
  <c r="E294" i="2"/>
  <c r="G294" i="2" s="1"/>
  <c r="E297" i="2"/>
  <c r="G297" i="2" s="1"/>
  <c r="G285" i="2"/>
  <c r="E287" i="2"/>
  <c r="G287" i="2" s="1"/>
  <c r="E291" i="2"/>
  <c r="G291" i="2" s="1"/>
  <c r="E302" i="2"/>
  <c r="G302" i="2" s="1"/>
  <c r="E304" i="2"/>
  <c r="G304" i="2" s="1"/>
  <c r="G300" i="2"/>
  <c r="E311" i="2"/>
  <c r="G311" i="2" s="1"/>
  <c r="E307" i="2"/>
  <c r="G307" i="2" s="1"/>
  <c r="E303" i="2"/>
  <c r="G303" i="2" s="1"/>
  <c r="E310" i="2"/>
  <c r="G310" i="2" s="1"/>
  <c r="E306" i="2"/>
  <c r="G306" i="2" s="1"/>
  <c r="E301" i="2"/>
  <c r="G301" i="2" s="1"/>
  <c r="E305" i="2"/>
  <c r="G305" i="2" s="1"/>
  <c r="E327" i="2"/>
  <c r="G327" i="2" s="1"/>
  <c r="E323" i="2"/>
  <c r="G323" i="2" s="1"/>
  <c r="E319" i="2"/>
  <c r="G319" i="2" s="1"/>
  <c r="E326" i="2"/>
  <c r="G326" i="2" s="1"/>
  <c r="E322" i="2"/>
  <c r="G322" i="2" s="1"/>
  <c r="E318" i="2"/>
  <c r="G318" i="2" s="1"/>
  <c r="G315" i="2"/>
  <c r="E321" i="2"/>
  <c r="G321" i="2" s="1"/>
  <c r="E308" i="2"/>
  <c r="G308" i="2" s="1"/>
  <c r="E316" i="2"/>
  <c r="G316" i="2" s="1"/>
  <c r="E324" i="2"/>
  <c r="G324" i="2" s="1"/>
  <c r="E270" i="2"/>
  <c r="E309" i="2"/>
  <c r="G309" i="2" s="1"/>
  <c r="E317" i="2"/>
  <c r="G317" i="2" s="1"/>
  <c r="E325" i="2"/>
  <c r="G325" i="2" s="1"/>
  <c r="E272" i="2"/>
  <c r="E269" i="2"/>
  <c r="E266" i="2"/>
  <c r="E274" i="2"/>
  <c r="E273" i="2"/>
  <c r="E267" i="2"/>
  <c r="E271" i="2"/>
  <c r="E275" i="2"/>
  <c r="E277" i="2"/>
  <c r="E268" i="2"/>
  <c r="E251" i="2"/>
  <c r="E253" i="2"/>
  <c r="E255" i="2"/>
  <c r="E257" i="2"/>
  <c r="E259" i="2"/>
  <c r="E261" i="2"/>
  <c r="E262" i="2"/>
  <c r="E252" i="2"/>
  <c r="E254" i="2"/>
  <c r="E256" i="2"/>
  <c r="E258" i="2"/>
  <c r="G35" i="17" l="1"/>
  <c r="G33" i="17"/>
  <c r="G34" i="17"/>
  <c r="J188" i="2"/>
  <c r="E232" i="2"/>
  <c r="E244" i="2" s="1"/>
  <c r="H232" i="2"/>
  <c r="J244" i="2"/>
  <c r="H244" i="2"/>
  <c r="J243" i="2"/>
  <c r="H243" i="2"/>
  <c r="J242" i="2"/>
  <c r="H242" i="2"/>
  <c r="J241" i="2"/>
  <c r="H241" i="2"/>
  <c r="J240" i="2"/>
  <c r="H240" i="2"/>
  <c r="J239" i="2"/>
  <c r="H239" i="2"/>
  <c r="J238" i="2"/>
  <c r="H238" i="2"/>
  <c r="J237" i="2"/>
  <c r="H237" i="2"/>
  <c r="J236" i="2"/>
  <c r="H236" i="2"/>
  <c r="J235" i="2"/>
  <c r="H235" i="2"/>
  <c r="J234" i="2"/>
  <c r="H234" i="2"/>
  <c r="J233" i="2"/>
  <c r="H233" i="2"/>
  <c r="E229" i="2"/>
  <c r="E182" i="2"/>
  <c r="E184" i="2" s="1"/>
  <c r="E104" i="2"/>
  <c r="J194" i="2"/>
  <c r="H194" i="2"/>
  <c r="J193" i="2"/>
  <c r="H193" i="2"/>
  <c r="J192" i="2"/>
  <c r="H192" i="2"/>
  <c r="J191" i="2"/>
  <c r="H191" i="2"/>
  <c r="J190" i="2"/>
  <c r="H190" i="2"/>
  <c r="J189" i="2"/>
  <c r="H189" i="2"/>
  <c r="H188" i="2"/>
  <c r="J187" i="2"/>
  <c r="H187" i="2"/>
  <c r="J186" i="2"/>
  <c r="H186" i="2"/>
  <c r="J185" i="2"/>
  <c r="H185" i="2"/>
  <c r="J184" i="2"/>
  <c r="H184" i="2"/>
  <c r="J183" i="2"/>
  <c r="H183" i="2"/>
  <c r="E167" i="2"/>
  <c r="J179" i="2"/>
  <c r="H179" i="2"/>
  <c r="J178" i="2"/>
  <c r="H178" i="2"/>
  <c r="J177" i="2"/>
  <c r="H177" i="2"/>
  <c r="J176" i="2"/>
  <c r="H176" i="2"/>
  <c r="J175" i="2"/>
  <c r="H175" i="2"/>
  <c r="J174" i="2"/>
  <c r="H174" i="2"/>
  <c r="J173" i="2"/>
  <c r="H173" i="2"/>
  <c r="J172" i="2"/>
  <c r="H172" i="2"/>
  <c r="J171" i="2"/>
  <c r="H171" i="2"/>
  <c r="J170" i="2"/>
  <c r="H170" i="2"/>
  <c r="J169" i="2"/>
  <c r="H169" i="2"/>
  <c r="J168" i="2"/>
  <c r="H168" i="2"/>
  <c r="E159" i="2"/>
  <c r="J164" i="2"/>
  <c r="H164" i="2"/>
  <c r="J163" i="2"/>
  <c r="H163" i="2"/>
  <c r="J162" i="2"/>
  <c r="H162" i="2"/>
  <c r="J161" i="2"/>
  <c r="H161" i="2"/>
  <c r="J160" i="2"/>
  <c r="H160" i="2"/>
  <c r="J159" i="2"/>
  <c r="H159" i="2"/>
  <c r="J158" i="2"/>
  <c r="H158" i="2"/>
  <c r="J157" i="2"/>
  <c r="H157" i="2"/>
  <c r="J156" i="2"/>
  <c r="H156" i="2"/>
  <c r="J155" i="2"/>
  <c r="H155" i="2"/>
  <c r="J154" i="2"/>
  <c r="H154" i="2"/>
  <c r="J153" i="2"/>
  <c r="H153" i="2"/>
  <c r="E89" i="2"/>
  <c r="J101" i="2"/>
  <c r="H101" i="2"/>
  <c r="J100" i="2"/>
  <c r="H100" i="2"/>
  <c r="J99" i="2"/>
  <c r="H99" i="2"/>
  <c r="J98" i="2"/>
  <c r="H98" i="2"/>
  <c r="J97" i="2"/>
  <c r="H97" i="2"/>
  <c r="J96" i="2"/>
  <c r="H96" i="2"/>
  <c r="J95" i="2"/>
  <c r="H95" i="2"/>
  <c r="J94" i="2"/>
  <c r="H94" i="2"/>
  <c r="J93" i="2"/>
  <c r="H93" i="2"/>
  <c r="J92" i="2"/>
  <c r="H92" i="2"/>
  <c r="J91" i="2"/>
  <c r="H91" i="2"/>
  <c r="J90" i="2"/>
  <c r="H90" i="2"/>
  <c r="E87" i="2"/>
  <c r="J87" i="2"/>
  <c r="E80" i="2"/>
  <c r="E84" i="2"/>
  <c r="J84" i="2" s="1"/>
  <c r="E83" i="2"/>
  <c r="J83" i="2" s="1"/>
  <c r="E82" i="2"/>
  <c r="J82" i="2" s="1"/>
  <c r="E73" i="2"/>
  <c r="E77" i="2"/>
  <c r="E76" i="2"/>
  <c r="E75" i="2"/>
  <c r="E58" i="2"/>
  <c r="E70" i="2" s="1"/>
  <c r="J70" i="2"/>
  <c r="H70" i="2"/>
  <c r="J69" i="2"/>
  <c r="H69" i="2"/>
  <c r="J68" i="2"/>
  <c r="H68" i="2"/>
  <c r="J67" i="2"/>
  <c r="H67" i="2"/>
  <c r="J66" i="2"/>
  <c r="H66" i="2"/>
  <c r="J65" i="2"/>
  <c r="H65" i="2"/>
  <c r="J64" i="2"/>
  <c r="H64" i="2"/>
  <c r="J63" i="2"/>
  <c r="H63" i="2"/>
  <c r="J62" i="2"/>
  <c r="H62" i="2"/>
  <c r="J61" i="2"/>
  <c r="H61" i="2"/>
  <c r="J60" i="2"/>
  <c r="H60" i="2"/>
  <c r="J59" i="2"/>
  <c r="H59" i="2"/>
  <c r="E43" i="2"/>
  <c r="E44" i="2" s="1"/>
  <c r="J55" i="2"/>
  <c r="H55" i="2"/>
  <c r="J54" i="2"/>
  <c r="H54" i="2"/>
  <c r="J53" i="2"/>
  <c r="H53" i="2"/>
  <c r="J52" i="2"/>
  <c r="H52" i="2"/>
  <c r="J51" i="2"/>
  <c r="H51" i="2"/>
  <c r="J50" i="2"/>
  <c r="H50" i="2"/>
  <c r="J49" i="2"/>
  <c r="H49" i="2"/>
  <c r="J48" i="2"/>
  <c r="H48" i="2"/>
  <c r="J47" i="2"/>
  <c r="H47" i="2"/>
  <c r="J46" i="2"/>
  <c r="H46" i="2"/>
  <c r="J45" i="2"/>
  <c r="H45" i="2"/>
  <c r="J44" i="2"/>
  <c r="H44" i="2"/>
  <c r="E41" i="2"/>
  <c r="J41" i="2"/>
  <c r="K83" i="2" l="1"/>
  <c r="K82" i="2"/>
  <c r="M87" i="2"/>
  <c r="E177" i="2"/>
  <c r="E173" i="2"/>
  <c r="E169" i="2"/>
  <c r="E176" i="2"/>
  <c r="E172" i="2"/>
  <c r="E168" i="2"/>
  <c r="E179" i="2"/>
  <c r="E171" i="2"/>
  <c r="E178" i="2"/>
  <c r="E170" i="2"/>
  <c r="E175" i="2"/>
  <c r="E174" i="2"/>
  <c r="J104" i="2"/>
  <c r="E187" i="2"/>
  <c r="E233" i="2"/>
  <c r="E236" i="2"/>
  <c r="E239" i="2"/>
  <c r="E242" i="2"/>
  <c r="E160" i="2"/>
  <c r="E234" i="2"/>
  <c r="E237" i="2"/>
  <c r="E240" i="2"/>
  <c r="E243" i="2"/>
  <c r="E235" i="2"/>
  <c r="E238" i="2"/>
  <c r="E241" i="2"/>
  <c r="E192" i="2"/>
  <c r="E194" i="2"/>
  <c r="E189" i="2"/>
  <c r="E186" i="2"/>
  <c r="E190" i="2"/>
  <c r="E183" i="2"/>
  <c r="E193" i="2"/>
  <c r="E185" i="2"/>
  <c r="E188" i="2"/>
  <c r="E191" i="2"/>
  <c r="E157" i="2"/>
  <c r="E164" i="2"/>
  <c r="E153" i="2"/>
  <c r="E90" i="2"/>
  <c r="E156" i="2"/>
  <c r="E91" i="2"/>
  <c r="E162" i="2"/>
  <c r="E154" i="2"/>
  <c r="E163" i="2"/>
  <c r="E155" i="2"/>
  <c r="E158" i="2"/>
  <c r="E161" i="2"/>
  <c r="E92" i="2"/>
  <c r="E93" i="2"/>
  <c r="E94" i="2"/>
  <c r="E95" i="2"/>
  <c r="E96" i="2"/>
  <c r="E97" i="2"/>
  <c r="E98" i="2"/>
  <c r="E99" i="2"/>
  <c r="E100" i="2"/>
  <c r="E101" i="2"/>
  <c r="E59" i="2"/>
  <c r="E61" i="2"/>
  <c r="E62" i="2"/>
  <c r="E45" i="2"/>
  <c r="E63" i="2"/>
  <c r="E46" i="2"/>
  <c r="E64" i="2"/>
  <c r="E60" i="2"/>
  <c r="E48" i="2"/>
  <c r="E47" i="2"/>
  <c r="E49" i="2"/>
  <c r="E50" i="2"/>
  <c r="E52" i="2"/>
  <c r="E65" i="2"/>
  <c r="E53" i="2"/>
  <c r="E66" i="2"/>
  <c r="E67" i="2"/>
  <c r="E68" i="2"/>
  <c r="E69" i="2"/>
  <c r="E51" i="2"/>
  <c r="E54" i="2"/>
  <c r="E55" i="2"/>
  <c r="E34" i="2" l="1"/>
  <c r="J31" i="2"/>
  <c r="J30" i="2"/>
  <c r="J29" i="2"/>
  <c r="J28" i="2"/>
  <c r="J27" i="2"/>
  <c r="J26" i="2"/>
  <c r="J25" i="2"/>
  <c r="J24" i="2"/>
  <c r="J23" i="2"/>
  <c r="J22" i="2"/>
  <c r="J21" i="2"/>
  <c r="J20" i="2"/>
  <c r="H31" i="2"/>
  <c r="H30" i="2"/>
  <c r="H29" i="2"/>
  <c r="H28" i="2"/>
  <c r="H27" i="2"/>
  <c r="H26" i="2"/>
  <c r="H25" i="2"/>
  <c r="H24" i="2"/>
  <c r="H23" i="2"/>
  <c r="H22" i="2"/>
  <c r="H21" i="2"/>
  <c r="H20" i="2"/>
  <c r="E19" i="2"/>
  <c r="E16" i="2"/>
  <c r="E17" i="1"/>
  <c r="J13" i="2"/>
  <c r="P1" i="2" s="1"/>
  <c r="E13" i="2"/>
  <c r="E11" i="2"/>
  <c r="E38" i="2"/>
  <c r="E37" i="2"/>
  <c r="E36" i="2"/>
  <c r="G8" i="2"/>
  <c r="P267" i="2" l="1"/>
  <c r="P268" i="2"/>
  <c r="P269" i="2"/>
  <c r="P270" i="2"/>
  <c r="P332" i="2"/>
  <c r="P330" i="2"/>
  <c r="P202" i="2"/>
  <c r="P198" i="2"/>
  <c r="P204" i="2"/>
  <c r="P209" i="2"/>
  <c r="P203" i="2"/>
  <c r="P205" i="2"/>
  <c r="P206" i="2"/>
  <c r="P1" i="21"/>
  <c r="P199" i="2"/>
  <c r="P207" i="2"/>
  <c r="P200" i="2"/>
  <c r="P208" i="2"/>
  <c r="P201" i="2"/>
  <c r="P1" i="20"/>
  <c r="P87" i="2"/>
  <c r="P1" i="18"/>
  <c r="P1" i="19"/>
  <c r="P168" i="2"/>
  <c r="P178" i="2"/>
  <c r="P1" i="17"/>
  <c r="P50" i="17" s="1"/>
  <c r="P176" i="2"/>
  <c r="P174" i="2"/>
  <c r="P170" i="2"/>
  <c r="P172" i="2"/>
  <c r="P1" i="9"/>
  <c r="P169" i="2"/>
  <c r="P179" i="2"/>
  <c r="P175" i="2"/>
  <c r="P171" i="2"/>
  <c r="P173" i="2"/>
  <c r="P177" i="2"/>
  <c r="E29" i="2"/>
  <c r="E25" i="2"/>
  <c r="E21" i="2"/>
  <c r="E28" i="2"/>
  <c r="E24" i="2"/>
  <c r="E20" i="2"/>
  <c r="E27" i="2"/>
  <c r="E26" i="2"/>
  <c r="E31" i="2"/>
  <c r="E23" i="2"/>
  <c r="E30" i="2"/>
  <c r="E22" i="2"/>
  <c r="P1" i="3"/>
  <c r="P369" i="2"/>
  <c r="P316" i="2"/>
  <c r="P276" i="2"/>
  <c r="P275" i="2"/>
  <c r="P274" i="2"/>
  <c r="P273" i="2"/>
  <c r="P272" i="2"/>
  <c r="P271" i="2"/>
  <c r="P277" i="2"/>
  <c r="Q1" i="2"/>
  <c r="P41" i="2"/>
  <c r="P7" i="2"/>
  <c r="E130" i="1"/>
  <c r="E127" i="1"/>
  <c r="J128" i="1"/>
  <c r="J127" i="1"/>
  <c r="E124" i="1"/>
  <c r="E123" i="1"/>
  <c r="E122" i="1"/>
  <c r="E116" i="1"/>
  <c r="E115" i="1"/>
  <c r="E114" i="1"/>
  <c r="E120" i="1"/>
  <c r="E119" i="1"/>
  <c r="E112" i="1"/>
  <c r="E111" i="1"/>
  <c r="E109" i="1"/>
  <c r="E64" i="1"/>
  <c r="E69" i="1"/>
  <c r="E68" i="1"/>
  <c r="E67" i="1"/>
  <c r="E65" i="1"/>
  <c r="J75" i="1"/>
  <c r="J76" i="1"/>
  <c r="J102" i="1"/>
  <c r="E102" i="1"/>
  <c r="J103" i="1"/>
  <c r="J99" i="1"/>
  <c r="E99" i="1"/>
  <c r="J100" i="1"/>
  <c r="E75" i="1"/>
  <c r="E211" i="8"/>
  <c r="E210" i="8"/>
  <c r="E209" i="8"/>
  <c r="E208" i="8"/>
  <c r="E207" i="8"/>
  <c r="E206" i="8"/>
  <c r="B201" i="8"/>
  <c r="B202" i="8"/>
  <c r="B203" i="8"/>
  <c r="B204" i="8"/>
  <c r="B205" i="8"/>
  <c r="B206" i="8"/>
  <c r="B207" i="8"/>
  <c r="B208" i="8"/>
  <c r="B209" i="8"/>
  <c r="B210" i="8"/>
  <c r="B211" i="8"/>
  <c r="B212" i="8"/>
  <c r="B213" i="8"/>
  <c r="B214" i="8"/>
  <c r="B215" i="8"/>
  <c r="E205" i="8"/>
  <c r="E201" i="8"/>
  <c r="E202" i="8"/>
  <c r="E203" i="8"/>
  <c r="E204" i="8"/>
  <c r="E200" i="8"/>
  <c r="E199" i="8"/>
  <c r="E198" i="8"/>
  <c r="E197" i="8"/>
  <c r="E196" i="8"/>
  <c r="E195" i="8"/>
  <c r="E194" i="8"/>
  <c r="E193" i="8"/>
  <c r="E192" i="8"/>
  <c r="B189" i="8"/>
  <c r="B190" i="8"/>
  <c r="B191" i="8"/>
  <c r="B192" i="8"/>
  <c r="B193" i="8"/>
  <c r="B194" i="8"/>
  <c r="B195" i="8"/>
  <c r="B196" i="8"/>
  <c r="B197" i="8"/>
  <c r="B198" i="8"/>
  <c r="B199" i="8"/>
  <c r="B200" i="8"/>
  <c r="E191" i="8"/>
  <c r="E190" i="8"/>
  <c r="E189" i="8"/>
  <c r="E188" i="8"/>
  <c r="E187" i="8"/>
  <c r="E186" i="8"/>
  <c r="E185" i="8"/>
  <c r="E184" i="8"/>
  <c r="E183" i="8"/>
  <c r="E182" i="8"/>
  <c r="E181" i="8"/>
  <c r="E180" i="8"/>
  <c r="E179" i="8"/>
  <c r="E178" i="8"/>
  <c r="E177" i="8"/>
  <c r="E176" i="8"/>
  <c r="E175" i="8"/>
  <c r="E174" i="8"/>
  <c r="E173" i="8"/>
  <c r="E172" i="8"/>
  <c r="E171" i="8"/>
  <c r="E170" i="8"/>
  <c r="E169" i="8"/>
  <c r="E168" i="8"/>
  <c r="E167" i="8"/>
  <c r="E166" i="8"/>
  <c r="E165" i="8"/>
  <c r="E164" i="8"/>
  <c r="E163" i="8"/>
  <c r="E162" i="8"/>
  <c r="E161" i="8"/>
  <c r="E160" i="8"/>
  <c r="E159"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E158" i="8"/>
  <c r="E157" i="8"/>
  <c r="E156" i="8"/>
  <c r="E155" i="8"/>
  <c r="E154" i="8"/>
  <c r="E153" i="8"/>
  <c r="E152" i="8"/>
  <c r="E151" i="8"/>
  <c r="E150" i="8"/>
  <c r="E149" i="8"/>
  <c r="E148" i="8"/>
  <c r="E147" i="8"/>
  <c r="E146" i="8"/>
  <c r="E145" i="8"/>
  <c r="E144" i="8"/>
  <c r="E143" i="8"/>
  <c r="E142" i="8"/>
  <c r="E141" i="8"/>
  <c r="E140" i="8"/>
  <c r="E139" i="8"/>
  <c r="E138" i="8"/>
  <c r="E137" i="8"/>
  <c r="E136" i="8"/>
  <c r="E135" i="8"/>
  <c r="E134" i="8"/>
  <c r="E133" i="8"/>
  <c r="E132" i="8"/>
  <c r="E131" i="8"/>
  <c r="E130" i="8"/>
  <c r="E129" i="8"/>
  <c r="E128" i="8"/>
  <c r="E127" i="8"/>
  <c r="E126" i="8"/>
  <c r="E125" i="8"/>
  <c r="E124" i="8"/>
  <c r="E123" i="8"/>
  <c r="E122" i="8"/>
  <c r="E121" i="8"/>
  <c r="E120" i="8"/>
  <c r="E119" i="8"/>
  <c r="E118" i="8"/>
  <c r="E117" i="8"/>
  <c r="E116" i="8"/>
  <c r="E115" i="8"/>
  <c r="E114" i="8"/>
  <c r="E113" i="8"/>
  <c r="E112"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N215" i="8"/>
  <c r="N214" i="8"/>
  <c r="N213" i="8"/>
  <c r="N212" i="8"/>
  <c r="N211" i="8"/>
  <c r="N210" i="8"/>
  <c r="N209" i="8"/>
  <c r="N208" i="8"/>
  <c r="N207" i="8"/>
  <c r="N206" i="8"/>
  <c r="N205" i="8"/>
  <c r="N204" i="8"/>
  <c r="N203" i="8"/>
  <c r="N202" i="8"/>
  <c r="N201" i="8"/>
  <c r="N200" i="8"/>
  <c r="N199" i="8"/>
  <c r="N198" i="8"/>
  <c r="N197" i="8"/>
  <c r="N196" i="8"/>
  <c r="N195" i="8"/>
  <c r="N194" i="8"/>
  <c r="N193" i="8"/>
  <c r="N192" i="8"/>
  <c r="N191" i="8"/>
  <c r="N190" i="8"/>
  <c r="N189" i="8"/>
  <c r="N188" i="8"/>
  <c r="N187" i="8"/>
  <c r="N186" i="8"/>
  <c r="N185" i="8"/>
  <c r="N184" i="8"/>
  <c r="N183" i="8"/>
  <c r="N182" i="8"/>
  <c r="N181" i="8"/>
  <c r="N180" i="8"/>
  <c r="N179" i="8"/>
  <c r="N178" i="8"/>
  <c r="N177" i="8"/>
  <c r="N176" i="8"/>
  <c r="N175" i="8"/>
  <c r="N174" i="8"/>
  <c r="N173" i="8"/>
  <c r="N172" i="8"/>
  <c r="N171" i="8"/>
  <c r="N170" i="8"/>
  <c r="N169" i="8"/>
  <c r="N168" i="8"/>
  <c r="N167" i="8"/>
  <c r="N166" i="8"/>
  <c r="N165" i="8"/>
  <c r="N164" i="8"/>
  <c r="N163" i="8"/>
  <c r="N162" i="8"/>
  <c r="N161" i="8"/>
  <c r="N160" i="8"/>
  <c r="N159" i="8"/>
  <c r="N158" i="8"/>
  <c r="N157" i="8"/>
  <c r="N156" i="8"/>
  <c r="N155" i="8"/>
  <c r="N154" i="8"/>
  <c r="N153" i="8"/>
  <c r="N152" i="8"/>
  <c r="N151" i="8"/>
  <c r="N150" i="8"/>
  <c r="N149" i="8"/>
  <c r="N148" i="8"/>
  <c r="N147" i="8"/>
  <c r="N146" i="8"/>
  <c r="N145" i="8"/>
  <c r="N144" i="8"/>
  <c r="N143" i="8"/>
  <c r="N142" i="8"/>
  <c r="N141" i="8"/>
  <c r="N140" i="8"/>
  <c r="N139" i="8"/>
  <c r="N138" i="8"/>
  <c r="N137" i="8"/>
  <c r="N136" i="8"/>
  <c r="N135" i="8"/>
  <c r="N134" i="8"/>
  <c r="N133" i="8"/>
  <c r="N132" i="8"/>
  <c r="N131" i="8"/>
  <c r="N130" i="8"/>
  <c r="N129" i="8"/>
  <c r="N128" i="8"/>
  <c r="N127" i="8"/>
  <c r="N126" i="8"/>
  <c r="N125" i="8"/>
  <c r="N124" i="8"/>
  <c r="N123" i="8"/>
  <c r="N122" i="8"/>
  <c r="N121" i="8"/>
  <c r="N120" i="8"/>
  <c r="N119" i="8"/>
  <c r="N118" i="8"/>
  <c r="N117" i="8"/>
  <c r="N116" i="8"/>
  <c r="N115" i="8"/>
  <c r="N114" i="8"/>
  <c r="N113" i="8"/>
  <c r="N112" i="8"/>
  <c r="N111" i="8"/>
  <c r="E111" i="8"/>
  <c r="N110" i="8"/>
  <c r="E110" i="8"/>
  <c r="N109" i="8"/>
  <c r="E109" i="8"/>
  <c r="N108" i="8"/>
  <c r="E108" i="8"/>
  <c r="N107" i="8"/>
  <c r="E107" i="8"/>
  <c r="N106" i="8"/>
  <c r="E106" i="8"/>
  <c r="N105" i="8"/>
  <c r="E105" i="8"/>
  <c r="N104" i="8"/>
  <c r="E104" i="8"/>
  <c r="N103" i="8"/>
  <c r="E103" i="8"/>
  <c r="N102" i="8"/>
  <c r="E102" i="8"/>
  <c r="N101" i="8"/>
  <c r="E101" i="8"/>
  <c r="N100" i="8"/>
  <c r="E100" i="8"/>
  <c r="N99" i="8"/>
  <c r="E99" i="8"/>
  <c r="N98" i="8"/>
  <c r="E98" i="8"/>
  <c r="N97" i="8"/>
  <c r="E97" i="8"/>
  <c r="N96" i="8"/>
  <c r="E96" i="8"/>
  <c r="N95" i="8"/>
  <c r="E95" i="8"/>
  <c r="N94" i="8"/>
  <c r="E94" i="8"/>
  <c r="N93" i="8"/>
  <c r="E93" i="8"/>
  <c r="N92" i="8"/>
  <c r="E92" i="8"/>
  <c r="N91" i="8"/>
  <c r="E91" i="8"/>
  <c r="N90" i="8"/>
  <c r="E90" i="8"/>
  <c r="N89" i="8"/>
  <c r="E89" i="8"/>
  <c r="N88" i="8"/>
  <c r="E88" i="8"/>
  <c r="N87" i="8"/>
  <c r="E87" i="8"/>
  <c r="N86" i="8"/>
  <c r="E86" i="8"/>
  <c r="N85" i="8"/>
  <c r="E85" i="8"/>
  <c r="N84" i="8"/>
  <c r="E84" i="8"/>
  <c r="N83" i="8"/>
  <c r="E83" i="8"/>
  <c r="N82" i="8"/>
  <c r="E82" i="8"/>
  <c r="N81" i="8"/>
  <c r="E81" i="8"/>
  <c r="N80" i="8"/>
  <c r="E80" i="8"/>
  <c r="N79" i="8"/>
  <c r="E79" i="8"/>
  <c r="N78" i="8"/>
  <c r="E78" i="8"/>
  <c r="N77" i="8"/>
  <c r="E77" i="8"/>
  <c r="N76" i="8"/>
  <c r="E76" i="8"/>
  <c r="N75" i="8"/>
  <c r="E75" i="8"/>
  <c r="N74" i="8"/>
  <c r="E74" i="8"/>
  <c r="N73" i="8"/>
  <c r="E73" i="8"/>
  <c r="N72" i="8"/>
  <c r="E72" i="8"/>
  <c r="N71" i="8"/>
  <c r="E71" i="8"/>
  <c r="N70" i="8"/>
  <c r="E70" i="8"/>
  <c r="N69" i="8"/>
  <c r="E69" i="8"/>
  <c r="N68" i="8"/>
  <c r="E68" i="8"/>
  <c r="N67" i="8"/>
  <c r="E67" i="8"/>
  <c r="N66" i="8"/>
  <c r="E66" i="8"/>
  <c r="N65" i="8"/>
  <c r="E65" i="8"/>
  <c r="N64" i="8"/>
  <c r="E64" i="8"/>
  <c r="N63" i="8"/>
  <c r="E63" i="8"/>
  <c r="N62" i="8"/>
  <c r="E62" i="8"/>
  <c r="N61" i="8"/>
  <c r="E61" i="8"/>
  <c r="N60" i="8"/>
  <c r="E60" i="8"/>
  <c r="N59" i="8"/>
  <c r="E59" i="8"/>
  <c r="N58" i="8"/>
  <c r="E58" i="8"/>
  <c r="N57" i="8"/>
  <c r="E57" i="8"/>
  <c r="N56" i="8"/>
  <c r="E56" i="8"/>
  <c r="N55" i="8"/>
  <c r="E55" i="8"/>
  <c r="N54" i="8"/>
  <c r="E54" i="8"/>
  <c r="N53" i="8"/>
  <c r="E53" i="8"/>
  <c r="N52" i="8"/>
  <c r="E52" i="8"/>
  <c r="N51" i="8"/>
  <c r="E51" i="8"/>
  <c r="N50" i="8"/>
  <c r="E50" i="8"/>
  <c r="N49" i="8"/>
  <c r="E49" i="8"/>
  <c r="N48" i="8"/>
  <c r="E48" i="8"/>
  <c r="N47" i="8"/>
  <c r="E47" i="8"/>
  <c r="E18" i="8"/>
  <c r="N18" i="8"/>
  <c r="E19" i="8"/>
  <c r="N19" i="8"/>
  <c r="E20" i="8"/>
  <c r="N20" i="8"/>
  <c r="E21" i="8"/>
  <c r="N21" i="8"/>
  <c r="E22" i="8"/>
  <c r="N22" i="8"/>
  <c r="E23" i="8"/>
  <c r="N23" i="8"/>
  <c r="E24" i="8"/>
  <c r="N24" i="8"/>
  <c r="E25" i="8"/>
  <c r="N25" i="8"/>
  <c r="E26" i="8"/>
  <c r="N26" i="8"/>
  <c r="E27" i="8"/>
  <c r="N27" i="8"/>
  <c r="E28" i="8"/>
  <c r="N28" i="8"/>
  <c r="E29" i="8"/>
  <c r="N29" i="8"/>
  <c r="E30" i="8"/>
  <c r="N30" i="8"/>
  <c r="E31" i="8"/>
  <c r="N31" i="8"/>
  <c r="E32" i="8"/>
  <c r="N32" i="8"/>
  <c r="E33" i="8"/>
  <c r="N33" i="8"/>
  <c r="E34" i="8"/>
  <c r="N34" i="8"/>
  <c r="E35" i="8"/>
  <c r="N35" i="8"/>
  <c r="E36" i="8"/>
  <c r="N36" i="8"/>
  <c r="E37" i="8"/>
  <c r="N37" i="8"/>
  <c r="E38" i="8"/>
  <c r="N38" i="8"/>
  <c r="E39" i="8"/>
  <c r="N39" i="8"/>
  <c r="E40" i="8"/>
  <c r="N40" i="8"/>
  <c r="E41" i="8"/>
  <c r="N41" i="8"/>
  <c r="E42" i="8"/>
  <c r="N42" i="8"/>
  <c r="E43" i="8"/>
  <c r="N43" i="8"/>
  <c r="E44" i="8"/>
  <c r="N44" i="8"/>
  <c r="E45" i="8"/>
  <c r="N45" i="8"/>
  <c r="E46" i="8"/>
  <c r="N46" i="8"/>
  <c r="E11" i="8"/>
  <c r="E12" i="8"/>
  <c r="E13" i="8"/>
  <c r="E14" i="8"/>
  <c r="E15" i="8"/>
  <c r="E16" i="8"/>
  <c r="E17" i="8"/>
  <c r="N11" i="8"/>
  <c r="N12" i="8"/>
  <c r="N13" i="8"/>
  <c r="N14" i="8"/>
  <c r="N15" i="8"/>
  <c r="N16" i="8"/>
  <c r="N17" i="8"/>
  <c r="N10" i="8"/>
  <c r="E10" i="8"/>
  <c r="B23" i="8"/>
  <c r="B22" i="8"/>
  <c r="B21" i="8"/>
  <c r="B20" i="8"/>
  <c r="B19" i="8"/>
  <c r="B18" i="8"/>
  <c r="B17" i="8"/>
  <c r="B16" i="8"/>
  <c r="B15" i="8"/>
  <c r="B14" i="8"/>
  <c r="B13" i="8"/>
  <c r="B12" i="8"/>
  <c r="C11" i="8"/>
  <c r="C12" i="8" s="1"/>
  <c r="C13" i="8" s="1"/>
  <c r="C14" i="8" s="1"/>
  <c r="C15" i="8" s="1"/>
  <c r="C16" i="8" s="1"/>
  <c r="C17" i="8" s="1"/>
  <c r="C18" i="8" s="1"/>
  <c r="C19" i="8" s="1"/>
  <c r="C20" i="8" s="1"/>
  <c r="C21" i="8" s="1"/>
  <c r="C22" i="8" s="1"/>
  <c r="C23" i="8" s="1"/>
  <c r="C24" i="8" s="1"/>
  <c r="C25" i="8" s="1"/>
  <c r="C26" i="8" s="1"/>
  <c r="C27" i="8" s="1"/>
  <c r="C28" i="8" s="1"/>
  <c r="C29" i="8" s="1"/>
  <c r="C30" i="8" s="1"/>
  <c r="C31" i="8" s="1"/>
  <c r="C32" i="8" s="1"/>
  <c r="C33" i="8" s="1"/>
  <c r="C34" i="8" s="1"/>
  <c r="C35" i="8" s="1"/>
  <c r="C36" i="8" s="1"/>
  <c r="C37" i="8" s="1"/>
  <c r="C38" i="8" s="1"/>
  <c r="C39" i="8" s="1"/>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96" i="8" s="1"/>
  <c r="C97" i="8" s="1"/>
  <c r="C98" i="8" s="1"/>
  <c r="C99" i="8" s="1"/>
  <c r="C100" i="8" s="1"/>
  <c r="C101" i="8" s="1"/>
  <c r="C102" i="8" s="1"/>
  <c r="C103" i="8" s="1"/>
  <c r="C104" i="8" s="1"/>
  <c r="C105" i="8" s="1"/>
  <c r="C106" i="8" s="1"/>
  <c r="C107" i="8" s="1"/>
  <c r="C108" i="8" s="1"/>
  <c r="C109" i="8" s="1"/>
  <c r="C110" i="8" s="1"/>
  <c r="C111" i="8" s="1"/>
  <c r="C112" i="8" s="1"/>
  <c r="C113" i="8" s="1"/>
  <c r="C114" i="8" s="1"/>
  <c r="C115" i="8" s="1"/>
  <c r="C116" i="8" s="1"/>
  <c r="C117" i="8" s="1"/>
  <c r="C118" i="8" s="1"/>
  <c r="C119" i="8" s="1"/>
  <c r="C120" i="8" s="1"/>
  <c r="C121" i="8" s="1"/>
  <c r="C122" i="8" s="1"/>
  <c r="C123" i="8" s="1"/>
  <c r="C124" i="8" s="1"/>
  <c r="C125" i="8" s="1"/>
  <c r="C126" i="8" s="1"/>
  <c r="C127" i="8" s="1"/>
  <c r="C128" i="8" s="1"/>
  <c r="C129" i="8" s="1"/>
  <c r="C130" i="8" s="1"/>
  <c r="C131" i="8" s="1"/>
  <c r="C132" i="8" s="1"/>
  <c r="C133" i="8" s="1"/>
  <c r="C134" i="8" s="1"/>
  <c r="C135" i="8" s="1"/>
  <c r="C136" i="8" s="1"/>
  <c r="C137" i="8" s="1"/>
  <c r="C138" i="8" s="1"/>
  <c r="C139" i="8" s="1"/>
  <c r="C140" i="8" s="1"/>
  <c r="C141" i="8" s="1"/>
  <c r="C142" i="8" s="1"/>
  <c r="C143" i="8" s="1"/>
  <c r="C144" i="8" s="1"/>
  <c r="C145" i="8" s="1"/>
  <c r="C146" i="8" s="1"/>
  <c r="C147" i="8" s="1"/>
  <c r="C148" i="8" s="1"/>
  <c r="C149" i="8" s="1"/>
  <c r="C150" i="8" s="1"/>
  <c r="C151" i="8" s="1"/>
  <c r="C152" i="8" s="1"/>
  <c r="C153" i="8" s="1"/>
  <c r="C154" i="8" s="1"/>
  <c r="C155" i="8" s="1"/>
  <c r="C156" i="8" s="1"/>
  <c r="C157" i="8" s="1"/>
  <c r="C158" i="8" s="1"/>
  <c r="C159" i="8" s="1"/>
  <c r="C160" i="8" s="1"/>
  <c r="C161" i="8" s="1"/>
  <c r="C162" i="8" s="1"/>
  <c r="C163" i="8" s="1"/>
  <c r="C164" i="8" s="1"/>
  <c r="C165" i="8" s="1"/>
  <c r="C166" i="8" s="1"/>
  <c r="C167" i="8" s="1"/>
  <c r="C168" i="8" s="1"/>
  <c r="C169" i="8" s="1"/>
  <c r="C170" i="8" s="1"/>
  <c r="C171" i="8" s="1"/>
  <c r="C172" i="8" s="1"/>
  <c r="C173" i="8" s="1"/>
  <c r="C174" i="8" s="1"/>
  <c r="C175" i="8" s="1"/>
  <c r="C176" i="8" s="1"/>
  <c r="C177" i="8" s="1"/>
  <c r="C178" i="8" s="1"/>
  <c r="C179" i="8" s="1"/>
  <c r="C180" i="8" s="1"/>
  <c r="C181" i="8" s="1"/>
  <c r="C182" i="8" s="1"/>
  <c r="C183" i="8" s="1"/>
  <c r="C184" i="8" s="1"/>
  <c r="C185" i="8" s="1"/>
  <c r="C186" i="8" s="1"/>
  <c r="C187" i="8" s="1"/>
  <c r="C188" i="8" s="1"/>
  <c r="C189" i="8" s="1"/>
  <c r="C190" i="8" s="1"/>
  <c r="C191" i="8" s="1"/>
  <c r="C192" i="8" s="1"/>
  <c r="C193" i="8" s="1"/>
  <c r="C194" i="8" s="1"/>
  <c r="C195" i="8" s="1"/>
  <c r="C196" i="8" s="1"/>
  <c r="C197" i="8" s="1"/>
  <c r="C198" i="8" s="1"/>
  <c r="C199" i="8" s="1"/>
  <c r="C200" i="8" s="1"/>
  <c r="C201" i="8" s="1"/>
  <c r="C202" i="8" s="1"/>
  <c r="C203" i="8" s="1"/>
  <c r="C204" i="8" s="1"/>
  <c r="C205" i="8" s="1"/>
  <c r="C206" i="8" s="1"/>
  <c r="C207" i="8" s="1"/>
  <c r="C208" i="8" s="1"/>
  <c r="C209" i="8" s="1"/>
  <c r="C210" i="8" s="1"/>
  <c r="C211" i="8" s="1"/>
  <c r="C212" i="8" s="1"/>
  <c r="C213" i="8" s="1"/>
  <c r="C214" i="8" s="1"/>
  <c r="C215" i="8" s="1"/>
  <c r="B11" i="8"/>
  <c r="B10" i="8"/>
  <c r="E105" i="1"/>
  <c r="E78" i="1"/>
  <c r="J78" i="1"/>
  <c r="J26" i="1"/>
  <c r="E80" i="1"/>
  <c r="E95" i="1"/>
  <c r="E94" i="1"/>
  <c r="E93" i="1"/>
  <c r="E91" i="1"/>
  <c r="E88" i="1"/>
  <c r="E87" i="1"/>
  <c r="E86" i="1"/>
  <c r="E85" i="1"/>
  <c r="E84" i="1"/>
  <c r="E83" i="1"/>
  <c r="E81" i="1"/>
  <c r="J79" i="1"/>
  <c r="J27" i="1"/>
  <c r="E72" i="1"/>
  <c r="E46" i="1"/>
  <c r="E61" i="1"/>
  <c r="E60" i="1"/>
  <c r="E59" i="1"/>
  <c r="E57" i="1"/>
  <c r="E54" i="1"/>
  <c r="E53" i="1"/>
  <c r="E52" i="1"/>
  <c r="E51" i="1"/>
  <c r="E50" i="1"/>
  <c r="E49" i="1"/>
  <c r="E47" i="1"/>
  <c r="E43" i="1"/>
  <c r="E42" i="1"/>
  <c r="E41" i="1"/>
  <c r="E39" i="1"/>
  <c r="E36" i="1"/>
  <c r="E35" i="1"/>
  <c r="E34" i="1"/>
  <c r="E33" i="1"/>
  <c r="E32" i="1"/>
  <c r="E31" i="1"/>
  <c r="E29" i="1"/>
  <c r="E26" i="1"/>
  <c r="E28" i="1"/>
  <c r="P193" i="20" l="1"/>
  <c r="P331" i="2"/>
  <c r="Q332" i="2"/>
  <c r="Q330" i="2"/>
  <c r="Q203" i="2"/>
  <c r="Q201" i="2"/>
  <c r="Q209" i="2"/>
  <c r="Q208" i="2"/>
  <c r="Q198" i="2"/>
  <c r="Q206" i="2"/>
  <c r="Q204" i="2"/>
  <c r="Q1" i="21"/>
  <c r="Q199" i="2"/>
  <c r="Q207" i="2"/>
  <c r="Q202" i="2"/>
  <c r="Q205" i="2"/>
  <c r="Q200" i="2"/>
  <c r="Q1" i="20"/>
  <c r="P294" i="10"/>
  <c r="P294" i="12"/>
  <c r="P294" i="14"/>
  <c r="J83" i="1"/>
  <c r="P7" i="21"/>
  <c r="P7" i="20"/>
  <c r="J87" i="1"/>
  <c r="P98" i="21"/>
  <c r="P116" i="21" s="1"/>
  <c r="P132" i="21" s="1"/>
  <c r="P99" i="21"/>
  <c r="P117" i="21" s="1"/>
  <c r="P133" i="21" s="1"/>
  <c r="P100" i="21"/>
  <c r="P118" i="21" s="1"/>
  <c r="P134" i="21" s="1"/>
  <c r="P101" i="21"/>
  <c r="P119" i="21" s="1"/>
  <c r="P135" i="21" s="1"/>
  <c r="P97" i="21"/>
  <c r="P115" i="21" s="1"/>
  <c r="P131" i="21" s="1"/>
  <c r="P94" i="21"/>
  <c r="P112" i="21" s="1"/>
  <c r="P128" i="21" s="1"/>
  <c r="P102" i="21"/>
  <c r="P120" i="21" s="1"/>
  <c r="P136" i="21" s="1"/>
  <c r="P95" i="21"/>
  <c r="P113" i="21" s="1"/>
  <c r="P129" i="21" s="1"/>
  <c r="P103" i="21"/>
  <c r="P121" i="21" s="1"/>
  <c r="P137" i="21" s="1"/>
  <c r="P96" i="21"/>
  <c r="P114" i="21" s="1"/>
  <c r="P130" i="21" s="1"/>
  <c r="P104" i="21"/>
  <c r="P122" i="21" s="1"/>
  <c r="P93" i="21"/>
  <c r="P111" i="21" s="1"/>
  <c r="P27" i="21"/>
  <c r="P33" i="21"/>
  <c r="P60" i="21"/>
  <c r="P126" i="21"/>
  <c r="P30" i="21"/>
  <c r="P37" i="21"/>
  <c r="P34" i="21"/>
  <c r="P38" i="21"/>
  <c r="P28" i="21"/>
  <c r="P32" i="21"/>
  <c r="P31" i="21"/>
  <c r="P36" i="21"/>
  <c r="P29" i="21"/>
  <c r="P35" i="21"/>
  <c r="P7" i="18"/>
  <c r="P7" i="19"/>
  <c r="P11" i="19"/>
  <c r="P105" i="19"/>
  <c r="P193" i="19"/>
  <c r="Q1" i="17"/>
  <c r="Q50" i="17" s="1"/>
  <c r="Q1" i="19"/>
  <c r="Q1" i="18"/>
  <c r="P105" i="18"/>
  <c r="P11" i="18"/>
  <c r="P193" i="18"/>
  <c r="P7" i="9"/>
  <c r="P7" i="17"/>
  <c r="Q87" i="2"/>
  <c r="Q1" i="9"/>
  <c r="Q178" i="2"/>
  <c r="Q172" i="2"/>
  <c r="Q177" i="2"/>
  <c r="Q170" i="2"/>
  <c r="Q168" i="2"/>
  <c r="Q173" i="2"/>
  <c r="Q174" i="2"/>
  <c r="Q171" i="2"/>
  <c r="Q176" i="2"/>
  <c r="Q175" i="2"/>
  <c r="Q179" i="2"/>
  <c r="Q169" i="2"/>
  <c r="Q25" i="2"/>
  <c r="P25" i="2"/>
  <c r="Q30" i="2"/>
  <c r="P30" i="2"/>
  <c r="P27" i="2"/>
  <c r="Q27" i="2"/>
  <c r="P21" i="2"/>
  <c r="Q21" i="2"/>
  <c r="P20" i="2"/>
  <c r="Q20" i="2"/>
  <c r="Q31" i="2"/>
  <c r="P31" i="2"/>
  <c r="Q24" i="2"/>
  <c r="P24" i="2"/>
  <c r="P29" i="2"/>
  <c r="Q29" i="2"/>
  <c r="Q23" i="2"/>
  <c r="P23" i="2"/>
  <c r="Q22" i="2"/>
  <c r="P22" i="2"/>
  <c r="Q26" i="2"/>
  <c r="P26" i="2"/>
  <c r="Q28" i="2"/>
  <c r="P28" i="2"/>
  <c r="P193" i="3"/>
  <c r="P8" i="2"/>
  <c r="P7" i="3"/>
  <c r="P105" i="3"/>
  <c r="Q1" i="3"/>
  <c r="Q277" i="2"/>
  <c r="Q276" i="2"/>
  <c r="Q272" i="2"/>
  <c r="Q268" i="2"/>
  <c r="Q275" i="2"/>
  <c r="Q271" i="2"/>
  <c r="Q267" i="2"/>
  <c r="Q274" i="2"/>
  <c r="Q270" i="2"/>
  <c r="Q273" i="2"/>
  <c r="Q269" i="2"/>
  <c r="R1" i="2"/>
  <c r="Q41" i="2"/>
  <c r="J95" i="1"/>
  <c r="J84" i="1"/>
  <c r="J88" i="1"/>
  <c r="J85" i="1"/>
  <c r="J93" i="1"/>
  <c r="J86" i="1"/>
  <c r="J94" i="1"/>
  <c r="J20" i="1"/>
  <c r="M32" i="17" s="1"/>
  <c r="G23" i="1"/>
  <c r="G22" i="1"/>
  <c r="G21" i="1"/>
  <c r="E20" i="1"/>
  <c r="P8" i="1"/>
  <c r="P1" i="1"/>
  <c r="B14" i="4"/>
  <c r="G28" i="1" s="1"/>
  <c r="B15" i="4"/>
  <c r="G46" i="1" s="1"/>
  <c r="G59" i="1" s="1"/>
  <c r="B16" i="4"/>
  <c r="G72" i="1" s="1"/>
  <c r="B17" i="4"/>
  <c r="G78" i="1" s="1"/>
  <c r="B18" i="4"/>
  <c r="G80" i="1" s="1"/>
  <c r="G95" i="1" s="1"/>
  <c r="B19" i="4"/>
  <c r="G105" i="1" s="1"/>
  <c r="B20" i="4"/>
  <c r="G75" i="1" s="1"/>
  <c r="B21" i="4"/>
  <c r="G99" i="1" s="1"/>
  <c r="B22" i="4"/>
  <c r="G102" i="1" s="1"/>
  <c r="B23" i="4"/>
  <c r="G64" i="1" s="1"/>
  <c r="B24" i="4"/>
  <c r="G109" i="1" s="1"/>
  <c r="B25" i="4"/>
  <c r="G111" i="1" s="1"/>
  <c r="B26" i="4"/>
  <c r="G119" i="1" s="1"/>
  <c r="B27" i="4"/>
  <c r="G127" i="1" s="1"/>
  <c r="B28" i="4"/>
  <c r="G130" i="1" s="1"/>
  <c r="B29" i="4"/>
  <c r="B30" i="4"/>
  <c r="B31" i="4"/>
  <c r="B32" i="4"/>
  <c r="B33" i="4"/>
  <c r="B34" i="4"/>
  <c r="B35" i="4"/>
  <c r="B36" i="4"/>
  <c r="B37" i="4"/>
  <c r="B38" i="4"/>
  <c r="B39" i="4"/>
  <c r="B40" i="4"/>
  <c r="B41" i="4"/>
  <c r="B42" i="4"/>
  <c r="B43" i="4"/>
  <c r="B44" i="4"/>
  <c r="B45" i="4"/>
  <c r="B46" i="4"/>
  <c r="B47" i="4"/>
  <c r="B48" i="4"/>
  <c r="B49" i="4"/>
  <c r="B13" i="4"/>
  <c r="G26" i="1" s="1"/>
  <c r="C13" i="4"/>
  <c r="C14" i="4" s="1"/>
  <c r="C15" i="4" s="1"/>
  <c r="C16" i="4" s="1"/>
  <c r="C17" i="4" s="1"/>
  <c r="C18" i="4" s="1"/>
  <c r="C19" i="4" s="1"/>
  <c r="C20" i="4" s="1"/>
  <c r="C21" i="4" s="1"/>
  <c r="C22" i="4" s="1"/>
  <c r="C23" i="4" s="1"/>
  <c r="C24" i="4" s="1"/>
  <c r="C25" i="4" s="1"/>
  <c r="C26" i="4" s="1"/>
  <c r="C27" i="4" s="1"/>
  <c r="C28" i="4" s="1"/>
  <c r="C29" i="4" s="1"/>
  <c r="C30" i="4" s="1"/>
  <c r="C31" i="4" s="1"/>
  <c r="C32" i="4" s="1"/>
  <c r="C33" i="4" s="1"/>
  <c r="C34" i="4" s="1"/>
  <c r="C35" i="4" s="1"/>
  <c r="C36" i="4" s="1"/>
  <c r="C37" i="4" s="1"/>
  <c r="C38" i="4" s="1"/>
  <c r="C39" i="4" s="1"/>
  <c r="C40" i="4" s="1"/>
  <c r="C41" i="4" s="1"/>
  <c r="C42" i="4" s="1"/>
  <c r="C43" i="4" s="1"/>
  <c r="C44" i="4" s="1"/>
  <c r="C45" i="4" s="1"/>
  <c r="C46" i="4" s="1"/>
  <c r="C47" i="4" s="1"/>
  <c r="C48" i="4" s="1"/>
  <c r="C49" i="4" s="1"/>
  <c r="C50" i="4" s="1"/>
  <c r="C51" i="4" s="1"/>
  <c r="C52" i="4" s="1"/>
  <c r="C53" i="4" s="1"/>
  <c r="C54" i="4" s="1"/>
  <c r="C55" i="4" s="1"/>
  <c r="C56" i="4" s="1"/>
  <c r="C57" i="4" s="1"/>
  <c r="C58" i="4" s="1"/>
  <c r="C59" i="4" s="1"/>
  <c r="C60" i="4" s="1"/>
  <c r="C61" i="4" s="1"/>
  <c r="C62" i="4" s="1"/>
  <c r="C63" i="4" s="1"/>
  <c r="C64" i="4" s="1"/>
  <c r="C65" i="4" s="1"/>
  <c r="C66" i="4" s="1"/>
  <c r="C67" i="4" s="1"/>
  <c r="C68" i="4" s="1"/>
  <c r="C69" i="4" s="1"/>
  <c r="C70" i="4" s="1"/>
  <c r="C71" i="4" s="1"/>
  <c r="C72" i="4" s="1"/>
  <c r="C73" i="4" s="1"/>
  <c r="C74" i="4" s="1"/>
  <c r="C75" i="4" s="1"/>
  <c r="C76" i="4" s="1"/>
  <c r="C77" i="4" s="1"/>
  <c r="C78" i="4" s="1"/>
  <c r="C79" i="4" s="1"/>
  <c r="C80" i="4" s="1"/>
  <c r="C81" i="4" s="1"/>
  <c r="C82" i="4" s="1"/>
  <c r="C83" i="4" s="1"/>
  <c r="C84" i="4" s="1"/>
  <c r="C85" i="4" s="1"/>
  <c r="C86" i="4" s="1"/>
  <c r="C87" i="4" s="1"/>
  <c r="C88" i="4" s="1"/>
  <c r="C89" i="4" s="1"/>
  <c r="C90" i="4" s="1"/>
  <c r="C91" i="4" s="1"/>
  <c r="C92" i="4" s="1"/>
  <c r="C93" i="4" s="1"/>
  <c r="C94" i="4" s="1"/>
  <c r="C95" i="4" s="1"/>
  <c r="C96" i="4" s="1"/>
  <c r="C97" i="4" s="1"/>
  <c r="C98" i="4" s="1"/>
  <c r="C99" i="4" s="1"/>
  <c r="C100" i="4" s="1"/>
  <c r="C101" i="4" s="1"/>
  <c r="C102" i="4" s="1"/>
  <c r="C103" i="4" s="1"/>
  <c r="C104" i="4" s="1"/>
  <c r="C105" i="4" s="1"/>
  <c r="C106" i="4" s="1"/>
  <c r="C107" i="4" s="1"/>
  <c r="C108" i="4" s="1"/>
  <c r="C109" i="4" s="1"/>
  <c r="C110" i="4" s="1"/>
  <c r="C111" i="4" s="1"/>
  <c r="C112" i="4" s="1"/>
  <c r="C113" i="4" s="1"/>
  <c r="C114" i="4" s="1"/>
  <c r="C115" i="4" s="1"/>
  <c r="C116" i="4" s="1"/>
  <c r="C117" i="4" s="1"/>
  <c r="C118" i="4" s="1"/>
  <c r="C119" i="4" s="1"/>
  <c r="C120" i="4" s="1"/>
  <c r="C121" i="4" s="1"/>
  <c r="C122" i="4" s="1"/>
  <c r="C123" i="4" s="1"/>
  <c r="C124" i="4" s="1"/>
  <c r="C125" i="4" s="1"/>
  <c r="C126" i="4" s="1"/>
  <c r="C127" i="4" s="1"/>
  <c r="C128" i="4" s="1"/>
  <c r="C129" i="4" s="1"/>
  <c r="C130" i="4" s="1"/>
  <c r="C131" i="4" s="1"/>
  <c r="C132" i="4" s="1"/>
  <c r="C133" i="4" s="1"/>
  <c r="C134" i="4" s="1"/>
  <c r="C135" i="4" s="1"/>
  <c r="C136" i="4" s="1"/>
  <c r="C137" i="4" s="1"/>
  <c r="C138" i="4" s="1"/>
  <c r="C139" i="4" s="1"/>
  <c r="C140" i="4" s="1"/>
  <c r="C141" i="4" s="1"/>
  <c r="C142" i="4" s="1"/>
  <c r="C143" i="4" s="1"/>
  <c r="C144" i="4" s="1"/>
  <c r="C145" i="4" s="1"/>
  <c r="C146" i="4" s="1"/>
  <c r="C147" i="4" s="1"/>
  <c r="C148" i="4" s="1"/>
  <c r="C149" i="4" s="1"/>
  <c r="C150" i="4" s="1"/>
  <c r="C151" i="4" s="1"/>
  <c r="C152" i="4" s="1"/>
  <c r="C153" i="4" s="1"/>
  <c r="C154" i="4" s="1"/>
  <c r="C155" i="4" s="1"/>
  <c r="C156" i="4" s="1"/>
  <c r="B12" i="4"/>
  <c r="G17" i="1" s="1"/>
  <c r="G8" i="1"/>
  <c r="E8" i="1"/>
  <c r="L15" i="1"/>
  <c r="J17" i="1" s="1"/>
  <c r="E15" i="1"/>
  <c r="E13" i="1"/>
  <c r="E11" i="1"/>
  <c r="Q193" i="20" l="1"/>
  <c r="Q331" i="2"/>
  <c r="P127" i="21"/>
  <c r="P125" i="21" s="1"/>
  <c r="P110" i="21"/>
  <c r="P92" i="21"/>
  <c r="P53" i="21"/>
  <c r="P69" i="21" s="1"/>
  <c r="P344" i="2"/>
  <c r="P46" i="21"/>
  <c r="P62" i="21" s="1"/>
  <c r="P337" i="2"/>
  <c r="P55" i="21"/>
  <c r="P71" i="21" s="1"/>
  <c r="P346" i="2"/>
  <c r="Q93" i="21"/>
  <c r="Q111" i="21" s="1"/>
  <c r="Q127" i="21" s="1"/>
  <c r="Q101" i="21"/>
  <c r="Q119" i="21" s="1"/>
  <c r="Q135" i="21" s="1"/>
  <c r="Q96" i="21"/>
  <c r="Q114" i="21" s="1"/>
  <c r="Q130" i="21" s="1"/>
  <c r="Q104" i="21"/>
  <c r="Q122" i="21" s="1"/>
  <c r="Q98" i="21"/>
  <c r="Q116" i="21" s="1"/>
  <c r="Q132" i="21" s="1"/>
  <c r="Q99" i="21"/>
  <c r="Q117" i="21" s="1"/>
  <c r="Q133" i="21" s="1"/>
  <c r="Q94" i="21"/>
  <c r="Q112" i="21" s="1"/>
  <c r="Q102" i="21"/>
  <c r="Q120" i="21" s="1"/>
  <c r="Q136" i="21" s="1"/>
  <c r="Q97" i="21"/>
  <c r="Q115" i="21" s="1"/>
  <c r="Q131" i="21" s="1"/>
  <c r="Q100" i="21"/>
  <c r="Q118" i="21" s="1"/>
  <c r="Q134" i="21" s="1"/>
  <c r="Q95" i="21"/>
  <c r="Q113" i="21" s="1"/>
  <c r="Q129" i="21" s="1"/>
  <c r="Q103" i="21"/>
  <c r="Q121" i="21" s="1"/>
  <c r="Q137" i="21" s="1"/>
  <c r="Q126" i="21"/>
  <c r="Q35" i="21"/>
  <c r="Q53" i="21" s="1"/>
  <c r="Q69" i="21" s="1"/>
  <c r="Q29" i="21"/>
  <c r="Q47" i="21" s="1"/>
  <c r="Q63" i="21" s="1"/>
  <c r="Q27" i="21"/>
  <c r="Q45" i="21" s="1"/>
  <c r="Q61" i="21" s="1"/>
  <c r="Q37" i="21"/>
  <c r="Q34" i="21"/>
  <c r="Q52" i="21" s="1"/>
  <c r="Q68" i="21" s="1"/>
  <c r="Q32" i="21"/>
  <c r="Q50" i="21" s="1"/>
  <c r="Q66" i="21" s="1"/>
  <c r="Q31" i="21"/>
  <c r="Q33" i="21"/>
  <c r="Q38" i="21"/>
  <c r="Q30" i="21"/>
  <c r="Q36" i="21"/>
  <c r="Q28" i="21"/>
  <c r="P50" i="21"/>
  <c r="P66" i="21" s="1"/>
  <c r="P341" i="2"/>
  <c r="P45" i="21"/>
  <c r="P336" i="2"/>
  <c r="P105" i="20"/>
  <c r="P48" i="21"/>
  <c r="P64" i="21" s="1"/>
  <c r="P339" i="2"/>
  <c r="P26" i="21"/>
  <c r="P47" i="21"/>
  <c r="P63" i="21" s="1"/>
  <c r="P338" i="2"/>
  <c r="P56" i="21"/>
  <c r="Q60" i="21" s="1"/>
  <c r="P347" i="2"/>
  <c r="P8" i="21"/>
  <c r="P8" i="20"/>
  <c r="P301" i="2"/>
  <c r="P317" i="2" s="1"/>
  <c r="P54" i="21"/>
  <c r="P70" i="21" s="1"/>
  <c r="P345" i="2"/>
  <c r="P26" i="1"/>
  <c r="M190" i="19"/>
  <c r="P258" i="19" s="1"/>
  <c r="M190" i="20"/>
  <c r="P44" i="2"/>
  <c r="P90" i="2" s="1"/>
  <c r="P138" i="12" s="1"/>
  <c r="P330" i="12" s="1"/>
  <c r="P49" i="21"/>
  <c r="P65" i="21" s="1"/>
  <c r="P340" i="2"/>
  <c r="P109" i="1"/>
  <c r="P127" i="1" s="1"/>
  <c r="P102" i="1"/>
  <c r="R330" i="2"/>
  <c r="R332" i="2"/>
  <c r="R200" i="2"/>
  <c r="R208" i="2"/>
  <c r="R203" i="2"/>
  <c r="R206" i="2"/>
  <c r="R205" i="2"/>
  <c r="R198" i="2"/>
  <c r="R1" i="21"/>
  <c r="R201" i="2"/>
  <c r="R209" i="2"/>
  <c r="R204" i="2"/>
  <c r="R199" i="2"/>
  <c r="R207" i="2"/>
  <c r="R202" i="2"/>
  <c r="R1" i="20"/>
  <c r="P52" i="21"/>
  <c r="P68" i="21" s="1"/>
  <c r="P343" i="2"/>
  <c r="P51" i="21"/>
  <c r="P67" i="21" s="1"/>
  <c r="P342" i="2"/>
  <c r="R1" i="17"/>
  <c r="R50" i="17" s="1"/>
  <c r="R1" i="19"/>
  <c r="R1" i="18"/>
  <c r="P8" i="17"/>
  <c r="P8" i="18"/>
  <c r="P8" i="19"/>
  <c r="Q11" i="19"/>
  <c r="Q193" i="19"/>
  <c r="Q105" i="19"/>
  <c r="P312" i="2"/>
  <c r="Q316" i="2" s="1"/>
  <c r="Q105" i="18"/>
  <c r="Q11" i="18"/>
  <c r="Q193" i="18"/>
  <c r="M78" i="1"/>
  <c r="M190" i="18" s="1"/>
  <c r="R24" i="2"/>
  <c r="G280" i="2"/>
  <c r="G205" i="12"/>
  <c r="G205" i="10"/>
  <c r="G205" i="14"/>
  <c r="G247" i="2"/>
  <c r="G172" i="10"/>
  <c r="G172" i="12"/>
  <c r="G172" i="14"/>
  <c r="G104" i="10"/>
  <c r="G104" i="14"/>
  <c r="G104" i="12"/>
  <c r="G80" i="12"/>
  <c r="G80" i="10"/>
  <c r="G80" i="14"/>
  <c r="G87" i="14"/>
  <c r="G87" i="12"/>
  <c r="G87" i="10"/>
  <c r="G41" i="2"/>
  <c r="G41" i="12"/>
  <c r="G41" i="10"/>
  <c r="G41" i="14"/>
  <c r="P54" i="2"/>
  <c r="P69" i="2" s="1"/>
  <c r="G282" i="2"/>
  <c r="G207" i="10"/>
  <c r="G207" i="14"/>
  <c r="G207" i="12"/>
  <c r="G157" i="14"/>
  <c r="G160" i="10"/>
  <c r="G165" i="12"/>
  <c r="G163" i="10"/>
  <c r="G160" i="12"/>
  <c r="G169" i="14"/>
  <c r="G168" i="10"/>
  <c r="G157" i="10"/>
  <c r="G167" i="10"/>
  <c r="G157" i="12"/>
  <c r="G159" i="12"/>
  <c r="G162" i="10"/>
  <c r="G162" i="12"/>
  <c r="G166" i="12"/>
  <c r="G164" i="12"/>
  <c r="G161" i="12"/>
  <c r="G163" i="12"/>
  <c r="G160" i="14"/>
  <c r="G161" i="14"/>
  <c r="G159" i="14"/>
  <c r="G159" i="10"/>
  <c r="G166" i="14"/>
  <c r="G169" i="10"/>
  <c r="G168" i="14"/>
  <c r="G167" i="14"/>
  <c r="G158" i="12"/>
  <c r="G162" i="14"/>
  <c r="G164" i="14"/>
  <c r="G169" i="12"/>
  <c r="G158" i="10"/>
  <c r="G168" i="12"/>
  <c r="G165" i="14"/>
  <c r="G164" i="10"/>
  <c r="G161" i="10"/>
  <c r="G163" i="14"/>
  <c r="G166" i="10"/>
  <c r="G165" i="10"/>
  <c r="G158" i="14"/>
  <c r="G167" i="12"/>
  <c r="G131" i="12"/>
  <c r="G130" i="12"/>
  <c r="G133" i="12"/>
  <c r="G122" i="14"/>
  <c r="G131" i="14"/>
  <c r="G122" i="10"/>
  <c r="G123" i="12"/>
  <c r="G122" i="12"/>
  <c r="G132" i="10"/>
  <c r="G130" i="14"/>
  <c r="G123" i="14"/>
  <c r="G126" i="12"/>
  <c r="G126" i="14"/>
  <c r="G127" i="14"/>
  <c r="G128" i="10"/>
  <c r="G125" i="12"/>
  <c r="G130" i="10"/>
  <c r="G129" i="14"/>
  <c r="G129" i="12"/>
  <c r="G128" i="12"/>
  <c r="G124" i="14"/>
  <c r="G128" i="14"/>
  <c r="G134" i="14"/>
  <c r="G134" i="12"/>
  <c r="G129" i="10"/>
  <c r="G124" i="10"/>
  <c r="G134" i="10"/>
  <c r="G131" i="10"/>
  <c r="G133" i="14"/>
  <c r="G127" i="10"/>
  <c r="G124" i="12"/>
  <c r="G132" i="14"/>
  <c r="G126" i="10"/>
  <c r="G132" i="12"/>
  <c r="G127" i="12"/>
  <c r="G133" i="10"/>
  <c r="G123" i="10"/>
  <c r="G125" i="14"/>
  <c r="G125" i="10"/>
  <c r="G73" i="2"/>
  <c r="G75" i="2" s="1"/>
  <c r="G73" i="12"/>
  <c r="G73" i="10"/>
  <c r="G73" i="14"/>
  <c r="G34" i="2"/>
  <c r="G36" i="2" s="1"/>
  <c r="G34" i="14"/>
  <c r="G34" i="12"/>
  <c r="G34" i="10"/>
  <c r="R26" i="2"/>
  <c r="G175" i="10"/>
  <c r="G175" i="14"/>
  <c r="G177" i="14"/>
  <c r="G175" i="12"/>
  <c r="G187" i="10"/>
  <c r="G179" i="12"/>
  <c r="G187" i="14"/>
  <c r="G177" i="10"/>
  <c r="G180" i="12"/>
  <c r="G183" i="10"/>
  <c r="G185" i="12"/>
  <c r="G181" i="14"/>
  <c r="G176" i="12"/>
  <c r="G180" i="10"/>
  <c r="G178" i="12"/>
  <c r="G180" i="14"/>
  <c r="G177" i="12"/>
  <c r="G183" i="12"/>
  <c r="G186" i="14"/>
  <c r="G178" i="10"/>
  <c r="G183" i="14"/>
  <c r="G181" i="10"/>
  <c r="G184" i="12"/>
  <c r="G182" i="14"/>
  <c r="G182" i="12"/>
  <c r="G176" i="10"/>
  <c r="G179" i="10"/>
  <c r="G181" i="12"/>
  <c r="G178" i="14"/>
  <c r="G187" i="12"/>
  <c r="G185" i="14"/>
  <c r="G182" i="10"/>
  <c r="G185" i="10"/>
  <c r="G186" i="12"/>
  <c r="G184" i="10"/>
  <c r="G184" i="14"/>
  <c r="G186" i="10"/>
  <c r="G176" i="14"/>
  <c r="G179" i="14"/>
  <c r="G146" i="12"/>
  <c r="G139" i="14"/>
  <c r="G149" i="14"/>
  <c r="G137" i="14"/>
  <c r="G137" i="10"/>
  <c r="G144" i="12"/>
  <c r="G148" i="12"/>
  <c r="G137" i="12"/>
  <c r="G139" i="10"/>
  <c r="G138" i="12"/>
  <c r="G147" i="12"/>
  <c r="G148" i="14"/>
  <c r="G146" i="10"/>
  <c r="G142" i="14"/>
  <c r="G145" i="10"/>
  <c r="G147" i="14"/>
  <c r="G146" i="14"/>
  <c r="G141" i="10"/>
  <c r="G140" i="10"/>
  <c r="G148" i="10"/>
  <c r="G143" i="10"/>
  <c r="G142" i="12"/>
  <c r="G140" i="14"/>
  <c r="G149" i="10"/>
  <c r="G145" i="12"/>
  <c r="G144" i="14"/>
  <c r="G144" i="10"/>
  <c r="G147" i="10"/>
  <c r="G149" i="12"/>
  <c r="G139" i="12"/>
  <c r="G141" i="14"/>
  <c r="G143" i="14"/>
  <c r="G138" i="10"/>
  <c r="G141" i="12"/>
  <c r="G143" i="12"/>
  <c r="G142" i="10"/>
  <c r="G145" i="14"/>
  <c r="G140" i="12"/>
  <c r="G138" i="14"/>
  <c r="G89" i="14"/>
  <c r="G89" i="10"/>
  <c r="G89" i="12"/>
  <c r="G92" i="12"/>
  <c r="G90" i="10"/>
  <c r="G93" i="12"/>
  <c r="G99" i="14"/>
  <c r="G92" i="14"/>
  <c r="G93" i="10"/>
  <c r="G101" i="14"/>
  <c r="G92" i="10"/>
  <c r="G90" i="12"/>
  <c r="G100" i="12"/>
  <c r="G94" i="10"/>
  <c r="G97" i="12"/>
  <c r="G91" i="10"/>
  <c r="G97" i="14"/>
  <c r="G97" i="10"/>
  <c r="G91" i="12"/>
  <c r="G96" i="10"/>
  <c r="G94" i="12"/>
  <c r="G98" i="10"/>
  <c r="G101" i="12"/>
  <c r="G95" i="10"/>
  <c r="G96" i="14"/>
  <c r="G101" i="10"/>
  <c r="G95" i="12"/>
  <c r="G98" i="14"/>
  <c r="G94" i="14"/>
  <c r="G100" i="10"/>
  <c r="G98" i="12"/>
  <c r="G93" i="14"/>
  <c r="G95" i="14"/>
  <c r="G90" i="14"/>
  <c r="G96" i="12"/>
  <c r="G99" i="10"/>
  <c r="G99" i="12"/>
  <c r="G100" i="14"/>
  <c r="G91" i="14"/>
  <c r="G43" i="10"/>
  <c r="G43" i="14"/>
  <c r="G43" i="12"/>
  <c r="G47" i="14"/>
  <c r="G46" i="14"/>
  <c r="G44" i="12"/>
  <c r="G48" i="12"/>
  <c r="G48" i="10"/>
  <c r="G51" i="10"/>
  <c r="G50" i="14"/>
  <c r="G49" i="10"/>
  <c r="G45" i="14"/>
  <c r="G53" i="10"/>
  <c r="G53" i="14"/>
  <c r="G44" i="14"/>
  <c r="G55" i="14"/>
  <c r="G46" i="12"/>
  <c r="G53" i="12"/>
  <c r="G50" i="12"/>
  <c r="G45" i="12"/>
  <c r="G48" i="14"/>
  <c r="G45" i="10"/>
  <c r="G54" i="14"/>
  <c r="G50" i="10"/>
  <c r="G52" i="12"/>
  <c r="G51" i="12"/>
  <c r="G55" i="12"/>
  <c r="G55" i="10"/>
  <c r="G54" i="12"/>
  <c r="G52" i="14"/>
  <c r="G49" i="12"/>
  <c r="G49" i="14"/>
  <c r="G47" i="10"/>
  <c r="G52" i="10"/>
  <c r="G47" i="12"/>
  <c r="G51" i="14"/>
  <c r="G44" i="10"/>
  <c r="G54" i="10"/>
  <c r="G46" i="10"/>
  <c r="G16" i="2"/>
  <c r="G16" i="14"/>
  <c r="G16" i="10"/>
  <c r="G16" i="12"/>
  <c r="G190" i="14"/>
  <c r="G193" i="12"/>
  <c r="G191" i="14"/>
  <c r="G190" i="10"/>
  <c r="G190" i="12"/>
  <c r="G201" i="12"/>
  <c r="G199" i="14"/>
  <c r="G196" i="12"/>
  <c r="G192" i="12"/>
  <c r="G192" i="14"/>
  <c r="G194" i="14"/>
  <c r="G199" i="12"/>
  <c r="G195" i="10"/>
  <c r="G196" i="14"/>
  <c r="G197" i="14"/>
  <c r="G198" i="14"/>
  <c r="G194" i="12"/>
  <c r="G191" i="12"/>
  <c r="G202" i="14"/>
  <c r="G196" i="10"/>
  <c r="G191" i="10"/>
  <c r="G200" i="14"/>
  <c r="G195" i="12"/>
  <c r="G200" i="10"/>
  <c r="G195" i="14"/>
  <c r="G198" i="12"/>
  <c r="G193" i="14"/>
  <c r="G202" i="12"/>
  <c r="G202" i="10"/>
  <c r="G193" i="10"/>
  <c r="G201" i="10"/>
  <c r="G201" i="14"/>
  <c r="G197" i="10"/>
  <c r="G192" i="10"/>
  <c r="G200" i="12"/>
  <c r="G194" i="10"/>
  <c r="G197" i="12"/>
  <c r="G198" i="10"/>
  <c r="G199" i="10"/>
  <c r="G229" i="2"/>
  <c r="G154" i="12"/>
  <c r="G154" i="14"/>
  <c r="G154" i="10"/>
  <c r="G107" i="10"/>
  <c r="G112" i="10"/>
  <c r="G119" i="10"/>
  <c r="G115" i="10"/>
  <c r="G108" i="10"/>
  <c r="G107" i="12"/>
  <c r="G117" i="10"/>
  <c r="G113" i="10"/>
  <c r="G111" i="10"/>
  <c r="G116" i="10"/>
  <c r="G109" i="10"/>
  <c r="G118" i="10"/>
  <c r="G114" i="12"/>
  <c r="G119" i="12"/>
  <c r="G115" i="12"/>
  <c r="G111" i="12"/>
  <c r="G108" i="12"/>
  <c r="G110" i="10"/>
  <c r="G118" i="12"/>
  <c r="G116" i="12"/>
  <c r="G114" i="10"/>
  <c r="G110" i="12"/>
  <c r="G112" i="12"/>
  <c r="G117" i="12"/>
  <c r="G109" i="12"/>
  <c r="G113" i="12"/>
  <c r="G58" i="12"/>
  <c r="G66" i="14"/>
  <c r="G68" i="12"/>
  <c r="G65" i="14"/>
  <c r="G64" i="12"/>
  <c r="G58" i="10"/>
  <c r="G58" i="14"/>
  <c r="G69" i="14"/>
  <c r="G61" i="14"/>
  <c r="G60" i="10"/>
  <c r="G67" i="12"/>
  <c r="G65" i="10"/>
  <c r="G62" i="10"/>
  <c r="G62" i="12"/>
  <c r="G60" i="14"/>
  <c r="G67" i="14"/>
  <c r="G63" i="10"/>
  <c r="G59" i="12"/>
  <c r="G64" i="14"/>
  <c r="G70" i="14"/>
  <c r="G61" i="10"/>
  <c r="G59" i="10"/>
  <c r="G64" i="10"/>
  <c r="G69" i="10"/>
  <c r="G66" i="10"/>
  <c r="G63" i="12"/>
  <c r="G67" i="10"/>
  <c r="G68" i="14"/>
  <c r="G66" i="12"/>
  <c r="G68" i="10"/>
  <c r="G69" i="12"/>
  <c r="G61" i="12"/>
  <c r="G60" i="12"/>
  <c r="G70" i="10"/>
  <c r="G63" i="14"/>
  <c r="G70" i="12"/>
  <c r="G62" i="14"/>
  <c r="G65" i="12"/>
  <c r="G59" i="14"/>
  <c r="G20" i="2"/>
  <c r="G19" i="10"/>
  <c r="G25" i="12"/>
  <c r="G23" i="12"/>
  <c r="G29" i="12"/>
  <c r="G19" i="12"/>
  <c r="G19" i="14"/>
  <c r="G26" i="12"/>
  <c r="G22" i="12"/>
  <c r="G27" i="10"/>
  <c r="G28" i="10"/>
  <c r="G20" i="10"/>
  <c r="G27" i="14"/>
  <c r="G21" i="12"/>
  <c r="G20" i="14"/>
  <c r="G23" i="10"/>
  <c r="G29" i="14"/>
  <c r="G22" i="14"/>
  <c r="G20" i="12"/>
  <c r="G28" i="12"/>
  <c r="G31" i="10"/>
  <c r="G24" i="10"/>
  <c r="G31" i="14"/>
  <c r="G24" i="14"/>
  <c r="G26" i="14"/>
  <c r="G27" i="12"/>
  <c r="G31" i="12"/>
  <c r="G29" i="10"/>
  <c r="G28" i="14"/>
  <c r="G21" i="14"/>
  <c r="G22" i="10"/>
  <c r="G24" i="12"/>
  <c r="G21" i="10"/>
  <c r="G30" i="10"/>
  <c r="G30" i="14"/>
  <c r="G23" i="14"/>
  <c r="G25" i="10"/>
  <c r="G25" i="14"/>
  <c r="G30" i="12"/>
  <c r="G26" i="10"/>
  <c r="R28" i="2"/>
  <c r="G94" i="1"/>
  <c r="G50" i="1"/>
  <c r="G91" i="1"/>
  <c r="P8" i="9"/>
  <c r="P304" i="2"/>
  <c r="P320" i="2" s="1"/>
  <c r="R87" i="2"/>
  <c r="R1" i="9"/>
  <c r="R178" i="2"/>
  <c r="R172" i="2"/>
  <c r="R177" i="2"/>
  <c r="R170" i="2"/>
  <c r="R168" i="2"/>
  <c r="R173" i="2"/>
  <c r="R174" i="2"/>
  <c r="R171" i="2"/>
  <c r="R176" i="2"/>
  <c r="R175" i="2"/>
  <c r="R179" i="2"/>
  <c r="R169" i="2"/>
  <c r="P305" i="2"/>
  <c r="P321" i="2" s="1"/>
  <c r="P307" i="2"/>
  <c r="P323" i="2" s="1"/>
  <c r="P50" i="2"/>
  <c r="P65" i="2" s="1"/>
  <c r="R22" i="2"/>
  <c r="R29" i="2"/>
  <c r="R31" i="2"/>
  <c r="R20" i="2"/>
  <c r="R30" i="2"/>
  <c r="R25" i="2"/>
  <c r="P53" i="2"/>
  <c r="P68" i="2" s="1"/>
  <c r="P6" i="2"/>
  <c r="P45" i="2"/>
  <c r="P60" i="2" s="1"/>
  <c r="P308" i="2"/>
  <c r="P324" i="2" s="1"/>
  <c r="P303" i="2"/>
  <c r="P319" i="2" s="1"/>
  <c r="P46" i="2"/>
  <c r="P61" i="2" s="1"/>
  <c r="R23" i="2"/>
  <c r="R21" i="2"/>
  <c r="R27" i="2"/>
  <c r="P49" i="2"/>
  <c r="P64" i="2" s="1"/>
  <c r="G57" i="1"/>
  <c r="G83" i="1"/>
  <c r="G88" i="1"/>
  <c r="G52" i="1"/>
  <c r="G53" i="1"/>
  <c r="G61" i="1"/>
  <c r="G86" i="1"/>
  <c r="G35" i="1"/>
  <c r="G41" i="1"/>
  <c r="G32" i="1"/>
  <c r="G31" i="1"/>
  <c r="G43" i="1"/>
  <c r="G42" i="1"/>
  <c r="G39" i="1"/>
  <c r="G33" i="1"/>
  <c r="G29" i="1"/>
  <c r="G34" i="1"/>
  <c r="G36" i="1"/>
  <c r="G69" i="1"/>
  <c r="G68" i="1"/>
  <c r="G67" i="1"/>
  <c r="G65" i="1"/>
  <c r="G124" i="1"/>
  <c r="G123" i="1"/>
  <c r="G122" i="1"/>
  <c r="G120" i="1"/>
  <c r="G115" i="1"/>
  <c r="G116" i="1"/>
  <c r="G112" i="1"/>
  <c r="G114" i="1"/>
  <c r="G244" i="2"/>
  <c r="G232" i="2"/>
  <c r="G236" i="2"/>
  <c r="G233" i="2"/>
  <c r="G242" i="2"/>
  <c r="G238" i="2"/>
  <c r="G240" i="2"/>
  <c r="G243" i="2"/>
  <c r="G237" i="2"/>
  <c r="G235" i="2"/>
  <c r="G241" i="2"/>
  <c r="G239" i="2"/>
  <c r="G234" i="2"/>
  <c r="G89" i="9"/>
  <c r="G95" i="9"/>
  <c r="G136" i="9"/>
  <c r="G88" i="9"/>
  <c r="G46" i="9"/>
  <c r="G134" i="9"/>
  <c r="G139" i="9"/>
  <c r="G87" i="9"/>
  <c r="G92" i="9"/>
  <c r="G41" i="9"/>
  <c r="G43" i="9"/>
  <c r="G40" i="9"/>
  <c r="G129" i="9"/>
  <c r="G131" i="9"/>
  <c r="G93" i="9"/>
  <c r="G48" i="9"/>
  <c r="G42" i="9"/>
  <c r="G91" i="9"/>
  <c r="G85" i="9"/>
  <c r="G47" i="9"/>
  <c r="G84" i="9"/>
  <c r="G94" i="9"/>
  <c r="G132" i="9"/>
  <c r="G49" i="9"/>
  <c r="G51" i="9"/>
  <c r="G50" i="9"/>
  <c r="G128" i="9"/>
  <c r="G138" i="9"/>
  <c r="G90" i="9"/>
  <c r="G96" i="9"/>
  <c r="G44" i="9"/>
  <c r="G45" i="9"/>
  <c r="G137" i="9"/>
  <c r="G130" i="9"/>
  <c r="G140" i="9"/>
  <c r="G86" i="9"/>
  <c r="G52" i="9"/>
  <c r="G135" i="9"/>
  <c r="G133" i="9"/>
  <c r="G167" i="2"/>
  <c r="G178" i="2"/>
  <c r="G173" i="2"/>
  <c r="G171" i="2"/>
  <c r="G172" i="2"/>
  <c r="G169" i="2"/>
  <c r="G170" i="2"/>
  <c r="G168" i="2"/>
  <c r="G177" i="2"/>
  <c r="G175" i="2"/>
  <c r="G176" i="2"/>
  <c r="G174" i="2"/>
  <c r="G179" i="2"/>
  <c r="G265" i="2"/>
  <c r="G276" i="2"/>
  <c r="G268" i="2"/>
  <c r="G267" i="2"/>
  <c r="G271" i="2"/>
  <c r="G274" i="2"/>
  <c r="G266" i="2"/>
  <c r="G269" i="2"/>
  <c r="G277" i="2"/>
  <c r="G275" i="2"/>
  <c r="G272" i="2"/>
  <c r="G270" i="2"/>
  <c r="G273" i="2"/>
  <c r="G49" i="1"/>
  <c r="G60" i="1"/>
  <c r="G54" i="1"/>
  <c r="G85" i="1"/>
  <c r="G81" i="1"/>
  <c r="G93" i="1"/>
  <c r="G152" i="2"/>
  <c r="G159" i="2"/>
  <c r="G161" i="2"/>
  <c r="G153" i="2"/>
  <c r="G160" i="2"/>
  <c r="G155" i="2"/>
  <c r="G163" i="2"/>
  <c r="G158" i="2"/>
  <c r="G164" i="2"/>
  <c r="G154" i="2"/>
  <c r="G156" i="2"/>
  <c r="G157" i="2"/>
  <c r="G162" i="2"/>
  <c r="G70" i="2"/>
  <c r="G58" i="2"/>
  <c r="G67" i="2"/>
  <c r="G62" i="2"/>
  <c r="G65" i="2"/>
  <c r="G66" i="2"/>
  <c r="G59" i="2"/>
  <c r="G68" i="2"/>
  <c r="G63" i="2"/>
  <c r="G60" i="2"/>
  <c r="G69" i="2"/>
  <c r="G61" i="2"/>
  <c r="G64" i="2"/>
  <c r="G104" i="9"/>
  <c r="G56" i="9"/>
  <c r="G102" i="9"/>
  <c r="G65" i="9"/>
  <c r="G108" i="9"/>
  <c r="G60" i="9"/>
  <c r="G13" i="9"/>
  <c r="G22" i="9"/>
  <c r="G100" i="9"/>
  <c r="G66" i="9"/>
  <c r="G59" i="9"/>
  <c r="G17" i="9"/>
  <c r="G106" i="9"/>
  <c r="G112" i="9"/>
  <c r="G64" i="9"/>
  <c r="G12" i="9"/>
  <c r="G58" i="9"/>
  <c r="G68" i="9"/>
  <c r="G14" i="9"/>
  <c r="G63" i="9"/>
  <c r="G111" i="9"/>
  <c r="G19" i="9"/>
  <c r="G24" i="9"/>
  <c r="G61" i="9"/>
  <c r="G101" i="9"/>
  <c r="G23" i="9"/>
  <c r="G107" i="9"/>
  <c r="G15" i="9"/>
  <c r="G57" i="9"/>
  <c r="G109" i="9"/>
  <c r="G67" i="9"/>
  <c r="G105" i="9"/>
  <c r="G20" i="9"/>
  <c r="G62" i="9"/>
  <c r="G16" i="9"/>
  <c r="G110" i="9"/>
  <c r="G103" i="9"/>
  <c r="G21" i="9"/>
  <c r="G18" i="9"/>
  <c r="G26" i="2"/>
  <c r="G21" i="2"/>
  <c r="G28" i="2"/>
  <c r="G19" i="2"/>
  <c r="G29" i="2"/>
  <c r="G27" i="2"/>
  <c r="G24" i="2"/>
  <c r="G22" i="2"/>
  <c r="G31" i="2"/>
  <c r="G25" i="2"/>
  <c r="G30" i="2"/>
  <c r="G260" i="2"/>
  <c r="G250" i="2"/>
  <c r="G257" i="2"/>
  <c r="G261" i="2"/>
  <c r="G258" i="2"/>
  <c r="G255" i="2"/>
  <c r="G253" i="2"/>
  <c r="G259" i="2"/>
  <c r="G262" i="2"/>
  <c r="G251" i="2"/>
  <c r="G252" i="2"/>
  <c r="G256" i="2"/>
  <c r="G254" i="2"/>
  <c r="G184" i="2"/>
  <c r="G182" i="2"/>
  <c r="G185" i="2"/>
  <c r="G188" i="2"/>
  <c r="G193" i="2"/>
  <c r="G183" i="2"/>
  <c r="G190" i="2"/>
  <c r="G192" i="2"/>
  <c r="G187" i="2"/>
  <c r="G194" i="2"/>
  <c r="G186" i="2"/>
  <c r="G191" i="2"/>
  <c r="G189" i="2"/>
  <c r="G89" i="2"/>
  <c r="G97" i="2"/>
  <c r="G90" i="2"/>
  <c r="G91" i="2"/>
  <c r="G95" i="2"/>
  <c r="G96" i="2"/>
  <c r="G98" i="2"/>
  <c r="G93" i="2"/>
  <c r="G100" i="2"/>
  <c r="G92" i="2"/>
  <c r="G94" i="2"/>
  <c r="G99" i="2"/>
  <c r="G101" i="2"/>
  <c r="G44" i="2"/>
  <c r="G43" i="2"/>
  <c r="G49" i="2"/>
  <c r="G54" i="2"/>
  <c r="G47" i="2"/>
  <c r="G46" i="2"/>
  <c r="G51" i="2"/>
  <c r="G48" i="2"/>
  <c r="G52" i="2"/>
  <c r="G45" i="2"/>
  <c r="G50" i="2"/>
  <c r="G55" i="2"/>
  <c r="G53" i="2"/>
  <c r="G123" i="9"/>
  <c r="G79" i="9"/>
  <c r="G35" i="9"/>
  <c r="G104" i="2"/>
  <c r="G115" i="9"/>
  <c r="G71" i="9"/>
  <c r="G27" i="9"/>
  <c r="G87" i="2"/>
  <c r="G80" i="2"/>
  <c r="G51" i="1"/>
  <c r="G47" i="1"/>
  <c r="G87" i="1"/>
  <c r="G84" i="1"/>
  <c r="G23" i="2"/>
  <c r="Q193" i="3"/>
  <c r="P8" i="3"/>
  <c r="P52" i="2"/>
  <c r="P67" i="2" s="1"/>
  <c r="P48" i="2"/>
  <c r="P63" i="2" s="1"/>
  <c r="Q7" i="2"/>
  <c r="P311" i="2"/>
  <c r="P327" i="2" s="1"/>
  <c r="P309" i="2"/>
  <c r="P325" i="2" s="1"/>
  <c r="P306" i="2"/>
  <c r="P322" i="2" s="1"/>
  <c r="P55" i="2"/>
  <c r="P51" i="2"/>
  <c r="P66" i="2" s="1"/>
  <c r="P47" i="2"/>
  <c r="P310" i="2"/>
  <c r="P326" i="2" s="1"/>
  <c r="P302" i="2"/>
  <c r="P318" i="2" s="1"/>
  <c r="Q105" i="3"/>
  <c r="Q105" i="20" s="1"/>
  <c r="R1" i="3"/>
  <c r="R277" i="2"/>
  <c r="R275" i="2"/>
  <c r="R271" i="2"/>
  <c r="R267" i="2"/>
  <c r="R274" i="2"/>
  <c r="R270" i="2"/>
  <c r="R273" i="2"/>
  <c r="R269" i="2"/>
  <c r="R276" i="2"/>
  <c r="R272" i="2"/>
  <c r="R268" i="2"/>
  <c r="R41" i="2"/>
  <c r="S1" i="2"/>
  <c r="Q1" i="1"/>
  <c r="Q109" i="1" s="1"/>
  <c r="Q127" i="1" s="1"/>
  <c r="R193" i="20" l="1"/>
  <c r="P59" i="2"/>
  <c r="Q347" i="2"/>
  <c r="Q365" i="2" s="1"/>
  <c r="Q345" i="2"/>
  <c r="Q270" i="14" s="1"/>
  <c r="Q337" i="2"/>
  <c r="Q262" i="14" s="1"/>
  <c r="Q46" i="21"/>
  <c r="Q62" i="21" s="1"/>
  <c r="Q339" i="2"/>
  <c r="Q264" i="12" s="1"/>
  <c r="Q346" i="2"/>
  <c r="Q271" i="14" s="1"/>
  <c r="Q342" i="2"/>
  <c r="Q267" i="14" s="1"/>
  <c r="Q340" i="2"/>
  <c r="Q265" i="14" s="1"/>
  <c r="Q341" i="2"/>
  <c r="Q266" i="14" s="1"/>
  <c r="Q336" i="2"/>
  <c r="Q261" i="10" s="1"/>
  <c r="Q48" i="21"/>
  <c r="Q64" i="21" s="1"/>
  <c r="Q49" i="21"/>
  <c r="Q65" i="21" s="1"/>
  <c r="Q54" i="21"/>
  <c r="Q70" i="21" s="1"/>
  <c r="R331" i="2"/>
  <c r="Q51" i="21"/>
  <c r="Q67" i="21" s="1"/>
  <c r="P213" i="2"/>
  <c r="P183" i="2" s="1"/>
  <c r="P387" i="2" s="1"/>
  <c r="P138" i="10"/>
  <c r="P330" i="10" s="1"/>
  <c r="P258" i="18"/>
  <c r="P262" i="18"/>
  <c r="P256" i="18"/>
  <c r="P260" i="18"/>
  <c r="Q128" i="21"/>
  <c r="Q125" i="21" s="1"/>
  <c r="Q110" i="21"/>
  <c r="Q343" i="2"/>
  <c r="P6" i="21"/>
  <c r="P6" i="20"/>
  <c r="P138" i="14"/>
  <c r="P330" i="14" s="1"/>
  <c r="P256" i="20"/>
  <c r="P258" i="20"/>
  <c r="P262" i="20"/>
  <c r="P260" i="20"/>
  <c r="Q92" i="21"/>
  <c r="Q56" i="21"/>
  <c r="R60" i="21" s="1"/>
  <c r="P272" i="12"/>
  <c r="P272" i="10"/>
  <c r="P272" i="14"/>
  <c r="P365" i="2"/>
  <c r="P262" i="19"/>
  <c r="P264" i="12"/>
  <c r="P264" i="10"/>
  <c r="P264" i="14"/>
  <c r="P357" i="2"/>
  <c r="Q26" i="21"/>
  <c r="P271" i="10"/>
  <c r="P271" i="12"/>
  <c r="P271" i="14"/>
  <c r="P364" i="2"/>
  <c r="P72" i="18"/>
  <c r="P66" i="18"/>
  <c r="P70" i="18"/>
  <c r="P68" i="18"/>
  <c r="S330" i="2"/>
  <c r="S332" i="2"/>
  <c r="S205" i="2"/>
  <c r="S208" i="2"/>
  <c r="S200" i="2"/>
  <c r="S203" i="2"/>
  <c r="S1" i="21"/>
  <c r="S198" i="2"/>
  <c r="S206" i="2"/>
  <c r="S201" i="2"/>
  <c r="S209" i="2"/>
  <c r="S204" i="2"/>
  <c r="S199" i="2"/>
  <c r="S207" i="2"/>
  <c r="S202" i="2"/>
  <c r="S1" i="20"/>
  <c r="Q7" i="21"/>
  <c r="Q7" i="20"/>
  <c r="P256" i="19"/>
  <c r="P267" i="10"/>
  <c r="P267" i="12"/>
  <c r="P267" i="14"/>
  <c r="P360" i="2"/>
  <c r="P270" i="10"/>
  <c r="P270" i="12"/>
  <c r="P270" i="14"/>
  <c r="P363" i="2"/>
  <c r="P263" i="10"/>
  <c r="P263" i="12"/>
  <c r="P263" i="14"/>
  <c r="P356" i="2"/>
  <c r="P260" i="19"/>
  <c r="P335" i="2"/>
  <c r="P66" i="3" s="1"/>
  <c r="P261" i="10"/>
  <c r="P261" i="12"/>
  <c r="P261" i="14"/>
  <c r="P354" i="2"/>
  <c r="Q262" i="10"/>
  <c r="Q338" i="2"/>
  <c r="P262" i="10"/>
  <c r="P262" i="12"/>
  <c r="P262" i="14"/>
  <c r="P355" i="2"/>
  <c r="P268" i="10"/>
  <c r="P268" i="12"/>
  <c r="P268" i="14"/>
  <c r="P361" i="2"/>
  <c r="P265" i="12"/>
  <c r="P265" i="10"/>
  <c r="P265" i="14"/>
  <c r="P358" i="2"/>
  <c r="P72" i="19"/>
  <c r="P70" i="19"/>
  <c r="P68" i="19"/>
  <c r="P66" i="19"/>
  <c r="P44" i="21"/>
  <c r="P61" i="21"/>
  <c r="P59" i="21" s="1"/>
  <c r="Q55" i="21"/>
  <c r="Q71" i="21" s="1"/>
  <c r="Q270" i="10"/>
  <c r="Q344" i="2"/>
  <c r="P82" i="18"/>
  <c r="P80" i="18"/>
  <c r="P78" i="18"/>
  <c r="P76" i="18"/>
  <c r="R98" i="21"/>
  <c r="R116" i="21" s="1"/>
  <c r="R132" i="21" s="1"/>
  <c r="R93" i="21"/>
  <c r="R111" i="21" s="1"/>
  <c r="R127" i="21" s="1"/>
  <c r="R101" i="21"/>
  <c r="R119" i="21" s="1"/>
  <c r="R135" i="21" s="1"/>
  <c r="R96" i="21"/>
  <c r="R114" i="21" s="1"/>
  <c r="R130" i="21" s="1"/>
  <c r="R104" i="21"/>
  <c r="R122" i="21" s="1"/>
  <c r="R99" i="21"/>
  <c r="R117" i="21" s="1"/>
  <c r="R133" i="21" s="1"/>
  <c r="R95" i="21"/>
  <c r="R103" i="21"/>
  <c r="R121" i="21" s="1"/>
  <c r="R137" i="21" s="1"/>
  <c r="R94" i="21"/>
  <c r="R112" i="21" s="1"/>
  <c r="R128" i="21" s="1"/>
  <c r="R102" i="21"/>
  <c r="R120" i="21" s="1"/>
  <c r="R136" i="21" s="1"/>
  <c r="R97" i="21"/>
  <c r="R115" i="21" s="1"/>
  <c r="R131" i="21" s="1"/>
  <c r="R100" i="21"/>
  <c r="R118" i="21" s="1"/>
  <c r="R134" i="21" s="1"/>
  <c r="R28" i="21"/>
  <c r="R33" i="21"/>
  <c r="R34" i="21"/>
  <c r="R27" i="21"/>
  <c r="R31" i="21"/>
  <c r="R38" i="21"/>
  <c r="R32" i="21"/>
  <c r="R30" i="21"/>
  <c r="R48" i="21" s="1"/>
  <c r="R64" i="21" s="1"/>
  <c r="R37" i="21"/>
  <c r="R35" i="21"/>
  <c r="R126" i="21"/>
  <c r="R29" i="21"/>
  <c r="R36" i="21"/>
  <c r="P266" i="10"/>
  <c r="P266" i="12"/>
  <c r="P266" i="14"/>
  <c r="P359" i="2"/>
  <c r="P269" i="10"/>
  <c r="P269" i="12"/>
  <c r="P269" i="14"/>
  <c r="P362" i="2"/>
  <c r="P169" i="12"/>
  <c r="P312" i="12"/>
  <c r="R11" i="18"/>
  <c r="R105" i="18"/>
  <c r="R193" i="18"/>
  <c r="P6" i="17"/>
  <c r="P6" i="18"/>
  <c r="P6" i="19"/>
  <c r="R11" i="19"/>
  <c r="R105" i="19"/>
  <c r="R193" i="19"/>
  <c r="S1" i="17"/>
  <c r="S50" i="17" s="1"/>
  <c r="S1" i="19"/>
  <c r="S1" i="18"/>
  <c r="Q7" i="17"/>
  <c r="Q7" i="19"/>
  <c r="Q7" i="18"/>
  <c r="M39" i="17"/>
  <c r="Q78" i="1"/>
  <c r="Q99" i="1" s="1"/>
  <c r="P78" i="1"/>
  <c r="P99" i="1" s="1"/>
  <c r="G37" i="2"/>
  <c r="G76" i="2"/>
  <c r="G37" i="10"/>
  <c r="G36" i="10"/>
  <c r="G38" i="10"/>
  <c r="G76" i="14"/>
  <c r="G77" i="14"/>
  <c r="G75" i="14"/>
  <c r="G84" i="14"/>
  <c r="G83" i="14"/>
  <c r="G82" i="14"/>
  <c r="G38" i="2"/>
  <c r="G77" i="2"/>
  <c r="G38" i="12"/>
  <c r="G36" i="12"/>
  <c r="G37" i="12"/>
  <c r="G76" i="10"/>
  <c r="G77" i="10"/>
  <c r="G75" i="10"/>
  <c r="G84" i="10"/>
  <c r="G83" i="10"/>
  <c r="G82" i="10"/>
  <c r="G37" i="14"/>
  <c r="G36" i="14"/>
  <c r="G38" i="14"/>
  <c r="G75" i="12"/>
  <c r="G76" i="12"/>
  <c r="G77" i="12"/>
  <c r="G82" i="12"/>
  <c r="G83" i="12"/>
  <c r="G84" i="12"/>
  <c r="S87" i="2"/>
  <c r="S1" i="9"/>
  <c r="S172" i="2"/>
  <c r="S178" i="2"/>
  <c r="S177" i="2"/>
  <c r="S170" i="2"/>
  <c r="S168" i="2"/>
  <c r="S173" i="2"/>
  <c r="S171" i="2"/>
  <c r="S176" i="2"/>
  <c r="S175" i="2"/>
  <c r="S169" i="2"/>
  <c r="S174" i="2"/>
  <c r="S179" i="2"/>
  <c r="S20" i="2"/>
  <c r="S31" i="2"/>
  <c r="S29" i="2"/>
  <c r="S22" i="2"/>
  <c r="S25" i="2"/>
  <c r="S30" i="2"/>
  <c r="S27" i="2"/>
  <c r="S21" i="2"/>
  <c r="S24" i="2"/>
  <c r="S26" i="2"/>
  <c r="S28" i="2"/>
  <c r="S23" i="2"/>
  <c r="Q8" i="2"/>
  <c r="Q7" i="9"/>
  <c r="P6" i="3"/>
  <c r="P6" i="9"/>
  <c r="G84" i="2"/>
  <c r="G82" i="2"/>
  <c r="G83" i="2"/>
  <c r="G31" i="9"/>
  <c r="G29" i="9"/>
  <c r="G30" i="9"/>
  <c r="G73" i="9"/>
  <c r="G74" i="9"/>
  <c r="G75" i="9"/>
  <c r="G118" i="9"/>
  <c r="G117" i="9"/>
  <c r="G119" i="9"/>
  <c r="P43" i="2"/>
  <c r="P70" i="2"/>
  <c r="R193" i="3"/>
  <c r="Q7" i="3"/>
  <c r="P315" i="2"/>
  <c r="P62" i="2"/>
  <c r="P300" i="2"/>
  <c r="R105" i="3"/>
  <c r="S1" i="3"/>
  <c r="S277" i="2"/>
  <c r="S274" i="2"/>
  <c r="S270" i="2"/>
  <c r="S273" i="2"/>
  <c r="S269" i="2"/>
  <c r="S276" i="2"/>
  <c r="S272" i="2"/>
  <c r="S268" i="2"/>
  <c r="S275" i="2"/>
  <c r="S271" i="2"/>
  <c r="S267" i="2"/>
  <c r="P101" i="2"/>
  <c r="P149" i="10" s="1"/>
  <c r="P92" i="2"/>
  <c r="P140" i="10" s="1"/>
  <c r="P95" i="2"/>
  <c r="P143" i="10" s="1"/>
  <c r="P96" i="2"/>
  <c r="P144" i="10" s="1"/>
  <c r="P97" i="2"/>
  <c r="P145" i="10" s="1"/>
  <c r="P98" i="2"/>
  <c r="P146" i="10" s="1"/>
  <c r="P93" i="2"/>
  <c r="P141" i="10" s="1"/>
  <c r="P100" i="2"/>
  <c r="P148" i="10" s="1"/>
  <c r="P99" i="2"/>
  <c r="P147" i="10" s="1"/>
  <c r="P91" i="2"/>
  <c r="P139" i="10" s="1"/>
  <c r="P94" i="2"/>
  <c r="P142" i="10" s="1"/>
  <c r="S41" i="2"/>
  <c r="Q26" i="1"/>
  <c r="T1" i="2"/>
  <c r="Q102" i="1"/>
  <c r="P75" i="1"/>
  <c r="R1" i="1"/>
  <c r="R78" i="1" s="1"/>
  <c r="Q8" i="1"/>
  <c r="S193" i="20" l="1"/>
  <c r="Q355" i="2"/>
  <c r="Q267" i="10"/>
  <c r="Q272" i="10"/>
  <c r="Q363" i="2"/>
  <c r="Q270" i="12"/>
  <c r="Q357" i="2"/>
  <c r="R105" i="20"/>
  <c r="Q267" i="12"/>
  <c r="Q272" i="12"/>
  <c r="R345" i="2"/>
  <c r="R270" i="14" s="1"/>
  <c r="Q264" i="10"/>
  <c r="R336" i="2"/>
  <c r="R261" i="14" s="1"/>
  <c r="Q264" i="14"/>
  <c r="Q272" i="14"/>
  <c r="Q271" i="12"/>
  <c r="Q262" i="12"/>
  <c r="Q261" i="12"/>
  <c r="Q261" i="14"/>
  <c r="Q360" i="2"/>
  <c r="Q285" i="12" s="1"/>
  <c r="Q364" i="2"/>
  <c r="Q289" i="12" s="1"/>
  <c r="R342" i="2"/>
  <c r="R267" i="14" s="1"/>
  <c r="Q271" i="10"/>
  <c r="R337" i="2"/>
  <c r="R262" i="14" s="1"/>
  <c r="Q358" i="2"/>
  <c r="Q283" i="12" s="1"/>
  <c r="Q265" i="12"/>
  <c r="Q354" i="2"/>
  <c r="Q279" i="12" s="1"/>
  <c r="Q265" i="10"/>
  <c r="P68" i="3"/>
  <c r="P72" i="3"/>
  <c r="P70" i="3"/>
  <c r="R347" i="2"/>
  <c r="R272" i="14" s="1"/>
  <c r="R340" i="2"/>
  <c r="R265" i="10" s="1"/>
  <c r="R341" i="2"/>
  <c r="R266" i="10" s="1"/>
  <c r="Q266" i="10"/>
  <c r="R338" i="2"/>
  <c r="R263" i="12" s="1"/>
  <c r="Q359" i="2"/>
  <c r="Q284" i="14" s="1"/>
  <c r="R92" i="21"/>
  <c r="R72" i="18" s="1"/>
  <c r="R113" i="21"/>
  <c r="R129" i="21" s="1"/>
  <c r="R125" i="21" s="1"/>
  <c r="Q266" i="12"/>
  <c r="R344" i="2"/>
  <c r="R269" i="12" s="1"/>
  <c r="R343" i="2"/>
  <c r="R268" i="12" s="1"/>
  <c r="Q335" i="2"/>
  <c r="Q72" i="3" s="1"/>
  <c r="R26" i="21"/>
  <c r="R70" i="19" s="1"/>
  <c r="R45" i="21"/>
  <c r="R61" i="21" s="1"/>
  <c r="R54" i="21"/>
  <c r="R70" i="21" s="1"/>
  <c r="R47" i="21"/>
  <c r="R63" i="21" s="1"/>
  <c r="R51" i="21"/>
  <c r="R67" i="21" s="1"/>
  <c r="Q59" i="21"/>
  <c r="P312" i="10"/>
  <c r="P169" i="10"/>
  <c r="P279" i="12"/>
  <c r="P279" i="10"/>
  <c r="P279" i="14"/>
  <c r="P370" i="2"/>
  <c r="P353" i="2"/>
  <c r="P379" i="2"/>
  <c r="P288" i="12"/>
  <c r="P288" i="10"/>
  <c r="P288" i="14"/>
  <c r="R346" i="2"/>
  <c r="P78" i="19"/>
  <c r="P76" i="19"/>
  <c r="P80" i="19"/>
  <c r="P82" i="19"/>
  <c r="P260" i="14"/>
  <c r="Q70" i="18"/>
  <c r="Q66" i="18"/>
  <c r="Q72" i="18"/>
  <c r="Q68" i="18"/>
  <c r="T330" i="2"/>
  <c r="T332" i="2"/>
  <c r="T202" i="2"/>
  <c r="T1" i="21"/>
  <c r="T205" i="2"/>
  <c r="T200" i="2"/>
  <c r="T208" i="2"/>
  <c r="T203" i="2"/>
  <c r="T198" i="2"/>
  <c r="T206" i="2"/>
  <c r="T201" i="2"/>
  <c r="T209" i="2"/>
  <c r="T204" i="2"/>
  <c r="T199" i="2"/>
  <c r="T207" i="2"/>
  <c r="T1" i="20"/>
  <c r="R46" i="21"/>
  <c r="P377" i="2"/>
  <c r="P286" i="12"/>
  <c r="P286" i="10"/>
  <c r="P286" i="14"/>
  <c r="P260" i="12"/>
  <c r="Q44" i="21"/>
  <c r="Q82" i="18"/>
  <c r="Q78" i="18"/>
  <c r="Q80" i="18"/>
  <c r="Q76" i="18"/>
  <c r="Q306" i="2"/>
  <c r="Q322" i="2" s="1"/>
  <c r="Q8" i="21"/>
  <c r="Q8" i="20"/>
  <c r="P169" i="14"/>
  <c r="P378" i="2"/>
  <c r="P287" i="10"/>
  <c r="P287" i="12"/>
  <c r="P287" i="14"/>
  <c r="P375" i="2"/>
  <c r="P284" i="10"/>
  <c r="P284" i="12"/>
  <c r="P284" i="14"/>
  <c r="R55" i="21"/>
  <c r="R71" i="21" s="1"/>
  <c r="R50" i="21"/>
  <c r="R66" i="21" s="1"/>
  <c r="R270" i="10"/>
  <c r="R363" i="2"/>
  <c r="R339" i="2"/>
  <c r="R261" i="12"/>
  <c r="R261" i="10"/>
  <c r="Q379" i="2"/>
  <c r="Q288" i="14"/>
  <c r="Q288" i="10"/>
  <c r="Q288" i="12"/>
  <c r="Q263" i="10"/>
  <c r="Q263" i="14"/>
  <c r="Q263" i="12"/>
  <c r="Q356" i="2"/>
  <c r="P260" i="10"/>
  <c r="Q289" i="10"/>
  <c r="P312" i="14"/>
  <c r="R53" i="21"/>
  <c r="R69" i="21" s="1"/>
  <c r="Q371" i="2"/>
  <c r="Q280" i="12"/>
  <c r="Q280" i="14"/>
  <c r="Q280" i="10"/>
  <c r="P372" i="2"/>
  <c r="P281" i="12"/>
  <c r="P281" i="10"/>
  <c r="P281" i="14"/>
  <c r="P290" i="10"/>
  <c r="P290" i="12"/>
  <c r="P290" i="14"/>
  <c r="Q369" i="2"/>
  <c r="R56" i="21"/>
  <c r="S60" i="21" s="1"/>
  <c r="P376" i="2"/>
  <c r="P285" i="10"/>
  <c r="P285" i="12"/>
  <c r="P285" i="14"/>
  <c r="S95" i="21"/>
  <c r="S113" i="21" s="1"/>
  <c r="S129" i="21" s="1"/>
  <c r="S103" i="21"/>
  <c r="S121" i="21" s="1"/>
  <c r="S137" i="21" s="1"/>
  <c r="S98" i="21"/>
  <c r="S116" i="21" s="1"/>
  <c r="S132" i="21" s="1"/>
  <c r="S93" i="21"/>
  <c r="S111" i="21" s="1"/>
  <c r="S127" i="21" s="1"/>
  <c r="S101" i="21"/>
  <c r="S119" i="21" s="1"/>
  <c r="S135" i="21" s="1"/>
  <c r="S96" i="21"/>
  <c r="S114" i="21" s="1"/>
  <c r="S130" i="21" s="1"/>
  <c r="S104" i="21"/>
  <c r="S122" i="21" s="1"/>
  <c r="S99" i="21"/>
  <c r="S117" i="21" s="1"/>
  <c r="S133" i="21" s="1"/>
  <c r="S94" i="21"/>
  <c r="S112" i="21" s="1"/>
  <c r="S128" i="21" s="1"/>
  <c r="S102" i="21"/>
  <c r="S120" i="21" s="1"/>
  <c r="S136" i="21" s="1"/>
  <c r="S100" i="21"/>
  <c r="S118" i="21" s="1"/>
  <c r="S134" i="21" s="1"/>
  <c r="S97" i="21"/>
  <c r="S115" i="21" s="1"/>
  <c r="S131" i="21" s="1"/>
  <c r="S31" i="21"/>
  <c r="S30" i="21"/>
  <c r="S126" i="21"/>
  <c r="S27" i="21"/>
  <c r="S32" i="21"/>
  <c r="S50" i="21" s="1"/>
  <c r="S66" i="21" s="1"/>
  <c r="S37" i="21"/>
  <c r="S34" i="21"/>
  <c r="S52" i="21" s="1"/>
  <c r="S68" i="21" s="1"/>
  <c r="S28" i="21"/>
  <c r="S46" i="21" s="1"/>
  <c r="S62" i="21" s="1"/>
  <c r="S36" i="21"/>
  <c r="S54" i="21" s="1"/>
  <c r="S70" i="21" s="1"/>
  <c r="S35" i="21"/>
  <c r="S33" i="21"/>
  <c r="S51" i="21" s="1"/>
  <c r="S67" i="21" s="1"/>
  <c r="S29" i="21"/>
  <c r="S47" i="21" s="1"/>
  <c r="S63" i="21" s="1"/>
  <c r="S38" i="21"/>
  <c r="S56" i="21" s="1"/>
  <c r="S331" i="2"/>
  <c r="P380" i="2"/>
  <c r="P289" i="10"/>
  <c r="P289" i="12"/>
  <c r="P289" i="14"/>
  <c r="Q70" i="19"/>
  <c r="Q66" i="19"/>
  <c r="Q68" i="19"/>
  <c r="Q72" i="19"/>
  <c r="R49" i="21"/>
  <c r="R65" i="21" s="1"/>
  <c r="Q269" i="10"/>
  <c r="Q269" i="14"/>
  <c r="Q269" i="12"/>
  <c r="Q362" i="2"/>
  <c r="P374" i="2"/>
  <c r="P283" i="12"/>
  <c r="P283" i="10"/>
  <c r="P283" i="14"/>
  <c r="P373" i="2"/>
  <c r="P282" i="10"/>
  <c r="P282" i="12"/>
  <c r="P282" i="14"/>
  <c r="Q268" i="12"/>
  <c r="Q268" i="14"/>
  <c r="Q268" i="10"/>
  <c r="Q361" i="2"/>
  <c r="Q373" i="2"/>
  <c r="Q282" i="10"/>
  <c r="Q282" i="14"/>
  <c r="Q282" i="12"/>
  <c r="R52" i="21"/>
  <c r="R68" i="21" s="1"/>
  <c r="P371" i="2"/>
  <c r="P280" i="10"/>
  <c r="P280" i="12"/>
  <c r="P280" i="14"/>
  <c r="Q376" i="2"/>
  <c r="Q290" i="10"/>
  <c r="Q290" i="12"/>
  <c r="Q290" i="14"/>
  <c r="R369" i="2"/>
  <c r="P158" i="10"/>
  <c r="P331" i="10"/>
  <c r="P313" i="10"/>
  <c r="P165" i="10"/>
  <c r="P338" i="10"/>
  <c r="P320" i="10"/>
  <c r="P332" i="10"/>
  <c r="P314" i="10"/>
  <c r="P159" i="10"/>
  <c r="P137" i="10"/>
  <c r="P321" i="10"/>
  <c r="P166" i="10"/>
  <c r="P339" i="10"/>
  <c r="P164" i="10"/>
  <c r="P337" i="10"/>
  <c r="P319" i="10"/>
  <c r="P341" i="10"/>
  <c r="P168" i="10"/>
  <c r="P323" i="10"/>
  <c r="P322" i="10"/>
  <c r="P167" i="10"/>
  <c r="P340" i="10"/>
  <c r="P336" i="10"/>
  <c r="P163" i="10"/>
  <c r="P318" i="10"/>
  <c r="P334" i="10"/>
  <c r="P316" i="10"/>
  <c r="P161" i="10"/>
  <c r="P333" i="10"/>
  <c r="P160" i="10"/>
  <c r="P315" i="10"/>
  <c r="P317" i="10"/>
  <c r="P162" i="10"/>
  <c r="P335" i="10"/>
  <c r="P139" i="14"/>
  <c r="P313" i="14" s="1"/>
  <c r="P139" i="12"/>
  <c r="P146" i="14"/>
  <c r="P338" i="14" s="1"/>
  <c r="P146" i="12"/>
  <c r="P140" i="14"/>
  <c r="P332" i="14" s="1"/>
  <c r="P140" i="12"/>
  <c r="P147" i="14"/>
  <c r="P321" i="14" s="1"/>
  <c r="P147" i="12"/>
  <c r="P145" i="14"/>
  <c r="P337" i="14" s="1"/>
  <c r="P145" i="12"/>
  <c r="P149" i="14"/>
  <c r="P168" i="14" s="1"/>
  <c r="P149" i="12"/>
  <c r="P148" i="14"/>
  <c r="P322" i="14" s="1"/>
  <c r="P148" i="12"/>
  <c r="P144" i="14"/>
  <c r="P318" i="14" s="1"/>
  <c r="P144" i="12"/>
  <c r="P142" i="14"/>
  <c r="P316" i="14" s="1"/>
  <c r="P142" i="12"/>
  <c r="P141" i="14"/>
  <c r="P160" i="14" s="1"/>
  <c r="P141" i="12"/>
  <c r="P143" i="14"/>
  <c r="P162" i="14" s="1"/>
  <c r="P143" i="12"/>
  <c r="P223" i="2"/>
  <c r="P193" i="2" s="1"/>
  <c r="P242" i="2" s="1"/>
  <c r="P219" i="2"/>
  <c r="P189" i="2" s="1"/>
  <c r="P411" i="2" s="1"/>
  <c r="P217" i="2"/>
  <c r="P187" i="2" s="1"/>
  <c r="P409" i="2" s="1"/>
  <c r="P216" i="2"/>
  <c r="P186" i="2" s="1"/>
  <c r="P218" i="2"/>
  <c r="P188" i="2" s="1"/>
  <c r="P392" i="2" s="1"/>
  <c r="P214" i="2"/>
  <c r="P184" i="2" s="1"/>
  <c r="P233" i="2" s="1"/>
  <c r="P221" i="2"/>
  <c r="P191" i="2" s="1"/>
  <c r="P215" i="2"/>
  <c r="P185" i="2" s="1"/>
  <c r="P407" i="2" s="1"/>
  <c r="P222" i="2"/>
  <c r="P192" i="2" s="1"/>
  <c r="P241" i="2" s="1"/>
  <c r="P220" i="2"/>
  <c r="P190" i="2" s="1"/>
  <c r="P224" i="2"/>
  <c r="P194" i="2" s="1"/>
  <c r="S11" i="18"/>
  <c r="S105" i="18"/>
  <c r="S193" i="18"/>
  <c r="P62" i="3"/>
  <c r="S11" i="19"/>
  <c r="S105" i="19"/>
  <c r="S193" i="19"/>
  <c r="R7" i="2"/>
  <c r="Q8" i="19"/>
  <c r="Q8" i="18"/>
  <c r="T1" i="17"/>
  <c r="T50" i="17" s="1"/>
  <c r="T1" i="18"/>
  <c r="T1" i="19"/>
  <c r="Q304" i="2"/>
  <c r="Q320" i="2" s="1"/>
  <c r="J247" i="2"/>
  <c r="R258" i="2" s="1"/>
  <c r="M47" i="17"/>
  <c r="M45" i="17"/>
  <c r="Q8" i="3"/>
  <c r="Q303" i="2"/>
  <c r="Q319" i="2" s="1"/>
  <c r="Q309" i="2"/>
  <c r="Q325" i="2" s="1"/>
  <c r="Q8" i="9"/>
  <c r="Q8" i="17"/>
  <c r="Q50" i="2"/>
  <c r="Q65" i="2" s="1"/>
  <c r="P58" i="2"/>
  <c r="T87" i="2"/>
  <c r="T1" i="9"/>
  <c r="T177" i="2"/>
  <c r="T173" i="2"/>
  <c r="T171" i="2"/>
  <c r="T175" i="2"/>
  <c r="T169" i="2"/>
  <c r="T178" i="2"/>
  <c r="T170" i="2"/>
  <c r="T168" i="2"/>
  <c r="T172" i="2"/>
  <c r="T174" i="2"/>
  <c r="T179" i="2"/>
  <c r="T176" i="2"/>
  <c r="T30" i="2"/>
  <c r="T27" i="2"/>
  <c r="T24" i="2"/>
  <c r="T28" i="2"/>
  <c r="T31" i="2"/>
  <c r="T21" i="2"/>
  <c r="T20" i="2"/>
  <c r="T25" i="2"/>
  <c r="T23" i="2"/>
  <c r="T22" i="2"/>
  <c r="T26" i="2"/>
  <c r="T29" i="2"/>
  <c r="Q44" i="2"/>
  <c r="Q59" i="2" s="1"/>
  <c r="Q6" i="2"/>
  <c r="Q47" i="2"/>
  <c r="Q62" i="2" s="1"/>
  <c r="Q302" i="2"/>
  <c r="Q318" i="2" s="1"/>
  <c r="Q46" i="2"/>
  <c r="Q61" i="2" s="1"/>
  <c r="Q48" i="2"/>
  <c r="Q63" i="2" s="1"/>
  <c r="Q52" i="2"/>
  <c r="Q67" i="2" s="1"/>
  <c r="Q312" i="2"/>
  <c r="R316" i="2" s="1"/>
  <c r="Q51" i="2"/>
  <c r="Q97" i="2" s="1"/>
  <c r="Q145" i="10" s="1"/>
  <c r="Q49" i="2"/>
  <c r="Q64" i="2" s="1"/>
  <c r="Q310" i="2"/>
  <c r="Q326" i="2" s="1"/>
  <c r="Q305" i="2"/>
  <c r="Q321" i="2" s="1"/>
  <c r="Q301" i="2"/>
  <c r="Q317" i="2" s="1"/>
  <c r="Q45" i="2"/>
  <c r="Q60" i="2" s="1"/>
  <c r="Q308" i="2"/>
  <c r="Q324" i="2" s="1"/>
  <c r="Q53" i="2"/>
  <c r="Q68" i="2" s="1"/>
  <c r="Q311" i="2"/>
  <c r="Q327" i="2" s="1"/>
  <c r="Q55" i="2"/>
  <c r="Q70" i="2" s="1"/>
  <c r="Q307" i="2"/>
  <c r="Q323" i="2" s="1"/>
  <c r="Q54" i="2"/>
  <c r="Q69" i="2" s="1"/>
  <c r="P60" i="3"/>
  <c r="P58" i="3"/>
  <c r="P56" i="3"/>
  <c r="S193" i="3"/>
  <c r="T1" i="3"/>
  <c r="S105" i="3"/>
  <c r="Q68" i="3"/>
  <c r="T276" i="2"/>
  <c r="T275" i="2"/>
  <c r="T274" i="2"/>
  <c r="T273" i="2"/>
  <c r="T272" i="2"/>
  <c r="T271" i="2"/>
  <c r="T270" i="2"/>
  <c r="T269" i="2"/>
  <c r="T268" i="2"/>
  <c r="T267" i="2"/>
  <c r="T277" i="2"/>
  <c r="T252" i="2"/>
  <c r="P89" i="2"/>
  <c r="T41" i="2"/>
  <c r="R109" i="1"/>
  <c r="R127" i="1" s="1"/>
  <c r="R26" i="1"/>
  <c r="R75" i="1" s="1"/>
  <c r="U1" i="2"/>
  <c r="R102" i="1"/>
  <c r="Q75" i="1"/>
  <c r="R8" i="1"/>
  <c r="S1" i="1"/>
  <c r="R99" i="1"/>
  <c r="T193" i="20" l="1"/>
  <c r="R270" i="12"/>
  <c r="Q283" i="10"/>
  <c r="R266" i="12"/>
  <c r="R360" i="2"/>
  <c r="R267" i="10"/>
  <c r="Q285" i="10"/>
  <c r="Q289" i="14"/>
  <c r="Q285" i="14"/>
  <c r="Q380" i="2"/>
  <c r="Q305" i="12" s="1"/>
  <c r="R354" i="2"/>
  <c r="R279" i="10" s="1"/>
  <c r="R359" i="2"/>
  <c r="R375" i="2" s="1"/>
  <c r="S336" i="2"/>
  <c r="S261" i="14" s="1"/>
  <c r="R262" i="10"/>
  <c r="R262" i="12"/>
  <c r="R268" i="14"/>
  <c r="Q259" i="2"/>
  <c r="R72" i="19"/>
  <c r="R355" i="2"/>
  <c r="R371" i="2" s="1"/>
  <c r="S105" i="20"/>
  <c r="S344" i="2"/>
  <c r="S269" i="10" s="1"/>
  <c r="Q374" i="2"/>
  <c r="Q299" i="10" s="1"/>
  <c r="Q279" i="14"/>
  <c r="Q279" i="10"/>
  <c r="R267" i="12"/>
  <c r="Q283" i="14"/>
  <c r="R266" i="14"/>
  <c r="Q284" i="12"/>
  <c r="Q375" i="2"/>
  <c r="Q300" i="14" s="1"/>
  <c r="Q370" i="2"/>
  <c r="Q295" i="10" s="1"/>
  <c r="R272" i="10"/>
  <c r="R272" i="12"/>
  <c r="R358" i="2"/>
  <c r="R283" i="12" s="1"/>
  <c r="R265" i="12"/>
  <c r="R265" i="14"/>
  <c r="R269" i="14"/>
  <c r="R365" i="2"/>
  <c r="R290" i="12" s="1"/>
  <c r="Q66" i="3"/>
  <c r="R66" i="19"/>
  <c r="Q70" i="3"/>
  <c r="R66" i="18"/>
  <c r="R356" i="2"/>
  <c r="R281" i="14" s="1"/>
  <c r="R68" i="18"/>
  <c r="S346" i="2"/>
  <c r="S271" i="10" s="1"/>
  <c r="R361" i="2"/>
  <c r="R286" i="14" s="1"/>
  <c r="R70" i="18"/>
  <c r="R268" i="10"/>
  <c r="R362" i="2"/>
  <c r="R378" i="2" s="1"/>
  <c r="R269" i="10"/>
  <c r="R335" i="2"/>
  <c r="R68" i="3" s="1"/>
  <c r="Q284" i="10"/>
  <c r="S339" i="2"/>
  <c r="S264" i="10" s="1"/>
  <c r="R263" i="14"/>
  <c r="S340" i="2"/>
  <c r="S265" i="12" s="1"/>
  <c r="R263" i="10"/>
  <c r="Q260" i="12"/>
  <c r="Q68" i="13" s="1"/>
  <c r="R110" i="21"/>
  <c r="R82" i="18" s="1"/>
  <c r="Q260" i="10"/>
  <c r="Q70" i="11" s="1"/>
  <c r="S48" i="21"/>
  <c r="S64" i="21" s="1"/>
  <c r="R68" i="19"/>
  <c r="S49" i="21"/>
  <c r="S65" i="21" s="1"/>
  <c r="S55" i="21"/>
  <c r="S71" i="21" s="1"/>
  <c r="T331" i="2"/>
  <c r="Q260" i="14"/>
  <c r="Q70" i="15" s="1"/>
  <c r="P166" i="14"/>
  <c r="P161" i="14"/>
  <c r="S110" i="21"/>
  <c r="Q377" i="2"/>
  <c r="Q286" i="10"/>
  <c r="Q286" i="14"/>
  <c r="Q286" i="12"/>
  <c r="P301" i="12"/>
  <c r="P301" i="10"/>
  <c r="P301" i="14"/>
  <c r="T100" i="21"/>
  <c r="T118" i="21" s="1"/>
  <c r="T134" i="21" s="1"/>
  <c r="T95" i="21"/>
  <c r="T113" i="21" s="1"/>
  <c r="T129" i="21" s="1"/>
  <c r="T103" i="21"/>
  <c r="T121" i="21" s="1"/>
  <c r="T137" i="21" s="1"/>
  <c r="T98" i="21"/>
  <c r="T116" i="21" s="1"/>
  <c r="T132" i="21" s="1"/>
  <c r="T93" i="21"/>
  <c r="T111" i="21" s="1"/>
  <c r="T127" i="21" s="1"/>
  <c r="T101" i="21"/>
  <c r="T119" i="21" s="1"/>
  <c r="T135" i="21" s="1"/>
  <c r="T96" i="21"/>
  <c r="T114" i="21" s="1"/>
  <c r="T130" i="21" s="1"/>
  <c r="T104" i="21"/>
  <c r="T122" i="21" s="1"/>
  <c r="T99" i="21"/>
  <c r="T117" i="21" s="1"/>
  <c r="T133" i="21" s="1"/>
  <c r="T97" i="21"/>
  <c r="T115" i="21" s="1"/>
  <c r="T131" i="21" s="1"/>
  <c r="T94" i="21"/>
  <c r="T112" i="21" s="1"/>
  <c r="T102" i="21"/>
  <c r="T120" i="21" s="1"/>
  <c r="T136" i="21" s="1"/>
  <c r="T38" i="21"/>
  <c r="T56" i="21" s="1"/>
  <c r="T34" i="21"/>
  <c r="T37" i="21"/>
  <c r="T55" i="21" s="1"/>
  <c r="T71" i="21" s="1"/>
  <c r="T35" i="21"/>
  <c r="T126" i="21"/>
  <c r="T33" i="21"/>
  <c r="T51" i="21" s="1"/>
  <c r="T67" i="21" s="1"/>
  <c r="T31" i="21"/>
  <c r="T29" i="21"/>
  <c r="T47" i="21" s="1"/>
  <c r="T63" i="21" s="1"/>
  <c r="T27" i="21"/>
  <c r="T336" i="2" s="1"/>
  <c r="T36" i="21"/>
  <c r="T54" i="21" s="1"/>
  <c r="T70" i="21" s="1"/>
  <c r="T30" i="21"/>
  <c r="T339" i="2" s="1"/>
  <c r="T32" i="21"/>
  <c r="T50" i="21" s="1"/>
  <c r="T66" i="21" s="1"/>
  <c r="T28" i="21"/>
  <c r="T60" i="21"/>
  <c r="P305" i="10"/>
  <c r="P305" i="12"/>
  <c r="P305" i="14"/>
  <c r="S338" i="2"/>
  <c r="S343" i="2"/>
  <c r="R264" i="14"/>
  <c r="R264" i="12"/>
  <c r="R264" i="10"/>
  <c r="R357" i="2"/>
  <c r="P66" i="15"/>
  <c r="P72" i="15"/>
  <c r="P70" i="15"/>
  <c r="P68" i="15"/>
  <c r="P278" i="12"/>
  <c r="P278" i="10"/>
  <c r="P296" i="10"/>
  <c r="P296" i="12"/>
  <c r="P296" i="14"/>
  <c r="S53" i="21"/>
  <c r="S69" i="21" s="1"/>
  <c r="Q305" i="10"/>
  <c r="R379" i="2"/>
  <c r="R288" i="10"/>
  <c r="R288" i="12"/>
  <c r="R288" i="14"/>
  <c r="Q378" i="2"/>
  <c r="Q287" i="12"/>
  <c r="Q287" i="10"/>
  <c r="Q287" i="14"/>
  <c r="P340" i="14"/>
  <c r="S26" i="21"/>
  <c r="S45" i="21"/>
  <c r="S342" i="2"/>
  <c r="S341" i="2"/>
  <c r="Q296" i="12"/>
  <c r="Q296" i="14"/>
  <c r="Q296" i="10"/>
  <c r="P300" i="10"/>
  <c r="P300" i="12"/>
  <c r="P300" i="14"/>
  <c r="P302" i="10"/>
  <c r="P302" i="12"/>
  <c r="P302" i="14"/>
  <c r="R7" i="9"/>
  <c r="R7" i="21"/>
  <c r="R7" i="20"/>
  <c r="R376" i="2"/>
  <c r="R285" i="14"/>
  <c r="R285" i="12"/>
  <c r="R285" i="10"/>
  <c r="S125" i="21"/>
  <c r="S362" i="2"/>
  <c r="P70" i="11"/>
  <c r="P72" i="11"/>
  <c r="P68" i="11"/>
  <c r="P66" i="11"/>
  <c r="Q304" i="10"/>
  <c r="Q304" i="12"/>
  <c r="Q304" i="14"/>
  <c r="R62" i="21"/>
  <c r="R59" i="21" s="1"/>
  <c r="R44" i="21"/>
  <c r="Q353" i="2"/>
  <c r="P304" i="12"/>
  <c r="P304" i="10"/>
  <c r="P304" i="14"/>
  <c r="U330" i="2"/>
  <c r="U332" i="2"/>
  <c r="U1" i="21"/>
  <c r="U199" i="2"/>
  <c r="U207" i="2"/>
  <c r="U202" i="2"/>
  <c r="U205" i="2"/>
  <c r="U200" i="2"/>
  <c r="U208" i="2"/>
  <c r="U203" i="2"/>
  <c r="U198" i="2"/>
  <c r="U206" i="2"/>
  <c r="U201" i="2"/>
  <c r="U209" i="2"/>
  <c r="U204" i="2"/>
  <c r="U1" i="20"/>
  <c r="Q6" i="21"/>
  <c r="Q6" i="20"/>
  <c r="S92" i="21"/>
  <c r="Q372" i="2"/>
  <c r="Q281" i="14"/>
  <c r="Q281" i="10"/>
  <c r="Q281" i="12"/>
  <c r="R370" i="2"/>
  <c r="Q82" i="19"/>
  <c r="Q76" i="19"/>
  <c r="Q80" i="19"/>
  <c r="Q78" i="19"/>
  <c r="P82" i="3"/>
  <c r="P77" i="20"/>
  <c r="P81" i="20"/>
  <c r="P78" i="3"/>
  <c r="P79" i="20"/>
  <c r="P77" i="18"/>
  <c r="P79" i="18"/>
  <c r="P81" i="18"/>
  <c r="P77" i="19"/>
  <c r="P79" i="19"/>
  <c r="P76" i="3"/>
  <c r="P80" i="3"/>
  <c r="P81" i="19"/>
  <c r="R294" i="12"/>
  <c r="R294" i="14"/>
  <c r="R294" i="10"/>
  <c r="Q301" i="14"/>
  <c r="Q301" i="10"/>
  <c r="Q301" i="12"/>
  <c r="S345" i="2"/>
  <c r="R271" i="12"/>
  <c r="R271" i="14"/>
  <c r="R271" i="10"/>
  <c r="R364" i="2"/>
  <c r="P295" i="12"/>
  <c r="P295" i="10"/>
  <c r="P295" i="14"/>
  <c r="P368" i="2"/>
  <c r="Q298" i="10"/>
  <c r="Q298" i="14"/>
  <c r="Q298" i="12"/>
  <c r="P298" i="10"/>
  <c r="P298" i="12"/>
  <c r="P298" i="14"/>
  <c r="P299" i="12"/>
  <c r="P299" i="10"/>
  <c r="P299" i="14"/>
  <c r="S347" i="2"/>
  <c r="S337" i="2"/>
  <c r="Q294" i="14"/>
  <c r="Q294" i="12"/>
  <c r="Q294" i="10"/>
  <c r="P297" i="12"/>
  <c r="P297" i="10"/>
  <c r="P297" i="14"/>
  <c r="P303" i="12"/>
  <c r="P303" i="10"/>
  <c r="P303" i="14"/>
  <c r="P70" i="13"/>
  <c r="P72" i="13"/>
  <c r="P66" i="13"/>
  <c r="P68" i="13"/>
  <c r="P278" i="14"/>
  <c r="P159" i="14"/>
  <c r="P164" i="14"/>
  <c r="P158" i="14"/>
  <c r="P331" i="14"/>
  <c r="P167" i="14"/>
  <c r="P317" i="14"/>
  <c r="P319" i="14"/>
  <c r="P314" i="14"/>
  <c r="P335" i="14"/>
  <c r="P334" i="14"/>
  <c r="P333" i="14"/>
  <c r="Q319" i="10"/>
  <c r="Q164" i="10"/>
  <c r="Q337" i="10"/>
  <c r="P329" i="10"/>
  <c r="P101" i="11" s="1"/>
  <c r="P311" i="10"/>
  <c r="P85" i="11" s="1"/>
  <c r="P341" i="14"/>
  <c r="P339" i="14"/>
  <c r="P320" i="14"/>
  <c r="P315" i="14"/>
  <c r="P163" i="14"/>
  <c r="P18" i="11"/>
  <c r="P20" i="11"/>
  <c r="P16" i="11"/>
  <c r="P22" i="11"/>
  <c r="P165" i="14"/>
  <c r="P137" i="14"/>
  <c r="P16" i="15" s="1"/>
  <c r="P157" i="10"/>
  <c r="Q145" i="14"/>
  <c r="Q164" i="14" s="1"/>
  <c r="Q145" i="12"/>
  <c r="P336" i="14"/>
  <c r="P323" i="14"/>
  <c r="P315" i="12"/>
  <c r="P160" i="12"/>
  <c r="P333" i="12"/>
  <c r="P341" i="12"/>
  <c r="P168" i="12"/>
  <c r="P323" i="12"/>
  <c r="P166" i="12"/>
  <c r="P321" i="12"/>
  <c r="P339" i="12"/>
  <c r="P336" i="12"/>
  <c r="P318" i="12"/>
  <c r="P163" i="12"/>
  <c r="P338" i="12"/>
  <c r="P165" i="12"/>
  <c r="P320" i="12"/>
  <c r="P335" i="12"/>
  <c r="P317" i="12"/>
  <c r="P162" i="12"/>
  <c r="P316" i="12"/>
  <c r="P161" i="12"/>
  <c r="P334" i="12"/>
  <c r="P322" i="12"/>
  <c r="P340" i="12"/>
  <c r="P167" i="12"/>
  <c r="P164" i="12"/>
  <c r="P337" i="12"/>
  <c r="P319" i="12"/>
  <c r="P314" i="12"/>
  <c r="P332" i="12"/>
  <c r="P159" i="12"/>
  <c r="P158" i="12"/>
  <c r="P313" i="12"/>
  <c r="P331" i="12"/>
  <c r="P137" i="12"/>
  <c r="Q220" i="2"/>
  <c r="Q190" i="2" s="1"/>
  <c r="P236" i="2"/>
  <c r="P397" i="2"/>
  <c r="P406" i="2"/>
  <c r="P388" i="2"/>
  <c r="P398" i="2"/>
  <c r="P414" i="2"/>
  <c r="P395" i="2"/>
  <c r="P238" i="2"/>
  <c r="P244" i="2"/>
  <c r="P390" i="2"/>
  <c r="P389" i="2"/>
  <c r="P410" i="2"/>
  <c r="P405" i="2"/>
  <c r="P234" i="2"/>
  <c r="P237" i="2"/>
  <c r="P394" i="2"/>
  <c r="P391" i="2"/>
  <c r="P412" i="2"/>
  <c r="P415" i="2"/>
  <c r="R8" i="2"/>
  <c r="R306" i="2" s="1"/>
  <c r="R322" i="2" s="1"/>
  <c r="P239" i="2"/>
  <c r="P197" i="2"/>
  <c r="P416" i="2"/>
  <c r="P235" i="2"/>
  <c r="P243" i="2"/>
  <c r="P408" i="2"/>
  <c r="P396" i="2"/>
  <c r="P413" i="2"/>
  <c r="P240" i="2"/>
  <c r="P393" i="2"/>
  <c r="T254" i="2"/>
  <c r="R255" i="2"/>
  <c r="T257" i="2"/>
  <c r="P256" i="2"/>
  <c r="S262" i="2"/>
  <c r="T262" i="2"/>
  <c r="R261" i="2"/>
  <c r="Q257" i="2"/>
  <c r="P252" i="2"/>
  <c r="S257" i="2"/>
  <c r="T256" i="2"/>
  <c r="T261" i="2"/>
  <c r="P257" i="2"/>
  <c r="S260" i="2"/>
  <c r="Q256" i="2"/>
  <c r="T251" i="2"/>
  <c r="T255" i="2"/>
  <c r="T260" i="2"/>
  <c r="T258" i="2"/>
  <c r="T259" i="2"/>
  <c r="T253" i="2"/>
  <c r="T266" i="2"/>
  <c r="T265" i="2" s="1"/>
  <c r="P254" i="2"/>
  <c r="S252" i="2"/>
  <c r="Q260" i="2"/>
  <c r="R7" i="17"/>
  <c r="T105" i="18"/>
  <c r="T11" i="18"/>
  <c r="T193" i="18"/>
  <c r="R7" i="3"/>
  <c r="Q6" i="17"/>
  <c r="Q6" i="18"/>
  <c r="Q6" i="19"/>
  <c r="J172" i="10"/>
  <c r="R186" i="10" s="1"/>
  <c r="Q266" i="2"/>
  <c r="Q265" i="2" s="1"/>
  <c r="R266" i="2"/>
  <c r="R265" i="2" s="1"/>
  <c r="R253" i="2"/>
  <c r="P258" i="2"/>
  <c r="R256" i="2"/>
  <c r="S259" i="2"/>
  <c r="R7" i="19"/>
  <c r="R7" i="18"/>
  <c r="U1" i="17"/>
  <c r="U50" i="17" s="1"/>
  <c r="U1" i="19"/>
  <c r="U1" i="18"/>
  <c r="P255" i="2"/>
  <c r="Q251" i="2"/>
  <c r="S254" i="2"/>
  <c r="J172" i="12"/>
  <c r="U179" i="12" s="1"/>
  <c r="Q254" i="2"/>
  <c r="T11" i="19"/>
  <c r="T105" i="19"/>
  <c r="T193" i="19"/>
  <c r="R259" i="2"/>
  <c r="P260" i="2"/>
  <c r="P262" i="2"/>
  <c r="Q253" i="2"/>
  <c r="Q262" i="2"/>
  <c r="R262" i="2"/>
  <c r="S253" i="2"/>
  <c r="R251" i="2"/>
  <c r="P261" i="2"/>
  <c r="P259" i="2"/>
  <c r="Q261" i="2"/>
  <c r="R252" i="2"/>
  <c r="S266" i="2"/>
  <c r="S265" i="2" s="1"/>
  <c r="S256" i="2"/>
  <c r="S261" i="2"/>
  <c r="S251" i="2"/>
  <c r="R257" i="2"/>
  <c r="P251" i="2"/>
  <c r="P253" i="2"/>
  <c r="Q252" i="2"/>
  <c r="R260" i="2"/>
  <c r="S258" i="2"/>
  <c r="S255" i="2"/>
  <c r="J172" i="14"/>
  <c r="P266" i="2"/>
  <c r="P265" i="2" s="1"/>
  <c r="Q255" i="2"/>
  <c r="Q258" i="2"/>
  <c r="R254" i="2"/>
  <c r="P182" i="2"/>
  <c r="P20" i="3" s="1"/>
  <c r="P22" i="18"/>
  <c r="P20" i="18"/>
  <c r="P18" i="18"/>
  <c r="P157" i="18" s="1"/>
  <c r="P16" i="18"/>
  <c r="Q100" i="2"/>
  <c r="Q148" i="10" s="1"/>
  <c r="Q96" i="2"/>
  <c r="Q144" i="10" s="1"/>
  <c r="Q315" i="2"/>
  <c r="Q93" i="2"/>
  <c r="Q141" i="10" s="1"/>
  <c r="Q91" i="2"/>
  <c r="Q139" i="10" s="1"/>
  <c r="Q99" i="2"/>
  <c r="Q147" i="10" s="1"/>
  <c r="Q101" i="2"/>
  <c r="Q149" i="10" s="1"/>
  <c r="Q98" i="2"/>
  <c r="Q146" i="10" s="1"/>
  <c r="Q94" i="2"/>
  <c r="Q142" i="10" s="1"/>
  <c r="U87" i="2"/>
  <c r="U1" i="9"/>
  <c r="U171" i="2"/>
  <c r="U175" i="2"/>
  <c r="U179" i="2"/>
  <c r="U169" i="2"/>
  <c r="U178" i="2"/>
  <c r="U172" i="2"/>
  <c r="U170" i="2"/>
  <c r="U168" i="2"/>
  <c r="U174" i="2"/>
  <c r="U176" i="2"/>
  <c r="U177" i="2"/>
  <c r="U173" i="2"/>
  <c r="U25" i="2"/>
  <c r="U29" i="2"/>
  <c r="U26" i="2"/>
  <c r="U20" i="2"/>
  <c r="U31" i="2"/>
  <c r="U22" i="2"/>
  <c r="U30" i="2"/>
  <c r="U27" i="2"/>
  <c r="U21" i="2"/>
  <c r="U24" i="2"/>
  <c r="U28" i="2"/>
  <c r="U23" i="2"/>
  <c r="Q300" i="2"/>
  <c r="Q43" i="2"/>
  <c r="Q95" i="2"/>
  <c r="Q143" i="10" s="1"/>
  <c r="Q90" i="2"/>
  <c r="Q138" i="10" s="1"/>
  <c r="Q66" i="2"/>
  <c r="Q92" i="2"/>
  <c r="Q140" i="10" s="1"/>
  <c r="Q6" i="3"/>
  <c r="Q6" i="9"/>
  <c r="T193" i="3"/>
  <c r="U1" i="3"/>
  <c r="R72" i="3"/>
  <c r="R66" i="3"/>
  <c r="T105" i="3"/>
  <c r="U277" i="2"/>
  <c r="U276" i="2"/>
  <c r="U273" i="2"/>
  <c r="U269" i="2"/>
  <c r="U272" i="2"/>
  <c r="U268" i="2"/>
  <c r="U275" i="2"/>
  <c r="U271" i="2"/>
  <c r="U267" i="2"/>
  <c r="U274" i="2"/>
  <c r="U270" i="2"/>
  <c r="U266" i="2"/>
  <c r="U260" i="2"/>
  <c r="U256" i="2"/>
  <c r="U252" i="2"/>
  <c r="U259" i="2"/>
  <c r="U255" i="2"/>
  <c r="U251" i="2"/>
  <c r="U262" i="2"/>
  <c r="U258" i="2"/>
  <c r="U257" i="2"/>
  <c r="U254" i="2"/>
  <c r="U253" i="2"/>
  <c r="U261" i="2"/>
  <c r="U41" i="2"/>
  <c r="S109" i="1"/>
  <c r="S127" i="1" s="1"/>
  <c r="S26" i="1"/>
  <c r="V1" i="2"/>
  <c r="S102" i="1"/>
  <c r="T1" i="1"/>
  <c r="S78" i="1"/>
  <c r="S99" i="1" s="1"/>
  <c r="S8" i="1"/>
  <c r="U193" i="20" l="1"/>
  <c r="Q295" i="14"/>
  <c r="Q305" i="14"/>
  <c r="R281" i="12"/>
  <c r="Q295" i="12"/>
  <c r="S265" i="14"/>
  <c r="R281" i="10"/>
  <c r="R49" i="2"/>
  <c r="R64" i="2" s="1"/>
  <c r="T180" i="10"/>
  <c r="S191" i="12"/>
  <c r="S190" i="12" s="1"/>
  <c r="R78" i="18"/>
  <c r="V191" i="12"/>
  <c r="V190" i="12" s="1"/>
  <c r="R80" i="18"/>
  <c r="R279" i="12"/>
  <c r="R279" i="14"/>
  <c r="R284" i="10"/>
  <c r="R284" i="14"/>
  <c r="R284" i="12"/>
  <c r="R50" i="2"/>
  <c r="R65" i="2" s="1"/>
  <c r="R183" i="12"/>
  <c r="R8" i="3"/>
  <c r="T343" i="2"/>
  <c r="T184" i="12"/>
  <c r="R280" i="14"/>
  <c r="V178" i="12"/>
  <c r="R280" i="10"/>
  <c r="Q191" i="12"/>
  <c r="Q190" i="12" s="1"/>
  <c r="R280" i="12"/>
  <c r="U185" i="12"/>
  <c r="R310" i="2"/>
  <c r="R326" i="2" s="1"/>
  <c r="R8" i="18"/>
  <c r="R76" i="18"/>
  <c r="S176" i="12"/>
  <c r="R374" i="2"/>
  <c r="R299" i="10" s="1"/>
  <c r="U177" i="12"/>
  <c r="T186" i="12"/>
  <c r="R304" i="2"/>
  <c r="R320" i="2" s="1"/>
  <c r="R8" i="9"/>
  <c r="R47" i="2"/>
  <c r="R62" i="2" s="1"/>
  <c r="R46" i="2"/>
  <c r="R61" i="2" s="1"/>
  <c r="R8" i="19"/>
  <c r="R45" i="2"/>
  <c r="R60" i="2" s="1"/>
  <c r="R54" i="2"/>
  <c r="R69" i="2" s="1"/>
  <c r="R307" i="2"/>
  <c r="R323" i="2" s="1"/>
  <c r="R55" i="2"/>
  <c r="R70" i="2" s="1"/>
  <c r="S354" i="2"/>
  <c r="R8" i="17"/>
  <c r="P186" i="12"/>
  <c r="P183" i="12"/>
  <c r="S7" i="2"/>
  <c r="S7" i="19" s="1"/>
  <c r="R44" i="2"/>
  <c r="R59" i="2" s="1"/>
  <c r="R309" i="2"/>
  <c r="R325" i="2" s="1"/>
  <c r="R312" i="2"/>
  <c r="S316" i="2" s="1"/>
  <c r="R51" i="2"/>
  <c r="R66" i="2" s="1"/>
  <c r="S261" i="12"/>
  <c r="Q185" i="12"/>
  <c r="Q184" i="12"/>
  <c r="R302" i="2"/>
  <c r="R318" i="2" s="1"/>
  <c r="R308" i="2"/>
  <c r="R324" i="2" s="1"/>
  <c r="R303" i="2"/>
  <c r="R319" i="2" s="1"/>
  <c r="S261" i="10"/>
  <c r="S185" i="12"/>
  <c r="R184" i="12"/>
  <c r="R311" i="2"/>
  <c r="R327" i="2" s="1"/>
  <c r="S269" i="12"/>
  <c r="S269" i="14"/>
  <c r="Q299" i="12"/>
  <c r="V184" i="10"/>
  <c r="W187" i="10"/>
  <c r="W185" i="10"/>
  <c r="W186" i="10"/>
  <c r="W179" i="10"/>
  <c r="W180" i="10"/>
  <c r="W183" i="10"/>
  <c r="W184" i="10"/>
  <c r="W181" i="10"/>
  <c r="W182" i="10"/>
  <c r="W177" i="10"/>
  <c r="W178" i="10"/>
  <c r="W176" i="10"/>
  <c r="W191" i="10"/>
  <c r="W190" i="10" s="1"/>
  <c r="X187" i="10"/>
  <c r="X179" i="10"/>
  <c r="X186" i="10"/>
  <c r="X178" i="10"/>
  <c r="X185" i="10"/>
  <c r="X177" i="10"/>
  <c r="X184" i="10"/>
  <c r="X176" i="10"/>
  <c r="X183" i="10"/>
  <c r="X182" i="10"/>
  <c r="X181" i="10"/>
  <c r="X180" i="10"/>
  <c r="X191" i="10"/>
  <c r="X190" i="10" s="1"/>
  <c r="Y182" i="10"/>
  <c r="Y180" i="10"/>
  <c r="Y191" i="10"/>
  <c r="Y190" i="10" s="1"/>
  <c r="Y187" i="10"/>
  <c r="Y178" i="10"/>
  <c r="Y176" i="10"/>
  <c r="Y185" i="10"/>
  <c r="Y186" i="10"/>
  <c r="Y183" i="10"/>
  <c r="Y181" i="10"/>
  <c r="Y179" i="10"/>
  <c r="Y177" i="10"/>
  <c r="Y184" i="10"/>
  <c r="R305" i="2"/>
  <c r="R321" i="2" s="1"/>
  <c r="V187" i="12"/>
  <c r="W186" i="12"/>
  <c r="W179" i="12"/>
  <c r="W184" i="12"/>
  <c r="W177" i="12"/>
  <c r="W182" i="12"/>
  <c r="W180" i="12"/>
  <c r="W178" i="12"/>
  <c r="W187" i="12"/>
  <c r="W176" i="12"/>
  <c r="W185" i="12"/>
  <c r="W191" i="12"/>
  <c r="W190" i="12" s="1"/>
  <c r="W183" i="12"/>
  <c r="W181" i="12"/>
  <c r="X183" i="12"/>
  <c r="X182" i="12"/>
  <c r="X181" i="12"/>
  <c r="X180" i="12"/>
  <c r="X187" i="12"/>
  <c r="X179" i="12"/>
  <c r="X191" i="12"/>
  <c r="X190" i="12" s="1"/>
  <c r="X186" i="12"/>
  <c r="X178" i="12"/>
  <c r="X185" i="12"/>
  <c r="X177" i="12"/>
  <c r="X184" i="12"/>
  <c r="X176" i="12"/>
  <c r="Y176" i="12"/>
  <c r="Y187" i="12"/>
  <c r="Y185" i="12"/>
  <c r="Y183" i="12"/>
  <c r="Y186" i="12"/>
  <c r="Y191" i="12"/>
  <c r="Y190" i="12" s="1"/>
  <c r="Y181" i="12"/>
  <c r="Y184" i="12"/>
  <c r="Y179" i="12"/>
  <c r="Y182" i="12"/>
  <c r="Y177" i="12"/>
  <c r="Y180" i="12"/>
  <c r="Y178" i="12"/>
  <c r="W187" i="14"/>
  <c r="W180" i="14"/>
  <c r="W182" i="14"/>
  <c r="W183" i="14"/>
  <c r="W186" i="14"/>
  <c r="W178" i="14"/>
  <c r="W179" i="14"/>
  <c r="W181" i="14"/>
  <c r="W176" i="14"/>
  <c r="W184" i="14"/>
  <c r="W177" i="14"/>
  <c r="W191" i="14"/>
  <c r="W190" i="14" s="1"/>
  <c r="W185" i="14"/>
  <c r="X182" i="14"/>
  <c r="X176" i="14"/>
  <c r="X180" i="14"/>
  <c r="X178" i="14"/>
  <c r="X187" i="14"/>
  <c r="X179" i="14"/>
  <c r="X191" i="14"/>
  <c r="X190" i="14" s="1"/>
  <c r="X177" i="14"/>
  <c r="X183" i="14"/>
  <c r="X186" i="14"/>
  <c r="X181" i="14"/>
  <c r="X184" i="14"/>
  <c r="X185" i="14"/>
  <c r="Y184" i="14"/>
  <c r="Y183" i="14"/>
  <c r="Y191" i="14"/>
  <c r="Y190" i="14" s="1"/>
  <c r="Y187" i="14"/>
  <c r="Y182" i="14"/>
  <c r="Y185" i="14"/>
  <c r="Y186" i="14"/>
  <c r="Y181" i="14"/>
  <c r="Y179" i="14"/>
  <c r="Y177" i="14"/>
  <c r="Y180" i="14"/>
  <c r="Y178" i="14"/>
  <c r="Y176" i="14"/>
  <c r="Q300" i="12"/>
  <c r="Q299" i="14"/>
  <c r="R372" i="2"/>
  <c r="Q300" i="10"/>
  <c r="R290" i="14"/>
  <c r="T337" i="2"/>
  <c r="T262" i="10" s="1"/>
  <c r="T344" i="2"/>
  <c r="T362" i="2" s="1"/>
  <c r="S358" i="2"/>
  <c r="S283" i="14" s="1"/>
  <c r="P18" i="15"/>
  <c r="P157" i="15" s="1"/>
  <c r="S265" i="10"/>
  <c r="R286" i="12"/>
  <c r="R286" i="10"/>
  <c r="R283" i="10"/>
  <c r="R283" i="14"/>
  <c r="R260" i="10"/>
  <c r="R68" i="11" s="1"/>
  <c r="R377" i="2"/>
  <c r="R302" i="10" s="1"/>
  <c r="S364" i="2"/>
  <c r="S289" i="10" s="1"/>
  <c r="S369" i="2"/>
  <c r="S294" i="14" s="1"/>
  <c r="S271" i="12"/>
  <c r="S357" i="2"/>
  <c r="S373" i="2" s="1"/>
  <c r="R290" i="10"/>
  <c r="S271" i="14"/>
  <c r="S264" i="12"/>
  <c r="S264" i="14"/>
  <c r="T178" i="12"/>
  <c r="R186" i="12"/>
  <c r="Q181" i="12"/>
  <c r="V176" i="12"/>
  <c r="T181" i="12"/>
  <c r="R287" i="14"/>
  <c r="R287" i="10"/>
  <c r="R287" i="12"/>
  <c r="Q72" i="13"/>
  <c r="Q66" i="13"/>
  <c r="R353" i="2"/>
  <c r="R77" i="19" s="1"/>
  <c r="R70" i="3"/>
  <c r="Q70" i="13"/>
  <c r="T340" i="2"/>
  <c r="T265" i="14" s="1"/>
  <c r="Q66" i="11"/>
  <c r="Q278" i="10"/>
  <c r="Q78" i="11" s="1"/>
  <c r="R260" i="14"/>
  <c r="R66" i="15" s="1"/>
  <c r="Q68" i="11"/>
  <c r="R260" i="12"/>
  <c r="R66" i="13" s="1"/>
  <c r="Q72" i="11"/>
  <c r="Q278" i="14"/>
  <c r="Q80" i="15" s="1"/>
  <c r="T45" i="21"/>
  <c r="T61" i="21" s="1"/>
  <c r="T53" i="21"/>
  <c r="T69" i="21" s="1"/>
  <c r="T52" i="21"/>
  <c r="T68" i="21" s="1"/>
  <c r="Q72" i="15"/>
  <c r="Q66" i="15"/>
  <c r="Q68" i="15"/>
  <c r="Q278" i="12"/>
  <c r="Q80" i="13" s="1"/>
  <c r="T110" i="21"/>
  <c r="T128" i="21"/>
  <c r="T125" i="21" s="1"/>
  <c r="R303" i="14"/>
  <c r="R303" i="12"/>
  <c r="R303" i="10"/>
  <c r="T264" i="10"/>
  <c r="T264" i="12"/>
  <c r="T264" i="14"/>
  <c r="T357" i="2"/>
  <c r="P183" i="10"/>
  <c r="U179" i="10"/>
  <c r="S183" i="10"/>
  <c r="P76" i="15"/>
  <c r="P78" i="15"/>
  <c r="P82" i="15"/>
  <c r="P80" i="15"/>
  <c r="Q297" i="12"/>
  <c r="Q297" i="10"/>
  <c r="Q297" i="14"/>
  <c r="P76" i="13"/>
  <c r="P80" i="13"/>
  <c r="P82" i="13"/>
  <c r="P78" i="13"/>
  <c r="T48" i="21"/>
  <c r="T64" i="21" s="1"/>
  <c r="T92" i="21"/>
  <c r="T345" i="2"/>
  <c r="T342" i="2"/>
  <c r="T347" i="2"/>
  <c r="Q182" i="10"/>
  <c r="V178" i="10"/>
  <c r="T183" i="10"/>
  <c r="S72" i="18"/>
  <c r="S70" i="18"/>
  <c r="S68" i="18"/>
  <c r="S66" i="18"/>
  <c r="U97" i="21"/>
  <c r="U115" i="21" s="1"/>
  <c r="U131" i="21" s="1"/>
  <c r="U94" i="21"/>
  <c r="U112" i="21" s="1"/>
  <c r="U128" i="21" s="1"/>
  <c r="U100" i="21"/>
  <c r="U118" i="21" s="1"/>
  <c r="U134" i="21" s="1"/>
  <c r="U95" i="21"/>
  <c r="U113" i="21" s="1"/>
  <c r="U129" i="21" s="1"/>
  <c r="U103" i="21"/>
  <c r="U121" i="21" s="1"/>
  <c r="U137" i="21" s="1"/>
  <c r="U98" i="21"/>
  <c r="U116" i="21" s="1"/>
  <c r="U132" i="21" s="1"/>
  <c r="U93" i="21"/>
  <c r="U101" i="21"/>
  <c r="U119" i="21" s="1"/>
  <c r="U135" i="21" s="1"/>
  <c r="U96" i="21"/>
  <c r="U114" i="21" s="1"/>
  <c r="U130" i="21" s="1"/>
  <c r="U104" i="21"/>
  <c r="U122" i="21" s="1"/>
  <c r="U102" i="21"/>
  <c r="U120" i="21" s="1"/>
  <c r="U136" i="21" s="1"/>
  <c r="U99" i="21"/>
  <c r="U117" i="21" s="1"/>
  <c r="U133" i="21" s="1"/>
  <c r="U126" i="21"/>
  <c r="U28" i="21"/>
  <c r="U46" i="21" s="1"/>
  <c r="U62" i="21" s="1"/>
  <c r="U34" i="21"/>
  <c r="U27" i="21"/>
  <c r="U35" i="21"/>
  <c r="U37" i="21"/>
  <c r="U55" i="21" s="1"/>
  <c r="U71" i="21" s="1"/>
  <c r="U31" i="21"/>
  <c r="U33" i="21"/>
  <c r="U38" i="21"/>
  <c r="U29" i="21"/>
  <c r="U30" i="21"/>
  <c r="U36" i="21"/>
  <c r="U32" i="21"/>
  <c r="U60" i="21"/>
  <c r="T26" i="21"/>
  <c r="R300" i="14"/>
  <c r="R300" i="10"/>
  <c r="R300" i="12"/>
  <c r="Q177" i="10"/>
  <c r="V180" i="10"/>
  <c r="T184" i="10"/>
  <c r="P293" i="14"/>
  <c r="S370" i="2"/>
  <c r="S279" i="12"/>
  <c r="S279" i="14"/>
  <c r="S279" i="10"/>
  <c r="T46" i="21"/>
  <c r="T62" i="21" s="1"/>
  <c r="T49" i="21"/>
  <c r="T65" i="21" s="1"/>
  <c r="R304" i="10"/>
  <c r="R304" i="12"/>
  <c r="R304" i="14"/>
  <c r="S263" i="10"/>
  <c r="S263" i="12"/>
  <c r="S263" i="14"/>
  <c r="S356" i="2"/>
  <c r="Q302" i="14"/>
  <c r="Q302" i="10"/>
  <c r="Q302" i="12"/>
  <c r="R182" i="10"/>
  <c r="P176" i="10"/>
  <c r="U187" i="10"/>
  <c r="Q368" i="2"/>
  <c r="S262" i="14"/>
  <c r="S262" i="10"/>
  <c r="S262" i="12"/>
  <c r="S355" i="2"/>
  <c r="P293" i="10"/>
  <c r="S270" i="10"/>
  <c r="S270" i="12"/>
  <c r="S270" i="14"/>
  <c r="S363" i="2"/>
  <c r="Q77" i="18"/>
  <c r="Q81" i="18"/>
  <c r="Q77" i="19"/>
  <c r="Q81" i="19"/>
  <c r="Q79" i="18"/>
  <c r="Q79" i="19"/>
  <c r="Q79" i="20"/>
  <c r="Q77" i="20"/>
  <c r="Q82" i="3"/>
  <c r="Q80" i="3"/>
  <c r="Q76" i="3"/>
  <c r="Q78" i="3"/>
  <c r="Q81" i="20"/>
  <c r="S266" i="10"/>
  <c r="S266" i="12"/>
  <c r="S266" i="14"/>
  <c r="S359" i="2"/>
  <c r="Q303" i="14"/>
  <c r="Q303" i="12"/>
  <c r="Q303" i="10"/>
  <c r="R296" i="14"/>
  <c r="R296" i="10"/>
  <c r="R296" i="12"/>
  <c r="T261" i="14"/>
  <c r="T261" i="12"/>
  <c r="T261" i="10"/>
  <c r="T354" i="2"/>
  <c r="P82" i="11"/>
  <c r="P78" i="11"/>
  <c r="P129" i="11" s="1"/>
  <c r="P80" i="11"/>
  <c r="P76" i="11"/>
  <c r="S76" i="18"/>
  <c r="S80" i="18"/>
  <c r="S78" i="18"/>
  <c r="S82" i="18"/>
  <c r="S335" i="2"/>
  <c r="S70" i="3" s="1"/>
  <c r="T105" i="20"/>
  <c r="S180" i="10"/>
  <c r="Q191" i="10"/>
  <c r="Q190" i="10" s="1"/>
  <c r="U177" i="10"/>
  <c r="R8" i="21"/>
  <c r="R8" i="20"/>
  <c r="S272" i="12"/>
  <c r="S272" i="14"/>
  <c r="S272" i="10"/>
  <c r="S365" i="2"/>
  <c r="P293" i="12"/>
  <c r="R295" i="12"/>
  <c r="R295" i="10"/>
  <c r="R295" i="14"/>
  <c r="U331" i="2"/>
  <c r="R82" i="19"/>
  <c r="R78" i="19"/>
  <c r="R80" i="19"/>
  <c r="R76" i="19"/>
  <c r="S267" i="12"/>
  <c r="S267" i="14"/>
  <c r="S267" i="10"/>
  <c r="S360" i="2"/>
  <c r="T341" i="2"/>
  <c r="T338" i="2"/>
  <c r="T346" i="2"/>
  <c r="V332" i="2"/>
  <c r="V330" i="2"/>
  <c r="V204" i="2"/>
  <c r="V199" i="2"/>
  <c r="V202" i="2"/>
  <c r="V201" i="2"/>
  <c r="V209" i="2"/>
  <c r="V207" i="2"/>
  <c r="V205" i="2"/>
  <c r="V200" i="2"/>
  <c r="V208" i="2"/>
  <c r="V203" i="2"/>
  <c r="V198" i="2"/>
  <c r="V206" i="2"/>
  <c r="V1" i="21"/>
  <c r="V1" i="20"/>
  <c r="S181" i="10"/>
  <c r="Q178" i="10"/>
  <c r="V182" i="10"/>
  <c r="R380" i="2"/>
  <c r="R289" i="12"/>
  <c r="R289" i="14"/>
  <c r="R289" i="10"/>
  <c r="S61" i="21"/>
  <c r="S59" i="21" s="1"/>
  <c r="S44" i="21"/>
  <c r="R297" i="10"/>
  <c r="R297" i="14"/>
  <c r="R297" i="12"/>
  <c r="T186" i="10"/>
  <c r="R176" i="10"/>
  <c r="S378" i="2"/>
  <c r="S287" i="12"/>
  <c r="S287" i="10"/>
  <c r="S287" i="14"/>
  <c r="R301" i="14"/>
  <c r="R301" i="12"/>
  <c r="R301" i="10"/>
  <c r="S70" i="19"/>
  <c r="S72" i="19"/>
  <c r="S66" i="19"/>
  <c r="S68" i="19"/>
  <c r="R373" i="2"/>
  <c r="R282" i="12"/>
  <c r="R282" i="10"/>
  <c r="R282" i="14"/>
  <c r="S268" i="10"/>
  <c r="S268" i="14"/>
  <c r="S268" i="12"/>
  <c r="S361" i="2"/>
  <c r="T268" i="10"/>
  <c r="T268" i="12"/>
  <c r="T268" i="14"/>
  <c r="T361" i="2"/>
  <c r="P99" i="11"/>
  <c r="P22" i="15"/>
  <c r="P161" i="15" s="1"/>
  <c r="P97" i="11"/>
  <c r="P95" i="11"/>
  <c r="P20" i="15"/>
  <c r="P159" i="15" s="1"/>
  <c r="Q315" i="10"/>
  <c r="Q160" i="10"/>
  <c r="Q333" i="10"/>
  <c r="Q312" i="10"/>
  <c r="Q169" i="10"/>
  <c r="Q330" i="10"/>
  <c r="Q137" i="10"/>
  <c r="Q162" i="10"/>
  <c r="Q317" i="10"/>
  <c r="Q335" i="10"/>
  <c r="Q166" i="10"/>
  <c r="Q321" i="10"/>
  <c r="Q339" i="10"/>
  <c r="Q340" i="10"/>
  <c r="Q322" i="10"/>
  <c r="Q167" i="10"/>
  <c r="Q337" i="14"/>
  <c r="P89" i="11"/>
  <c r="Q314" i="10"/>
  <c r="Q159" i="10"/>
  <c r="Q332" i="10"/>
  <c r="Q316" i="10"/>
  <c r="Q334" i="10"/>
  <c r="Q161" i="10"/>
  <c r="Q313" i="10"/>
  <c r="Q158" i="10"/>
  <c r="Q331" i="10"/>
  <c r="Q319" i="14"/>
  <c r="P91" i="11"/>
  <c r="Q338" i="10"/>
  <c r="Q320" i="10"/>
  <c r="Q165" i="10"/>
  <c r="P87" i="11"/>
  <c r="Q341" i="10"/>
  <c r="Q168" i="10"/>
  <c r="Q323" i="10"/>
  <c r="Q336" i="10"/>
  <c r="Q318" i="10"/>
  <c r="Q163" i="10"/>
  <c r="P311" i="14"/>
  <c r="P89" i="15" s="1"/>
  <c r="P157" i="14"/>
  <c r="P40" i="15" s="1"/>
  <c r="P157" i="11"/>
  <c r="P329" i="14"/>
  <c r="P101" i="15" s="1"/>
  <c r="P38" i="11"/>
  <c r="P36" i="11"/>
  <c r="P42" i="11"/>
  <c r="P40" i="11"/>
  <c r="P161" i="11"/>
  <c r="P159" i="11"/>
  <c r="Q140" i="14"/>
  <c r="Q332" i="14" s="1"/>
  <c r="Q140" i="12"/>
  <c r="Q143" i="14"/>
  <c r="Q317" i="14" s="1"/>
  <c r="Q143" i="12"/>
  <c r="Q147" i="14"/>
  <c r="Q321" i="14" s="1"/>
  <c r="Q147" i="12"/>
  <c r="Q148" i="14"/>
  <c r="Q340" i="14" s="1"/>
  <c r="Q148" i="12"/>
  <c r="Q142" i="14"/>
  <c r="Q334" i="14" s="1"/>
  <c r="Q142" i="12"/>
  <c r="Q139" i="14"/>
  <c r="Q313" i="14" s="1"/>
  <c r="Q139" i="12"/>
  <c r="Q146" i="14"/>
  <c r="Q338" i="14" s="1"/>
  <c r="Q146" i="12"/>
  <c r="Q141" i="14"/>
  <c r="Q160" i="14" s="1"/>
  <c r="Q141" i="12"/>
  <c r="Q337" i="12"/>
  <c r="Q319" i="12"/>
  <c r="Q164" i="12"/>
  <c r="Q138" i="14"/>
  <c r="Q169" i="14" s="1"/>
  <c r="Q138" i="12"/>
  <c r="Q149" i="14"/>
  <c r="Q323" i="14" s="1"/>
  <c r="Q149" i="12"/>
  <c r="Q144" i="14"/>
  <c r="Q318" i="14" s="1"/>
  <c r="Q144" i="12"/>
  <c r="P311" i="12"/>
  <c r="P22" i="13"/>
  <c r="P16" i="13"/>
  <c r="P18" i="13"/>
  <c r="P20" i="13"/>
  <c r="P329" i="12"/>
  <c r="P157" i="12"/>
  <c r="Q215" i="2"/>
  <c r="Q185" i="2" s="1"/>
  <c r="Q221" i="2"/>
  <c r="Q191" i="2" s="1"/>
  <c r="Q216" i="2"/>
  <c r="Q186" i="2" s="1"/>
  <c r="Q213" i="2"/>
  <c r="Q183" i="2" s="1"/>
  <c r="Q222" i="2"/>
  <c r="Q192" i="2" s="1"/>
  <c r="Q223" i="2"/>
  <c r="Q193" i="2" s="1"/>
  <c r="Q224" i="2"/>
  <c r="Q194" i="2" s="1"/>
  <c r="Q219" i="2"/>
  <c r="Q189" i="2" s="1"/>
  <c r="Q218" i="2"/>
  <c r="Q188" i="2" s="1"/>
  <c r="Q237" i="2" s="1"/>
  <c r="Q217" i="2"/>
  <c r="Q187" i="2" s="1"/>
  <c r="Q214" i="2"/>
  <c r="Q184" i="2" s="1"/>
  <c r="P16" i="19"/>
  <c r="P22" i="19"/>
  <c r="P161" i="19" s="1"/>
  <c r="P20" i="19"/>
  <c r="P18" i="19"/>
  <c r="P157" i="19" s="1"/>
  <c r="P181" i="12"/>
  <c r="R177" i="12"/>
  <c r="S183" i="12"/>
  <c r="T179" i="12"/>
  <c r="U187" i="12"/>
  <c r="P184" i="12"/>
  <c r="Q178" i="12"/>
  <c r="R181" i="12"/>
  <c r="S187" i="12"/>
  <c r="U186" i="12"/>
  <c r="V182" i="12"/>
  <c r="P182" i="10"/>
  <c r="R177" i="10"/>
  <c r="S178" i="10"/>
  <c r="T181" i="10"/>
  <c r="U185" i="10"/>
  <c r="P181" i="10"/>
  <c r="Q180" i="10"/>
  <c r="R191" i="10"/>
  <c r="R190" i="10" s="1"/>
  <c r="S184" i="10"/>
  <c r="U191" i="10"/>
  <c r="U190" i="10" s="1"/>
  <c r="V179" i="10"/>
  <c r="R53" i="2"/>
  <c r="R52" i="2"/>
  <c r="R6" i="2"/>
  <c r="R301" i="2"/>
  <c r="R317" i="2" s="1"/>
  <c r="R48" i="2"/>
  <c r="P212" i="2"/>
  <c r="Q187" i="12"/>
  <c r="R187" i="12"/>
  <c r="S180" i="12"/>
  <c r="U178" i="12"/>
  <c r="V185" i="12"/>
  <c r="P178" i="12"/>
  <c r="Q183" i="12"/>
  <c r="S186" i="12"/>
  <c r="T176" i="12"/>
  <c r="U180" i="12"/>
  <c r="Q179" i="10"/>
  <c r="R187" i="10"/>
  <c r="S191" i="10"/>
  <c r="S190" i="10" s="1"/>
  <c r="U180" i="10"/>
  <c r="V177" i="10"/>
  <c r="P191" i="10"/>
  <c r="P190" i="10" s="1"/>
  <c r="Q176" i="10"/>
  <c r="S179" i="10"/>
  <c r="T178" i="10"/>
  <c r="U182" i="10"/>
  <c r="Q412" i="2"/>
  <c r="P232" i="2"/>
  <c r="P404" i="2"/>
  <c r="P386" i="2"/>
  <c r="P18" i="3"/>
  <c r="P16" i="3"/>
  <c r="P22" i="3"/>
  <c r="P250" i="2"/>
  <c r="P17" i="17" s="1"/>
  <c r="U11" i="19"/>
  <c r="U105" i="19"/>
  <c r="U193" i="19"/>
  <c r="V1" i="17"/>
  <c r="V50" i="17" s="1"/>
  <c r="V1" i="19"/>
  <c r="V1" i="18"/>
  <c r="Q58" i="3"/>
  <c r="P176" i="12"/>
  <c r="P187" i="12"/>
  <c r="P177" i="12"/>
  <c r="Q179" i="12"/>
  <c r="R191" i="12"/>
  <c r="R190" i="12" s="1"/>
  <c r="R179" i="12"/>
  <c r="S184" i="12"/>
  <c r="T185" i="12"/>
  <c r="T183" i="12"/>
  <c r="U191" i="12"/>
  <c r="U190" i="12" s="1"/>
  <c r="U183" i="12"/>
  <c r="V177" i="12"/>
  <c r="P185" i="12"/>
  <c r="R185" i="12"/>
  <c r="S179" i="12"/>
  <c r="U182" i="12"/>
  <c r="V180" i="12"/>
  <c r="V179" i="12"/>
  <c r="P179" i="12"/>
  <c r="Q176" i="12"/>
  <c r="Q180" i="12"/>
  <c r="R176" i="12"/>
  <c r="R178" i="12"/>
  <c r="S181" i="12"/>
  <c r="T177" i="12"/>
  <c r="T182" i="12"/>
  <c r="U181" i="12"/>
  <c r="V184" i="12"/>
  <c r="V186" i="12"/>
  <c r="P180" i="12"/>
  <c r="R180" i="12"/>
  <c r="T187" i="12"/>
  <c r="P191" i="12"/>
  <c r="P190" i="12" s="1"/>
  <c r="P182" i="12"/>
  <c r="Q186" i="12"/>
  <c r="Q177" i="12"/>
  <c r="R182" i="12"/>
  <c r="S177" i="12"/>
  <c r="S182" i="12"/>
  <c r="T180" i="12"/>
  <c r="T191" i="12"/>
  <c r="T190" i="12" s="1"/>
  <c r="U184" i="12"/>
  <c r="V181" i="12"/>
  <c r="V183" i="12"/>
  <c r="Q182" i="12"/>
  <c r="S178" i="12"/>
  <c r="U176" i="12"/>
  <c r="R95" i="2"/>
  <c r="R143" i="10" s="1"/>
  <c r="U105" i="18"/>
  <c r="U11" i="18"/>
  <c r="U193" i="18"/>
  <c r="P184" i="10"/>
  <c r="P185" i="10"/>
  <c r="P179" i="10"/>
  <c r="Q181" i="10"/>
  <c r="Q184" i="10"/>
  <c r="R181" i="10"/>
  <c r="S187" i="10"/>
  <c r="S185" i="10"/>
  <c r="T182" i="10"/>
  <c r="T191" i="10"/>
  <c r="T190" i="10" s="1"/>
  <c r="U186" i="10"/>
  <c r="V187" i="10"/>
  <c r="V181" i="10"/>
  <c r="P187" i="10"/>
  <c r="R183" i="10"/>
  <c r="R178" i="10"/>
  <c r="T179" i="10"/>
  <c r="U183" i="10"/>
  <c r="V183" i="10"/>
  <c r="P177" i="10"/>
  <c r="P186" i="10"/>
  <c r="Q187" i="10"/>
  <c r="R185" i="10"/>
  <c r="R180" i="10"/>
  <c r="S186" i="10"/>
  <c r="S176" i="10"/>
  <c r="T185" i="10"/>
  <c r="U184" i="10"/>
  <c r="U178" i="10"/>
  <c r="V185" i="10"/>
  <c r="V176" i="10"/>
  <c r="Q185" i="10"/>
  <c r="T176" i="10"/>
  <c r="P180" i="10"/>
  <c r="P178" i="10"/>
  <c r="Q186" i="10"/>
  <c r="R184" i="10"/>
  <c r="R179" i="10"/>
  <c r="S177" i="10"/>
  <c r="T187" i="10"/>
  <c r="T177" i="10"/>
  <c r="U176" i="10"/>
  <c r="U181" i="10"/>
  <c r="V191" i="10"/>
  <c r="V190" i="10" s="1"/>
  <c r="Q183" i="10"/>
  <c r="S182" i="10"/>
  <c r="V186" i="10"/>
  <c r="P159" i="3"/>
  <c r="P60" i="18"/>
  <c r="P182" i="14"/>
  <c r="P183" i="14"/>
  <c r="Q184" i="14"/>
  <c r="Q176" i="14"/>
  <c r="P177" i="14"/>
  <c r="P179" i="14"/>
  <c r="R186" i="14"/>
  <c r="R181" i="14"/>
  <c r="R176" i="14"/>
  <c r="R179" i="14"/>
  <c r="S181" i="14"/>
  <c r="S180" i="14"/>
  <c r="S183" i="14"/>
  <c r="T183" i="14"/>
  <c r="T184" i="14"/>
  <c r="T182" i="14"/>
  <c r="U185" i="14"/>
  <c r="U186" i="14"/>
  <c r="U182" i="14"/>
  <c r="V187" i="14"/>
  <c r="V182" i="14"/>
  <c r="V177" i="14"/>
  <c r="V191" i="14"/>
  <c r="V190" i="14" s="1"/>
  <c r="P180" i="14"/>
  <c r="Q179" i="14"/>
  <c r="Q183" i="14"/>
  <c r="Q180" i="14"/>
  <c r="P184" i="14"/>
  <c r="Q186" i="14"/>
  <c r="R182" i="14"/>
  <c r="R177" i="14"/>
  <c r="R191" i="14"/>
  <c r="R190" i="14" s="1"/>
  <c r="S191" i="14"/>
  <c r="S190" i="14" s="1"/>
  <c r="S187" i="14"/>
  <c r="S182" i="14"/>
  <c r="S176" i="14"/>
  <c r="T185" i="14"/>
  <c r="T180" i="14"/>
  <c r="T178" i="14"/>
  <c r="U179" i="14"/>
  <c r="U176" i="14"/>
  <c r="U178" i="14"/>
  <c r="V183" i="14"/>
  <c r="V178" i="14"/>
  <c r="V184" i="14"/>
  <c r="P186" i="14"/>
  <c r="P191" i="14"/>
  <c r="P190" i="14" s="1"/>
  <c r="Q181" i="14"/>
  <c r="P178" i="14"/>
  <c r="Q178" i="14"/>
  <c r="Q187" i="14"/>
  <c r="Q182" i="14"/>
  <c r="R178" i="14"/>
  <c r="R184" i="14"/>
  <c r="R187" i="14"/>
  <c r="S178" i="14"/>
  <c r="S186" i="14"/>
  <c r="S179" i="14"/>
  <c r="T191" i="14"/>
  <c r="T190" i="14" s="1"/>
  <c r="T187" i="14"/>
  <c r="T181" i="14"/>
  <c r="T179" i="14"/>
  <c r="U180" i="14"/>
  <c r="U187" i="14"/>
  <c r="U191" i="14"/>
  <c r="U190" i="14" s="1"/>
  <c r="V179" i="14"/>
  <c r="V185" i="14"/>
  <c r="V180" i="14"/>
  <c r="P185" i="14"/>
  <c r="P187" i="14"/>
  <c r="Q177" i="14"/>
  <c r="Q191" i="14"/>
  <c r="Q190" i="14" s="1"/>
  <c r="P181" i="14"/>
  <c r="P176" i="14"/>
  <c r="Q185" i="14"/>
  <c r="R185" i="14"/>
  <c r="R180" i="14"/>
  <c r="R183" i="14"/>
  <c r="S184" i="14"/>
  <c r="S177" i="14"/>
  <c r="S185" i="14"/>
  <c r="T186" i="14"/>
  <c r="T176" i="14"/>
  <c r="T177" i="14"/>
  <c r="U184" i="14"/>
  <c r="U183" i="14"/>
  <c r="U177" i="14"/>
  <c r="U181" i="14"/>
  <c r="V186" i="14"/>
  <c r="V181" i="14"/>
  <c r="V176" i="14"/>
  <c r="P159" i="18"/>
  <c r="P161" i="18"/>
  <c r="Q58" i="2"/>
  <c r="Q62" i="3"/>
  <c r="Q56" i="3"/>
  <c r="V87" i="2"/>
  <c r="V1" i="9"/>
  <c r="V174" i="2"/>
  <c r="V176" i="2"/>
  <c r="V177" i="2"/>
  <c r="V173" i="2"/>
  <c r="V171" i="2"/>
  <c r="V175" i="2"/>
  <c r="V179" i="2"/>
  <c r="V169" i="2"/>
  <c r="V178" i="2"/>
  <c r="V172" i="2"/>
  <c r="V170" i="2"/>
  <c r="V168" i="2"/>
  <c r="V24" i="2"/>
  <c r="V25" i="2"/>
  <c r="V30" i="2"/>
  <c r="V31" i="2"/>
  <c r="V20" i="2"/>
  <c r="V22" i="2"/>
  <c r="V27" i="2"/>
  <c r="V21" i="2"/>
  <c r="V23" i="2"/>
  <c r="V26" i="2"/>
  <c r="V28" i="2"/>
  <c r="V29" i="2"/>
  <c r="Q60" i="3"/>
  <c r="Q89" i="2"/>
  <c r="Q239" i="2"/>
  <c r="Q394" i="2"/>
  <c r="U193" i="3"/>
  <c r="U105" i="3"/>
  <c r="V1" i="3"/>
  <c r="Q250" i="2"/>
  <c r="U265" i="2"/>
  <c r="V272" i="2"/>
  <c r="V268" i="2"/>
  <c r="V276" i="2"/>
  <c r="V275" i="2"/>
  <c r="V271" i="2"/>
  <c r="V267" i="2"/>
  <c r="V277" i="2"/>
  <c r="V274" i="2"/>
  <c r="V270" i="2"/>
  <c r="V266" i="2"/>
  <c r="V273" i="2"/>
  <c r="V269" i="2"/>
  <c r="V262" i="2"/>
  <c r="V261" i="2"/>
  <c r="V260" i="2"/>
  <c r="V259" i="2"/>
  <c r="V258" i="2"/>
  <c r="V257" i="2"/>
  <c r="V256" i="2"/>
  <c r="V255" i="2"/>
  <c r="V254" i="2"/>
  <c r="V253" i="2"/>
  <c r="V252" i="2"/>
  <c r="V251" i="2"/>
  <c r="V41" i="2"/>
  <c r="T109" i="1"/>
  <c r="T127" i="1" s="1"/>
  <c r="T26" i="1"/>
  <c r="W1" i="2"/>
  <c r="T102" i="1"/>
  <c r="S75" i="1"/>
  <c r="T8" i="1"/>
  <c r="U1" i="1"/>
  <c r="T78" i="1"/>
  <c r="T99" i="1" s="1"/>
  <c r="P99" i="19" l="1"/>
  <c r="V193" i="20"/>
  <c r="R97" i="2"/>
  <c r="R145" i="10" s="1"/>
  <c r="R319" i="10" s="1"/>
  <c r="R90" i="2"/>
  <c r="R138" i="10" s="1"/>
  <c r="R312" i="10" s="1"/>
  <c r="R96" i="2"/>
  <c r="R144" i="10" s="1"/>
  <c r="R318" i="10" s="1"/>
  <c r="S294" i="12"/>
  <c r="S294" i="10"/>
  <c r="R101" i="2"/>
  <c r="R224" i="2" s="1"/>
  <c r="R194" i="2" s="1"/>
  <c r="R398" i="2" s="1"/>
  <c r="R70" i="11"/>
  <c r="R100" i="2"/>
  <c r="R148" i="10" s="1"/>
  <c r="R322" i="10" s="1"/>
  <c r="R92" i="2"/>
  <c r="R140" i="10" s="1"/>
  <c r="R314" i="10" s="1"/>
  <c r="S8" i="2"/>
  <c r="S8" i="21" s="1"/>
  <c r="S7" i="3"/>
  <c r="R72" i="11"/>
  <c r="T269" i="10"/>
  <c r="R78" i="3"/>
  <c r="S7" i="9"/>
  <c r="T269" i="14"/>
  <c r="R91" i="2"/>
  <c r="R139" i="10" s="1"/>
  <c r="R158" i="10" s="1"/>
  <c r="S7" i="17"/>
  <c r="T269" i="12"/>
  <c r="S7" i="20"/>
  <c r="S7" i="18"/>
  <c r="R299" i="14"/>
  <c r="S7" i="21"/>
  <c r="R299" i="12"/>
  <c r="R66" i="11"/>
  <c r="R93" i="2"/>
  <c r="R141" i="10" s="1"/>
  <c r="R315" i="2"/>
  <c r="Y175" i="14"/>
  <c r="Y50" i="15" s="1"/>
  <c r="X175" i="14"/>
  <c r="X48" i="15" s="1"/>
  <c r="S72" i="3"/>
  <c r="U343" i="2"/>
  <c r="U105" i="20"/>
  <c r="S283" i="12"/>
  <c r="S283" i="10"/>
  <c r="S289" i="14"/>
  <c r="R81" i="18"/>
  <c r="X46" i="15"/>
  <c r="R300" i="2"/>
  <c r="S374" i="2"/>
  <c r="S299" i="12" s="1"/>
  <c r="S380" i="2"/>
  <c r="S305" i="12" s="1"/>
  <c r="R72" i="15"/>
  <c r="W175" i="14"/>
  <c r="X175" i="10"/>
  <c r="Y46" i="15"/>
  <c r="R68" i="15"/>
  <c r="Y175" i="12"/>
  <c r="W175" i="10"/>
  <c r="U341" i="2"/>
  <c r="U266" i="14" s="1"/>
  <c r="X175" i="12"/>
  <c r="W175" i="12"/>
  <c r="Q80" i="11"/>
  <c r="Y175" i="10"/>
  <c r="T355" i="2"/>
  <c r="T371" i="2" s="1"/>
  <c r="T358" i="2"/>
  <c r="T374" i="2" s="1"/>
  <c r="T262" i="12"/>
  <c r="T265" i="12"/>
  <c r="T262" i="14"/>
  <c r="T265" i="10"/>
  <c r="U347" i="2"/>
  <c r="U365" i="2" s="1"/>
  <c r="P129" i="15"/>
  <c r="P313" i="15" s="1"/>
  <c r="S66" i="3"/>
  <c r="U344" i="2"/>
  <c r="U269" i="12" s="1"/>
  <c r="S289" i="12"/>
  <c r="P165" i="11"/>
  <c r="R79" i="18"/>
  <c r="R278" i="10"/>
  <c r="R78" i="11" s="1"/>
  <c r="R79" i="20"/>
  <c r="R80" i="3"/>
  <c r="Q76" i="11"/>
  <c r="Q82" i="11"/>
  <c r="R302" i="12"/>
  <c r="S282" i="14"/>
  <c r="S282" i="12"/>
  <c r="S282" i="10"/>
  <c r="R82" i="3"/>
  <c r="R81" i="19"/>
  <c r="R81" i="20"/>
  <c r="R79" i="19"/>
  <c r="R302" i="14"/>
  <c r="R77" i="20"/>
  <c r="R77" i="18"/>
  <c r="R76" i="3"/>
  <c r="Q78" i="15"/>
  <c r="Q76" i="15"/>
  <c r="Q82" i="15"/>
  <c r="Q78" i="13"/>
  <c r="R70" i="13"/>
  <c r="P133" i="11"/>
  <c r="P317" i="11" s="1"/>
  <c r="R278" i="14"/>
  <c r="R80" i="15" s="1"/>
  <c r="U345" i="2"/>
  <c r="U270" i="12" s="1"/>
  <c r="R72" i="13"/>
  <c r="R68" i="13"/>
  <c r="Q76" i="13"/>
  <c r="R70" i="15"/>
  <c r="U340" i="2"/>
  <c r="U265" i="12" s="1"/>
  <c r="Q82" i="13"/>
  <c r="P133" i="15"/>
  <c r="P317" i="15" s="1"/>
  <c r="U338" i="2"/>
  <c r="U356" i="2" s="1"/>
  <c r="U342" i="2"/>
  <c r="U267" i="10" s="1"/>
  <c r="U92" i="21"/>
  <c r="U68" i="18" s="1"/>
  <c r="Q293" i="14"/>
  <c r="T59" i="21"/>
  <c r="U52" i="21"/>
  <c r="U68" i="21" s="1"/>
  <c r="P22" i="20"/>
  <c r="Q293" i="12"/>
  <c r="S353" i="2"/>
  <c r="S81" i="19" s="1"/>
  <c r="R278" i="12"/>
  <c r="R82" i="13" s="1"/>
  <c r="S260" i="14"/>
  <c r="S72" i="15" s="1"/>
  <c r="S68" i="3"/>
  <c r="U47" i="21"/>
  <c r="U63" i="21" s="1"/>
  <c r="U56" i="21"/>
  <c r="V60" i="21" s="1"/>
  <c r="U26" i="21"/>
  <c r="U68" i="19" s="1"/>
  <c r="U53" i="21"/>
  <c r="U69" i="21" s="1"/>
  <c r="S260" i="10"/>
  <c r="S66" i="11" s="1"/>
  <c r="S260" i="12"/>
  <c r="S68" i="13" s="1"/>
  <c r="P91" i="15"/>
  <c r="P85" i="15"/>
  <c r="Q293" i="10"/>
  <c r="Q312" i="14"/>
  <c r="Q333" i="14"/>
  <c r="Q159" i="14"/>
  <c r="Q322" i="14"/>
  <c r="P165" i="3"/>
  <c r="Q339" i="14"/>
  <c r="Q163" i="14"/>
  <c r="Q335" i="14"/>
  <c r="V94" i="21"/>
  <c r="V112" i="21" s="1"/>
  <c r="V128" i="21" s="1"/>
  <c r="V102" i="21"/>
  <c r="V120" i="21" s="1"/>
  <c r="V136" i="21" s="1"/>
  <c r="V99" i="21"/>
  <c r="V117" i="21" s="1"/>
  <c r="V133" i="21" s="1"/>
  <c r="V97" i="21"/>
  <c r="V115" i="21" s="1"/>
  <c r="V131" i="21" s="1"/>
  <c r="V100" i="21"/>
  <c r="V118" i="21" s="1"/>
  <c r="V134" i="21" s="1"/>
  <c r="V95" i="21"/>
  <c r="V113" i="21" s="1"/>
  <c r="V129" i="21" s="1"/>
  <c r="V103" i="21"/>
  <c r="V121" i="21" s="1"/>
  <c r="V137" i="21" s="1"/>
  <c r="V98" i="21"/>
  <c r="V116" i="21" s="1"/>
  <c r="V132" i="21" s="1"/>
  <c r="V93" i="21"/>
  <c r="V111" i="21" s="1"/>
  <c r="V101" i="21"/>
  <c r="V119" i="21" s="1"/>
  <c r="V135" i="21" s="1"/>
  <c r="V96" i="21"/>
  <c r="V114" i="21" s="1"/>
  <c r="V130" i="21" s="1"/>
  <c r="V104" i="21"/>
  <c r="V122" i="21" s="1"/>
  <c r="V27" i="21"/>
  <c r="V45" i="21" s="1"/>
  <c r="V61" i="21" s="1"/>
  <c r="V36" i="21"/>
  <c r="V38" i="21"/>
  <c r="V32" i="21"/>
  <c r="V341" i="2" s="1"/>
  <c r="V126" i="21"/>
  <c r="V34" i="21"/>
  <c r="V30" i="21"/>
  <c r="V339" i="2" s="1"/>
  <c r="V28" i="21"/>
  <c r="V37" i="21"/>
  <c r="V55" i="21" s="1"/>
  <c r="V71" i="21" s="1"/>
  <c r="V35" i="21"/>
  <c r="V33" i="21"/>
  <c r="V51" i="21" s="1"/>
  <c r="V67" i="21" s="1"/>
  <c r="V31" i="21"/>
  <c r="V29" i="21"/>
  <c r="P169" i="11"/>
  <c r="P179" i="11" s="1"/>
  <c r="Q260" i="11" s="1"/>
  <c r="Q315" i="14"/>
  <c r="S303" i="10"/>
  <c r="S303" i="14"/>
  <c r="S303" i="12"/>
  <c r="S76" i="19"/>
  <c r="S82" i="19"/>
  <c r="S78" i="19"/>
  <c r="S80" i="19"/>
  <c r="R305" i="12"/>
  <c r="R305" i="10"/>
  <c r="R305" i="14"/>
  <c r="U50" i="21"/>
  <c r="U66" i="21" s="1"/>
  <c r="U346" i="2"/>
  <c r="U337" i="2"/>
  <c r="T267" i="14"/>
  <c r="T267" i="10"/>
  <c r="T267" i="12"/>
  <c r="T360" i="2"/>
  <c r="T44" i="21"/>
  <c r="T70" i="19"/>
  <c r="T72" i="19"/>
  <c r="T68" i="19"/>
  <c r="T66" i="19"/>
  <c r="S375" i="2"/>
  <c r="S284" i="10"/>
  <c r="S284" i="14"/>
  <c r="S284" i="12"/>
  <c r="S379" i="2"/>
  <c r="S288" i="12"/>
  <c r="S288" i="14"/>
  <c r="S288" i="10"/>
  <c r="S372" i="2"/>
  <c r="S281" i="10"/>
  <c r="S281" i="12"/>
  <c r="S281" i="14"/>
  <c r="U51" i="21"/>
  <c r="U67" i="21" s="1"/>
  <c r="U339" i="2"/>
  <c r="T270" i="12"/>
  <c r="T270" i="14"/>
  <c r="T270" i="10"/>
  <c r="T363" i="2"/>
  <c r="S298" i="12"/>
  <c r="S298" i="10"/>
  <c r="S298" i="14"/>
  <c r="T377" i="2"/>
  <c r="T286" i="14"/>
  <c r="T286" i="12"/>
  <c r="T286" i="10"/>
  <c r="T271" i="10"/>
  <c r="T271" i="12"/>
  <c r="T271" i="14"/>
  <c r="T364" i="2"/>
  <c r="T378" i="2"/>
  <c r="T287" i="10"/>
  <c r="T287" i="12"/>
  <c r="T287" i="14"/>
  <c r="T72" i="18"/>
  <c r="T68" i="18"/>
  <c r="T70" i="18"/>
  <c r="T66" i="18"/>
  <c r="T373" i="2"/>
  <c r="T282" i="12"/>
  <c r="T282" i="14"/>
  <c r="T282" i="10"/>
  <c r="W332" i="2"/>
  <c r="W330" i="2"/>
  <c r="W201" i="2"/>
  <c r="W209" i="2"/>
  <c r="W204" i="2"/>
  <c r="W199" i="2"/>
  <c r="W207" i="2"/>
  <c r="W206" i="2"/>
  <c r="W202" i="2"/>
  <c r="W205" i="2"/>
  <c r="W200" i="2"/>
  <c r="W208" i="2"/>
  <c r="W203" i="2"/>
  <c r="W1" i="21"/>
  <c r="W198" i="2"/>
  <c r="W1" i="20"/>
  <c r="P52" i="19"/>
  <c r="P50" i="19"/>
  <c r="P52" i="18"/>
  <c r="P48" i="3"/>
  <c r="P48" i="19"/>
  <c r="P50" i="18"/>
  <c r="P46" i="19"/>
  <c r="P48" i="18"/>
  <c r="P52" i="3"/>
  <c r="P46" i="3"/>
  <c r="P46" i="18"/>
  <c r="P50" i="3"/>
  <c r="T263" i="14"/>
  <c r="T263" i="12"/>
  <c r="T263" i="10"/>
  <c r="T356" i="2"/>
  <c r="S295" i="12"/>
  <c r="S295" i="14"/>
  <c r="S295" i="10"/>
  <c r="U54" i="21"/>
  <c r="U70" i="21" s="1"/>
  <c r="U336" i="2"/>
  <c r="U111" i="21"/>
  <c r="T78" i="18"/>
  <c r="T82" i="18"/>
  <c r="T76" i="18"/>
  <c r="T80" i="18"/>
  <c r="Q48" i="19"/>
  <c r="Q52" i="19"/>
  <c r="Q52" i="3"/>
  <c r="Q50" i="3"/>
  <c r="Q46" i="18"/>
  <c r="Q48" i="3"/>
  <c r="Q50" i="18"/>
  <c r="Q46" i="3"/>
  <c r="Q48" i="18"/>
  <c r="Q50" i="19"/>
  <c r="Q52" i="18"/>
  <c r="Q46" i="19"/>
  <c r="Q336" i="14"/>
  <c r="T266" i="10"/>
  <c r="T266" i="12"/>
  <c r="T266" i="14"/>
  <c r="T359" i="2"/>
  <c r="U48" i="21"/>
  <c r="U64" i="21" s="1"/>
  <c r="T272" i="14"/>
  <c r="T272" i="10"/>
  <c r="T272" i="12"/>
  <c r="T365" i="2"/>
  <c r="P99" i="15"/>
  <c r="R298" i="10"/>
  <c r="R298" i="14"/>
  <c r="R298" i="12"/>
  <c r="R368" i="2"/>
  <c r="U268" i="12"/>
  <c r="U268" i="10"/>
  <c r="U268" i="14"/>
  <c r="U361" i="2"/>
  <c r="T335" i="2"/>
  <c r="T70" i="3" s="1"/>
  <c r="R6" i="21"/>
  <c r="R6" i="20"/>
  <c r="S377" i="2"/>
  <c r="S286" i="14"/>
  <c r="S286" i="12"/>
  <c r="S286" i="10"/>
  <c r="V331" i="2"/>
  <c r="S376" i="2"/>
  <c r="S285" i="14"/>
  <c r="S285" i="10"/>
  <c r="S285" i="12"/>
  <c r="S290" i="12"/>
  <c r="S290" i="14"/>
  <c r="S290" i="10"/>
  <c r="T369" i="2"/>
  <c r="T370" i="2"/>
  <c r="T279" i="10"/>
  <c r="T279" i="14"/>
  <c r="T279" i="12"/>
  <c r="S371" i="2"/>
  <c r="S280" i="14"/>
  <c r="S280" i="10"/>
  <c r="S280" i="12"/>
  <c r="U45" i="21"/>
  <c r="U49" i="21"/>
  <c r="U65" i="21" s="1"/>
  <c r="Q330" i="14"/>
  <c r="Q161" i="14"/>
  <c r="P97" i="15"/>
  <c r="P87" i="15"/>
  <c r="P95" i="15"/>
  <c r="P36" i="15"/>
  <c r="P42" i="15"/>
  <c r="P38" i="15"/>
  <c r="R317" i="10"/>
  <c r="R162" i="10"/>
  <c r="R335" i="10"/>
  <c r="Q168" i="14"/>
  <c r="Q329" i="10"/>
  <c r="Q16" i="11"/>
  <c r="Q22" i="11"/>
  <c r="Q20" i="11"/>
  <c r="Q18" i="11"/>
  <c r="Q341" i="14"/>
  <c r="Q157" i="10"/>
  <c r="Q311" i="10"/>
  <c r="Q162" i="14"/>
  <c r="Q316" i="14"/>
  <c r="Q167" i="14"/>
  <c r="Q165" i="14"/>
  <c r="P313" i="11"/>
  <c r="Q137" i="14"/>
  <c r="Q20" i="15" s="1"/>
  <c r="Q320" i="14"/>
  <c r="Q314" i="14"/>
  <c r="Q331" i="14"/>
  <c r="Q166" i="14"/>
  <c r="Q338" i="12"/>
  <c r="Q320" i="12"/>
  <c r="Q165" i="12"/>
  <c r="Q331" i="12"/>
  <c r="Q313" i="12"/>
  <c r="Q158" i="12"/>
  <c r="Q166" i="12"/>
  <c r="Q339" i="12"/>
  <c r="Q321" i="12"/>
  <c r="Q314" i="12"/>
  <c r="Q332" i="12"/>
  <c r="Q159" i="12"/>
  <c r="Q137" i="12"/>
  <c r="Q312" i="12"/>
  <c r="Q330" i="12"/>
  <c r="Q169" i="12"/>
  <c r="R143" i="14"/>
  <c r="R162" i="14" s="1"/>
  <c r="R143" i="12"/>
  <c r="Q158" i="14"/>
  <c r="Q333" i="12"/>
  <c r="Q315" i="12"/>
  <c r="Q160" i="12"/>
  <c r="Q334" i="12"/>
  <c r="Q161" i="12"/>
  <c r="Q316" i="12"/>
  <c r="Q340" i="12"/>
  <c r="Q167" i="12"/>
  <c r="Q322" i="12"/>
  <c r="Q317" i="12"/>
  <c r="Q335" i="12"/>
  <c r="Q162" i="12"/>
  <c r="Q163" i="12"/>
  <c r="Q336" i="12"/>
  <c r="Q318" i="12"/>
  <c r="Q323" i="12"/>
  <c r="Q341" i="12"/>
  <c r="Q168" i="12"/>
  <c r="P97" i="13"/>
  <c r="P95" i="13"/>
  <c r="P101" i="13"/>
  <c r="P99" i="13"/>
  <c r="P129" i="13"/>
  <c r="P157" i="13"/>
  <c r="P133" i="13"/>
  <c r="P38" i="13"/>
  <c r="P40" i="13"/>
  <c r="P42" i="13"/>
  <c r="P36" i="13"/>
  <c r="P161" i="13"/>
  <c r="P159" i="13"/>
  <c r="P87" i="13"/>
  <c r="P85" i="13"/>
  <c r="P91" i="13"/>
  <c r="P89" i="13"/>
  <c r="P36" i="3"/>
  <c r="P171" i="18"/>
  <c r="P181" i="18" s="1"/>
  <c r="P202" i="18" s="1"/>
  <c r="P167" i="19"/>
  <c r="P177" i="19" s="1"/>
  <c r="P169" i="18"/>
  <c r="P179" i="18" s="1"/>
  <c r="P165" i="19"/>
  <c r="P167" i="18"/>
  <c r="P177" i="18" s="1"/>
  <c r="P171" i="19"/>
  <c r="P181" i="19" s="1"/>
  <c r="P165" i="18"/>
  <c r="P169" i="19"/>
  <c r="R218" i="2"/>
  <c r="R188" i="2" s="1"/>
  <c r="P38" i="3"/>
  <c r="P159" i="19"/>
  <c r="P159" i="20" s="1"/>
  <c r="P70" i="20"/>
  <c r="P95" i="3"/>
  <c r="P80" i="20"/>
  <c r="P60" i="19"/>
  <c r="P60" i="20" s="1"/>
  <c r="P129" i="18"/>
  <c r="P18" i="20"/>
  <c r="P20" i="20"/>
  <c r="P56" i="19"/>
  <c r="P16" i="20"/>
  <c r="P76" i="20"/>
  <c r="P36" i="19"/>
  <c r="P38" i="19"/>
  <c r="Q413" i="2"/>
  <c r="R63" i="2"/>
  <c r="R94" i="2"/>
  <c r="R142" i="10" s="1"/>
  <c r="R68" i="2"/>
  <c r="R99" i="2"/>
  <c r="R147" i="10" s="1"/>
  <c r="R43" i="2"/>
  <c r="P21" i="17"/>
  <c r="P57" i="17" s="1"/>
  <c r="U175" i="12"/>
  <c r="U46" i="13" s="1"/>
  <c r="Q388" i="2"/>
  <c r="Q410" i="2"/>
  <c r="Q396" i="2"/>
  <c r="Q416" i="2"/>
  <c r="Q235" i="2"/>
  <c r="Q234" i="2"/>
  <c r="Q244" i="2"/>
  <c r="R6" i="18"/>
  <c r="R6" i="17"/>
  <c r="R6" i="3"/>
  <c r="R6" i="19"/>
  <c r="R6" i="9"/>
  <c r="Q395" i="2"/>
  <c r="Q240" i="2"/>
  <c r="Q409" i="2"/>
  <c r="Q397" i="2"/>
  <c r="Q411" i="2"/>
  <c r="P171" i="11"/>
  <c r="P181" i="11" s="1"/>
  <c r="P297" i="11" s="1"/>
  <c r="P167" i="11"/>
  <c r="P177" i="11" s="1"/>
  <c r="Q258" i="11" s="1"/>
  <c r="R67" i="2"/>
  <c r="R98" i="2"/>
  <c r="R146" i="10" s="1"/>
  <c r="Q242" i="2"/>
  <c r="P36" i="18"/>
  <c r="Q243" i="2"/>
  <c r="P40" i="3"/>
  <c r="P40" i="18"/>
  <c r="Q406" i="2"/>
  <c r="P40" i="19"/>
  <c r="P42" i="3"/>
  <c r="Q415" i="2"/>
  <c r="Q236" i="2"/>
  <c r="Q389" i="2"/>
  <c r="P95" i="19"/>
  <c r="Q233" i="2"/>
  <c r="P101" i="3"/>
  <c r="P99" i="18"/>
  <c r="P99" i="3"/>
  <c r="Q241" i="2"/>
  <c r="Q414" i="2"/>
  <c r="Q391" i="2"/>
  <c r="P97" i="3"/>
  <c r="P133" i="3"/>
  <c r="P357" i="3" s="1"/>
  <c r="P171" i="3"/>
  <c r="Q405" i="2"/>
  <c r="Q398" i="2"/>
  <c r="Q408" i="2"/>
  <c r="Q393" i="2"/>
  <c r="Q390" i="2"/>
  <c r="Q182" i="2"/>
  <c r="Q16" i="3" s="1"/>
  <c r="Q155" i="3" s="1"/>
  <c r="Q407" i="2"/>
  <c r="Q238" i="2"/>
  <c r="Q387" i="2"/>
  <c r="Q392" i="2"/>
  <c r="P89" i="3"/>
  <c r="P87" i="18"/>
  <c r="P58" i="19"/>
  <c r="P85" i="3"/>
  <c r="P89" i="19"/>
  <c r="P91" i="3"/>
  <c r="P167" i="3"/>
  <c r="P157" i="3"/>
  <c r="P157" i="20" s="1"/>
  <c r="P91" i="19"/>
  <c r="P87" i="3"/>
  <c r="P169" i="3"/>
  <c r="P129" i="3"/>
  <c r="P353" i="3" s="1"/>
  <c r="P89" i="18"/>
  <c r="P97" i="18"/>
  <c r="P87" i="19"/>
  <c r="P101" i="19"/>
  <c r="P38" i="18"/>
  <c r="P161" i="3"/>
  <c r="P58" i="18"/>
  <c r="P97" i="19"/>
  <c r="P133" i="19"/>
  <c r="P101" i="18"/>
  <c r="P42" i="19"/>
  <c r="P42" i="18"/>
  <c r="Q197" i="2"/>
  <c r="S175" i="12"/>
  <c r="S50" i="13" s="1"/>
  <c r="P91" i="18"/>
  <c r="P62" i="18"/>
  <c r="P62" i="19"/>
  <c r="V175" i="12"/>
  <c r="V50" i="13" s="1"/>
  <c r="P56" i="18"/>
  <c r="P95" i="18"/>
  <c r="P85" i="19"/>
  <c r="P85" i="18"/>
  <c r="S301" i="2"/>
  <c r="S317" i="2" s="1"/>
  <c r="S310" i="2"/>
  <c r="S326" i="2" s="1"/>
  <c r="S50" i="2"/>
  <c r="S65" i="2" s="1"/>
  <c r="S49" i="2"/>
  <c r="S64" i="2" s="1"/>
  <c r="T175" i="10"/>
  <c r="T52" i="11" s="1"/>
  <c r="R175" i="10"/>
  <c r="R46" i="11" s="1"/>
  <c r="R175" i="12"/>
  <c r="R50" i="13" s="1"/>
  <c r="T175" i="12"/>
  <c r="T46" i="13" s="1"/>
  <c r="U175" i="10"/>
  <c r="S175" i="10"/>
  <c r="Q175" i="12"/>
  <c r="P23" i="17"/>
  <c r="P59" i="17" s="1"/>
  <c r="P19" i="17"/>
  <c r="P55" i="17" s="1"/>
  <c r="P167" i="13"/>
  <c r="P171" i="13"/>
  <c r="P169" i="13"/>
  <c r="P165" i="13"/>
  <c r="P175" i="12"/>
  <c r="M190" i="12"/>
  <c r="S8" i="18"/>
  <c r="S312" i="2"/>
  <c r="T316" i="2" s="1"/>
  <c r="T7" i="2"/>
  <c r="V11" i="18"/>
  <c r="V105" i="18"/>
  <c r="V193" i="18"/>
  <c r="V175" i="10"/>
  <c r="W1" i="17"/>
  <c r="W50" i="17" s="1"/>
  <c r="W1" i="18"/>
  <c r="W1" i="19"/>
  <c r="P175" i="10"/>
  <c r="Q175" i="10"/>
  <c r="M190" i="10"/>
  <c r="V11" i="19"/>
  <c r="V105" i="19"/>
  <c r="V193" i="19"/>
  <c r="V175" i="14"/>
  <c r="T175" i="14"/>
  <c r="P167" i="15"/>
  <c r="P165" i="15"/>
  <c r="P169" i="15"/>
  <c r="P179" i="15" s="1"/>
  <c r="M190" i="14"/>
  <c r="P171" i="15"/>
  <c r="P175" i="14"/>
  <c r="U175" i="14"/>
  <c r="R175" i="14"/>
  <c r="S175" i="14"/>
  <c r="Q175" i="14"/>
  <c r="Q16" i="18"/>
  <c r="Q155" i="18" s="1"/>
  <c r="Q22" i="18"/>
  <c r="Q20" i="18"/>
  <c r="Q18" i="18"/>
  <c r="Q17" i="17"/>
  <c r="Q23" i="17"/>
  <c r="Q21" i="17"/>
  <c r="Q19" i="17"/>
  <c r="W87" i="2"/>
  <c r="W1" i="9"/>
  <c r="W178" i="2"/>
  <c r="W172" i="2"/>
  <c r="W170" i="2"/>
  <c r="W168" i="2"/>
  <c r="W174" i="2"/>
  <c r="W176" i="2"/>
  <c r="W179" i="2"/>
  <c r="W177" i="2"/>
  <c r="W173" i="2"/>
  <c r="W171" i="2"/>
  <c r="W175" i="2"/>
  <c r="W169" i="2"/>
  <c r="W30" i="2"/>
  <c r="W21" i="2"/>
  <c r="W20" i="2"/>
  <c r="W23" i="2"/>
  <c r="W28" i="2"/>
  <c r="W31" i="2"/>
  <c r="W24" i="2"/>
  <c r="W25" i="2"/>
  <c r="W22" i="2"/>
  <c r="W26" i="2"/>
  <c r="W27" i="2"/>
  <c r="W29" i="2"/>
  <c r="V193" i="3"/>
  <c r="V105" i="3"/>
  <c r="W1" i="3"/>
  <c r="V265" i="2"/>
  <c r="W276" i="2"/>
  <c r="W275" i="2"/>
  <c r="W271" i="2"/>
  <c r="W267" i="2"/>
  <c r="W277" i="2"/>
  <c r="W274" i="2"/>
  <c r="W270" i="2"/>
  <c r="W266" i="2"/>
  <c r="W273" i="2"/>
  <c r="W269" i="2"/>
  <c r="W272" i="2"/>
  <c r="W268" i="2"/>
  <c r="W259" i="2"/>
  <c r="W255" i="2"/>
  <c r="W251" i="2"/>
  <c r="W262" i="2"/>
  <c r="W258" i="2"/>
  <c r="W254" i="2"/>
  <c r="W261" i="2"/>
  <c r="W257" i="2"/>
  <c r="W253" i="2"/>
  <c r="W260" i="2"/>
  <c r="W252" i="2"/>
  <c r="W256" i="2"/>
  <c r="R250" i="2"/>
  <c r="W41" i="2"/>
  <c r="U109" i="1"/>
  <c r="U127" i="1" s="1"/>
  <c r="U26" i="1"/>
  <c r="U75" i="1" s="1"/>
  <c r="X1" i="2"/>
  <c r="U102" i="1"/>
  <c r="T75" i="1"/>
  <c r="V1" i="1"/>
  <c r="U78" i="1"/>
  <c r="U99" i="1" s="1"/>
  <c r="U8" i="1"/>
  <c r="W272" i="3" l="1"/>
  <c r="W268" i="3"/>
  <c r="W270" i="3"/>
  <c r="W266" i="3"/>
  <c r="R144" i="14"/>
  <c r="R163" i="14" s="1"/>
  <c r="R220" i="2"/>
  <c r="R190" i="2" s="1"/>
  <c r="R164" i="10"/>
  <c r="R337" i="10"/>
  <c r="R145" i="12"/>
  <c r="R337" i="12" s="1"/>
  <c r="R213" i="2"/>
  <c r="R183" i="2" s="1"/>
  <c r="R387" i="2" s="1"/>
  <c r="R145" i="14"/>
  <c r="R337" i="14" s="1"/>
  <c r="R169" i="10"/>
  <c r="R219" i="2"/>
  <c r="R189" i="2" s="1"/>
  <c r="R336" i="10"/>
  <c r="T72" i="3"/>
  <c r="T68" i="3"/>
  <c r="U265" i="14"/>
  <c r="R223" i="2"/>
  <c r="R193" i="2" s="1"/>
  <c r="R415" i="2" s="1"/>
  <c r="R148" i="14"/>
  <c r="R322" i="14" s="1"/>
  <c r="R167" i="10"/>
  <c r="R144" i="12"/>
  <c r="R318" i="12" s="1"/>
  <c r="R330" i="10"/>
  <c r="R138" i="12"/>
  <c r="R312" i="12" s="1"/>
  <c r="R138" i="14"/>
  <c r="R169" i="14" s="1"/>
  <c r="R163" i="10"/>
  <c r="U52" i="13"/>
  <c r="R332" i="10"/>
  <c r="Y48" i="15"/>
  <c r="R159" i="10"/>
  <c r="R140" i="12"/>
  <c r="R159" i="12" s="1"/>
  <c r="R215" i="2"/>
  <c r="R185" i="2" s="1"/>
  <c r="S47" i="2"/>
  <c r="S93" i="2" s="1"/>
  <c r="S141" i="10" s="1"/>
  <c r="S51" i="2"/>
  <c r="S66" i="2" s="1"/>
  <c r="U50" i="13"/>
  <c r="S306" i="2"/>
  <c r="S322" i="2" s="1"/>
  <c r="S46" i="2"/>
  <c r="S61" i="2" s="1"/>
  <c r="S8" i="3"/>
  <c r="U272" i="14"/>
  <c r="S311" i="2"/>
  <c r="S327" i="2" s="1"/>
  <c r="U48" i="13"/>
  <c r="S8" i="17"/>
  <c r="R141" i="14"/>
  <c r="R315" i="14" s="1"/>
  <c r="S6" i="2"/>
  <c r="S6" i="18" s="1"/>
  <c r="T66" i="3"/>
  <c r="S54" i="2"/>
  <c r="S69" i="2" s="1"/>
  <c r="S8" i="9"/>
  <c r="S45" i="2"/>
  <c r="S60" i="2" s="1"/>
  <c r="S304" i="2"/>
  <c r="S320" i="2" s="1"/>
  <c r="R149" i="10"/>
  <c r="R341" i="10" s="1"/>
  <c r="S8" i="20"/>
  <c r="S303" i="2"/>
  <c r="S319" i="2" s="1"/>
  <c r="S8" i="19"/>
  <c r="S308" i="2"/>
  <c r="S324" i="2" s="1"/>
  <c r="S48" i="2"/>
  <c r="S63" i="2" s="1"/>
  <c r="S307" i="2"/>
  <c r="S323" i="2" s="1"/>
  <c r="R141" i="12"/>
  <c r="R160" i="12" s="1"/>
  <c r="R149" i="12"/>
  <c r="R341" i="12" s="1"/>
  <c r="S309" i="2"/>
  <c r="S325" i="2" s="1"/>
  <c r="S53" i="2"/>
  <c r="S68" i="2" s="1"/>
  <c r="S44" i="2"/>
  <c r="S59" i="2" s="1"/>
  <c r="R149" i="14"/>
  <c r="R168" i="14" s="1"/>
  <c r="S302" i="2"/>
  <c r="S318" i="2" s="1"/>
  <c r="S305" i="2"/>
  <c r="S321" i="2" s="1"/>
  <c r="S55" i="2"/>
  <c r="S70" i="2" s="1"/>
  <c r="S305" i="14"/>
  <c r="S52" i="2"/>
  <c r="S67" i="2" s="1"/>
  <c r="R340" i="10"/>
  <c r="R140" i="14"/>
  <c r="R332" i="14" s="1"/>
  <c r="R148" i="12"/>
  <c r="R322" i="12" s="1"/>
  <c r="R313" i="10"/>
  <c r="R216" i="2"/>
  <c r="R186" i="2" s="1"/>
  <c r="R408" i="2" s="1"/>
  <c r="U269" i="14"/>
  <c r="X50" i="15"/>
  <c r="R139" i="12"/>
  <c r="R313" i="12" s="1"/>
  <c r="X52" i="15"/>
  <c r="R139" i="14"/>
  <c r="R313" i="14" s="1"/>
  <c r="R331" i="10"/>
  <c r="R214" i="2"/>
  <c r="R184" i="2" s="1"/>
  <c r="R233" i="2" s="1"/>
  <c r="S299" i="10"/>
  <c r="W197" i="2"/>
  <c r="W20" i="19" s="1"/>
  <c r="W159" i="19" s="1"/>
  <c r="R52" i="13"/>
  <c r="S305" i="10"/>
  <c r="T283" i="14"/>
  <c r="Y52" i="15"/>
  <c r="U362" i="2"/>
  <c r="U287" i="14" s="1"/>
  <c r="T283" i="10"/>
  <c r="T280" i="14"/>
  <c r="T280" i="12"/>
  <c r="U269" i="10"/>
  <c r="V46" i="13"/>
  <c r="U359" i="2"/>
  <c r="U375" i="2" s="1"/>
  <c r="T283" i="12"/>
  <c r="U266" i="10"/>
  <c r="U266" i="12"/>
  <c r="S299" i="14"/>
  <c r="U272" i="10"/>
  <c r="W46" i="13"/>
  <c r="W48" i="13"/>
  <c r="W50" i="13"/>
  <c r="W52" i="13"/>
  <c r="U272" i="12"/>
  <c r="X50" i="13"/>
  <c r="X48" i="13"/>
  <c r="X46" i="13"/>
  <c r="X52" i="13"/>
  <c r="R62" i="3"/>
  <c r="R60" i="3"/>
  <c r="R58" i="3"/>
  <c r="R56" i="3"/>
  <c r="X52" i="11"/>
  <c r="X50" i="11"/>
  <c r="X48" i="11"/>
  <c r="X46" i="11"/>
  <c r="W46" i="11"/>
  <c r="W50" i="11"/>
  <c r="W52" i="11"/>
  <c r="W48" i="11"/>
  <c r="W50" i="15"/>
  <c r="W48" i="15"/>
  <c r="W52" i="15"/>
  <c r="W46" i="15"/>
  <c r="Y52" i="13"/>
  <c r="Y48" i="13"/>
  <c r="Y50" i="13"/>
  <c r="Y46" i="13"/>
  <c r="W331" i="2"/>
  <c r="Y50" i="11"/>
  <c r="Y52" i="11"/>
  <c r="Y46" i="11"/>
  <c r="Y48" i="11"/>
  <c r="T280" i="10"/>
  <c r="U72" i="18"/>
  <c r="U66" i="18"/>
  <c r="U70" i="18"/>
  <c r="U360" i="2"/>
  <c r="U285" i="12" s="1"/>
  <c r="R76" i="11"/>
  <c r="U267" i="12"/>
  <c r="R80" i="11"/>
  <c r="U267" i="14"/>
  <c r="R82" i="11"/>
  <c r="R78" i="15"/>
  <c r="R76" i="15"/>
  <c r="R82" i="15"/>
  <c r="R293" i="12"/>
  <c r="S76" i="3"/>
  <c r="R76" i="13"/>
  <c r="U358" i="2"/>
  <c r="U374" i="2" s="1"/>
  <c r="U263" i="14"/>
  <c r="U363" i="2"/>
  <c r="U379" i="2" s="1"/>
  <c r="S79" i="19"/>
  <c r="R80" i="13"/>
  <c r="U263" i="12"/>
  <c r="U270" i="14"/>
  <c r="R78" i="13"/>
  <c r="U270" i="10"/>
  <c r="V345" i="2"/>
  <c r="V270" i="10" s="1"/>
  <c r="V337" i="2"/>
  <c r="V262" i="12" s="1"/>
  <c r="U265" i="10"/>
  <c r="V343" i="2"/>
  <c r="V268" i="14" s="1"/>
  <c r="V338" i="2"/>
  <c r="V263" i="12" s="1"/>
  <c r="V340" i="2"/>
  <c r="V265" i="12" s="1"/>
  <c r="R293" i="10"/>
  <c r="U263" i="10"/>
  <c r="S79" i="20"/>
  <c r="V347" i="2"/>
  <c r="V272" i="14" s="1"/>
  <c r="S81" i="20"/>
  <c r="V344" i="2"/>
  <c r="V269" i="14" s="1"/>
  <c r="S278" i="10"/>
  <c r="S78" i="11" s="1"/>
  <c r="S78" i="3"/>
  <c r="S77" i="19"/>
  <c r="S77" i="18"/>
  <c r="S68" i="11"/>
  <c r="S66" i="15"/>
  <c r="S70" i="15"/>
  <c r="S68" i="15"/>
  <c r="U335" i="2"/>
  <c r="U68" i="3" s="1"/>
  <c r="S70" i="13"/>
  <c r="S66" i="13"/>
  <c r="V49" i="21"/>
  <c r="V65" i="21" s="1"/>
  <c r="P50" i="20"/>
  <c r="P48" i="20"/>
  <c r="Q46" i="20"/>
  <c r="P46" i="20"/>
  <c r="P52" i="20"/>
  <c r="U70" i="19"/>
  <c r="S77" i="20"/>
  <c r="S81" i="18"/>
  <c r="V46" i="21"/>
  <c r="V62" i="21" s="1"/>
  <c r="R293" i="14"/>
  <c r="S80" i="3"/>
  <c r="S79" i="18"/>
  <c r="V54" i="21"/>
  <c r="V70" i="21" s="1"/>
  <c r="T260" i="14"/>
  <c r="T72" i="15" s="1"/>
  <c r="S82" i="3"/>
  <c r="S70" i="11"/>
  <c r="U72" i="19"/>
  <c r="V52" i="21"/>
  <c r="V68" i="21" s="1"/>
  <c r="T260" i="12"/>
  <c r="T66" i="13" s="1"/>
  <c r="V50" i="21"/>
  <c r="V66" i="21" s="1"/>
  <c r="U66" i="19"/>
  <c r="T260" i="10"/>
  <c r="T72" i="11" s="1"/>
  <c r="S72" i="13"/>
  <c r="S72" i="11"/>
  <c r="S278" i="12"/>
  <c r="S78" i="13" s="1"/>
  <c r="S278" i="14"/>
  <c r="S80" i="15" s="1"/>
  <c r="P111" i="3"/>
  <c r="P32" i="3" s="1"/>
  <c r="Q22" i="15"/>
  <c r="Q161" i="15" s="1"/>
  <c r="Q18" i="15"/>
  <c r="Q133" i="15" s="1"/>
  <c r="P295" i="11"/>
  <c r="P200" i="11"/>
  <c r="P109" i="3"/>
  <c r="Q16" i="15"/>
  <c r="Q155" i="15" s="1"/>
  <c r="V127" i="21"/>
  <c r="V125" i="21" s="1"/>
  <c r="V110" i="21"/>
  <c r="T290" i="10"/>
  <c r="T290" i="14"/>
  <c r="T290" i="12"/>
  <c r="U369" i="2"/>
  <c r="T296" i="10"/>
  <c r="T296" i="12"/>
  <c r="T296" i="14"/>
  <c r="S304" i="12"/>
  <c r="S304" i="10"/>
  <c r="S304" i="14"/>
  <c r="V48" i="13"/>
  <c r="S296" i="10"/>
  <c r="S296" i="14"/>
  <c r="S296" i="12"/>
  <c r="S368" i="2"/>
  <c r="Q48" i="20"/>
  <c r="U287" i="10"/>
  <c r="T302" i="12"/>
  <c r="T302" i="14"/>
  <c r="T302" i="10"/>
  <c r="V53" i="21"/>
  <c r="V69" i="21" s="1"/>
  <c r="V47" i="21"/>
  <c r="V63" i="21" s="1"/>
  <c r="V342" i="2"/>
  <c r="Q329" i="14"/>
  <c r="Q95" i="15" s="1"/>
  <c r="T353" i="2"/>
  <c r="T379" i="2"/>
  <c r="T288" i="12"/>
  <c r="T288" i="14"/>
  <c r="T288" i="10"/>
  <c r="T299" i="14"/>
  <c r="T299" i="12"/>
  <c r="T299" i="10"/>
  <c r="U262" i="14"/>
  <c r="U262" i="12"/>
  <c r="U262" i="10"/>
  <c r="U355" i="2"/>
  <c r="V264" i="12"/>
  <c r="V264" i="14"/>
  <c r="V264" i="10"/>
  <c r="V357" i="2"/>
  <c r="S52" i="13"/>
  <c r="P107" i="3"/>
  <c r="P28" i="3" s="1"/>
  <c r="U61" i="21"/>
  <c r="U59" i="21" s="1"/>
  <c r="U44" i="21"/>
  <c r="Q50" i="20"/>
  <c r="T372" i="2"/>
  <c r="T281" i="12"/>
  <c r="T281" i="10"/>
  <c r="T281" i="14"/>
  <c r="T298" i="10"/>
  <c r="T298" i="12"/>
  <c r="T298" i="14"/>
  <c r="U271" i="14"/>
  <c r="U271" i="12"/>
  <c r="U271" i="10"/>
  <c r="U364" i="2"/>
  <c r="V26" i="21"/>
  <c r="V336" i="2"/>
  <c r="T294" i="10"/>
  <c r="T294" i="14"/>
  <c r="T294" i="12"/>
  <c r="R52" i="18"/>
  <c r="R50" i="3"/>
  <c r="R46" i="18"/>
  <c r="R52" i="3"/>
  <c r="R48" i="19"/>
  <c r="R46" i="19"/>
  <c r="R48" i="18"/>
  <c r="R48" i="3"/>
  <c r="R50" i="19"/>
  <c r="R50" i="18"/>
  <c r="R46" i="3"/>
  <c r="R52" i="19"/>
  <c r="V105" i="20"/>
  <c r="T50" i="13"/>
  <c r="T7" i="21"/>
  <c r="T7" i="20"/>
  <c r="S302" i="10"/>
  <c r="S302" i="12"/>
  <c r="S302" i="14"/>
  <c r="T375" i="2"/>
  <c r="T284" i="14"/>
  <c r="T284" i="10"/>
  <c r="T284" i="12"/>
  <c r="Q52" i="20"/>
  <c r="W193" i="20"/>
  <c r="T303" i="14"/>
  <c r="T303" i="10"/>
  <c r="T303" i="12"/>
  <c r="S297" i="12"/>
  <c r="S297" i="14"/>
  <c r="S297" i="10"/>
  <c r="S300" i="10"/>
  <c r="S300" i="14"/>
  <c r="S300" i="12"/>
  <c r="T82" i="19"/>
  <c r="T78" i="19"/>
  <c r="T76" i="19"/>
  <c r="T80" i="19"/>
  <c r="V56" i="21"/>
  <c r="W60" i="21" s="1"/>
  <c r="V92" i="21"/>
  <c r="W18" i="19"/>
  <c r="W157" i="19" s="1"/>
  <c r="R52" i="11"/>
  <c r="S48" i="13"/>
  <c r="T48" i="11"/>
  <c r="S6" i="19"/>
  <c r="S6" i="21"/>
  <c r="S46" i="13"/>
  <c r="R340" i="14"/>
  <c r="R317" i="14"/>
  <c r="U377" i="2"/>
  <c r="U286" i="10"/>
  <c r="U286" i="12"/>
  <c r="U286" i="14"/>
  <c r="U284" i="14"/>
  <c r="U110" i="21"/>
  <c r="U127" i="21"/>
  <c r="U125" i="21" s="1"/>
  <c r="U372" i="2"/>
  <c r="U281" i="14"/>
  <c r="U281" i="12"/>
  <c r="U281" i="10"/>
  <c r="T380" i="2"/>
  <c r="T289" i="10"/>
  <c r="T289" i="12"/>
  <c r="T289" i="14"/>
  <c r="V48" i="21"/>
  <c r="V64" i="21" s="1"/>
  <c r="V346" i="2"/>
  <c r="V52" i="13"/>
  <c r="T295" i="10"/>
  <c r="T295" i="12"/>
  <c r="T295" i="14"/>
  <c r="U290" i="12"/>
  <c r="U290" i="14"/>
  <c r="U290" i="10"/>
  <c r="V369" i="2"/>
  <c r="U261" i="12"/>
  <c r="U261" i="14"/>
  <c r="U261" i="10"/>
  <c r="U354" i="2"/>
  <c r="U264" i="14"/>
  <c r="U264" i="12"/>
  <c r="U264" i="10"/>
  <c r="U357" i="2"/>
  <c r="T376" i="2"/>
  <c r="T285" i="10"/>
  <c r="T285" i="14"/>
  <c r="T285" i="12"/>
  <c r="X332" i="2"/>
  <c r="X330" i="2"/>
  <c r="X198" i="2"/>
  <c r="X206" i="2"/>
  <c r="X209" i="2"/>
  <c r="X203" i="2"/>
  <c r="X201" i="2"/>
  <c r="X204" i="2"/>
  <c r="X199" i="2"/>
  <c r="X207" i="2"/>
  <c r="X202" i="2"/>
  <c r="X1" i="21"/>
  <c r="X205" i="2"/>
  <c r="X200" i="2"/>
  <c r="X208" i="2"/>
  <c r="X1" i="20"/>
  <c r="S301" i="14"/>
  <c r="S301" i="10"/>
  <c r="S301" i="12"/>
  <c r="W99" i="21"/>
  <c r="W117" i="21" s="1"/>
  <c r="W133" i="21" s="1"/>
  <c r="W94" i="21"/>
  <c r="W112" i="21" s="1"/>
  <c r="W128" i="21" s="1"/>
  <c r="W102" i="21"/>
  <c r="W120" i="21" s="1"/>
  <c r="W136" i="21" s="1"/>
  <c r="W104" i="21"/>
  <c r="W122" i="21" s="1"/>
  <c r="W97" i="21"/>
  <c r="W115" i="21" s="1"/>
  <c r="W131" i="21" s="1"/>
  <c r="W100" i="21"/>
  <c r="W118" i="21" s="1"/>
  <c r="W134" i="21" s="1"/>
  <c r="W96" i="21"/>
  <c r="W114" i="21" s="1"/>
  <c r="W130" i="21" s="1"/>
  <c r="W95" i="21"/>
  <c r="W113" i="21" s="1"/>
  <c r="W129" i="21" s="1"/>
  <c r="W103" i="21"/>
  <c r="W121" i="21" s="1"/>
  <c r="W137" i="21" s="1"/>
  <c r="W98" i="21"/>
  <c r="W116" i="21" s="1"/>
  <c r="W132" i="21" s="1"/>
  <c r="W93" i="21"/>
  <c r="W111" i="21" s="1"/>
  <c r="W101" i="21"/>
  <c r="W119" i="21" s="1"/>
  <c r="W135" i="21" s="1"/>
  <c r="W38" i="21"/>
  <c r="W32" i="21"/>
  <c r="W50" i="21" s="1"/>
  <c r="W66" i="21" s="1"/>
  <c r="W29" i="21"/>
  <c r="W47" i="21" s="1"/>
  <c r="W63" i="21" s="1"/>
  <c r="W36" i="21"/>
  <c r="W33" i="21"/>
  <c r="W51" i="21" s="1"/>
  <c r="W67" i="21" s="1"/>
  <c r="W37" i="21"/>
  <c r="W27" i="21"/>
  <c r="W31" i="21"/>
  <c r="W126" i="21"/>
  <c r="W30" i="21"/>
  <c r="W48" i="21" s="1"/>
  <c r="W64" i="21" s="1"/>
  <c r="W35" i="21"/>
  <c r="W34" i="21"/>
  <c r="W28" i="21"/>
  <c r="W46" i="21" s="1"/>
  <c r="W62" i="21" s="1"/>
  <c r="V266" i="14"/>
  <c r="V266" i="12"/>
  <c r="V266" i="10"/>
  <c r="V359" i="2"/>
  <c r="P179" i="13"/>
  <c r="Q260" i="13" s="1"/>
  <c r="R320" i="10"/>
  <c r="R165" i="10"/>
  <c r="R338" i="10"/>
  <c r="Q311" i="14"/>
  <c r="Q87" i="15" s="1"/>
  <c r="Q157" i="14"/>
  <c r="Q42" i="15" s="1"/>
  <c r="Q87" i="11"/>
  <c r="Q85" i="11"/>
  <c r="Q91" i="11"/>
  <c r="Q89" i="11"/>
  <c r="Q161" i="11"/>
  <c r="R339" i="10"/>
  <c r="R166" i="10"/>
  <c r="R321" i="10"/>
  <c r="Q167" i="11"/>
  <c r="Q36" i="11"/>
  <c r="Q40" i="11"/>
  <c r="Q42" i="11"/>
  <c r="Q38" i="11"/>
  <c r="Q171" i="11"/>
  <c r="Q155" i="11"/>
  <c r="Q157" i="11"/>
  <c r="Q133" i="11"/>
  <c r="Q129" i="11"/>
  <c r="R316" i="10"/>
  <c r="R334" i="10"/>
  <c r="R161" i="10"/>
  <c r="R315" i="10"/>
  <c r="R333" i="10"/>
  <c r="R160" i="10"/>
  <c r="Q159" i="11"/>
  <c r="Q95" i="11"/>
  <c r="Q101" i="11"/>
  <c r="Q97" i="11"/>
  <c r="Q99" i="11"/>
  <c r="R335" i="14"/>
  <c r="R169" i="12"/>
  <c r="R330" i="12"/>
  <c r="R317" i="12"/>
  <c r="R335" i="12"/>
  <c r="R162" i="12"/>
  <c r="Q311" i="12"/>
  <c r="Q157" i="12"/>
  <c r="R142" i="14"/>
  <c r="R316" i="14" s="1"/>
  <c r="R142" i="12"/>
  <c r="Q16" i="13"/>
  <c r="Q20" i="13"/>
  <c r="Q22" i="13"/>
  <c r="Q18" i="13"/>
  <c r="R146" i="14"/>
  <c r="R320" i="14" s="1"/>
  <c r="R146" i="12"/>
  <c r="R147" i="14"/>
  <c r="R339" i="14" s="1"/>
  <c r="R147" i="12"/>
  <c r="Q329" i="12"/>
  <c r="P317" i="13"/>
  <c r="P313" i="13"/>
  <c r="Q159" i="15"/>
  <c r="R222" i="2"/>
  <c r="R192" i="2" s="1"/>
  <c r="R414" i="2" s="1"/>
  <c r="R221" i="2"/>
  <c r="R191" i="2" s="1"/>
  <c r="R240" i="2" s="1"/>
  <c r="R217" i="2"/>
  <c r="R187" i="2" s="1"/>
  <c r="P133" i="18"/>
  <c r="P56" i="20"/>
  <c r="P95" i="20"/>
  <c r="Q18" i="3"/>
  <c r="Q58" i="18" s="1"/>
  <c r="P38" i="20"/>
  <c r="P179" i="19"/>
  <c r="Q260" i="19" s="1"/>
  <c r="P198" i="11"/>
  <c r="P293" i="11"/>
  <c r="P295" i="15"/>
  <c r="Q260" i="15"/>
  <c r="S95" i="2"/>
  <c r="S143" i="10" s="1"/>
  <c r="P36" i="20"/>
  <c r="P62" i="20"/>
  <c r="P58" i="20"/>
  <c r="P66" i="20"/>
  <c r="Q18" i="19"/>
  <c r="Q22" i="19"/>
  <c r="Q161" i="19" s="1"/>
  <c r="Q16" i="19"/>
  <c r="Q16" i="20" s="1"/>
  <c r="Q20" i="19"/>
  <c r="Q159" i="19" s="1"/>
  <c r="P202" i="11"/>
  <c r="Q262" i="11"/>
  <c r="P68" i="20"/>
  <c r="P99" i="20"/>
  <c r="P89" i="20"/>
  <c r="P181" i="3"/>
  <c r="P202" i="3" s="1"/>
  <c r="P161" i="20"/>
  <c r="P179" i="3"/>
  <c r="Q300" i="3" s="1"/>
  <c r="P169" i="20"/>
  <c r="P85" i="20"/>
  <c r="P171" i="20"/>
  <c r="P42" i="20"/>
  <c r="P40" i="20"/>
  <c r="P82" i="20"/>
  <c r="P87" i="20"/>
  <c r="P167" i="20"/>
  <c r="P177" i="20" s="1"/>
  <c r="P101" i="20"/>
  <c r="P72" i="20"/>
  <c r="P165" i="20"/>
  <c r="P91" i="20"/>
  <c r="P97" i="20"/>
  <c r="P78" i="20"/>
  <c r="R46" i="13"/>
  <c r="R394" i="2"/>
  <c r="R237" i="2"/>
  <c r="Q212" i="2"/>
  <c r="R58" i="2"/>
  <c r="R243" i="2"/>
  <c r="R89" i="2"/>
  <c r="R234" i="2"/>
  <c r="R393" i="2"/>
  <c r="R416" i="2"/>
  <c r="P109" i="19"/>
  <c r="P30" i="19" s="1"/>
  <c r="Q386" i="2"/>
  <c r="Q89" i="3" s="1"/>
  <c r="Q404" i="2"/>
  <c r="Q95" i="18" s="1"/>
  <c r="Q20" i="3"/>
  <c r="Q232" i="2"/>
  <c r="Q22" i="3"/>
  <c r="P177" i="3"/>
  <c r="P198" i="3" s="1"/>
  <c r="P129" i="19"/>
  <c r="P26" i="3"/>
  <c r="P107" i="18"/>
  <c r="R412" i="2"/>
  <c r="R239" i="2"/>
  <c r="R392" i="2"/>
  <c r="P109" i="18"/>
  <c r="P30" i="18" s="1"/>
  <c r="P131" i="18" s="1"/>
  <c r="R410" i="2"/>
  <c r="R411" i="2"/>
  <c r="P107" i="19"/>
  <c r="R238" i="2"/>
  <c r="R407" i="2"/>
  <c r="R389" i="2"/>
  <c r="S6" i="17"/>
  <c r="S6" i="3"/>
  <c r="S96" i="2"/>
  <c r="S144" i="10" s="1"/>
  <c r="P111" i="19"/>
  <c r="P32" i="19" s="1"/>
  <c r="P111" i="18"/>
  <c r="P32" i="18" s="1"/>
  <c r="P26" i="19"/>
  <c r="T46" i="11"/>
  <c r="P26" i="18"/>
  <c r="T48" i="13"/>
  <c r="R48" i="13"/>
  <c r="T50" i="11"/>
  <c r="T52" i="13"/>
  <c r="R48" i="11"/>
  <c r="R50" i="11"/>
  <c r="W193" i="18"/>
  <c r="W105" i="18"/>
  <c r="W11" i="18"/>
  <c r="T7" i="18"/>
  <c r="T7" i="19"/>
  <c r="T7" i="17"/>
  <c r="T8" i="2"/>
  <c r="T7" i="9"/>
  <c r="T7" i="3"/>
  <c r="Q46" i="13"/>
  <c r="Q48" i="13"/>
  <c r="Q50" i="13"/>
  <c r="Q52" i="13"/>
  <c r="X1" i="17"/>
  <c r="X50" i="17" s="1"/>
  <c r="X1" i="18"/>
  <c r="X1" i="19"/>
  <c r="Q52" i="11"/>
  <c r="Q46" i="11"/>
  <c r="Q50" i="11"/>
  <c r="Q48" i="11"/>
  <c r="Q258" i="19"/>
  <c r="P198" i="19"/>
  <c r="P181" i="13"/>
  <c r="Q262" i="13" s="1"/>
  <c r="S46" i="11"/>
  <c r="S48" i="11"/>
  <c r="S52" i="11"/>
  <c r="S50" i="11"/>
  <c r="W11" i="19"/>
  <c r="W193" i="19"/>
  <c r="W105" i="19"/>
  <c r="P200" i="15"/>
  <c r="P48" i="11"/>
  <c r="P46" i="11"/>
  <c r="M175" i="10"/>
  <c r="P52" i="11"/>
  <c r="P50" i="11"/>
  <c r="V46" i="11"/>
  <c r="V48" i="11"/>
  <c r="V52" i="11"/>
  <c r="V50" i="11"/>
  <c r="Q262" i="19"/>
  <c r="P202" i="19"/>
  <c r="P48" i="13"/>
  <c r="M175" i="12"/>
  <c r="P46" i="13"/>
  <c r="P52" i="13"/>
  <c r="P50" i="13"/>
  <c r="P177" i="13"/>
  <c r="Q258" i="13" s="1"/>
  <c r="U48" i="11"/>
  <c r="U52" i="11"/>
  <c r="U50" i="11"/>
  <c r="U46" i="11"/>
  <c r="Q56" i="18"/>
  <c r="S52" i="15"/>
  <c r="S46" i="15"/>
  <c r="S50" i="15"/>
  <c r="S48" i="15"/>
  <c r="R52" i="15"/>
  <c r="R50" i="15"/>
  <c r="R46" i="15"/>
  <c r="R48" i="15"/>
  <c r="Q52" i="15"/>
  <c r="Q50" i="15"/>
  <c r="Q46" i="15"/>
  <c r="Q48" i="15"/>
  <c r="P52" i="15"/>
  <c r="M175" i="14"/>
  <c r="P48" i="15"/>
  <c r="P46" i="15"/>
  <c r="P50" i="15"/>
  <c r="T48" i="15"/>
  <c r="T52" i="15"/>
  <c r="T50" i="15"/>
  <c r="T46" i="15"/>
  <c r="U46" i="15"/>
  <c r="U48" i="15"/>
  <c r="U50" i="15"/>
  <c r="U52" i="15"/>
  <c r="P181" i="15"/>
  <c r="Q262" i="15" s="1"/>
  <c r="P177" i="15"/>
  <c r="Q258" i="15" s="1"/>
  <c r="V52" i="15"/>
  <c r="V46" i="15"/>
  <c r="V50" i="15"/>
  <c r="V48" i="15"/>
  <c r="Q262" i="18"/>
  <c r="Q159" i="18"/>
  <c r="P198" i="18"/>
  <c r="Q258" i="18"/>
  <c r="Q161" i="18"/>
  <c r="P200" i="18"/>
  <c r="Q260" i="18"/>
  <c r="Q157" i="18"/>
  <c r="R19" i="17"/>
  <c r="R23" i="17"/>
  <c r="R17" i="17"/>
  <c r="R21" i="17"/>
  <c r="X87" i="2"/>
  <c r="X31" i="2"/>
  <c r="X30" i="2"/>
  <c r="X29" i="2"/>
  <c r="X179" i="2"/>
  <c r="X175" i="2"/>
  <c r="X171" i="2"/>
  <c r="X28" i="2"/>
  <c r="X27" i="2"/>
  <c r="X26" i="2"/>
  <c r="X25" i="2"/>
  <c r="X24" i="2"/>
  <c r="X23" i="2"/>
  <c r="X22" i="2"/>
  <c r="X21" i="2"/>
  <c r="X20" i="2"/>
  <c r="X176" i="2"/>
  <c r="X172" i="2"/>
  <c r="X168" i="2"/>
  <c r="X174" i="2"/>
  <c r="X173" i="2"/>
  <c r="X178" i="2"/>
  <c r="X170" i="2"/>
  <c r="X177" i="2"/>
  <c r="X169" i="2"/>
  <c r="X1" i="9"/>
  <c r="W193" i="3"/>
  <c r="X1" i="3"/>
  <c r="U72" i="3"/>
  <c r="U66" i="3"/>
  <c r="U70" i="3"/>
  <c r="W105" i="3"/>
  <c r="W265" i="2"/>
  <c r="X277" i="2"/>
  <c r="X275" i="2"/>
  <c r="X274" i="2"/>
  <c r="X273" i="2"/>
  <c r="X272" i="2"/>
  <c r="X271" i="2"/>
  <c r="X270" i="2"/>
  <c r="X269" i="2"/>
  <c r="X268" i="2"/>
  <c r="X267" i="2"/>
  <c r="X266" i="2"/>
  <c r="X276" i="2"/>
  <c r="X262" i="2"/>
  <c r="X258" i="2"/>
  <c r="X254" i="2"/>
  <c r="X261" i="2"/>
  <c r="X257" i="2"/>
  <c r="X253" i="2"/>
  <c r="X260" i="2"/>
  <c r="X256" i="2"/>
  <c r="X255" i="2"/>
  <c r="X252" i="2"/>
  <c r="X251" i="2"/>
  <c r="X259" i="2"/>
  <c r="X41" i="2"/>
  <c r="V109" i="1"/>
  <c r="V127" i="1" s="1"/>
  <c r="V26" i="1"/>
  <c r="V75" i="1" s="1"/>
  <c r="Y1" i="2"/>
  <c r="V102" i="1"/>
  <c r="V8" i="1"/>
  <c r="W1" i="1"/>
  <c r="V78" i="1"/>
  <c r="V99" i="1" s="1"/>
  <c r="S62" i="2" l="1"/>
  <c r="R314" i="12"/>
  <c r="R330" i="14"/>
  <c r="X270" i="3"/>
  <c r="X266" i="3"/>
  <c r="W265" i="3" s="1"/>
  <c r="X272" i="3"/>
  <c r="X268" i="3"/>
  <c r="R164" i="12"/>
  <c r="R319" i="12"/>
  <c r="R164" i="14"/>
  <c r="R319" i="14"/>
  <c r="R397" i="2"/>
  <c r="R242" i="2"/>
  <c r="R244" i="2"/>
  <c r="R405" i="2"/>
  <c r="R336" i="14"/>
  <c r="S101" i="2"/>
  <c r="S149" i="10" s="1"/>
  <c r="S323" i="10" s="1"/>
  <c r="R318" i="14"/>
  <c r="S90" i="2"/>
  <c r="S138" i="10" s="1"/>
  <c r="S312" i="10" s="1"/>
  <c r="R167" i="14"/>
  <c r="R341" i="14"/>
  <c r="U378" i="2"/>
  <c r="S80" i="11"/>
  <c r="W344" i="2"/>
  <c r="W269" i="12" s="1"/>
  <c r="V263" i="10"/>
  <c r="S100" i="2"/>
  <c r="S148" i="10" s="1"/>
  <c r="S167" i="10" s="1"/>
  <c r="R323" i="14"/>
  <c r="R332" i="12"/>
  <c r="R163" i="12"/>
  <c r="R336" i="12"/>
  <c r="V265" i="10"/>
  <c r="U287" i="12"/>
  <c r="W343" i="2"/>
  <c r="S92" i="2"/>
  <c r="S140" i="10" s="1"/>
  <c r="S332" i="10" s="1"/>
  <c r="R312" i="14"/>
  <c r="R340" i="12"/>
  <c r="R323" i="12"/>
  <c r="R168" i="10"/>
  <c r="R157" i="10" s="1"/>
  <c r="R40" i="11" s="1"/>
  <c r="R323" i="10"/>
  <c r="R311" i="10" s="1"/>
  <c r="R85" i="11" s="1"/>
  <c r="R168" i="12"/>
  <c r="S97" i="2"/>
  <c r="S145" i="12" s="1"/>
  <c r="S319" i="12" s="1"/>
  <c r="V358" i="2"/>
  <c r="V283" i="14" s="1"/>
  <c r="V265" i="14"/>
  <c r="R160" i="14"/>
  <c r="R333" i="14"/>
  <c r="W345" i="2"/>
  <c r="W363" i="2" s="1"/>
  <c r="S315" i="2"/>
  <c r="R167" i="12"/>
  <c r="R333" i="12"/>
  <c r="R388" i="2"/>
  <c r="R137" i="10"/>
  <c r="R18" i="11" s="1"/>
  <c r="R157" i="11" s="1"/>
  <c r="R315" i="12"/>
  <c r="U284" i="10"/>
  <c r="R235" i="2"/>
  <c r="U284" i="12"/>
  <c r="R406" i="2"/>
  <c r="S6" i="20"/>
  <c r="S91" i="2"/>
  <c r="S139" i="10" s="1"/>
  <c r="S313" i="10" s="1"/>
  <c r="U283" i="14"/>
  <c r="S94" i="2"/>
  <c r="S142" i="10" s="1"/>
  <c r="S161" i="10" s="1"/>
  <c r="S6" i="9"/>
  <c r="S300" i="2"/>
  <c r="S62" i="3" s="1"/>
  <c r="S43" i="2"/>
  <c r="R159" i="14"/>
  <c r="S99" i="2"/>
  <c r="S147" i="10" s="1"/>
  <c r="S166" i="10" s="1"/>
  <c r="U285" i="14"/>
  <c r="S98" i="2"/>
  <c r="W16" i="19"/>
  <c r="W155" i="19" s="1"/>
  <c r="R390" i="2"/>
  <c r="W22" i="19"/>
  <c r="W161" i="19" s="1"/>
  <c r="R331" i="12"/>
  <c r="R314" i="14"/>
  <c r="R158" i="12"/>
  <c r="R331" i="14"/>
  <c r="R158" i="14"/>
  <c r="W338" i="2"/>
  <c r="W263" i="12" s="1"/>
  <c r="W52" i="21"/>
  <c r="W68" i="21" s="1"/>
  <c r="W340" i="2"/>
  <c r="W265" i="14" s="1"/>
  <c r="W54" i="21"/>
  <c r="W70" i="21" s="1"/>
  <c r="W346" i="2"/>
  <c r="W271" i="14" s="1"/>
  <c r="V263" i="14"/>
  <c r="X331" i="2"/>
  <c r="U283" i="10"/>
  <c r="S82" i="11"/>
  <c r="X250" i="2"/>
  <c r="X19" i="17" s="1"/>
  <c r="X55" i="17" s="1"/>
  <c r="W341" i="2"/>
  <c r="W266" i="12" s="1"/>
  <c r="V356" i="2"/>
  <c r="V372" i="2" s="1"/>
  <c r="W26" i="21"/>
  <c r="W72" i="19" s="1"/>
  <c r="W347" i="2"/>
  <c r="W272" i="12" s="1"/>
  <c r="U376" i="2"/>
  <c r="U301" i="10" s="1"/>
  <c r="V269" i="12"/>
  <c r="T70" i="11"/>
  <c r="U285" i="10"/>
  <c r="W127" i="21"/>
  <c r="W125" i="21" s="1"/>
  <c r="W110" i="21"/>
  <c r="X265" i="2"/>
  <c r="W49" i="21"/>
  <c r="W65" i="21" s="1"/>
  <c r="W53" i="21"/>
  <c r="W69" i="21" s="1"/>
  <c r="W337" i="2"/>
  <c r="W342" i="2"/>
  <c r="W92" i="21"/>
  <c r="X197" i="2"/>
  <c r="X20" i="19" s="1"/>
  <c r="W268" i="10"/>
  <c r="W268" i="14"/>
  <c r="W268" i="12"/>
  <c r="W361" i="2"/>
  <c r="W336" i="2"/>
  <c r="W269" i="14"/>
  <c r="W362" i="2"/>
  <c r="W270" i="12"/>
  <c r="W45" i="21"/>
  <c r="W339" i="2"/>
  <c r="W263" i="14"/>
  <c r="W356" i="2"/>
  <c r="W56" i="21"/>
  <c r="X60" i="21" s="1"/>
  <c r="W55" i="21"/>
  <c r="W71" i="21" s="1"/>
  <c r="U283" i="12"/>
  <c r="V270" i="14"/>
  <c r="S76" i="11"/>
  <c r="V355" i="2"/>
  <c r="V371" i="2" s="1"/>
  <c r="V262" i="14"/>
  <c r="V262" i="10"/>
  <c r="U288" i="14"/>
  <c r="U288" i="12"/>
  <c r="U288" i="10"/>
  <c r="V361" i="2"/>
  <c r="V377" i="2" s="1"/>
  <c r="V269" i="10"/>
  <c r="V268" i="10"/>
  <c r="V270" i="12"/>
  <c r="V268" i="12"/>
  <c r="V363" i="2"/>
  <c r="V288" i="14" s="1"/>
  <c r="V362" i="2"/>
  <c r="V378" i="2" s="1"/>
  <c r="U260" i="14"/>
  <c r="U70" i="15" s="1"/>
  <c r="V365" i="2"/>
  <c r="T70" i="13"/>
  <c r="V272" i="10"/>
  <c r="T72" i="13"/>
  <c r="T68" i="15"/>
  <c r="T68" i="13"/>
  <c r="T66" i="15"/>
  <c r="V272" i="12"/>
  <c r="S76" i="13"/>
  <c r="S80" i="13"/>
  <c r="S82" i="13"/>
  <c r="T70" i="15"/>
  <c r="Q107" i="11"/>
  <c r="Q28" i="11" s="1"/>
  <c r="P295" i="13"/>
  <c r="S76" i="15"/>
  <c r="T278" i="10"/>
  <c r="T82" i="11" s="1"/>
  <c r="S78" i="15"/>
  <c r="S82" i="15"/>
  <c r="R46" i="20"/>
  <c r="Q101" i="15"/>
  <c r="Q129" i="15"/>
  <c r="Q313" i="15" s="1"/>
  <c r="Q99" i="15"/>
  <c r="Q157" i="15"/>
  <c r="V59" i="21"/>
  <c r="S293" i="10"/>
  <c r="T68" i="11"/>
  <c r="T278" i="12"/>
  <c r="T76" i="13" s="1"/>
  <c r="T66" i="11"/>
  <c r="T278" i="14"/>
  <c r="T76" i="15" s="1"/>
  <c r="U260" i="10"/>
  <c r="U72" i="11" s="1"/>
  <c r="S293" i="12"/>
  <c r="Q97" i="15"/>
  <c r="Q40" i="15"/>
  <c r="Q36" i="15"/>
  <c r="Q38" i="15"/>
  <c r="R165" i="14"/>
  <c r="T8" i="21"/>
  <c r="T8" i="20"/>
  <c r="Q167" i="15"/>
  <c r="U297" i="10"/>
  <c r="U297" i="14"/>
  <c r="U297" i="12"/>
  <c r="U300" i="14"/>
  <c r="U300" i="10"/>
  <c r="U300" i="12"/>
  <c r="T300" i="14"/>
  <c r="T300" i="12"/>
  <c r="T300" i="10"/>
  <c r="T81" i="18"/>
  <c r="T77" i="19"/>
  <c r="T77" i="18"/>
  <c r="T81" i="19"/>
  <c r="T79" i="18"/>
  <c r="T79" i="19"/>
  <c r="T79" i="20"/>
  <c r="T78" i="3"/>
  <c r="T80" i="3"/>
  <c r="T82" i="3"/>
  <c r="T77" i="20"/>
  <c r="T81" i="20"/>
  <c r="T76" i="3"/>
  <c r="U294" i="14"/>
  <c r="U294" i="12"/>
  <c r="U294" i="10"/>
  <c r="V271" i="10"/>
  <c r="V271" i="12"/>
  <c r="V271" i="14"/>
  <c r="V364" i="2"/>
  <c r="T304" i="12"/>
  <c r="T304" i="10"/>
  <c r="T304" i="14"/>
  <c r="Y332" i="2"/>
  <c r="Y330" i="2"/>
  <c r="Y203" i="2"/>
  <c r="Y198" i="2"/>
  <c r="Y206" i="2"/>
  <c r="Y201" i="2"/>
  <c r="Y209" i="2"/>
  <c r="Y204" i="2"/>
  <c r="Y1" i="21"/>
  <c r="Y199" i="2"/>
  <c r="Y207" i="2"/>
  <c r="Y202" i="2"/>
  <c r="Y205" i="2"/>
  <c r="Y200" i="2"/>
  <c r="Y208" i="2"/>
  <c r="Y1" i="20"/>
  <c r="X50" i="3"/>
  <c r="X46" i="3"/>
  <c r="X48" i="3"/>
  <c r="X52" i="3"/>
  <c r="Q181" i="11"/>
  <c r="Q202" i="11" s="1"/>
  <c r="V375" i="2"/>
  <c r="V284" i="14"/>
  <c r="V284" i="10"/>
  <c r="V284" i="12"/>
  <c r="U370" i="2"/>
  <c r="U279" i="12"/>
  <c r="U279" i="10"/>
  <c r="U279" i="14"/>
  <c r="U353" i="2"/>
  <c r="V335" i="2"/>
  <c r="V70" i="3" s="1"/>
  <c r="X193" i="20"/>
  <c r="X96" i="21"/>
  <c r="X114" i="21" s="1"/>
  <c r="X130" i="21" s="1"/>
  <c r="X104" i="21"/>
  <c r="X122" i="21" s="1"/>
  <c r="X99" i="21"/>
  <c r="X117" i="21" s="1"/>
  <c r="X133" i="21" s="1"/>
  <c r="X101" i="21"/>
  <c r="X119" i="21" s="1"/>
  <c r="X135" i="21" s="1"/>
  <c r="X94" i="21"/>
  <c r="X112" i="21" s="1"/>
  <c r="X128" i="21" s="1"/>
  <c r="X102" i="21"/>
  <c r="X120" i="21" s="1"/>
  <c r="X136" i="21" s="1"/>
  <c r="X97" i="21"/>
  <c r="X100" i="21"/>
  <c r="X118" i="21" s="1"/>
  <c r="X134" i="21" s="1"/>
  <c r="X95" i="21"/>
  <c r="X113" i="21" s="1"/>
  <c r="X129" i="21" s="1"/>
  <c r="X103" i="21"/>
  <c r="X121" i="21" s="1"/>
  <c r="X137" i="21" s="1"/>
  <c r="X115" i="21"/>
  <c r="X131" i="21" s="1"/>
  <c r="X93" i="21"/>
  <c r="X111" i="21" s="1"/>
  <c r="X127" i="21" s="1"/>
  <c r="X98" i="21"/>
  <c r="X116" i="21" s="1"/>
  <c r="X132" i="21" s="1"/>
  <c r="X37" i="21"/>
  <c r="X31" i="21"/>
  <c r="X28" i="21"/>
  <c r="X35" i="21"/>
  <c r="X32" i="21"/>
  <c r="X50" i="21" s="1"/>
  <c r="X66" i="21" s="1"/>
  <c r="X36" i="21"/>
  <c r="X126" i="21"/>
  <c r="X30" i="21"/>
  <c r="X48" i="21" s="1"/>
  <c r="X64" i="21" s="1"/>
  <c r="X34" i="21"/>
  <c r="X29" i="21"/>
  <c r="X38" i="21"/>
  <c r="X56" i="21" s="1"/>
  <c r="X33" i="21"/>
  <c r="X342" i="2" s="1"/>
  <c r="X27" i="21"/>
  <c r="X45" i="21" s="1"/>
  <c r="X61" i="21" s="1"/>
  <c r="X54" i="21"/>
  <c r="X70" i="21" s="1"/>
  <c r="X46" i="21"/>
  <c r="X62" i="21" s="1"/>
  <c r="X55" i="21"/>
  <c r="X71" i="21" s="1"/>
  <c r="R52" i="20"/>
  <c r="T297" i="10"/>
  <c r="T297" i="12"/>
  <c r="T297" i="14"/>
  <c r="W105" i="20"/>
  <c r="V66" i="18"/>
  <c r="V72" i="18"/>
  <c r="V70" i="18"/>
  <c r="V68" i="18"/>
  <c r="V261" i="10"/>
  <c r="V261" i="12"/>
  <c r="V261" i="14"/>
  <c r="V354" i="2"/>
  <c r="U299" i="12"/>
  <c r="U299" i="14"/>
  <c r="U299" i="10"/>
  <c r="V267" i="14"/>
  <c r="V267" i="10"/>
  <c r="V267" i="12"/>
  <c r="V360" i="2"/>
  <c r="X22" i="19"/>
  <c r="T301" i="10"/>
  <c r="T301" i="14"/>
  <c r="T301" i="12"/>
  <c r="U260" i="12"/>
  <c r="T305" i="10"/>
  <c r="T305" i="12"/>
  <c r="T305" i="14"/>
  <c r="U78" i="18"/>
  <c r="U82" i="18"/>
  <c r="U76" i="18"/>
  <c r="U80" i="18"/>
  <c r="U302" i="14"/>
  <c r="U302" i="10"/>
  <c r="U302" i="12"/>
  <c r="R50" i="20"/>
  <c r="V72" i="19"/>
  <c r="V66" i="19"/>
  <c r="V68" i="19"/>
  <c r="V70" i="19"/>
  <c r="V78" i="18"/>
  <c r="V80" i="18"/>
  <c r="V82" i="18"/>
  <c r="V76" i="18"/>
  <c r="R338" i="14"/>
  <c r="U373" i="2"/>
  <c r="U282" i="12"/>
  <c r="U282" i="10"/>
  <c r="U282" i="14"/>
  <c r="V294" i="10"/>
  <c r="V294" i="12"/>
  <c r="V294" i="14"/>
  <c r="U304" i="10"/>
  <c r="U304" i="12"/>
  <c r="U304" i="14"/>
  <c r="U380" i="2"/>
  <c r="U289" i="12"/>
  <c r="U289" i="10"/>
  <c r="U289" i="14"/>
  <c r="U82" i="19"/>
  <c r="U78" i="19"/>
  <c r="U80" i="19"/>
  <c r="U76" i="19"/>
  <c r="V373" i="2"/>
  <c r="V282" i="14"/>
  <c r="V282" i="10"/>
  <c r="V282" i="12"/>
  <c r="U371" i="2"/>
  <c r="U280" i="10"/>
  <c r="U280" i="14"/>
  <c r="U280" i="12"/>
  <c r="U303" i="14"/>
  <c r="U303" i="12"/>
  <c r="U303" i="10"/>
  <c r="S293" i="14"/>
  <c r="V44" i="21"/>
  <c r="R48" i="20"/>
  <c r="T368" i="2"/>
  <c r="Q89" i="15"/>
  <c r="R334" i="14"/>
  <c r="Q111" i="11"/>
  <c r="Q32" i="11" s="1"/>
  <c r="P200" i="13"/>
  <c r="Q85" i="15"/>
  <c r="Q171" i="15"/>
  <c r="Q181" i="15" s="1"/>
  <c r="R329" i="10"/>
  <c r="R95" i="11" s="1"/>
  <c r="Q91" i="15"/>
  <c r="R161" i="14"/>
  <c r="Q26" i="11"/>
  <c r="Q177" i="11"/>
  <c r="Q293" i="11" s="1"/>
  <c r="S336" i="10"/>
  <c r="S163" i="10"/>
  <c r="S318" i="10"/>
  <c r="S315" i="10"/>
  <c r="S333" i="10"/>
  <c r="S160" i="10"/>
  <c r="Q313" i="11"/>
  <c r="Q109" i="11"/>
  <c r="Q30" i="11" s="1"/>
  <c r="Q131" i="11" s="1"/>
  <c r="Q315" i="11" s="1"/>
  <c r="S335" i="10"/>
  <c r="S162" i="10"/>
  <c r="S317" i="10"/>
  <c r="Q317" i="11"/>
  <c r="R166" i="14"/>
  <c r="S143" i="14"/>
  <c r="S335" i="14" s="1"/>
  <c r="S143" i="12"/>
  <c r="Q101" i="13"/>
  <c r="Q97" i="13"/>
  <c r="Q95" i="13"/>
  <c r="Q99" i="13"/>
  <c r="R320" i="12"/>
  <c r="R338" i="12"/>
  <c r="R165" i="12"/>
  <c r="Q159" i="13"/>
  <c r="R316" i="12"/>
  <c r="R334" i="12"/>
  <c r="R161" i="12"/>
  <c r="R321" i="14"/>
  <c r="Q155" i="13"/>
  <c r="S141" i="14"/>
  <c r="S315" i="14" s="1"/>
  <c r="S141" i="12"/>
  <c r="S144" i="14"/>
  <c r="S318" i="14" s="1"/>
  <c r="S144" i="12"/>
  <c r="R137" i="14"/>
  <c r="R18" i="15" s="1"/>
  <c r="Q167" i="13"/>
  <c r="Q171" i="13"/>
  <c r="Q129" i="13"/>
  <c r="Q157" i="13"/>
  <c r="Q133" i="13"/>
  <c r="Q40" i="13"/>
  <c r="Q36" i="13"/>
  <c r="Q42" i="13"/>
  <c r="Q38" i="13"/>
  <c r="R137" i="12"/>
  <c r="R166" i="12"/>
  <c r="R321" i="12"/>
  <c r="R339" i="12"/>
  <c r="Q161" i="13"/>
  <c r="Q87" i="13"/>
  <c r="Q91" i="13"/>
  <c r="Q85" i="13"/>
  <c r="Q89" i="13"/>
  <c r="Q129" i="3"/>
  <c r="Q353" i="3" s="1"/>
  <c r="Q317" i="15"/>
  <c r="Q171" i="18"/>
  <c r="Q181" i="18" s="1"/>
  <c r="Q167" i="18"/>
  <c r="Q177" i="18" s="1"/>
  <c r="Q169" i="18"/>
  <c r="Q179" i="18" s="1"/>
  <c r="Q167" i="19"/>
  <c r="Q171" i="19"/>
  <c r="Q181" i="19" s="1"/>
  <c r="Q302" i="3"/>
  <c r="S219" i="2"/>
  <c r="S189" i="2" s="1"/>
  <c r="S216" i="2"/>
  <c r="S186" i="2" s="1"/>
  <c r="S218" i="2"/>
  <c r="S188" i="2" s="1"/>
  <c r="S392" i="2" s="1"/>
  <c r="Q95" i="19"/>
  <c r="Q129" i="18"/>
  <c r="Q18" i="20"/>
  <c r="Q157" i="3"/>
  <c r="Q133" i="3"/>
  <c r="Q357" i="3" s="1"/>
  <c r="Q56" i="19"/>
  <c r="Q56" i="20" s="1"/>
  <c r="P200" i="3"/>
  <c r="Q76" i="20"/>
  <c r="Q101" i="3"/>
  <c r="Q97" i="18"/>
  <c r="P200" i="19"/>
  <c r="Q87" i="3"/>
  <c r="Q95" i="3"/>
  <c r="Q97" i="3"/>
  <c r="Q99" i="3"/>
  <c r="P335" i="3"/>
  <c r="Q155" i="19"/>
  <c r="Q155" i="20" s="1"/>
  <c r="Q133" i="19"/>
  <c r="Q66" i="20"/>
  <c r="R197" i="2"/>
  <c r="R18" i="19" s="1"/>
  <c r="R157" i="19" s="1"/>
  <c r="Q36" i="19"/>
  <c r="P337" i="3"/>
  <c r="Q20" i="20"/>
  <c r="Q36" i="18"/>
  <c r="Q58" i="19"/>
  <c r="Q58" i="20" s="1"/>
  <c r="Q167" i="3"/>
  <c r="Q171" i="3"/>
  <c r="Q97" i="19"/>
  <c r="Q157" i="19"/>
  <c r="Q72" i="20"/>
  <c r="Q22" i="20"/>
  <c r="Q87" i="19"/>
  <c r="P30" i="3"/>
  <c r="P131" i="3" s="1"/>
  <c r="P355" i="3" s="1"/>
  <c r="P109" i="20"/>
  <c r="P133" i="20"/>
  <c r="P129" i="20"/>
  <c r="P26" i="20"/>
  <c r="P28" i="18"/>
  <c r="P111" i="20"/>
  <c r="Q258" i="20"/>
  <c r="P198" i="20"/>
  <c r="P181" i="20"/>
  <c r="P28" i="19"/>
  <c r="P107" i="20"/>
  <c r="P179" i="20"/>
  <c r="R182" i="2"/>
  <c r="R18" i="3" s="1"/>
  <c r="R133" i="3" s="1"/>
  <c r="R357" i="3" s="1"/>
  <c r="R212" i="2"/>
  <c r="R409" i="2"/>
  <c r="R236" i="2"/>
  <c r="R391" i="2"/>
  <c r="Q85" i="3"/>
  <c r="Q91" i="18"/>
  <c r="R413" i="2"/>
  <c r="R395" i="2"/>
  <c r="R241" i="2"/>
  <c r="R396" i="2"/>
  <c r="R22" i="18"/>
  <c r="R161" i="18" s="1"/>
  <c r="R16" i="18"/>
  <c r="R155" i="18" s="1"/>
  <c r="R18" i="18"/>
  <c r="R157" i="18" s="1"/>
  <c r="R20" i="18"/>
  <c r="R159" i="18" s="1"/>
  <c r="Q87" i="18"/>
  <c r="Q62" i="19"/>
  <c r="Q91" i="3"/>
  <c r="Q91" i="19"/>
  <c r="Q99" i="18"/>
  <c r="Q99" i="19"/>
  <c r="Q89" i="19"/>
  <c r="Q159" i="3"/>
  <c r="Q159" i="20" s="1"/>
  <c r="Q60" i="19"/>
  <c r="Q161" i="3"/>
  <c r="Q89" i="18"/>
  <c r="Q101" i="19"/>
  <c r="Q85" i="19"/>
  <c r="Q62" i="18"/>
  <c r="Q85" i="18"/>
  <c r="Q60" i="18"/>
  <c r="Q101" i="18"/>
  <c r="Q40" i="19"/>
  <c r="Q38" i="3"/>
  <c r="Q36" i="3"/>
  <c r="Q40" i="18"/>
  <c r="Q38" i="19"/>
  <c r="Q42" i="3"/>
  <c r="Q40" i="3"/>
  <c r="Q42" i="18"/>
  <c r="Q38" i="18"/>
  <c r="Q42" i="19"/>
  <c r="P333" i="3"/>
  <c r="Q298" i="3"/>
  <c r="X193" i="18"/>
  <c r="X11" i="18"/>
  <c r="X52" i="18" s="1"/>
  <c r="X105" i="18"/>
  <c r="P293" i="13"/>
  <c r="P198" i="13"/>
  <c r="M46" i="11"/>
  <c r="P26" i="11"/>
  <c r="P202" i="13"/>
  <c r="P297" i="13"/>
  <c r="P131" i="19"/>
  <c r="P26" i="13"/>
  <c r="M46" i="13"/>
  <c r="P109" i="13"/>
  <c r="M50" i="13"/>
  <c r="P107" i="13"/>
  <c r="M48" i="13"/>
  <c r="M50" i="11"/>
  <c r="P109" i="11"/>
  <c r="M48" i="11"/>
  <c r="P107" i="11"/>
  <c r="T8" i="18"/>
  <c r="T8" i="19"/>
  <c r="T311" i="2"/>
  <c r="T327" i="2" s="1"/>
  <c r="T49" i="2"/>
  <c r="T64" i="2" s="1"/>
  <c r="T302" i="2"/>
  <c r="T318" i="2" s="1"/>
  <c r="T50" i="2"/>
  <c r="T46" i="2"/>
  <c r="T61" i="2" s="1"/>
  <c r="T310" i="2"/>
  <c r="T326" i="2" s="1"/>
  <c r="T6" i="2"/>
  <c r="T307" i="2"/>
  <c r="T323" i="2" s="1"/>
  <c r="T312" i="2"/>
  <c r="U316" i="2" s="1"/>
  <c r="T304" i="2"/>
  <c r="T320" i="2" s="1"/>
  <c r="T48" i="2"/>
  <c r="T308" i="2"/>
  <c r="T324" i="2" s="1"/>
  <c r="T8" i="3"/>
  <c r="T44" i="2"/>
  <c r="T90" i="2" s="1"/>
  <c r="T54" i="2"/>
  <c r="T69" i="2" s="1"/>
  <c r="T55" i="2"/>
  <c r="T70" i="2" s="1"/>
  <c r="T306" i="2"/>
  <c r="T322" i="2" s="1"/>
  <c r="T53" i="2"/>
  <c r="T68" i="2" s="1"/>
  <c r="T8" i="17"/>
  <c r="T47" i="2"/>
  <c r="T62" i="2" s="1"/>
  <c r="T309" i="2"/>
  <c r="T325" i="2" s="1"/>
  <c r="T305" i="2"/>
  <c r="T321" i="2" s="1"/>
  <c r="U7" i="2"/>
  <c r="T52" i="2"/>
  <c r="T67" i="2" s="1"/>
  <c r="T51" i="2"/>
  <c r="T66" i="2" s="1"/>
  <c r="T8" i="9"/>
  <c r="T303" i="2"/>
  <c r="T319" i="2" s="1"/>
  <c r="T301" i="2"/>
  <c r="T45" i="2"/>
  <c r="T60" i="2" s="1"/>
  <c r="Y1" i="17"/>
  <c r="Y1" i="18"/>
  <c r="Y1" i="19"/>
  <c r="M52" i="13"/>
  <c r="P111" i="13"/>
  <c r="P111" i="11"/>
  <c r="M52" i="11"/>
  <c r="X11" i="19"/>
  <c r="X52" i="19" s="1"/>
  <c r="X161" i="19"/>
  <c r="X193" i="19"/>
  <c r="X105" i="19"/>
  <c r="S58" i="2"/>
  <c r="P293" i="15"/>
  <c r="P198" i="15"/>
  <c r="P26" i="15"/>
  <c r="M46" i="15"/>
  <c r="P107" i="15"/>
  <c r="M48" i="15"/>
  <c r="P297" i="15"/>
  <c r="P202" i="15"/>
  <c r="P109" i="15"/>
  <c r="M50" i="15"/>
  <c r="P111" i="15"/>
  <c r="M52" i="15"/>
  <c r="R59" i="17"/>
  <c r="R55" i="17"/>
  <c r="Q59" i="17"/>
  <c r="Y87" i="2"/>
  <c r="Y176" i="2"/>
  <c r="Y172" i="2"/>
  <c r="Y168" i="2"/>
  <c r="Y29" i="2"/>
  <c r="Y177" i="2"/>
  <c r="Y173" i="2"/>
  <c r="Y169" i="2"/>
  <c r="Y30" i="2"/>
  <c r="Y179" i="2"/>
  <c r="Y171" i="2"/>
  <c r="Y28" i="2"/>
  <c r="Y26" i="2"/>
  <c r="Y24" i="2"/>
  <c r="Y22" i="2"/>
  <c r="Y20" i="2"/>
  <c r="Y178" i="2"/>
  <c r="Y170" i="2"/>
  <c r="Y175" i="2"/>
  <c r="Y27" i="2"/>
  <c r="Y25" i="2"/>
  <c r="Y23" i="2"/>
  <c r="Y21" i="2"/>
  <c r="Y1" i="9"/>
  <c r="Y174" i="2"/>
  <c r="Y31" i="2"/>
  <c r="X193" i="3"/>
  <c r="X105" i="3"/>
  <c r="Y1" i="3"/>
  <c r="Y277" i="2"/>
  <c r="Y276" i="2"/>
  <c r="Y274" i="2"/>
  <c r="Y270" i="2"/>
  <c r="Y266" i="2"/>
  <c r="Y273" i="2"/>
  <c r="Y269" i="2"/>
  <c r="Y272" i="2"/>
  <c r="Y268" i="2"/>
  <c r="Y275" i="2"/>
  <c r="Y271" i="2"/>
  <c r="Y267" i="2"/>
  <c r="Y261" i="2"/>
  <c r="Y257" i="2"/>
  <c r="Y253" i="2"/>
  <c r="Y260" i="2"/>
  <c r="Y256" i="2"/>
  <c r="Y252" i="2"/>
  <c r="Y259" i="2"/>
  <c r="Y255" i="2"/>
  <c r="Y262" i="2"/>
  <c r="Y251" i="2"/>
  <c r="Y258" i="2"/>
  <c r="Y254" i="2"/>
  <c r="T250" i="2"/>
  <c r="Y41" i="2"/>
  <c r="W109" i="1"/>
  <c r="W127" i="1" s="1"/>
  <c r="W26" i="1"/>
  <c r="Z1" i="2"/>
  <c r="W102" i="1"/>
  <c r="W75" i="1"/>
  <c r="X1" i="1"/>
  <c r="W78" i="1"/>
  <c r="W99" i="1" s="1"/>
  <c r="W8" i="1"/>
  <c r="V283" i="12" l="1"/>
  <c r="X8" i="1"/>
  <c r="V374" i="2"/>
  <c r="U301" i="12"/>
  <c r="U301" i="14"/>
  <c r="V283" i="10"/>
  <c r="W269" i="3"/>
  <c r="W267" i="3"/>
  <c r="W271" i="3"/>
  <c r="Y272" i="3"/>
  <c r="X271" i="3" s="1"/>
  <c r="Y268" i="3"/>
  <c r="Y270" i="3"/>
  <c r="Y266" i="3"/>
  <c r="S224" i="2"/>
  <c r="S194" i="2" s="1"/>
  <c r="S169" i="10"/>
  <c r="S142" i="12"/>
  <c r="S316" i="12" s="1"/>
  <c r="S330" i="10"/>
  <c r="S138" i="12"/>
  <c r="S330" i="12" s="1"/>
  <c r="S138" i="14"/>
  <c r="S312" i="14" s="1"/>
  <c r="S213" i="2"/>
  <c r="S183" i="2" s="1"/>
  <c r="S405" i="2" s="1"/>
  <c r="S341" i="10"/>
  <c r="S168" i="10"/>
  <c r="S149" i="12"/>
  <c r="S323" i="12" s="1"/>
  <c r="S149" i="14"/>
  <c r="S168" i="14" s="1"/>
  <c r="S215" i="2"/>
  <c r="S185" i="2" s="1"/>
  <c r="S389" i="2" s="1"/>
  <c r="S148" i="14"/>
  <c r="S167" i="14" s="1"/>
  <c r="S314" i="10"/>
  <c r="S223" i="2"/>
  <c r="S193" i="2" s="1"/>
  <c r="S415" i="2" s="1"/>
  <c r="S140" i="12"/>
  <c r="S314" i="12" s="1"/>
  <c r="S140" i="14"/>
  <c r="S314" i="14" s="1"/>
  <c r="S148" i="12"/>
  <c r="S322" i="12" s="1"/>
  <c r="S159" i="10"/>
  <c r="S340" i="10"/>
  <c r="S139" i="12"/>
  <c r="S313" i="12" s="1"/>
  <c r="S322" i="10"/>
  <c r="W364" i="2"/>
  <c r="W269" i="10"/>
  <c r="W270" i="10"/>
  <c r="S60" i="3"/>
  <c r="W271" i="12"/>
  <c r="W270" i="14"/>
  <c r="W358" i="2"/>
  <c r="W359" i="2"/>
  <c r="W265" i="10"/>
  <c r="W266" i="14"/>
  <c r="W265" i="12"/>
  <c r="W266" i="10"/>
  <c r="S145" i="14"/>
  <c r="S319" i="14" s="1"/>
  <c r="S220" i="2"/>
  <c r="S190" i="2" s="1"/>
  <c r="S239" i="2" s="1"/>
  <c r="R311" i="14"/>
  <c r="R85" i="15" s="1"/>
  <c r="S145" i="10"/>
  <c r="S319" i="10" s="1"/>
  <c r="S214" i="2"/>
  <c r="S184" i="2" s="1"/>
  <c r="S406" i="2" s="1"/>
  <c r="R129" i="11"/>
  <c r="R313" i="11" s="1"/>
  <c r="R133" i="11"/>
  <c r="R317" i="11" s="1"/>
  <c r="S316" i="10"/>
  <c r="S339" i="10"/>
  <c r="V280" i="12"/>
  <c r="W272" i="14"/>
  <c r="W272" i="10"/>
  <c r="S56" i="3"/>
  <c r="S58" i="3"/>
  <c r="R22" i="11"/>
  <c r="R161" i="11" s="1"/>
  <c r="S222" i="2"/>
  <c r="S192" i="2" s="1"/>
  <c r="S396" i="2" s="1"/>
  <c r="S147" i="12"/>
  <c r="S339" i="12" s="1"/>
  <c r="S147" i="14"/>
  <c r="S339" i="14" s="1"/>
  <c r="S321" i="10"/>
  <c r="S89" i="2"/>
  <c r="S139" i="14"/>
  <c r="S313" i="14" s="1"/>
  <c r="S158" i="10"/>
  <c r="R20" i="11"/>
  <c r="R159" i="11" s="1"/>
  <c r="R16" i="11"/>
  <c r="R155" i="11" s="1"/>
  <c r="S331" i="10"/>
  <c r="S142" i="14"/>
  <c r="S334" i="14" s="1"/>
  <c r="S217" i="2"/>
  <c r="S187" i="2" s="1"/>
  <c r="S409" i="2" s="1"/>
  <c r="S334" i="10"/>
  <c r="X21" i="17"/>
  <c r="X57" i="17" s="1"/>
  <c r="V379" i="2"/>
  <c r="V304" i="10" s="1"/>
  <c r="X23" i="17"/>
  <c r="X59" i="17" s="1"/>
  <c r="X17" i="17"/>
  <c r="X53" i="17" s="1"/>
  <c r="V280" i="10"/>
  <c r="V280" i="14"/>
  <c r="S146" i="10"/>
  <c r="S146" i="12"/>
  <c r="S146" i="14"/>
  <c r="S221" i="2"/>
  <c r="S191" i="2" s="1"/>
  <c r="X343" i="2"/>
  <c r="X361" i="2" s="1"/>
  <c r="W263" i="10"/>
  <c r="W365" i="2"/>
  <c r="W290" i="14" s="1"/>
  <c r="X345" i="2"/>
  <c r="X270" i="14" s="1"/>
  <c r="X336" i="2"/>
  <c r="R22" i="3"/>
  <c r="R161" i="3" s="1"/>
  <c r="Y250" i="2"/>
  <c r="Y48" i="3" s="1"/>
  <c r="X105" i="20"/>
  <c r="W271" i="10"/>
  <c r="W68" i="19"/>
  <c r="V281" i="14"/>
  <c r="V281" i="10"/>
  <c r="X344" i="2"/>
  <c r="Y265" i="2"/>
  <c r="V281" i="12"/>
  <c r="W66" i="19"/>
  <c r="X340" i="2"/>
  <c r="X265" i="10" s="1"/>
  <c r="W70" i="19"/>
  <c r="X339" i="2"/>
  <c r="X264" i="14" s="1"/>
  <c r="X346" i="2"/>
  <c r="X271" i="10" s="1"/>
  <c r="V288" i="12"/>
  <c r="X125" i="21"/>
  <c r="X159" i="19"/>
  <c r="X358" i="2"/>
  <c r="V290" i="14"/>
  <c r="W369" i="2"/>
  <c r="W264" i="10"/>
  <c r="W264" i="12"/>
  <c r="W264" i="14"/>
  <c r="W357" i="2"/>
  <c r="W379" i="2"/>
  <c r="W288" i="12"/>
  <c r="W288" i="14"/>
  <c r="W288" i="10"/>
  <c r="W377" i="2"/>
  <c r="W286" i="12"/>
  <c r="W286" i="14"/>
  <c r="W286" i="10"/>
  <c r="X26" i="21"/>
  <c r="X92" i="21"/>
  <c r="X341" i="2"/>
  <c r="X271" i="12"/>
  <c r="W61" i="21"/>
  <c r="W59" i="21" s="1"/>
  <c r="W44" i="21"/>
  <c r="X52" i="21"/>
  <c r="X68" i="21" s="1"/>
  <c r="W290" i="10"/>
  <c r="Y197" i="2"/>
  <c r="Y16" i="19" s="1"/>
  <c r="X16" i="19"/>
  <c r="X261" i="10"/>
  <c r="X261" i="12"/>
  <c r="X261" i="14"/>
  <c r="X354" i="2"/>
  <c r="W68" i="18"/>
  <c r="W70" i="18"/>
  <c r="W66" i="18"/>
  <c r="W72" i="18"/>
  <c r="X267" i="12"/>
  <c r="X267" i="14"/>
  <c r="X267" i="10"/>
  <c r="X360" i="2"/>
  <c r="X269" i="14"/>
  <c r="X269" i="10"/>
  <c r="X269" i="12"/>
  <c r="X362" i="2"/>
  <c r="Y331" i="2"/>
  <c r="W372" i="2"/>
  <c r="W281" i="10"/>
  <c r="W281" i="12"/>
  <c r="W281" i="14"/>
  <c r="W378" i="2"/>
  <c r="W287" i="14"/>
  <c r="W287" i="12"/>
  <c r="W287" i="10"/>
  <c r="W267" i="12"/>
  <c r="W267" i="10"/>
  <c r="W267" i="14"/>
  <c r="W360" i="2"/>
  <c r="W82" i="18"/>
  <c r="W80" i="18"/>
  <c r="W76" i="18"/>
  <c r="W78" i="18"/>
  <c r="X268" i="10"/>
  <c r="X268" i="14"/>
  <c r="X18" i="19"/>
  <c r="U70" i="11"/>
  <c r="X53" i="21"/>
  <c r="X69" i="21" s="1"/>
  <c r="X347" i="2"/>
  <c r="X337" i="2"/>
  <c r="V286" i="14"/>
  <c r="W380" i="2"/>
  <c r="W289" i="10"/>
  <c r="W289" i="12"/>
  <c r="W289" i="14"/>
  <c r="W262" i="12"/>
  <c r="W262" i="14"/>
  <c r="W262" i="10"/>
  <c r="W355" i="2"/>
  <c r="X50" i="19"/>
  <c r="X49" i="21"/>
  <c r="X65" i="21" s="1"/>
  <c r="X51" i="21"/>
  <c r="X67" i="21" s="1"/>
  <c r="X338" i="2"/>
  <c r="X270" i="10"/>
  <c r="X110" i="21"/>
  <c r="W374" i="2"/>
  <c r="W283" i="12"/>
  <c r="W283" i="14"/>
  <c r="W283" i="10"/>
  <c r="W335" i="2"/>
  <c r="W66" i="3" s="1"/>
  <c r="X47" i="21"/>
  <c r="X63" i="21" s="1"/>
  <c r="W375" i="2"/>
  <c r="W284" i="14"/>
  <c r="W284" i="12"/>
  <c r="W284" i="10"/>
  <c r="W261" i="10"/>
  <c r="W261" i="14"/>
  <c r="W261" i="12"/>
  <c r="W354" i="2"/>
  <c r="U66" i="15"/>
  <c r="V287" i="10"/>
  <c r="V287" i="14"/>
  <c r="V287" i="12"/>
  <c r="V286" i="12"/>
  <c r="V286" i="10"/>
  <c r="V290" i="12"/>
  <c r="V290" i="10"/>
  <c r="T80" i="11"/>
  <c r="V288" i="10"/>
  <c r="U72" i="15"/>
  <c r="U68" i="15"/>
  <c r="T82" i="13"/>
  <c r="T80" i="13"/>
  <c r="U66" i="11"/>
  <c r="U68" i="11"/>
  <c r="T78" i="11"/>
  <c r="T76" i="11"/>
  <c r="Q107" i="15"/>
  <c r="Q28" i="15" s="1"/>
  <c r="Q177" i="15"/>
  <c r="Q198" i="15" s="1"/>
  <c r="Q111" i="15"/>
  <c r="Q32" i="15" s="1"/>
  <c r="T78" i="15"/>
  <c r="T82" i="15"/>
  <c r="T80" i="15"/>
  <c r="Q109" i="15"/>
  <c r="Q30" i="15" s="1"/>
  <c r="Q131" i="15" s="1"/>
  <c r="Q315" i="15" s="1"/>
  <c r="T293" i="10"/>
  <c r="V72" i="3"/>
  <c r="V68" i="3"/>
  <c r="V66" i="3"/>
  <c r="T293" i="12"/>
  <c r="T78" i="13"/>
  <c r="T293" i="14"/>
  <c r="Q26" i="15"/>
  <c r="S163" i="14"/>
  <c r="R329" i="14"/>
  <c r="R99" i="15" s="1"/>
  <c r="S332" i="14"/>
  <c r="R20" i="15"/>
  <c r="R159" i="15" s="1"/>
  <c r="S164" i="12"/>
  <c r="R22" i="15"/>
  <c r="R161" i="15" s="1"/>
  <c r="S337" i="12"/>
  <c r="S333" i="14"/>
  <c r="Q109" i="13"/>
  <c r="Q30" i="13" s="1"/>
  <c r="Q131" i="13" s="1"/>
  <c r="Q315" i="13" s="1"/>
  <c r="Q297" i="11"/>
  <c r="R262" i="11"/>
  <c r="R91" i="11"/>
  <c r="V298" i="10"/>
  <c r="V298" i="12"/>
  <c r="V298" i="14"/>
  <c r="U305" i="12"/>
  <c r="U305" i="14"/>
  <c r="U305" i="10"/>
  <c r="U295" i="12"/>
  <c r="U295" i="14"/>
  <c r="U295" i="10"/>
  <c r="Y193" i="20"/>
  <c r="V302" i="14"/>
  <c r="V302" i="10"/>
  <c r="V302" i="12"/>
  <c r="S160" i="14"/>
  <c r="R87" i="11"/>
  <c r="V380" i="2"/>
  <c r="V289" i="12"/>
  <c r="V289" i="14"/>
  <c r="V289" i="10"/>
  <c r="R89" i="11"/>
  <c r="U368" i="2"/>
  <c r="Y46" i="3"/>
  <c r="Y50" i="3"/>
  <c r="Y52" i="3"/>
  <c r="Z339" i="2"/>
  <c r="Z347" i="2"/>
  <c r="Z332" i="2"/>
  <c r="Z342" i="2"/>
  <c r="Z330" i="2"/>
  <c r="Z331" i="2" s="1"/>
  <c r="Z337" i="2"/>
  <c r="Z345" i="2"/>
  <c r="Z340" i="2"/>
  <c r="Z343" i="2"/>
  <c r="Z338" i="2"/>
  <c r="Z346" i="2"/>
  <c r="Z336" i="2"/>
  <c r="Z344" i="2"/>
  <c r="Z341" i="2"/>
  <c r="Z215" i="2"/>
  <c r="Z223" i="2"/>
  <c r="Z200" i="2"/>
  <c r="Z208" i="2"/>
  <c r="Z218" i="2"/>
  <c r="Z220" i="2"/>
  <c r="Z203" i="2"/>
  <c r="Z217" i="2"/>
  <c r="Z198" i="2"/>
  <c r="Z206" i="2"/>
  <c r="Z1" i="21"/>
  <c r="Z214" i="2"/>
  <c r="Z222" i="2"/>
  <c r="Z201" i="2"/>
  <c r="Z209" i="2"/>
  <c r="Z219" i="2"/>
  <c r="Z204" i="2"/>
  <c r="Z216" i="2"/>
  <c r="Z224" i="2"/>
  <c r="Z199" i="2"/>
  <c r="Z207" i="2"/>
  <c r="Z213" i="2"/>
  <c r="Z221" i="2"/>
  <c r="Z202" i="2"/>
  <c r="Z205" i="2"/>
  <c r="Z1" i="20"/>
  <c r="Y20" i="19"/>
  <c r="Y159" i="19" s="1"/>
  <c r="Y18" i="19"/>
  <c r="R157" i="14"/>
  <c r="R38" i="15" s="1"/>
  <c r="V370" i="2"/>
  <c r="V279" i="12"/>
  <c r="V279" i="10"/>
  <c r="V279" i="14"/>
  <c r="V353" i="2"/>
  <c r="V303" i="12"/>
  <c r="V303" i="14"/>
  <c r="V303" i="10"/>
  <c r="V80" i="19"/>
  <c r="V78" i="19"/>
  <c r="V82" i="19"/>
  <c r="V76" i="19"/>
  <c r="U296" i="12"/>
  <c r="U296" i="14"/>
  <c r="U296" i="10"/>
  <c r="V299" i="10"/>
  <c r="V299" i="12"/>
  <c r="V299" i="14"/>
  <c r="V376" i="2"/>
  <c r="V285" i="14"/>
  <c r="V285" i="12"/>
  <c r="V285" i="10"/>
  <c r="V260" i="14"/>
  <c r="U77" i="18"/>
  <c r="U79" i="18"/>
  <c r="U77" i="19"/>
  <c r="U81" i="19"/>
  <c r="U81" i="18"/>
  <c r="U79" i="19"/>
  <c r="U80" i="3"/>
  <c r="U81" i="20"/>
  <c r="U79" i="20"/>
  <c r="U82" i="3"/>
  <c r="U76" i="3"/>
  <c r="U77" i="20"/>
  <c r="U78" i="3"/>
  <c r="X48" i="18"/>
  <c r="V297" i="14"/>
  <c r="V297" i="10"/>
  <c r="V297" i="12"/>
  <c r="X48" i="19"/>
  <c r="V260" i="12"/>
  <c r="U278" i="14"/>
  <c r="V300" i="14"/>
  <c r="V300" i="10"/>
  <c r="V300" i="12"/>
  <c r="Y93" i="21"/>
  <c r="Y111" i="21" s="1"/>
  <c r="Y127" i="21" s="1"/>
  <c r="Y101" i="21"/>
  <c r="Y119" i="21" s="1"/>
  <c r="Y135" i="21" s="1"/>
  <c r="Y96" i="21"/>
  <c r="Y114" i="21" s="1"/>
  <c r="Y130" i="21" s="1"/>
  <c r="Y104" i="21"/>
  <c r="Y122" i="21" s="1"/>
  <c r="Y99" i="21"/>
  <c r="Y117" i="21" s="1"/>
  <c r="Y133" i="21" s="1"/>
  <c r="Y94" i="21"/>
  <c r="Y102" i="21"/>
  <c r="Y120" i="21" s="1"/>
  <c r="Y136" i="21" s="1"/>
  <c r="Y98" i="21"/>
  <c r="Y116" i="21" s="1"/>
  <c r="Y132" i="21" s="1"/>
  <c r="Y97" i="21"/>
  <c r="Y115" i="21" s="1"/>
  <c r="Y131" i="21" s="1"/>
  <c r="Y100" i="21"/>
  <c r="Y118" i="21" s="1"/>
  <c r="Y134" i="21" s="1"/>
  <c r="Y95" i="21"/>
  <c r="Y113" i="21" s="1"/>
  <c r="Y129" i="21" s="1"/>
  <c r="Y103" i="21"/>
  <c r="Y121" i="21" s="1"/>
  <c r="Y137" i="21" s="1"/>
  <c r="Y36" i="21"/>
  <c r="Y54" i="21" s="1"/>
  <c r="Y70" i="21" s="1"/>
  <c r="Y34" i="21"/>
  <c r="Y27" i="21"/>
  <c r="Y38" i="21"/>
  <c r="Y56" i="21" s="1"/>
  <c r="Y31" i="21"/>
  <c r="Y35" i="21"/>
  <c r="Y29" i="21"/>
  <c r="Y47" i="21" s="1"/>
  <c r="Y63" i="21" s="1"/>
  <c r="Y126" i="21"/>
  <c r="Y33" i="21"/>
  <c r="Y28" i="21"/>
  <c r="Y46" i="21" s="1"/>
  <c r="Y62" i="21" s="1"/>
  <c r="Y37" i="21"/>
  <c r="Y32" i="21"/>
  <c r="Y30" i="21"/>
  <c r="Y50" i="21"/>
  <c r="Y66" i="21" s="1"/>
  <c r="Y60" i="21"/>
  <c r="Y48" i="21"/>
  <c r="Y64" i="21" s="1"/>
  <c r="Y51" i="21"/>
  <c r="Y67" i="21" s="1"/>
  <c r="X46" i="18"/>
  <c r="R311" i="12"/>
  <c r="R91" i="13" s="1"/>
  <c r="V296" i="12"/>
  <c r="V296" i="14"/>
  <c r="V296" i="10"/>
  <c r="U70" i="13"/>
  <c r="U68" i="13"/>
  <c r="U66" i="13"/>
  <c r="U72" i="13"/>
  <c r="X46" i="19"/>
  <c r="V260" i="10"/>
  <c r="U278" i="10"/>
  <c r="X50" i="18"/>
  <c r="T52" i="18"/>
  <c r="T48" i="3"/>
  <c r="T48" i="18"/>
  <c r="T50" i="3"/>
  <c r="T50" i="18"/>
  <c r="T46" i="3"/>
  <c r="T52" i="19"/>
  <c r="T52" i="3"/>
  <c r="T46" i="18"/>
  <c r="T50" i="19"/>
  <c r="T48" i="19"/>
  <c r="T46" i="19"/>
  <c r="U7" i="21"/>
  <c r="U7" i="20"/>
  <c r="T6" i="21"/>
  <c r="T6" i="20"/>
  <c r="U298" i="10"/>
  <c r="U298" i="14"/>
  <c r="U298" i="12"/>
  <c r="U278" i="12"/>
  <c r="X52" i="20"/>
  <c r="R262" i="15"/>
  <c r="Q202" i="15"/>
  <c r="Q297" i="15"/>
  <c r="R97" i="11"/>
  <c r="R16" i="15"/>
  <c r="R155" i="15" s="1"/>
  <c r="S162" i="14"/>
  <c r="R157" i="12"/>
  <c r="R42" i="13" s="1"/>
  <c r="R42" i="11"/>
  <c r="R99" i="11"/>
  <c r="R36" i="11"/>
  <c r="R26" i="11" s="1"/>
  <c r="R101" i="11"/>
  <c r="R171" i="11"/>
  <c r="R38" i="11"/>
  <c r="R169" i="11"/>
  <c r="R167" i="11"/>
  <c r="R177" i="11" s="1"/>
  <c r="R293" i="11" s="1"/>
  <c r="T138" i="12"/>
  <c r="T169" i="12" s="1"/>
  <c r="T138" i="10"/>
  <c r="R258" i="11"/>
  <c r="Q198" i="11"/>
  <c r="R329" i="12"/>
  <c r="R101" i="13" s="1"/>
  <c r="S336" i="14"/>
  <c r="S317" i="14"/>
  <c r="Q317" i="13"/>
  <c r="Q177" i="13"/>
  <c r="Q293" i="13" s="1"/>
  <c r="Q111" i="13"/>
  <c r="Q32" i="13" s="1"/>
  <c r="Q181" i="13"/>
  <c r="Q297" i="13" s="1"/>
  <c r="S315" i="12"/>
  <c r="S160" i="12"/>
  <c r="S333" i="12"/>
  <c r="S341" i="12"/>
  <c r="Q26" i="13"/>
  <c r="R18" i="13"/>
  <c r="R16" i="13"/>
  <c r="R20" i="13"/>
  <c r="R22" i="13"/>
  <c r="Q107" i="13"/>
  <c r="Q28" i="13" s="1"/>
  <c r="Q313" i="13"/>
  <c r="S336" i="12"/>
  <c r="S163" i="12"/>
  <c r="S318" i="12"/>
  <c r="S317" i="12"/>
  <c r="S162" i="12"/>
  <c r="S335" i="12"/>
  <c r="R157" i="15"/>
  <c r="R129" i="15"/>
  <c r="R133" i="15"/>
  <c r="T213" i="2"/>
  <c r="T183" i="2" s="1"/>
  <c r="T138" i="14"/>
  <c r="Q60" i="20"/>
  <c r="Q169" i="19"/>
  <c r="Q179" i="19" s="1"/>
  <c r="Q95" i="20"/>
  <c r="Q177" i="3"/>
  <c r="Q198" i="3" s="1"/>
  <c r="Q80" i="20"/>
  <c r="Q68" i="20"/>
  <c r="Q133" i="18"/>
  <c r="Q78" i="20"/>
  <c r="Q133" i="20" s="1"/>
  <c r="S410" i="2"/>
  <c r="S237" i="2"/>
  <c r="R404" i="2"/>
  <c r="R97" i="3" s="1"/>
  <c r="Q89" i="20"/>
  <c r="Q97" i="20"/>
  <c r="Q129" i="19"/>
  <c r="Q169" i="3"/>
  <c r="Q177" i="19"/>
  <c r="Q198" i="19" s="1"/>
  <c r="Q26" i="18"/>
  <c r="Q70" i="20"/>
  <c r="Q26" i="19"/>
  <c r="Q82" i="20"/>
  <c r="R16" i="19"/>
  <c r="R155" i="19" s="1"/>
  <c r="Q87" i="20"/>
  <c r="Q171" i="20"/>
  <c r="R20" i="19"/>
  <c r="R159" i="19" s="1"/>
  <c r="R22" i="19"/>
  <c r="R161" i="19" s="1"/>
  <c r="Q107" i="19"/>
  <c r="Q101" i="20"/>
  <c r="R386" i="2"/>
  <c r="R87" i="19" s="1"/>
  <c r="R232" i="2"/>
  <c r="Q99" i="20"/>
  <c r="R58" i="19"/>
  <c r="Q157" i="20"/>
  <c r="Q91" i="20"/>
  <c r="Q107" i="3"/>
  <c r="Q38" i="20"/>
  <c r="Q109" i="3"/>
  <c r="Q40" i="20"/>
  <c r="Q85" i="20"/>
  <c r="Q167" i="20"/>
  <c r="Q181" i="3"/>
  <c r="Q337" i="3" s="1"/>
  <c r="Q161" i="20"/>
  <c r="Q111" i="3"/>
  <c r="Q42" i="20"/>
  <c r="Q26" i="3"/>
  <c r="Q36" i="20"/>
  <c r="Q62" i="20"/>
  <c r="R129" i="3"/>
  <c r="R353" i="3" s="1"/>
  <c r="R18" i="20"/>
  <c r="P32" i="20"/>
  <c r="P30" i="20"/>
  <c r="P200" i="20"/>
  <c r="Q260" i="20"/>
  <c r="P28" i="20"/>
  <c r="Q262" i="20"/>
  <c r="P202" i="20"/>
  <c r="Q107" i="18"/>
  <c r="Q28" i="18" s="1"/>
  <c r="S243" i="2"/>
  <c r="S408" i="2"/>
  <c r="R16" i="3"/>
  <c r="R155" i="3" s="1"/>
  <c r="R133" i="19"/>
  <c r="R58" i="18"/>
  <c r="S411" i="2"/>
  <c r="R129" i="18"/>
  <c r="Q109" i="19"/>
  <c r="Q30" i="19" s="1"/>
  <c r="Q131" i="19" s="1"/>
  <c r="Z212" i="2"/>
  <c r="T100" i="2"/>
  <c r="T148" i="10" s="1"/>
  <c r="R20" i="3"/>
  <c r="R157" i="3"/>
  <c r="R157" i="20" s="1"/>
  <c r="Q111" i="18"/>
  <c r="Q32" i="18" s="1"/>
  <c r="Q111" i="19"/>
  <c r="Q32" i="19" s="1"/>
  <c r="Q109" i="18"/>
  <c r="Q30" i="18" s="1"/>
  <c r="Q131" i="18" s="1"/>
  <c r="T93" i="2"/>
  <c r="S390" i="2"/>
  <c r="S235" i="2"/>
  <c r="S416" i="2"/>
  <c r="S234" i="2"/>
  <c r="S398" i="2"/>
  <c r="T91" i="2"/>
  <c r="T139" i="10" s="1"/>
  <c r="S238" i="2"/>
  <c r="S393" i="2"/>
  <c r="T92" i="2"/>
  <c r="T140" i="10" s="1"/>
  <c r="S197" i="2"/>
  <c r="Z197" i="2"/>
  <c r="T97" i="2"/>
  <c r="T145" i="10" s="1"/>
  <c r="T98" i="2"/>
  <c r="T146" i="10" s="1"/>
  <c r="T101" i="2"/>
  <c r="T149" i="10" s="1"/>
  <c r="T99" i="2"/>
  <c r="T147" i="10" s="1"/>
  <c r="T95" i="2"/>
  <c r="T143" i="10" s="1"/>
  <c r="Y50" i="17"/>
  <c r="U7" i="18"/>
  <c r="U7" i="19"/>
  <c r="U7" i="3"/>
  <c r="U7" i="9"/>
  <c r="U7" i="17"/>
  <c r="U8" i="2"/>
  <c r="T63" i="2"/>
  <c r="T94" i="2"/>
  <c r="T142" i="10" s="1"/>
  <c r="T6" i="17"/>
  <c r="T6" i="18"/>
  <c r="T6" i="19"/>
  <c r="T6" i="9"/>
  <c r="T6" i="3"/>
  <c r="S18" i="18"/>
  <c r="S157" i="18" s="1"/>
  <c r="S22" i="18"/>
  <c r="S161" i="18" s="1"/>
  <c r="S20" i="18"/>
  <c r="S159" i="18" s="1"/>
  <c r="S16" i="18"/>
  <c r="S155" i="18" s="1"/>
  <c r="T59" i="2"/>
  <c r="T43" i="2"/>
  <c r="P30" i="11"/>
  <c r="P28" i="13"/>
  <c r="Z1" i="17"/>
  <c r="Z50" i="17" s="1"/>
  <c r="Z1" i="19"/>
  <c r="Z1" i="18"/>
  <c r="Y11" i="19"/>
  <c r="Y48" i="19" s="1"/>
  <c r="Y193" i="19"/>
  <c r="Y157" i="19"/>
  <c r="Y105" i="19"/>
  <c r="R262" i="19"/>
  <c r="Q202" i="19"/>
  <c r="P32" i="11"/>
  <c r="P32" i="13"/>
  <c r="Y11" i="18"/>
  <c r="Y50" i="18" s="1"/>
  <c r="Y105" i="18"/>
  <c r="Y193" i="18"/>
  <c r="T300" i="2"/>
  <c r="T317" i="2"/>
  <c r="T315" i="2" s="1"/>
  <c r="T65" i="2"/>
  <c r="T96" i="2"/>
  <c r="T144" i="10" s="1"/>
  <c r="P28" i="11"/>
  <c r="P30" i="13"/>
  <c r="P28" i="15"/>
  <c r="P30" i="15"/>
  <c r="P32" i="15"/>
  <c r="R258" i="18"/>
  <c r="Q198" i="18"/>
  <c r="Q202" i="18"/>
  <c r="R262" i="18"/>
  <c r="R260" i="18"/>
  <c r="Q200" i="18"/>
  <c r="Y17" i="17"/>
  <c r="Y23" i="17"/>
  <c r="Y59" i="17" s="1"/>
  <c r="T23" i="17"/>
  <c r="T21" i="17"/>
  <c r="T19" i="17"/>
  <c r="T17" i="17"/>
  <c r="Q57" i="17"/>
  <c r="Q55" i="17"/>
  <c r="Z87" i="2"/>
  <c r="Z179" i="2"/>
  <c r="Z178" i="2"/>
  <c r="Z177" i="2"/>
  <c r="Z176" i="2"/>
  <c r="Z175" i="2"/>
  <c r="Z174" i="2"/>
  <c r="Z173" i="2"/>
  <c r="Z172" i="2"/>
  <c r="Z171" i="2"/>
  <c r="Z170" i="2"/>
  <c r="Z169" i="2"/>
  <c r="Z168" i="2"/>
  <c r="Z30" i="2"/>
  <c r="Z1" i="9"/>
  <c r="Z31" i="2"/>
  <c r="Z27" i="2"/>
  <c r="Z25" i="2"/>
  <c r="Z23" i="2"/>
  <c r="Z21" i="2"/>
  <c r="Z29" i="2"/>
  <c r="Z28" i="2"/>
  <c r="Z26" i="2"/>
  <c r="Z24" i="2"/>
  <c r="Z22" i="2"/>
  <c r="Z20" i="2"/>
  <c r="Y193" i="3"/>
  <c r="Z476" i="2"/>
  <c r="Z472" i="2"/>
  <c r="Z468" i="2"/>
  <c r="Z470" i="2"/>
  <c r="Z466" i="2"/>
  <c r="Z475" i="2"/>
  <c r="Z467" i="2"/>
  <c r="Z473" i="2"/>
  <c r="Z469" i="2"/>
  <c r="Z465" i="2"/>
  <c r="Z474" i="2"/>
  <c r="Z471" i="2"/>
  <c r="Z461" i="2"/>
  <c r="Z460" i="2"/>
  <c r="Z459" i="2"/>
  <c r="Z458" i="2"/>
  <c r="Z457" i="2"/>
  <c r="Z456" i="2"/>
  <c r="Z455" i="2"/>
  <c r="Z454" i="2"/>
  <c r="Z453" i="2"/>
  <c r="Z452" i="2"/>
  <c r="Z451" i="2"/>
  <c r="Z450" i="2"/>
  <c r="Z464" i="2"/>
  <c r="Y105" i="3"/>
  <c r="Z449" i="2"/>
  <c r="Z1" i="3"/>
  <c r="Z416" i="2"/>
  <c r="Z415" i="2"/>
  <c r="Z414" i="2"/>
  <c r="Z413" i="2"/>
  <c r="Z412" i="2"/>
  <c r="Z411" i="2"/>
  <c r="Z410" i="2"/>
  <c r="Z409" i="2"/>
  <c r="Z408" i="2"/>
  <c r="Z407" i="2"/>
  <c r="Z406" i="2"/>
  <c r="Z405" i="2"/>
  <c r="U250" i="2"/>
  <c r="Z404" i="2"/>
  <c r="Z398" i="2"/>
  <c r="Z396" i="2"/>
  <c r="Z394" i="2"/>
  <c r="Z392" i="2"/>
  <c r="Z390" i="2"/>
  <c r="Z388" i="2"/>
  <c r="Z397" i="2"/>
  <c r="Z395" i="2"/>
  <c r="Z393" i="2"/>
  <c r="Z391" i="2"/>
  <c r="Z389" i="2"/>
  <c r="Z387" i="2"/>
  <c r="Z386" i="2"/>
  <c r="Z365" i="2"/>
  <c r="Z364" i="2"/>
  <c r="Z363" i="2"/>
  <c r="Z378" i="2"/>
  <c r="Z374" i="2"/>
  <c r="Z370" i="2"/>
  <c r="Z362" i="2"/>
  <c r="Z361" i="2"/>
  <c r="Z360" i="2"/>
  <c r="Z359" i="2"/>
  <c r="Z358" i="2"/>
  <c r="Z377" i="2"/>
  <c r="Z373" i="2"/>
  <c r="Z369" i="2"/>
  <c r="Z375" i="2"/>
  <c r="Z379" i="2"/>
  <c r="Z371" i="2"/>
  <c r="Z356" i="2"/>
  <c r="Z354" i="2"/>
  <c r="Z376" i="2"/>
  <c r="Z380" i="2"/>
  <c r="Z372" i="2"/>
  <c r="Z357" i="2"/>
  <c r="Z355" i="2"/>
  <c r="Z368" i="2"/>
  <c r="Z353" i="2"/>
  <c r="Z311" i="2"/>
  <c r="Z310" i="2"/>
  <c r="Z309" i="2"/>
  <c r="Z308" i="2"/>
  <c r="Z327" i="2"/>
  <c r="Z326" i="2"/>
  <c r="Z323" i="2"/>
  <c r="Z322" i="2"/>
  <c r="Z321" i="2"/>
  <c r="Z320" i="2"/>
  <c r="Z319" i="2"/>
  <c r="Z318" i="2"/>
  <c r="Z317" i="2"/>
  <c r="Z316" i="2"/>
  <c r="Z312" i="2"/>
  <c r="Z325" i="2"/>
  <c r="Z324" i="2"/>
  <c r="Z335" i="2"/>
  <c r="Z306" i="2"/>
  <c r="Z304" i="2"/>
  <c r="Z302" i="2"/>
  <c r="Z307" i="2"/>
  <c r="Z305" i="2"/>
  <c r="Z303" i="2"/>
  <c r="Z301" i="2"/>
  <c r="Z300" i="2"/>
  <c r="Z315" i="2"/>
  <c r="Z276" i="2"/>
  <c r="Z277" i="2"/>
  <c r="Z273" i="2"/>
  <c r="Z269" i="2"/>
  <c r="Z272" i="2"/>
  <c r="Z268" i="2"/>
  <c r="Z275" i="2"/>
  <c r="Z271" i="2"/>
  <c r="Z267" i="2"/>
  <c r="Z274" i="2"/>
  <c r="Z270" i="2"/>
  <c r="Z266" i="2"/>
  <c r="Z262" i="2"/>
  <c r="Z261" i="2"/>
  <c r="Z260" i="2"/>
  <c r="Z259" i="2"/>
  <c r="Z258" i="2"/>
  <c r="Z257" i="2"/>
  <c r="Z256" i="2"/>
  <c r="Z255" i="2"/>
  <c r="Z254" i="2"/>
  <c r="Z253" i="2"/>
  <c r="Z252" i="2"/>
  <c r="Z251" i="2"/>
  <c r="Z265" i="2"/>
  <c r="Z250" i="2"/>
  <c r="Z240" i="2"/>
  <c r="Z236" i="2"/>
  <c r="Z242" i="2"/>
  <c r="Z238" i="2"/>
  <c r="Z244" i="2"/>
  <c r="Z243" i="2"/>
  <c r="Z239" i="2"/>
  <c r="Z235" i="2"/>
  <c r="Z241" i="2"/>
  <c r="Z237" i="2"/>
  <c r="Z233" i="2"/>
  <c r="Z234" i="2"/>
  <c r="Z232" i="2"/>
  <c r="Z182" i="2"/>
  <c r="Z101" i="2"/>
  <c r="Z100" i="2"/>
  <c r="Z99" i="2"/>
  <c r="Z98" i="2"/>
  <c r="Z97" i="2"/>
  <c r="Z96" i="2"/>
  <c r="Z95" i="2"/>
  <c r="Z94" i="2"/>
  <c r="Z93" i="2"/>
  <c r="Z92" i="2"/>
  <c r="Z91" i="2"/>
  <c r="Z90" i="2"/>
  <c r="Z89" i="2"/>
  <c r="Z70" i="2"/>
  <c r="Z69" i="2"/>
  <c r="Z68" i="2"/>
  <c r="Z67" i="2"/>
  <c r="Z66" i="2"/>
  <c r="Z65" i="2"/>
  <c r="Z64" i="2"/>
  <c r="Z63" i="2"/>
  <c r="Z62" i="2"/>
  <c r="Z61" i="2"/>
  <c r="Z60" i="2"/>
  <c r="Z59" i="2"/>
  <c r="Z58" i="2"/>
  <c r="Z41" i="2"/>
  <c r="Z55" i="2"/>
  <c r="Z54" i="2"/>
  <c r="Z53" i="2"/>
  <c r="Z52" i="2"/>
  <c r="Z51" i="2"/>
  <c r="Z50" i="2"/>
  <c r="Z49" i="2"/>
  <c r="Z48" i="2"/>
  <c r="Z47" i="2"/>
  <c r="Z46" i="2"/>
  <c r="Z45" i="2"/>
  <c r="Z44" i="2"/>
  <c r="Z43" i="2"/>
  <c r="Z8" i="2"/>
  <c r="Z6" i="2"/>
  <c r="Z7" i="2"/>
  <c r="X109" i="1"/>
  <c r="X127" i="1" s="1"/>
  <c r="X26" i="1"/>
  <c r="AA1" i="2"/>
  <c r="X102" i="1"/>
  <c r="X75" i="1"/>
  <c r="Y1" i="1"/>
  <c r="X78" i="1"/>
  <c r="X99" i="1" s="1"/>
  <c r="S168" i="12" l="1"/>
  <c r="S340" i="12"/>
  <c r="S161" i="12"/>
  <c r="S334" i="12"/>
  <c r="S158" i="12"/>
  <c r="Y8" i="1"/>
  <c r="R91" i="15"/>
  <c r="S331" i="12"/>
  <c r="S394" i="2"/>
  <c r="R89" i="15"/>
  <c r="S312" i="12"/>
  <c r="S412" i="2"/>
  <c r="S169" i="12"/>
  <c r="S407" i="2"/>
  <c r="X265" i="3"/>
  <c r="X267" i="3"/>
  <c r="X269" i="3"/>
  <c r="Z270" i="3"/>
  <c r="Z266" i="3"/>
  <c r="Z272" i="3"/>
  <c r="Y271" i="3" s="1"/>
  <c r="Z268" i="3"/>
  <c r="S159" i="14"/>
  <c r="R87" i="15"/>
  <c r="S340" i="14"/>
  <c r="S322" i="14"/>
  <c r="S159" i="12"/>
  <c r="S341" i="14"/>
  <c r="S323" i="14"/>
  <c r="S233" i="2"/>
  <c r="S242" i="2"/>
  <c r="S387" i="2"/>
  <c r="S397" i="2"/>
  <c r="S332" i="12"/>
  <c r="S388" i="2"/>
  <c r="R62" i="18"/>
  <c r="S169" i="14"/>
  <c r="S330" i="14"/>
  <c r="S337" i="10"/>
  <c r="S244" i="2"/>
  <c r="S321" i="14"/>
  <c r="S164" i="10"/>
  <c r="S167" i="12"/>
  <c r="S166" i="12"/>
  <c r="S316" i="14"/>
  <c r="S164" i="14"/>
  <c r="S321" i="12"/>
  <c r="S337" i="14"/>
  <c r="V304" i="14"/>
  <c r="V304" i="12"/>
  <c r="S158" i="14"/>
  <c r="R258" i="15"/>
  <c r="R181" i="11"/>
  <c r="R202" i="11" s="1"/>
  <c r="S137" i="12"/>
  <c r="S20" i="13" s="1"/>
  <c r="S159" i="13" s="1"/>
  <c r="S414" i="2"/>
  <c r="S241" i="2"/>
  <c r="X357" i="2"/>
  <c r="X369" i="2"/>
  <c r="X265" i="14"/>
  <c r="X264" i="10"/>
  <c r="Y343" i="2"/>
  <c r="X50" i="20"/>
  <c r="S137" i="14"/>
  <c r="S16" i="15" s="1"/>
  <c r="S155" i="15" s="1"/>
  <c r="Z192" i="2"/>
  <c r="S331" i="14"/>
  <c r="S161" i="14"/>
  <c r="S166" i="14"/>
  <c r="R179" i="11"/>
  <c r="R200" i="11" s="1"/>
  <c r="S236" i="2"/>
  <c r="S182" i="2"/>
  <c r="S20" i="3" s="1"/>
  <c r="S159" i="3" s="1"/>
  <c r="S391" i="2"/>
  <c r="Y19" i="17"/>
  <c r="Y55" i="17" s="1"/>
  <c r="Y21" i="17"/>
  <c r="Y57" i="17" s="1"/>
  <c r="S240" i="2"/>
  <c r="S395" i="2"/>
  <c r="S413" i="2"/>
  <c r="S320" i="14"/>
  <c r="S165" i="14"/>
  <c r="S338" i="14"/>
  <c r="S338" i="12"/>
  <c r="S165" i="12"/>
  <c r="S320" i="12"/>
  <c r="S338" i="10"/>
  <c r="S320" i="10"/>
  <c r="S311" i="10" s="1"/>
  <c r="S165" i="10"/>
  <c r="S137" i="10"/>
  <c r="X363" i="2"/>
  <c r="X288" i="14" s="1"/>
  <c r="X268" i="12"/>
  <c r="X264" i="12"/>
  <c r="X364" i="2"/>
  <c r="X380" i="2" s="1"/>
  <c r="X265" i="12"/>
  <c r="W260" i="12"/>
  <c r="W66" i="13" s="1"/>
  <c r="X270" i="12"/>
  <c r="X335" i="2"/>
  <c r="W290" i="12"/>
  <c r="X271" i="14"/>
  <c r="Y341" i="2"/>
  <c r="Y266" i="12" s="1"/>
  <c r="Y346" i="2"/>
  <c r="Y271" i="12" s="1"/>
  <c r="Y55" i="21"/>
  <c r="Y71" i="21" s="1"/>
  <c r="Y339" i="2"/>
  <c r="Y357" i="2" s="1"/>
  <c r="W260" i="10"/>
  <c r="W66" i="11" s="1"/>
  <c r="Y342" i="2"/>
  <c r="Y267" i="10" s="1"/>
  <c r="Y336" i="2"/>
  <c r="Y261" i="12" s="1"/>
  <c r="X59" i="21"/>
  <c r="Z53" i="17"/>
  <c r="Y105" i="20"/>
  <c r="Z187" i="2"/>
  <c r="Y344" i="2"/>
  <c r="Y53" i="21"/>
  <c r="Y69" i="21" s="1"/>
  <c r="Y92" i="21"/>
  <c r="Y155" i="19"/>
  <c r="X68" i="3"/>
  <c r="X72" i="3"/>
  <c r="X70" i="3"/>
  <c r="X66" i="3"/>
  <c r="W68" i="13"/>
  <c r="X155" i="19"/>
  <c r="Y268" i="14"/>
  <c r="Y268" i="12"/>
  <c r="Y268" i="10"/>
  <c r="Y361" i="2"/>
  <c r="W260" i="14"/>
  <c r="W304" i="12"/>
  <c r="W304" i="10"/>
  <c r="W304" i="14"/>
  <c r="W70" i="3"/>
  <c r="Y360" i="2"/>
  <c r="Y345" i="2"/>
  <c r="W68" i="11"/>
  <c r="W72" i="11"/>
  <c r="X263" i="12"/>
  <c r="X263" i="14"/>
  <c r="X263" i="10"/>
  <c r="X260" i="10" s="1"/>
  <c r="X356" i="2"/>
  <c r="W303" i="10"/>
  <c r="W303" i="12"/>
  <c r="W303" i="14"/>
  <c r="X285" i="10"/>
  <c r="X285" i="12"/>
  <c r="X285" i="14"/>
  <c r="X376" i="2"/>
  <c r="W373" i="2"/>
  <c r="W282" i="10"/>
  <c r="W282" i="12"/>
  <c r="W282" i="14"/>
  <c r="W299" i="14"/>
  <c r="W299" i="10"/>
  <c r="W299" i="12"/>
  <c r="W72" i="3"/>
  <c r="Y52" i="21"/>
  <c r="Y68" i="21" s="1"/>
  <c r="Y266" i="10"/>
  <c r="Y359" i="2"/>
  <c r="Y340" i="2"/>
  <c r="Y112" i="21"/>
  <c r="Y128" i="21" s="1"/>
  <c r="Y125" i="21" s="1"/>
  <c r="X157" i="19"/>
  <c r="X286" i="14"/>
  <c r="X286" i="10"/>
  <c r="X286" i="12"/>
  <c r="X377" i="2"/>
  <c r="W376" i="2"/>
  <c r="W285" i="12"/>
  <c r="W285" i="14"/>
  <c r="W285" i="10"/>
  <c r="X279" i="14"/>
  <c r="X279" i="10"/>
  <c r="X279" i="12"/>
  <c r="X370" i="2"/>
  <c r="W80" i="19"/>
  <c r="W78" i="19"/>
  <c r="W82" i="19"/>
  <c r="W76" i="19"/>
  <c r="X283" i="10"/>
  <c r="X283" i="12"/>
  <c r="X283" i="14"/>
  <c r="X374" i="2"/>
  <c r="Y26" i="21"/>
  <c r="X266" i="12"/>
  <c r="X266" i="10"/>
  <c r="X266" i="14"/>
  <c r="X359" i="2"/>
  <c r="W68" i="3"/>
  <c r="Y53" i="17"/>
  <c r="Y45" i="21"/>
  <c r="Y49" i="21"/>
  <c r="Y65" i="21" s="1"/>
  <c r="Y338" i="2"/>
  <c r="Y347" i="2"/>
  <c r="Y22" i="19"/>
  <c r="X80" i="18"/>
  <c r="X76" i="18"/>
  <c r="X78" i="18"/>
  <c r="X82" i="18"/>
  <c r="W305" i="14"/>
  <c r="W305" i="12"/>
  <c r="W305" i="10"/>
  <c r="X68" i="18"/>
  <c r="X66" i="18"/>
  <c r="X70" i="18"/>
  <c r="X72" i="18"/>
  <c r="W302" i="14"/>
  <c r="W302" i="12"/>
  <c r="W302" i="10"/>
  <c r="X289" i="12"/>
  <c r="X289" i="14"/>
  <c r="W297" i="10"/>
  <c r="W297" i="14"/>
  <c r="W297" i="12"/>
  <c r="X287" i="10"/>
  <c r="X287" i="14"/>
  <c r="X287" i="12"/>
  <c r="X378" i="2"/>
  <c r="X294" i="14"/>
  <c r="X294" i="10"/>
  <c r="X294" i="12"/>
  <c r="X44" i="21"/>
  <c r="W294" i="14"/>
  <c r="W294" i="12"/>
  <c r="W294" i="10"/>
  <c r="X272" i="14"/>
  <c r="X272" i="12"/>
  <c r="X272" i="10"/>
  <c r="X365" i="2"/>
  <c r="Y364" i="2"/>
  <c r="Y261" i="14"/>
  <c r="W300" i="10"/>
  <c r="W300" i="14"/>
  <c r="W300" i="12"/>
  <c r="X288" i="12"/>
  <c r="X379" i="2"/>
  <c r="W371" i="2"/>
  <c r="W280" i="10"/>
  <c r="W280" i="12"/>
  <c r="W280" i="14"/>
  <c r="Z95" i="17"/>
  <c r="Y337" i="2"/>
  <c r="W370" i="2"/>
  <c r="W368" i="2" s="1"/>
  <c r="W279" i="10"/>
  <c r="W279" i="14"/>
  <c r="W279" i="12"/>
  <c r="W353" i="2"/>
  <c r="X262" i="14"/>
  <c r="X262" i="10"/>
  <c r="X262" i="12"/>
  <c r="X355" i="2"/>
  <c r="X282" i="10"/>
  <c r="X282" i="12"/>
  <c r="X282" i="14"/>
  <c r="X373" i="2"/>
  <c r="X70" i="19"/>
  <c r="X66" i="19"/>
  <c r="X72" i="19"/>
  <c r="X68" i="19"/>
  <c r="Q293" i="15"/>
  <c r="Y52" i="18"/>
  <c r="X46" i="20"/>
  <c r="X48" i="20"/>
  <c r="Z184" i="2"/>
  <c r="R101" i="15"/>
  <c r="Q169" i="20"/>
  <c r="Q179" i="20" s="1"/>
  <c r="T52" i="20"/>
  <c r="T46" i="20"/>
  <c r="T50" i="20"/>
  <c r="U293" i="10"/>
  <c r="U293" i="12"/>
  <c r="R169" i="15"/>
  <c r="R179" i="15" s="1"/>
  <c r="R167" i="15"/>
  <c r="R177" i="15" s="1"/>
  <c r="S258" i="15" s="1"/>
  <c r="U293" i="14"/>
  <c r="R97" i="15"/>
  <c r="R107" i="15" s="1"/>
  <c r="R28" i="15" s="1"/>
  <c r="R95" i="15"/>
  <c r="R40" i="13"/>
  <c r="R38" i="13"/>
  <c r="Z194" i="2"/>
  <c r="R40" i="15"/>
  <c r="R111" i="11"/>
  <c r="R32" i="11" s="1"/>
  <c r="R171" i="15"/>
  <c r="R181" i="15" s="1"/>
  <c r="R202" i="15" s="1"/>
  <c r="R42" i="15"/>
  <c r="R36" i="15"/>
  <c r="R26" i="15" s="1"/>
  <c r="R89" i="13"/>
  <c r="R85" i="13"/>
  <c r="R87" i="13"/>
  <c r="R109" i="11"/>
  <c r="R30" i="11" s="1"/>
  <c r="R131" i="11" s="1"/>
  <c r="R315" i="11" s="1"/>
  <c r="R107" i="11"/>
  <c r="R28" i="11" s="1"/>
  <c r="Z186" i="2"/>
  <c r="U76" i="11"/>
  <c r="U82" i="11"/>
  <c r="U78" i="11"/>
  <c r="U80" i="11"/>
  <c r="Z7" i="21"/>
  <c r="Z7" i="20"/>
  <c r="Z70" i="19"/>
  <c r="Z82" i="19"/>
  <c r="Z77" i="19"/>
  <c r="Z66" i="19"/>
  <c r="Z80" i="19"/>
  <c r="Z72" i="19"/>
  <c r="Z76" i="19"/>
  <c r="Z79" i="19"/>
  <c r="Z81" i="19"/>
  <c r="Z169" i="19"/>
  <c r="Z167" i="19"/>
  <c r="Z171" i="19"/>
  <c r="Z68" i="19"/>
  <c r="Z165" i="19"/>
  <c r="Z78" i="19"/>
  <c r="Z16" i="19"/>
  <c r="Z20" i="19"/>
  <c r="Z22" i="19"/>
  <c r="Z18" i="19"/>
  <c r="R167" i="13"/>
  <c r="V70" i="11"/>
  <c r="V68" i="11"/>
  <c r="V72" i="11"/>
  <c r="V66" i="11"/>
  <c r="V278" i="14"/>
  <c r="Y46" i="19"/>
  <c r="Z193" i="2"/>
  <c r="V77" i="18"/>
  <c r="V79" i="18"/>
  <c r="V81" i="18"/>
  <c r="V81" i="19"/>
  <c r="V77" i="19"/>
  <c r="V79" i="19"/>
  <c r="V76" i="3"/>
  <c r="V81" i="20"/>
  <c r="V79" i="20"/>
  <c r="V78" i="3"/>
  <c r="V77" i="20"/>
  <c r="V82" i="3"/>
  <c r="V80" i="3"/>
  <c r="Z6" i="21"/>
  <c r="Z6" i="20"/>
  <c r="U76" i="15"/>
  <c r="U82" i="15"/>
  <c r="U80" i="15"/>
  <c r="U78" i="15"/>
  <c r="V278" i="10"/>
  <c r="Y50" i="19"/>
  <c r="Y50" i="20" s="1"/>
  <c r="Z98" i="21"/>
  <c r="Z103" i="21"/>
  <c r="Z122" i="21"/>
  <c r="Z120" i="21"/>
  <c r="Z118" i="21"/>
  <c r="Z116" i="21"/>
  <c r="Z114" i="21"/>
  <c r="Z112" i="21"/>
  <c r="Z93" i="21"/>
  <c r="Z101" i="21"/>
  <c r="Z95" i="21"/>
  <c r="Z96" i="21"/>
  <c r="Z104" i="21"/>
  <c r="Z99" i="21"/>
  <c r="Z94" i="21"/>
  <c r="Z102" i="21"/>
  <c r="Z121" i="21"/>
  <c r="Z119" i="21"/>
  <c r="Z117" i="21"/>
  <c r="Z115" i="21"/>
  <c r="Z113" i="21"/>
  <c r="Z111" i="21"/>
  <c r="Z97" i="21"/>
  <c r="Z100" i="21"/>
  <c r="Z136" i="21"/>
  <c r="Z128" i="21"/>
  <c r="Z28" i="21"/>
  <c r="Z135" i="21"/>
  <c r="Z127" i="21"/>
  <c r="Z32" i="21"/>
  <c r="Z134" i="21"/>
  <c r="Z126" i="21"/>
  <c r="Z27" i="21"/>
  <c r="Z36" i="21"/>
  <c r="Z133" i="21"/>
  <c r="Z125" i="21"/>
  <c r="Z31" i="21"/>
  <c r="Z29" i="21"/>
  <c r="Z132" i="21"/>
  <c r="Z110" i="21"/>
  <c r="Z35" i="21"/>
  <c r="Z33" i="21"/>
  <c r="Z131" i="21"/>
  <c r="Z92" i="21"/>
  <c r="Z30" i="21"/>
  <c r="Z37" i="21"/>
  <c r="Z130" i="21"/>
  <c r="Z34" i="21"/>
  <c r="Z38" i="21"/>
  <c r="Z137" i="21"/>
  <c r="Z129" i="21"/>
  <c r="Z68" i="21"/>
  <c r="Z55" i="21"/>
  <c r="Z56" i="21"/>
  <c r="Z45" i="21"/>
  <c r="Z67" i="21"/>
  <c r="Z53" i="21"/>
  <c r="Z52" i="21"/>
  <c r="Z66" i="21"/>
  <c r="Z51" i="21"/>
  <c r="Z50" i="21"/>
  <c r="Z65" i="21"/>
  <c r="Z49" i="21"/>
  <c r="Z48" i="21"/>
  <c r="Z71" i="21"/>
  <c r="Z63" i="21"/>
  <c r="Z44" i="21"/>
  <c r="Z64" i="21"/>
  <c r="Z47" i="21"/>
  <c r="Z46" i="21"/>
  <c r="Z70" i="21"/>
  <c r="Z62" i="21"/>
  <c r="Z60" i="21"/>
  <c r="Z26" i="21"/>
  <c r="Z69" i="21"/>
  <c r="Z61" i="21"/>
  <c r="Z59" i="21"/>
  <c r="Z54" i="21"/>
  <c r="Z185" i="2"/>
  <c r="U82" i="13"/>
  <c r="U78" i="13"/>
  <c r="U80" i="13"/>
  <c r="U76" i="13"/>
  <c r="V68" i="13"/>
  <c r="V70" i="13"/>
  <c r="V72" i="13"/>
  <c r="V66" i="13"/>
  <c r="V301" i="10"/>
  <c r="V301" i="14"/>
  <c r="V301" i="12"/>
  <c r="V278" i="12"/>
  <c r="Z77" i="20"/>
  <c r="Z81" i="20"/>
  <c r="Z79" i="20"/>
  <c r="Z30" i="20"/>
  <c r="Z175" i="20"/>
  <c r="AA256" i="20" s="1"/>
  <c r="Z131" i="20"/>
  <c r="Z129" i="20"/>
  <c r="Z193" i="20"/>
  <c r="Z143" i="20"/>
  <c r="Z137" i="20"/>
  <c r="Z240" i="20"/>
  <c r="Z139" i="20"/>
  <c r="Z179" i="20"/>
  <c r="AA260" i="20" s="1"/>
  <c r="Z177" i="20"/>
  <c r="AA258" i="20" s="1"/>
  <c r="Z242" i="20"/>
  <c r="Z236" i="20"/>
  <c r="Z133" i="20"/>
  <c r="Z32" i="20"/>
  <c r="Z238" i="20"/>
  <c r="Z200" i="20"/>
  <c r="Z127" i="20"/>
  <c r="Z28" i="20"/>
  <c r="Z202" i="20"/>
  <c r="Z196" i="20"/>
  <c r="Z141" i="20"/>
  <c r="Z198" i="20"/>
  <c r="Z181" i="20"/>
  <c r="AA262" i="20" s="1"/>
  <c r="Z26" i="20"/>
  <c r="Z191" i="2"/>
  <c r="V305" i="14"/>
  <c r="V305" i="12"/>
  <c r="V305" i="10"/>
  <c r="Z351" i="3"/>
  <c r="Z357" i="3"/>
  <c r="Z353" i="3"/>
  <c r="Z355" i="3"/>
  <c r="Z48" i="3"/>
  <c r="Z50" i="3"/>
  <c r="Z52" i="3"/>
  <c r="Z46" i="3"/>
  <c r="T48" i="20"/>
  <c r="V295" i="12"/>
  <c r="V295" i="10"/>
  <c r="V295" i="14"/>
  <c r="V368" i="2"/>
  <c r="Z190" i="2"/>
  <c r="Z189" i="2"/>
  <c r="Z183" i="2"/>
  <c r="Z165" i="18"/>
  <c r="Z79" i="18"/>
  <c r="Z70" i="18"/>
  <c r="Z169" i="18"/>
  <c r="Z77" i="18"/>
  <c r="Z66" i="18"/>
  <c r="Z68" i="18"/>
  <c r="Z171" i="18"/>
  <c r="Z76" i="18"/>
  <c r="Z78" i="18"/>
  <c r="Z82" i="18"/>
  <c r="Z167" i="18"/>
  <c r="Z80" i="18"/>
  <c r="Z81" i="18"/>
  <c r="Z72" i="18"/>
  <c r="Y52" i="19"/>
  <c r="Z8" i="21"/>
  <c r="Z8" i="20"/>
  <c r="U8" i="21"/>
  <c r="U8" i="20"/>
  <c r="Y46" i="18"/>
  <c r="AA336" i="2"/>
  <c r="AA344" i="2"/>
  <c r="AA330" i="2"/>
  <c r="AA331" i="2" s="1"/>
  <c r="AA339" i="2"/>
  <c r="AA347" i="2"/>
  <c r="AA342" i="2"/>
  <c r="AA337" i="2"/>
  <c r="AA345" i="2"/>
  <c r="AA340" i="2"/>
  <c r="AA343" i="2"/>
  <c r="AA341" i="2"/>
  <c r="AA332" i="2"/>
  <c r="AA338" i="2"/>
  <c r="AA346" i="2"/>
  <c r="AA218" i="2"/>
  <c r="AA205" i="2"/>
  <c r="AA215" i="2"/>
  <c r="AA223" i="2"/>
  <c r="AA200" i="2"/>
  <c r="AA203" i="2"/>
  <c r="AA221" i="2"/>
  <c r="AA208" i="2"/>
  <c r="AA220" i="2"/>
  <c r="AA1" i="21"/>
  <c r="AA217" i="2"/>
  <c r="AA198" i="2"/>
  <c r="AA206" i="2"/>
  <c r="AA214" i="2"/>
  <c r="AA222" i="2"/>
  <c r="AA201" i="2"/>
  <c r="AA209" i="2"/>
  <c r="AA219" i="2"/>
  <c r="AA204" i="2"/>
  <c r="AA216" i="2"/>
  <c r="AA224" i="2"/>
  <c r="AA199" i="2"/>
  <c r="AA207" i="2"/>
  <c r="AA213" i="2"/>
  <c r="AA202" i="2"/>
  <c r="AA1" i="20"/>
  <c r="Y48" i="18"/>
  <c r="Y48" i="20" s="1"/>
  <c r="Z188" i="2"/>
  <c r="U52" i="19"/>
  <c r="U46" i="3"/>
  <c r="U48" i="19"/>
  <c r="U52" i="3"/>
  <c r="U50" i="19"/>
  <c r="U46" i="19"/>
  <c r="U48" i="3"/>
  <c r="U50" i="3"/>
  <c r="U46" i="18"/>
  <c r="U52" i="18"/>
  <c r="U50" i="18"/>
  <c r="U48" i="18"/>
  <c r="V70" i="15"/>
  <c r="V66" i="15"/>
  <c r="V68" i="15"/>
  <c r="V72" i="15"/>
  <c r="T330" i="12"/>
  <c r="R36" i="13"/>
  <c r="T312" i="12"/>
  <c r="T322" i="10"/>
  <c r="T340" i="10"/>
  <c r="T167" i="10"/>
  <c r="T330" i="10"/>
  <c r="T312" i="10"/>
  <c r="T169" i="10"/>
  <c r="T336" i="10"/>
  <c r="T163" i="10"/>
  <c r="T318" i="10"/>
  <c r="T331" i="10"/>
  <c r="T313" i="10"/>
  <c r="T158" i="10"/>
  <c r="T339" i="10"/>
  <c r="T166" i="10"/>
  <c r="T321" i="10"/>
  <c r="T337" i="10"/>
  <c r="T164" i="10"/>
  <c r="T319" i="10"/>
  <c r="T334" i="10"/>
  <c r="T161" i="10"/>
  <c r="T316" i="10"/>
  <c r="T162" i="10"/>
  <c r="T317" i="10"/>
  <c r="T335" i="10"/>
  <c r="T323" i="10"/>
  <c r="T168" i="10"/>
  <c r="T341" i="10"/>
  <c r="T338" i="10"/>
  <c r="T165" i="10"/>
  <c r="T320" i="10"/>
  <c r="T314" i="10"/>
  <c r="T159" i="10"/>
  <c r="T332" i="10"/>
  <c r="T141" i="12"/>
  <c r="T160" i="12" s="1"/>
  <c r="T141" i="10"/>
  <c r="S258" i="11"/>
  <c r="R198" i="11"/>
  <c r="R95" i="13"/>
  <c r="R169" i="13"/>
  <c r="R99" i="13"/>
  <c r="R171" i="13"/>
  <c r="R111" i="13"/>
  <c r="R32" i="13" s="1"/>
  <c r="R97" i="13"/>
  <c r="T139" i="14"/>
  <c r="T158" i="14" s="1"/>
  <c r="T139" i="12"/>
  <c r="R133" i="13"/>
  <c r="R157" i="13"/>
  <c r="R129" i="13"/>
  <c r="R161" i="13"/>
  <c r="R262" i="13"/>
  <c r="Q202" i="13"/>
  <c r="T144" i="14"/>
  <c r="T163" i="14" s="1"/>
  <c r="T144" i="12"/>
  <c r="T146" i="14"/>
  <c r="T165" i="14" s="1"/>
  <c r="T146" i="12"/>
  <c r="T140" i="14"/>
  <c r="T332" i="14" s="1"/>
  <c r="T140" i="12"/>
  <c r="R159" i="13"/>
  <c r="R258" i="13"/>
  <c r="Q198" i="13"/>
  <c r="T142" i="14"/>
  <c r="T316" i="14" s="1"/>
  <c r="T142" i="12"/>
  <c r="T143" i="14"/>
  <c r="T317" i="14" s="1"/>
  <c r="T143" i="12"/>
  <c r="T149" i="14"/>
  <c r="T341" i="14" s="1"/>
  <c r="T149" i="12"/>
  <c r="T147" i="14"/>
  <c r="T321" i="14" s="1"/>
  <c r="T147" i="12"/>
  <c r="T145" i="14"/>
  <c r="T337" i="14" s="1"/>
  <c r="T145" i="12"/>
  <c r="T148" i="14"/>
  <c r="T322" i="14" s="1"/>
  <c r="T148" i="12"/>
  <c r="R155" i="13"/>
  <c r="R317" i="15"/>
  <c r="T312" i="14"/>
  <c r="T169" i="14"/>
  <c r="T330" i="14"/>
  <c r="R313" i="15"/>
  <c r="T216" i="2"/>
  <c r="T186" i="2" s="1"/>
  <c r="T390" i="2" s="1"/>
  <c r="T141" i="14"/>
  <c r="Q333" i="3"/>
  <c r="R298" i="3"/>
  <c r="R169" i="19"/>
  <c r="R179" i="19" s="1"/>
  <c r="R200" i="19" s="1"/>
  <c r="R38" i="18"/>
  <c r="R169" i="18"/>
  <c r="R179" i="18" s="1"/>
  <c r="R200" i="18" s="1"/>
  <c r="R167" i="18"/>
  <c r="R177" i="18" s="1"/>
  <c r="S258" i="18" s="1"/>
  <c r="R171" i="18"/>
  <c r="R181" i="18" s="1"/>
  <c r="S262" i="18" s="1"/>
  <c r="R167" i="19"/>
  <c r="R177" i="19" s="1"/>
  <c r="R171" i="19"/>
  <c r="R181" i="19" s="1"/>
  <c r="S262" i="19" s="1"/>
  <c r="Q28" i="19"/>
  <c r="R260" i="19"/>
  <c r="Q200" i="19"/>
  <c r="R58" i="20"/>
  <c r="T214" i="2"/>
  <c r="T184" i="2" s="1"/>
  <c r="T217" i="2"/>
  <c r="T187" i="2" s="1"/>
  <c r="T222" i="2"/>
  <c r="T192" i="2" s="1"/>
  <c r="T221" i="2"/>
  <c r="T191" i="2" s="1"/>
  <c r="T215" i="2"/>
  <c r="T185" i="2" s="1"/>
  <c r="T218" i="2"/>
  <c r="T188" i="2" s="1"/>
  <c r="T224" i="2"/>
  <c r="T194" i="2" s="1"/>
  <c r="T223" i="2"/>
  <c r="T193" i="2" s="1"/>
  <c r="T397" i="2" s="1"/>
  <c r="T219" i="2"/>
  <c r="T189" i="2" s="1"/>
  <c r="T220" i="2"/>
  <c r="T190" i="2" s="1"/>
  <c r="R68" i="20"/>
  <c r="Q129" i="20"/>
  <c r="R155" i="20"/>
  <c r="Q179" i="3"/>
  <c r="Q200" i="3" s="1"/>
  <c r="R302" i="3"/>
  <c r="Q202" i="3"/>
  <c r="R167" i="3"/>
  <c r="R177" i="3" s="1"/>
  <c r="S298" i="3" s="1"/>
  <c r="R99" i="3"/>
  <c r="R97" i="19"/>
  <c r="R85" i="19"/>
  <c r="R97" i="18"/>
  <c r="R258" i="19"/>
  <c r="R91" i="18"/>
  <c r="R161" i="20"/>
  <c r="R101" i="3"/>
  <c r="R95" i="3"/>
  <c r="R91" i="19"/>
  <c r="R101" i="18"/>
  <c r="R95" i="19"/>
  <c r="R91" i="3"/>
  <c r="R87" i="3"/>
  <c r="R82" i="20"/>
  <c r="R85" i="18"/>
  <c r="R89" i="3"/>
  <c r="R87" i="18"/>
  <c r="R85" i="3"/>
  <c r="R101" i="19"/>
  <c r="R72" i="20"/>
  <c r="R62" i="19"/>
  <c r="R62" i="20" s="1"/>
  <c r="R40" i="3"/>
  <c r="Q181" i="20"/>
  <c r="R262" i="20" s="1"/>
  <c r="R22" i="20"/>
  <c r="R42" i="18"/>
  <c r="R36" i="3"/>
  <c r="R129" i="19"/>
  <c r="R38" i="19"/>
  <c r="R42" i="19"/>
  <c r="R171" i="3"/>
  <c r="R181" i="3" s="1"/>
  <c r="R337" i="3" s="1"/>
  <c r="R38" i="3"/>
  <c r="R42" i="3"/>
  <c r="R133" i="18"/>
  <c r="R78" i="20"/>
  <c r="R16" i="20"/>
  <c r="Q32" i="3"/>
  <c r="Q111" i="20"/>
  <c r="Q32" i="20" s="1"/>
  <c r="Q177" i="20"/>
  <c r="Q30" i="3"/>
  <c r="Q131" i="3" s="1"/>
  <c r="Q355" i="3" s="1"/>
  <c r="Q109" i="20"/>
  <c r="Q30" i="20" s="1"/>
  <c r="Q131" i="20" s="1"/>
  <c r="Q28" i="3"/>
  <c r="Q107" i="20"/>
  <c r="Q28" i="20" s="1"/>
  <c r="S22" i="19"/>
  <c r="S161" i="19" s="1"/>
  <c r="S18" i="19"/>
  <c r="S157" i="19" s="1"/>
  <c r="S20" i="19"/>
  <c r="S16" i="19"/>
  <c r="S155" i="19" s="1"/>
  <c r="R20" i="20"/>
  <c r="Q26" i="20"/>
  <c r="P131" i="20"/>
  <c r="Z93" i="17"/>
  <c r="R40" i="19"/>
  <c r="R40" i="18"/>
  <c r="R89" i="19"/>
  <c r="R36" i="19"/>
  <c r="S212" i="2"/>
  <c r="Z59" i="17"/>
  <c r="R60" i="18"/>
  <c r="R36" i="18"/>
  <c r="AA212" i="2"/>
  <c r="Z97" i="17"/>
  <c r="Z55" i="17"/>
  <c r="R159" i="3"/>
  <c r="R159" i="20" s="1"/>
  <c r="R60" i="19"/>
  <c r="R89" i="18"/>
  <c r="R56" i="19"/>
  <c r="R56" i="18"/>
  <c r="Z57" i="17"/>
  <c r="Z99" i="17"/>
  <c r="R70" i="20"/>
  <c r="R99" i="19"/>
  <c r="R99" i="18"/>
  <c r="R95" i="18"/>
  <c r="AA197" i="2"/>
  <c r="T89" i="2"/>
  <c r="T58" i="2"/>
  <c r="Z8" i="17"/>
  <c r="Z8" i="19"/>
  <c r="Z8" i="18"/>
  <c r="P131" i="13"/>
  <c r="T56" i="3"/>
  <c r="T60" i="3"/>
  <c r="T58" i="3"/>
  <c r="T62" i="3"/>
  <c r="Z7" i="17"/>
  <c r="Z7" i="19"/>
  <c r="Z7" i="18"/>
  <c r="Z137" i="18"/>
  <c r="Z109" i="18"/>
  <c r="Z11" i="18"/>
  <c r="Z48" i="18" s="1"/>
  <c r="Z157" i="18"/>
  <c r="Z177" i="18"/>
  <c r="AA258" i="18" s="1"/>
  <c r="Z16" i="18"/>
  <c r="Z32" i="18"/>
  <c r="Z20" i="18"/>
  <c r="Z141" i="18"/>
  <c r="Z22" i="18"/>
  <c r="Z129" i="18"/>
  <c r="Z28" i="18"/>
  <c r="Z127" i="18"/>
  <c r="Z236" i="18"/>
  <c r="Z198" i="18"/>
  <c r="Z155" i="18"/>
  <c r="Z139" i="18"/>
  <c r="Z193" i="18"/>
  <c r="Z131" i="18"/>
  <c r="Z238" i="18"/>
  <c r="Z175" i="18"/>
  <c r="AA256" i="18" s="1"/>
  <c r="Z161" i="18"/>
  <c r="Z111" i="18"/>
  <c r="Z107" i="18"/>
  <c r="Z18" i="18"/>
  <c r="Z26" i="18"/>
  <c r="Z240" i="18"/>
  <c r="Z202" i="18"/>
  <c r="Z159" i="18"/>
  <c r="Z143" i="18"/>
  <c r="Z196" i="18"/>
  <c r="Z242" i="18"/>
  <c r="Z30" i="18"/>
  <c r="Z200" i="18"/>
  <c r="Z179" i="18"/>
  <c r="AA260" i="18" s="1"/>
  <c r="Z105" i="18"/>
  <c r="Z181" i="18"/>
  <c r="AA262" i="18" s="1"/>
  <c r="Z133" i="18"/>
  <c r="U8" i="18"/>
  <c r="U8" i="19"/>
  <c r="U8" i="17"/>
  <c r="U474" i="2"/>
  <c r="U8" i="3"/>
  <c r="U44" i="2"/>
  <c r="U90" i="2" s="1"/>
  <c r="U53" i="2"/>
  <c r="U307" i="2"/>
  <c r="U323" i="2" s="1"/>
  <c r="U50" i="2"/>
  <c r="U65" i="2" s="1"/>
  <c r="U54" i="2"/>
  <c r="U69" i="2" s="1"/>
  <c r="U311" i="2"/>
  <c r="U327" i="2" s="1"/>
  <c r="U475" i="2"/>
  <c r="U306" i="2"/>
  <c r="U322" i="2" s="1"/>
  <c r="U52" i="2"/>
  <c r="U67" i="2" s="1"/>
  <c r="U302" i="2"/>
  <c r="U318" i="2" s="1"/>
  <c r="U305" i="2"/>
  <c r="U321" i="2" s="1"/>
  <c r="U6" i="2"/>
  <c r="U48" i="2"/>
  <c r="U63" i="2" s="1"/>
  <c r="U45" i="2"/>
  <c r="U60" i="2" s="1"/>
  <c r="U55" i="2"/>
  <c r="U70" i="2" s="1"/>
  <c r="U308" i="2"/>
  <c r="U324" i="2" s="1"/>
  <c r="U46" i="2"/>
  <c r="U61" i="2" s="1"/>
  <c r="U309" i="2"/>
  <c r="U325" i="2" s="1"/>
  <c r="V7" i="2"/>
  <c r="U47" i="2"/>
  <c r="U51" i="2"/>
  <c r="U66" i="2" s="1"/>
  <c r="U8" i="9"/>
  <c r="U476" i="2"/>
  <c r="U303" i="2"/>
  <c r="U319" i="2" s="1"/>
  <c r="U304" i="2"/>
  <c r="U320" i="2" s="1"/>
  <c r="U310" i="2"/>
  <c r="U326" i="2" s="1"/>
  <c r="U301" i="2"/>
  <c r="U49" i="2"/>
  <c r="U64" i="2" s="1"/>
  <c r="U312" i="2"/>
  <c r="V316" i="2" s="1"/>
  <c r="AA1" i="17"/>
  <c r="AA50" i="17" s="1"/>
  <c r="AA1" i="19"/>
  <c r="AA1" i="18"/>
  <c r="Z6" i="17"/>
  <c r="Z6" i="19"/>
  <c r="Z6" i="18"/>
  <c r="Z139" i="19"/>
  <c r="Z11" i="19"/>
  <c r="Z46" i="19" s="1"/>
  <c r="Z137" i="19"/>
  <c r="Z109" i="19"/>
  <c r="Z32" i="19"/>
  <c r="Z28" i="19"/>
  <c r="Z143" i="19"/>
  <c r="Z238" i="19"/>
  <c r="Z175" i="19"/>
  <c r="AA256" i="19" s="1"/>
  <c r="Z240" i="19"/>
  <c r="Z181" i="19"/>
  <c r="AA262" i="19" s="1"/>
  <c r="Z161" i="19"/>
  <c r="Z155" i="19"/>
  <c r="Z30" i="19"/>
  <c r="Z105" i="19"/>
  <c r="Z131" i="19"/>
  <c r="Z202" i="19"/>
  <c r="Z196" i="19"/>
  <c r="Z157" i="19"/>
  <c r="Z133" i="19"/>
  <c r="Z179" i="19"/>
  <c r="AA260" i="19" s="1"/>
  <c r="Z236" i="19"/>
  <c r="Z159" i="19"/>
  <c r="Z193" i="19"/>
  <c r="Z111" i="19"/>
  <c r="Z127" i="19"/>
  <c r="Z200" i="19"/>
  <c r="Z26" i="19"/>
  <c r="Z198" i="19"/>
  <c r="Z177" i="19"/>
  <c r="AA258" i="19" s="1"/>
  <c r="Z129" i="19"/>
  <c r="Z242" i="19"/>
  <c r="Z107" i="19"/>
  <c r="Z141" i="19"/>
  <c r="P131" i="11"/>
  <c r="P131" i="15"/>
  <c r="P315" i="15" s="1"/>
  <c r="Z19" i="17"/>
  <c r="Z23" i="17"/>
  <c r="Z17" i="17"/>
  <c r="Z21" i="17"/>
  <c r="U17" i="17"/>
  <c r="U23" i="17"/>
  <c r="U21" i="17"/>
  <c r="U19" i="17"/>
  <c r="Z7" i="3"/>
  <c r="Z7" i="9"/>
  <c r="AA87" i="2"/>
  <c r="AA177" i="2"/>
  <c r="AA173" i="2"/>
  <c r="AA169" i="2"/>
  <c r="AA31" i="2"/>
  <c r="AA178" i="2"/>
  <c r="AA174" i="2"/>
  <c r="AA170" i="2"/>
  <c r="AA28" i="2"/>
  <c r="AA27" i="2"/>
  <c r="AA26" i="2"/>
  <c r="AA25" i="2"/>
  <c r="AA24" i="2"/>
  <c r="AA23" i="2"/>
  <c r="AA22" i="2"/>
  <c r="AA21" i="2"/>
  <c r="AA20" i="2"/>
  <c r="AA176" i="2"/>
  <c r="AA168" i="2"/>
  <c r="AA30" i="2"/>
  <c r="AA175" i="2"/>
  <c r="AA29" i="2"/>
  <c r="AA1" i="9"/>
  <c r="AA172" i="2"/>
  <c r="AA179" i="2"/>
  <c r="AA171" i="2"/>
  <c r="Z6" i="3"/>
  <c r="Z6" i="9"/>
  <c r="Z8" i="3"/>
  <c r="Z8" i="9"/>
  <c r="Z238" i="3"/>
  <c r="Z242" i="3"/>
  <c r="Z240" i="3"/>
  <c r="Z236" i="3"/>
  <c r="Z198" i="3"/>
  <c r="Z202" i="3"/>
  <c r="Z200" i="3"/>
  <c r="Z196" i="3"/>
  <c r="Z193" i="3"/>
  <c r="Z341" i="3"/>
  <c r="Z343" i="3"/>
  <c r="Z345" i="3"/>
  <c r="Z347" i="3"/>
  <c r="Z311" i="3"/>
  <c r="Z331" i="3"/>
  <c r="Z321" i="3"/>
  <c r="Z165" i="3"/>
  <c r="Z317" i="3"/>
  <c r="Z315" i="3"/>
  <c r="Z313" i="3"/>
  <c r="AA473" i="2"/>
  <c r="AA469" i="2"/>
  <c r="AA465" i="2"/>
  <c r="AA475" i="2"/>
  <c r="AA471" i="2"/>
  <c r="AA467" i="2"/>
  <c r="AA468" i="2"/>
  <c r="AA474" i="2"/>
  <c r="AA470" i="2"/>
  <c r="AA466" i="2"/>
  <c r="AA476" i="2"/>
  <c r="AA472" i="2"/>
  <c r="Z333" i="3"/>
  <c r="Z335" i="3"/>
  <c r="Z323" i="3"/>
  <c r="Z327" i="3"/>
  <c r="Z337" i="3"/>
  <c r="Z325" i="3"/>
  <c r="Z179" i="3"/>
  <c r="Z175" i="3"/>
  <c r="Z181" i="3"/>
  <c r="Z177" i="3"/>
  <c r="Z169" i="3"/>
  <c r="Z171" i="3"/>
  <c r="Z167" i="3"/>
  <c r="Z161" i="3"/>
  <c r="Z159" i="3"/>
  <c r="Z157" i="3"/>
  <c r="Z155" i="3"/>
  <c r="Z137" i="3"/>
  <c r="Z139" i="3"/>
  <c r="Z141" i="3"/>
  <c r="Z143" i="3"/>
  <c r="Z133" i="3"/>
  <c r="Z129" i="3"/>
  <c r="Z127" i="3"/>
  <c r="Z131" i="3"/>
  <c r="Z123" i="3"/>
  <c r="Z121" i="3"/>
  <c r="Z119" i="3"/>
  <c r="Z117" i="3"/>
  <c r="AA464" i="2"/>
  <c r="AA459" i="2"/>
  <c r="AA455" i="2"/>
  <c r="AA451" i="2"/>
  <c r="AA458" i="2"/>
  <c r="AA454" i="2"/>
  <c r="AA450" i="2"/>
  <c r="AA457" i="2"/>
  <c r="AA456" i="2"/>
  <c r="AA461" i="2"/>
  <c r="AA453" i="2"/>
  <c r="AA460" i="2"/>
  <c r="AA452" i="2"/>
  <c r="AA1" i="3"/>
  <c r="AA449" i="2"/>
  <c r="T244" i="2"/>
  <c r="T405" i="2"/>
  <c r="T387" i="2"/>
  <c r="Z20" i="3"/>
  <c r="Z28" i="3"/>
  <c r="Z30" i="3"/>
  <c r="Z32" i="3"/>
  <c r="Z26" i="3"/>
  <c r="Z109" i="3"/>
  <c r="Z76" i="3"/>
  <c r="Z82" i="3"/>
  <c r="Z78" i="3"/>
  <c r="Z66" i="3"/>
  <c r="Z107" i="3"/>
  <c r="Z89" i="3"/>
  <c r="Z87" i="3"/>
  <c r="Z62" i="3"/>
  <c r="Z72" i="3"/>
  <c r="Z56" i="3"/>
  <c r="Z38" i="3"/>
  <c r="Z18" i="3"/>
  <c r="Z99" i="3"/>
  <c r="Z101" i="3"/>
  <c r="Z91" i="3"/>
  <c r="Z85" i="3"/>
  <c r="Z42" i="3"/>
  <c r="Z22" i="3"/>
  <c r="Z105" i="3"/>
  <c r="Z70" i="3"/>
  <c r="Z58" i="3"/>
  <c r="Z95" i="3"/>
  <c r="Z80" i="3"/>
  <c r="Z16" i="3"/>
  <c r="Z97" i="3"/>
  <c r="Z68" i="3"/>
  <c r="Z60" i="3"/>
  <c r="Z36" i="3"/>
  <c r="Z111" i="3"/>
  <c r="Z40" i="3"/>
  <c r="AA416" i="2"/>
  <c r="AA415" i="2"/>
  <c r="AA414" i="2"/>
  <c r="AA413" i="2"/>
  <c r="AA412" i="2"/>
  <c r="AA411" i="2"/>
  <c r="AA410" i="2"/>
  <c r="AA409" i="2"/>
  <c r="AA408" i="2"/>
  <c r="AA407" i="2"/>
  <c r="AA406" i="2"/>
  <c r="AA405" i="2"/>
  <c r="V250" i="2"/>
  <c r="AA404" i="2"/>
  <c r="AA398" i="2"/>
  <c r="AA397" i="2"/>
  <c r="AA396" i="2"/>
  <c r="AA395" i="2"/>
  <c r="AA394" i="2"/>
  <c r="AA393" i="2"/>
  <c r="AA392" i="2"/>
  <c r="AA391" i="2"/>
  <c r="AA390" i="2"/>
  <c r="AA389" i="2"/>
  <c r="AA388" i="2"/>
  <c r="AA387" i="2"/>
  <c r="AA386" i="2"/>
  <c r="AA377" i="2"/>
  <c r="AA373" i="2"/>
  <c r="AA369" i="2"/>
  <c r="AA365" i="2"/>
  <c r="AA380" i="2"/>
  <c r="AA376" i="2"/>
  <c r="AA372" i="2"/>
  <c r="AA364" i="2"/>
  <c r="AA374" i="2"/>
  <c r="AA378" i="2"/>
  <c r="AA363" i="2"/>
  <c r="AA375" i="2"/>
  <c r="AA362" i="2"/>
  <c r="AA360" i="2"/>
  <c r="AA358" i="2"/>
  <c r="AA379" i="2"/>
  <c r="AA371" i="2"/>
  <c r="AA361" i="2"/>
  <c r="AA359" i="2"/>
  <c r="AA357" i="2"/>
  <c r="AA356" i="2"/>
  <c r="AA355" i="2"/>
  <c r="AA354" i="2"/>
  <c r="AA370" i="2"/>
  <c r="AA368" i="2"/>
  <c r="AA353" i="2"/>
  <c r="AA327" i="2"/>
  <c r="AA326" i="2"/>
  <c r="AA323" i="2"/>
  <c r="AA322" i="2"/>
  <c r="AA321" i="2"/>
  <c r="AA320" i="2"/>
  <c r="AA319" i="2"/>
  <c r="AA318" i="2"/>
  <c r="AA317" i="2"/>
  <c r="AA316" i="2"/>
  <c r="AA312" i="2"/>
  <c r="AA335" i="2"/>
  <c r="AA325" i="2"/>
  <c r="AA324" i="2"/>
  <c r="AA310" i="2"/>
  <c r="AA308" i="2"/>
  <c r="AA306" i="2"/>
  <c r="AA304" i="2"/>
  <c r="AA302" i="2"/>
  <c r="AA307" i="2"/>
  <c r="AA305" i="2"/>
  <c r="AA303" i="2"/>
  <c r="AA301" i="2"/>
  <c r="AA311" i="2"/>
  <c r="AA309" i="2"/>
  <c r="AA315" i="2"/>
  <c r="AA272" i="2"/>
  <c r="AA268" i="2"/>
  <c r="AA275" i="2"/>
  <c r="AA271" i="2"/>
  <c r="AA267" i="2"/>
  <c r="AA276" i="2"/>
  <c r="AA274" i="2"/>
  <c r="AA270" i="2"/>
  <c r="AA266" i="2"/>
  <c r="AA300" i="2"/>
  <c r="AA277" i="2"/>
  <c r="AA273" i="2"/>
  <c r="AA269" i="2"/>
  <c r="AA265" i="2"/>
  <c r="M265" i="2" s="1"/>
  <c r="AA260" i="2"/>
  <c r="AA256" i="2"/>
  <c r="AA252" i="2"/>
  <c r="AA259" i="2"/>
  <c r="AA255" i="2"/>
  <c r="AA251" i="2"/>
  <c r="AA262" i="2"/>
  <c r="AA258" i="2"/>
  <c r="AA261" i="2"/>
  <c r="AA254" i="2"/>
  <c r="AA257" i="2"/>
  <c r="AA253" i="2"/>
  <c r="AA250" i="2"/>
  <c r="AA241" i="2"/>
  <c r="AA237" i="2"/>
  <c r="AA233" i="2"/>
  <c r="AA243" i="2"/>
  <c r="AA239" i="2"/>
  <c r="AA235" i="2"/>
  <c r="AA240" i="2"/>
  <c r="AA236" i="2"/>
  <c r="AA242" i="2"/>
  <c r="AA238" i="2"/>
  <c r="AA234" i="2"/>
  <c r="AA244" i="2"/>
  <c r="AA232" i="2"/>
  <c r="AA182" i="2"/>
  <c r="AA101" i="2"/>
  <c r="AA100" i="2"/>
  <c r="AA99" i="2"/>
  <c r="AA98" i="2"/>
  <c r="AA97" i="2"/>
  <c r="AA96" i="2"/>
  <c r="AA95" i="2"/>
  <c r="AA94" i="2"/>
  <c r="AA93" i="2"/>
  <c r="AA92" i="2"/>
  <c r="AA91" i="2"/>
  <c r="AA90" i="2"/>
  <c r="AA89" i="2"/>
  <c r="AA70" i="2"/>
  <c r="AA69" i="2"/>
  <c r="AA68" i="2"/>
  <c r="AA67" i="2"/>
  <c r="AA66" i="2"/>
  <c r="AA65" i="2"/>
  <c r="AA64" i="2"/>
  <c r="AA63" i="2"/>
  <c r="AA62" i="2"/>
  <c r="AA61" i="2"/>
  <c r="AA60" i="2"/>
  <c r="AA59" i="2"/>
  <c r="AA58" i="2"/>
  <c r="AA41" i="2"/>
  <c r="AA55" i="2"/>
  <c r="AA54" i="2"/>
  <c r="AA53" i="2"/>
  <c r="AA52" i="2"/>
  <c r="AA51" i="2"/>
  <c r="AA50" i="2"/>
  <c r="AA49" i="2"/>
  <c r="AA48" i="2"/>
  <c r="AA47" i="2"/>
  <c r="AA46" i="2"/>
  <c r="AA45" i="2"/>
  <c r="AA44" i="2"/>
  <c r="AA43" i="2"/>
  <c r="AA7" i="2"/>
  <c r="AA8" i="2"/>
  <c r="AA6" i="2"/>
  <c r="Y109" i="1"/>
  <c r="Y127" i="1" s="1"/>
  <c r="Y26" i="1"/>
  <c r="Y75" i="1" s="1"/>
  <c r="Y102" i="1"/>
  <c r="Z1" i="1"/>
  <c r="Y78" i="1"/>
  <c r="Y99" i="1" s="1"/>
  <c r="R109" i="15" l="1"/>
  <c r="R30" i="15" s="1"/>
  <c r="R131" i="15" s="1"/>
  <c r="R315" i="15" s="1"/>
  <c r="Z8" i="1"/>
  <c r="S20" i="15"/>
  <c r="S159" i="15" s="1"/>
  <c r="S329" i="10"/>
  <c r="S101" i="11" s="1"/>
  <c r="Y265" i="3"/>
  <c r="Y269" i="3"/>
  <c r="Y267" i="3"/>
  <c r="AA272" i="3"/>
  <c r="AA271" i="3" s="1"/>
  <c r="AA268" i="3"/>
  <c r="AA267" i="3" s="1"/>
  <c r="AA270" i="3"/>
  <c r="AA269" i="3" s="1"/>
  <c r="AA266" i="3"/>
  <c r="AA265" i="3" s="1"/>
  <c r="S262" i="11"/>
  <c r="R297" i="11"/>
  <c r="S329" i="12"/>
  <c r="S101" i="13" s="1"/>
  <c r="S22" i="15"/>
  <c r="S161" i="15" s="1"/>
  <c r="S18" i="15"/>
  <c r="S157" i="15" s="1"/>
  <c r="S60" i="18"/>
  <c r="S22" i="3"/>
  <c r="S62" i="18" s="1"/>
  <c r="S16" i="13"/>
  <c r="S155" i="13" s="1"/>
  <c r="S311" i="12"/>
  <c r="S91" i="13" s="1"/>
  <c r="S311" i="14"/>
  <c r="S85" i="15" s="1"/>
  <c r="S157" i="10"/>
  <c r="S36" i="11" s="1"/>
  <c r="S157" i="12"/>
  <c r="S40" i="13" s="1"/>
  <c r="W70" i="11"/>
  <c r="S20" i="20"/>
  <c r="S22" i="13"/>
  <c r="S161" i="13" s="1"/>
  <c r="S18" i="13"/>
  <c r="S157" i="13" s="1"/>
  <c r="S18" i="3"/>
  <c r="S157" i="3" s="1"/>
  <c r="S157" i="20" s="1"/>
  <c r="S16" i="3"/>
  <c r="S56" i="19" s="1"/>
  <c r="S404" i="2"/>
  <c r="S95" i="3" s="1"/>
  <c r="S260" i="11"/>
  <c r="Y266" i="14"/>
  <c r="W72" i="13"/>
  <c r="S329" i="14"/>
  <c r="S101" i="15" s="1"/>
  <c r="W70" i="13"/>
  <c r="Y264" i="10"/>
  <c r="S386" i="2"/>
  <c r="S89" i="18" s="1"/>
  <c r="S232" i="2"/>
  <c r="S40" i="19" s="1"/>
  <c r="X72" i="20"/>
  <c r="S157" i="14"/>
  <c r="S38" i="15" s="1"/>
  <c r="R111" i="15"/>
  <c r="R32" i="15" s="1"/>
  <c r="S97" i="11"/>
  <c r="X70" i="20"/>
  <c r="S91" i="11"/>
  <c r="S89" i="11"/>
  <c r="S85" i="11"/>
  <c r="S87" i="11"/>
  <c r="S16" i="11"/>
  <c r="S155" i="11" s="1"/>
  <c r="S22" i="11"/>
  <c r="S161" i="11" s="1"/>
  <c r="S18" i="11"/>
  <c r="S20" i="11"/>
  <c r="S159" i="11" s="1"/>
  <c r="X260" i="12"/>
  <c r="X68" i="13" s="1"/>
  <c r="X288" i="10"/>
  <c r="Y271" i="10"/>
  <c r="X289" i="10"/>
  <c r="Y267" i="14"/>
  <c r="Y271" i="14"/>
  <c r="Y267" i="12"/>
  <c r="X260" i="14"/>
  <c r="X70" i="15" s="1"/>
  <c r="Y354" i="2"/>
  <c r="Y279" i="14" s="1"/>
  <c r="X66" i="20"/>
  <c r="Y261" i="10"/>
  <c r="Y264" i="12"/>
  <c r="Y264" i="14"/>
  <c r="W278" i="12"/>
  <c r="X68" i="20"/>
  <c r="Y335" i="2"/>
  <c r="M335" i="2" s="1"/>
  <c r="R109" i="13"/>
  <c r="R30" i="13" s="1"/>
  <c r="R131" i="13" s="1"/>
  <c r="R315" i="13" s="1"/>
  <c r="V293" i="10"/>
  <c r="X72" i="13"/>
  <c r="X66" i="13"/>
  <c r="X70" i="13"/>
  <c r="X280" i="10"/>
  <c r="X280" i="14"/>
  <c r="X280" i="12"/>
  <c r="X371" i="2"/>
  <c r="W295" i="12"/>
  <c r="W295" i="10"/>
  <c r="W295" i="14"/>
  <c r="X304" i="14"/>
  <c r="X304" i="10"/>
  <c r="X304" i="12"/>
  <c r="X290" i="14"/>
  <c r="X290" i="10"/>
  <c r="X290" i="12"/>
  <c r="Y369" i="2"/>
  <c r="X82" i="19"/>
  <c r="X80" i="19"/>
  <c r="X76" i="19"/>
  <c r="X78" i="19"/>
  <c r="Y61" i="21"/>
  <c r="Y59" i="21" s="1"/>
  <c r="Y44" i="21"/>
  <c r="X68" i="11"/>
  <c r="X72" i="11"/>
  <c r="X70" i="11"/>
  <c r="X66" i="11"/>
  <c r="Y66" i="18"/>
  <c r="Y68" i="18"/>
  <c r="Y72" i="18"/>
  <c r="Y70" i="18"/>
  <c r="X298" i="10"/>
  <c r="X298" i="12"/>
  <c r="X298" i="14"/>
  <c r="Y262" i="10"/>
  <c r="Y262" i="14"/>
  <c r="Y262" i="12"/>
  <c r="Y355" i="2"/>
  <c r="Y282" i="14"/>
  <c r="Y282" i="10"/>
  <c r="Y282" i="12"/>
  <c r="Y373" i="2"/>
  <c r="W68" i="15"/>
  <c r="W66" i="15"/>
  <c r="W72" i="15"/>
  <c r="W70" i="15"/>
  <c r="W82" i="3"/>
  <c r="W81" i="18"/>
  <c r="W79" i="19"/>
  <c r="W77" i="20"/>
  <c r="W77" i="18"/>
  <c r="W81" i="19"/>
  <c r="W81" i="20"/>
  <c r="W77" i="19"/>
  <c r="W79" i="20"/>
  <c r="W79" i="18"/>
  <c r="W80" i="3"/>
  <c r="W78" i="3"/>
  <c r="W76" i="3"/>
  <c r="Y289" i="12"/>
  <c r="Y289" i="10"/>
  <c r="Y289" i="14"/>
  <c r="Y380" i="2"/>
  <c r="Y161" i="19"/>
  <c r="W129" i="19"/>
  <c r="W133" i="19"/>
  <c r="Y286" i="12"/>
  <c r="Y286" i="10"/>
  <c r="Y286" i="14"/>
  <c r="Y377" i="2"/>
  <c r="Y110" i="21"/>
  <c r="Z105" i="20"/>
  <c r="W76" i="13"/>
  <c r="W78" i="13"/>
  <c r="W80" i="13"/>
  <c r="W82" i="13"/>
  <c r="X305" i="10"/>
  <c r="X305" i="14"/>
  <c r="X305" i="12"/>
  <c r="Y272" i="14"/>
  <c r="Y272" i="10"/>
  <c r="Y272" i="12"/>
  <c r="Y365" i="2"/>
  <c r="X284" i="12"/>
  <c r="X284" i="14"/>
  <c r="X284" i="10"/>
  <c r="X375" i="2"/>
  <c r="Y66" i="19"/>
  <c r="Y68" i="19"/>
  <c r="Y72" i="19"/>
  <c r="Y70" i="19"/>
  <c r="W298" i="12"/>
  <c r="W298" i="10"/>
  <c r="W298" i="14"/>
  <c r="X281" i="14"/>
  <c r="X281" i="10"/>
  <c r="X281" i="12"/>
  <c r="X372" i="2"/>
  <c r="Y270" i="14"/>
  <c r="Y270" i="12"/>
  <c r="Y270" i="10"/>
  <c r="Y363" i="2"/>
  <c r="W278" i="14"/>
  <c r="X303" i="10"/>
  <c r="X303" i="14"/>
  <c r="X303" i="12"/>
  <c r="Y263" i="10"/>
  <c r="Y263" i="12"/>
  <c r="Y263" i="14"/>
  <c r="Y356" i="2"/>
  <c r="X299" i="12"/>
  <c r="X299" i="10"/>
  <c r="X299" i="14"/>
  <c r="X353" i="2"/>
  <c r="W301" i="14"/>
  <c r="W301" i="10"/>
  <c r="W301" i="12"/>
  <c r="Y265" i="10"/>
  <c r="Y265" i="12"/>
  <c r="Y265" i="14"/>
  <c r="Y358" i="2"/>
  <c r="X301" i="12"/>
  <c r="X301" i="10"/>
  <c r="X301" i="14"/>
  <c r="Y285" i="12"/>
  <c r="Y285" i="14"/>
  <c r="Y285" i="10"/>
  <c r="Y376" i="2"/>
  <c r="Y269" i="10"/>
  <c r="Y269" i="12"/>
  <c r="Y269" i="14"/>
  <c r="Y362" i="2"/>
  <c r="Z48" i="19"/>
  <c r="Z48" i="20" s="1"/>
  <c r="W278" i="10"/>
  <c r="W296" i="10"/>
  <c r="W296" i="14"/>
  <c r="W296" i="12"/>
  <c r="Y279" i="10"/>
  <c r="Y370" i="2"/>
  <c r="X295" i="14"/>
  <c r="X295" i="12"/>
  <c r="X295" i="10"/>
  <c r="X302" i="12"/>
  <c r="X302" i="14"/>
  <c r="X302" i="10"/>
  <c r="Y284" i="14"/>
  <c r="Y284" i="10"/>
  <c r="Y284" i="12"/>
  <c r="Y375" i="2"/>
  <c r="AA184" i="2"/>
  <c r="Y52" i="20"/>
  <c r="Y46" i="20"/>
  <c r="AA192" i="2"/>
  <c r="T320" i="14"/>
  <c r="U48" i="20"/>
  <c r="Z171" i="20"/>
  <c r="R26" i="13"/>
  <c r="Z169" i="20"/>
  <c r="AA183" i="2"/>
  <c r="R107" i="13"/>
  <c r="R28" i="13" s="1"/>
  <c r="Z167" i="20"/>
  <c r="R177" i="13"/>
  <c r="R293" i="13" s="1"/>
  <c r="T319" i="14"/>
  <c r="Z165" i="20"/>
  <c r="T338" i="14"/>
  <c r="AA191" i="2"/>
  <c r="AA185" i="2"/>
  <c r="AA187" i="2"/>
  <c r="AA189" i="2"/>
  <c r="V78" i="11"/>
  <c r="V82" i="11"/>
  <c r="V76" i="11"/>
  <c r="V80" i="11"/>
  <c r="AA7" i="21"/>
  <c r="AA7" i="20"/>
  <c r="AA355" i="3"/>
  <c r="AA351" i="3"/>
  <c r="AA357" i="3"/>
  <c r="AA353" i="3"/>
  <c r="AA50" i="3"/>
  <c r="AA48" i="3"/>
  <c r="AA46" i="3"/>
  <c r="AA52" i="3"/>
  <c r="AA171" i="18"/>
  <c r="AA76" i="18"/>
  <c r="AA165" i="18"/>
  <c r="AA79" i="18"/>
  <c r="AA70" i="18"/>
  <c r="AA169" i="18"/>
  <c r="AA77" i="18"/>
  <c r="AA167" i="18"/>
  <c r="AA78" i="18"/>
  <c r="AA68" i="18"/>
  <c r="AA72" i="18"/>
  <c r="AA82" i="18"/>
  <c r="AA80" i="18"/>
  <c r="AA66" i="18"/>
  <c r="AA81" i="18"/>
  <c r="AA79" i="19"/>
  <c r="AA70" i="19"/>
  <c r="AA82" i="19"/>
  <c r="AA77" i="19"/>
  <c r="AA66" i="19"/>
  <c r="AA80" i="19"/>
  <c r="AA68" i="19"/>
  <c r="AA81" i="19"/>
  <c r="AA76" i="19"/>
  <c r="AA78" i="19"/>
  <c r="AA169" i="19"/>
  <c r="AA167" i="19"/>
  <c r="AA171" i="19"/>
  <c r="AA72" i="19"/>
  <c r="AA165" i="19"/>
  <c r="AA22" i="19"/>
  <c r="AA16" i="19"/>
  <c r="AA20" i="19"/>
  <c r="AA18" i="19"/>
  <c r="T168" i="14"/>
  <c r="U52" i="20"/>
  <c r="AA181" i="20"/>
  <c r="AA77" i="20"/>
  <c r="AA81" i="20"/>
  <c r="AA79" i="20"/>
  <c r="AA177" i="20"/>
  <c r="AA28" i="20"/>
  <c r="AA133" i="20"/>
  <c r="AA30" i="20"/>
  <c r="AA32" i="20"/>
  <c r="AA236" i="20"/>
  <c r="AA175" i="20"/>
  <c r="AA179" i="20"/>
  <c r="AA129" i="20"/>
  <c r="AA200" i="20"/>
  <c r="AA143" i="20"/>
  <c r="AA26" i="20"/>
  <c r="AA196" i="20"/>
  <c r="AA139" i="20"/>
  <c r="AA242" i="20"/>
  <c r="AA131" i="20"/>
  <c r="AA238" i="20"/>
  <c r="AA127" i="20"/>
  <c r="AA202" i="20"/>
  <c r="AA141" i="20"/>
  <c r="AA193" i="20"/>
  <c r="AA198" i="20"/>
  <c r="AA137" i="20"/>
  <c r="AA240" i="20"/>
  <c r="AA122" i="21"/>
  <c r="AA120" i="21"/>
  <c r="AA118" i="21"/>
  <c r="AA116" i="21"/>
  <c r="AA114" i="21"/>
  <c r="AA112" i="21"/>
  <c r="AA95" i="21"/>
  <c r="AA103" i="21"/>
  <c r="AA98" i="21"/>
  <c r="AA93" i="21"/>
  <c r="AA101" i="21"/>
  <c r="AA96" i="21"/>
  <c r="AA104" i="21"/>
  <c r="AA100" i="21"/>
  <c r="AA121" i="21"/>
  <c r="AA119" i="21"/>
  <c r="AA117" i="21"/>
  <c r="AA115" i="21"/>
  <c r="AA113" i="21"/>
  <c r="AA111" i="21"/>
  <c r="AA99" i="21"/>
  <c r="AA94" i="21"/>
  <c r="AA102" i="21"/>
  <c r="AA97" i="21"/>
  <c r="AA110" i="21"/>
  <c r="AA27" i="21"/>
  <c r="AA137" i="21"/>
  <c r="AA92" i="21"/>
  <c r="M92" i="21" s="1"/>
  <c r="AA31" i="21"/>
  <c r="AA133" i="21"/>
  <c r="AA131" i="21"/>
  <c r="AA30" i="21"/>
  <c r="AA35" i="21"/>
  <c r="AA129" i="21"/>
  <c r="AA130" i="21"/>
  <c r="AA34" i="21"/>
  <c r="AA28" i="21"/>
  <c r="AA125" i="21"/>
  <c r="M125" i="21" s="1"/>
  <c r="AA135" i="21"/>
  <c r="AA38" i="21"/>
  <c r="AA32" i="21"/>
  <c r="AA136" i="21"/>
  <c r="AA134" i="21"/>
  <c r="AA29" i="21"/>
  <c r="AA36" i="21"/>
  <c r="AA132" i="21"/>
  <c r="AA127" i="21"/>
  <c r="AA33" i="21"/>
  <c r="AA128" i="21"/>
  <c r="AA126" i="21"/>
  <c r="AA37" i="21"/>
  <c r="AA65" i="21"/>
  <c r="AA55" i="21"/>
  <c r="AA44" i="21"/>
  <c r="AA64" i="21"/>
  <c r="AA54" i="21"/>
  <c r="AA51" i="21"/>
  <c r="AA71" i="21"/>
  <c r="AA63" i="21"/>
  <c r="AA53" i="21"/>
  <c r="AA50" i="21"/>
  <c r="AA70" i="21"/>
  <c r="AA62" i="21"/>
  <c r="AA49" i="21"/>
  <c r="AA47" i="21"/>
  <c r="AA69" i="21"/>
  <c r="AA61" i="21"/>
  <c r="AA45" i="21"/>
  <c r="AA46" i="21"/>
  <c r="AA68" i="21"/>
  <c r="AA60" i="21"/>
  <c r="AA26" i="21"/>
  <c r="M26" i="21" s="1"/>
  <c r="AA67" i="21"/>
  <c r="AA59" i="21"/>
  <c r="AA52" i="21"/>
  <c r="AA66" i="21"/>
  <c r="AA56" i="21"/>
  <c r="AA48" i="21"/>
  <c r="AA190" i="2"/>
  <c r="Z52" i="18"/>
  <c r="AA194" i="2"/>
  <c r="Z50" i="18"/>
  <c r="V293" i="14"/>
  <c r="V80" i="13"/>
  <c r="V78" i="13"/>
  <c r="V76" i="13"/>
  <c r="V82" i="13"/>
  <c r="U46" i="20"/>
  <c r="AA186" i="2"/>
  <c r="AA193" i="2"/>
  <c r="Z46" i="18"/>
  <c r="Z46" i="20" s="1"/>
  <c r="V7" i="21"/>
  <c r="V7" i="20"/>
  <c r="V46" i="18"/>
  <c r="V52" i="19"/>
  <c r="V48" i="18"/>
  <c r="V50" i="19"/>
  <c r="V52" i="18"/>
  <c r="V46" i="3"/>
  <c r="V50" i="18"/>
  <c r="V52" i="3"/>
  <c r="V48" i="3"/>
  <c r="V50" i="3"/>
  <c r="V46" i="19"/>
  <c r="V48" i="19"/>
  <c r="AA6" i="21"/>
  <c r="AA6" i="20"/>
  <c r="V293" i="12"/>
  <c r="Z52" i="19"/>
  <c r="AA8" i="21"/>
  <c r="AA8" i="20"/>
  <c r="U50" i="20"/>
  <c r="AA188" i="2"/>
  <c r="Z50" i="19"/>
  <c r="U6" i="21"/>
  <c r="U6" i="20"/>
  <c r="V76" i="15"/>
  <c r="V78" i="15"/>
  <c r="V80" i="15"/>
  <c r="V82" i="15"/>
  <c r="T164" i="14"/>
  <c r="T314" i="14"/>
  <c r="T315" i="12"/>
  <c r="T166" i="14"/>
  <c r="T159" i="14"/>
  <c r="T333" i="12"/>
  <c r="R198" i="15"/>
  <c r="R293" i="15"/>
  <c r="U138" i="12"/>
  <c r="U330" i="12" s="1"/>
  <c r="U138" i="10"/>
  <c r="T315" i="10"/>
  <c r="T311" i="10" s="1"/>
  <c r="T160" i="10"/>
  <c r="T157" i="10" s="1"/>
  <c r="T333" i="10"/>
  <c r="T329" i="10" s="1"/>
  <c r="T318" i="14"/>
  <c r="T137" i="10"/>
  <c r="T335" i="14"/>
  <c r="T331" i="14"/>
  <c r="T340" i="14"/>
  <c r="T162" i="14"/>
  <c r="T313" i="14"/>
  <c r="T167" i="14"/>
  <c r="T339" i="14"/>
  <c r="T334" i="14"/>
  <c r="R179" i="13"/>
  <c r="S260" i="13" s="1"/>
  <c r="S262" i="15"/>
  <c r="T161" i="14"/>
  <c r="T336" i="14"/>
  <c r="T335" i="12"/>
  <c r="T162" i="12"/>
  <c r="T317" i="12"/>
  <c r="T158" i="12"/>
  <c r="T331" i="12"/>
  <c r="T313" i="12"/>
  <c r="T137" i="12"/>
  <c r="T323" i="14"/>
  <c r="T164" i="12"/>
  <c r="T337" i="12"/>
  <c r="T319" i="12"/>
  <c r="T314" i="12"/>
  <c r="T332" i="12"/>
  <c r="T159" i="12"/>
  <c r="R317" i="13"/>
  <c r="R297" i="15"/>
  <c r="T323" i="12"/>
  <c r="T168" i="12"/>
  <c r="T341" i="12"/>
  <c r="T161" i="12"/>
  <c r="T334" i="12"/>
  <c r="T316" i="12"/>
  <c r="T336" i="12"/>
  <c r="T163" i="12"/>
  <c r="T318" i="12"/>
  <c r="R181" i="13"/>
  <c r="T167" i="12"/>
  <c r="T340" i="12"/>
  <c r="T322" i="12"/>
  <c r="T166" i="12"/>
  <c r="T321" i="12"/>
  <c r="T339" i="12"/>
  <c r="T165" i="12"/>
  <c r="T338" i="12"/>
  <c r="T320" i="12"/>
  <c r="R313" i="13"/>
  <c r="R91" i="20"/>
  <c r="U213" i="2"/>
  <c r="U183" i="2" s="1"/>
  <c r="U138" i="14"/>
  <c r="T160" i="14"/>
  <c r="T333" i="14"/>
  <c r="T315" i="14"/>
  <c r="T137" i="14"/>
  <c r="S260" i="15"/>
  <c r="R200" i="15"/>
  <c r="R107" i="18"/>
  <c r="R28" i="18" s="1"/>
  <c r="T235" i="2"/>
  <c r="T408" i="2"/>
  <c r="R300" i="3"/>
  <c r="R198" i="18"/>
  <c r="R97" i="20"/>
  <c r="Q335" i="3"/>
  <c r="R169" i="3"/>
  <c r="R169" i="20" s="1"/>
  <c r="R109" i="3"/>
  <c r="R30" i="3" s="1"/>
  <c r="R131" i="3" s="1"/>
  <c r="R26" i="3"/>
  <c r="R95" i="20"/>
  <c r="R107" i="3"/>
  <c r="R28" i="3" s="1"/>
  <c r="R107" i="19"/>
  <c r="R111" i="19"/>
  <c r="R32" i="19" s="1"/>
  <c r="R111" i="18"/>
  <c r="R32" i="18" s="1"/>
  <c r="R111" i="3"/>
  <c r="R32" i="3" s="1"/>
  <c r="R42" i="20"/>
  <c r="R85" i="20"/>
  <c r="R101" i="20"/>
  <c r="T242" i="2"/>
  <c r="R87" i="20"/>
  <c r="R198" i="3"/>
  <c r="T415" i="2"/>
  <c r="Z161" i="20"/>
  <c r="S260" i="18"/>
  <c r="R333" i="3"/>
  <c r="R80" i="20"/>
  <c r="R167" i="20"/>
  <c r="R177" i="20" s="1"/>
  <c r="S258" i="20" s="1"/>
  <c r="Z109" i="20"/>
  <c r="R76" i="20"/>
  <c r="R109" i="18"/>
  <c r="R30" i="18" s="1"/>
  <c r="R131" i="18" s="1"/>
  <c r="Q202" i="20"/>
  <c r="R202" i="18"/>
  <c r="R38" i="20"/>
  <c r="R171" i="20"/>
  <c r="R181" i="20" s="1"/>
  <c r="S258" i="19"/>
  <c r="R198" i="19"/>
  <c r="Z157" i="20"/>
  <c r="R36" i="20"/>
  <c r="R202" i="19"/>
  <c r="R99" i="20"/>
  <c r="R89" i="20"/>
  <c r="R40" i="20"/>
  <c r="Z111" i="20"/>
  <c r="Z159" i="20"/>
  <c r="R66" i="20"/>
  <c r="R56" i="20"/>
  <c r="Z16" i="20"/>
  <c r="S159" i="19"/>
  <c r="S159" i="20" s="1"/>
  <c r="S60" i="19"/>
  <c r="R26" i="18"/>
  <c r="Z40" i="19"/>
  <c r="Z20" i="20"/>
  <c r="R60" i="20"/>
  <c r="Q198" i="20"/>
  <c r="R258" i="20"/>
  <c r="R133" i="20"/>
  <c r="R129" i="20"/>
  <c r="Z42" i="19"/>
  <c r="Z22" i="20"/>
  <c r="S70" i="20"/>
  <c r="Z18" i="20"/>
  <c r="Z107" i="20"/>
  <c r="Z155" i="20"/>
  <c r="S80" i="20"/>
  <c r="R26" i="19"/>
  <c r="R260" i="20"/>
  <c r="Q200" i="20"/>
  <c r="R109" i="19"/>
  <c r="R30" i="19" s="1"/>
  <c r="R131" i="19" s="1"/>
  <c r="T243" i="2"/>
  <c r="T212" i="2"/>
  <c r="T410" i="2"/>
  <c r="T238" i="2"/>
  <c r="T412" i="2"/>
  <c r="T396" i="2"/>
  <c r="T236" i="2"/>
  <c r="S260" i="19"/>
  <c r="S133" i="19"/>
  <c r="T411" i="2"/>
  <c r="T18" i="18"/>
  <c r="T157" i="18" s="1"/>
  <c r="S302" i="3"/>
  <c r="R202" i="3"/>
  <c r="S66" i="20"/>
  <c r="T398" i="2"/>
  <c r="T391" i="2"/>
  <c r="T409" i="2"/>
  <c r="T416" i="2"/>
  <c r="T197" i="2"/>
  <c r="U98" i="2"/>
  <c r="T414" i="2"/>
  <c r="T388" i="2"/>
  <c r="T233" i="2"/>
  <c r="T406" i="2"/>
  <c r="T182" i="2"/>
  <c r="T22" i="3" s="1"/>
  <c r="T393" i="2"/>
  <c r="T392" i="2"/>
  <c r="T241" i="2"/>
  <c r="T237" i="2"/>
  <c r="T394" i="2"/>
  <c r="T239" i="2"/>
  <c r="T234" i="2"/>
  <c r="T389" i="2"/>
  <c r="T407" i="2"/>
  <c r="T413" i="2"/>
  <c r="T395" i="2"/>
  <c r="T240" i="2"/>
  <c r="U92" i="2"/>
  <c r="U140" i="10" s="1"/>
  <c r="U100" i="2"/>
  <c r="U148" i="10" s="1"/>
  <c r="U97" i="2"/>
  <c r="U145" i="10" s="1"/>
  <c r="T16" i="18"/>
  <c r="T155" i="18" s="1"/>
  <c r="U91" i="2"/>
  <c r="U139" i="10" s="1"/>
  <c r="U94" i="2"/>
  <c r="U142" i="10" s="1"/>
  <c r="Z91" i="19"/>
  <c r="AA59" i="17"/>
  <c r="AA97" i="17"/>
  <c r="Z101" i="19"/>
  <c r="U101" i="2"/>
  <c r="U149" i="10" s="1"/>
  <c r="T20" i="18"/>
  <c r="T159" i="18" s="1"/>
  <c r="T22" i="18"/>
  <c r="T161" i="18" s="1"/>
  <c r="Z62" i="19"/>
  <c r="AA7" i="17"/>
  <c r="AA7" i="19"/>
  <c r="AA7" i="18"/>
  <c r="AA8" i="17"/>
  <c r="AA8" i="19"/>
  <c r="AA8" i="18"/>
  <c r="AA53" i="17"/>
  <c r="AA99" i="17"/>
  <c r="Q169" i="15"/>
  <c r="Z56" i="19"/>
  <c r="Z60" i="19"/>
  <c r="Z38" i="19"/>
  <c r="Z58" i="19"/>
  <c r="Z89" i="19"/>
  <c r="AA177" i="19"/>
  <c r="AA181" i="19"/>
  <c r="AA159" i="19"/>
  <c r="AA11" i="19"/>
  <c r="AA46" i="19" s="1"/>
  <c r="AA30" i="19"/>
  <c r="AA26" i="19"/>
  <c r="AA240" i="19"/>
  <c r="AA242" i="19"/>
  <c r="AA179" i="19"/>
  <c r="AA137" i="19"/>
  <c r="AA143" i="19"/>
  <c r="AA28" i="19"/>
  <c r="AA236" i="19"/>
  <c r="AA202" i="19"/>
  <c r="AA141" i="19"/>
  <c r="AA105" i="19"/>
  <c r="M105" i="19" s="1"/>
  <c r="AA131" i="19"/>
  <c r="AA157" i="19"/>
  <c r="AA196" i="19"/>
  <c r="AA175" i="19"/>
  <c r="AA129" i="19"/>
  <c r="AA32" i="19"/>
  <c r="AA155" i="19"/>
  <c r="AA200" i="19"/>
  <c r="AA133" i="19"/>
  <c r="AA127" i="19"/>
  <c r="AA238" i="19"/>
  <c r="AA109" i="19"/>
  <c r="AA161" i="19"/>
  <c r="AA198" i="19"/>
  <c r="AA107" i="19"/>
  <c r="AA193" i="19"/>
  <c r="AA139" i="19"/>
  <c r="AA111" i="19"/>
  <c r="U43" i="2"/>
  <c r="U59" i="2"/>
  <c r="U62" i="2"/>
  <c r="U93" i="2"/>
  <c r="U141" i="10" s="1"/>
  <c r="U6" i="17"/>
  <c r="U6" i="19"/>
  <c r="U6" i="18"/>
  <c r="U6" i="9"/>
  <c r="U6" i="3"/>
  <c r="U95" i="2"/>
  <c r="U143" i="10" s="1"/>
  <c r="Z85" i="19"/>
  <c r="Z87" i="19"/>
  <c r="U317" i="2"/>
  <c r="U315" i="2" s="1"/>
  <c r="U300" i="2"/>
  <c r="V7" i="19"/>
  <c r="V7" i="18"/>
  <c r="V7" i="9"/>
  <c r="V8" i="2"/>
  <c r="W7" i="2" s="1"/>
  <c r="W7" i="21" s="1"/>
  <c r="V7" i="17"/>
  <c r="V7" i="3"/>
  <c r="Z99" i="19"/>
  <c r="P315" i="13"/>
  <c r="Q169" i="13"/>
  <c r="AA57" i="17"/>
  <c r="AA95" i="17"/>
  <c r="AA6" i="17"/>
  <c r="AA6" i="18"/>
  <c r="AA6" i="19"/>
  <c r="U96" i="2"/>
  <c r="U144" i="10" s="1"/>
  <c r="AA93" i="17"/>
  <c r="AA55" i="17"/>
  <c r="Q169" i="11"/>
  <c r="P315" i="11"/>
  <c r="Z97" i="19"/>
  <c r="Z36" i="19"/>
  <c r="Z95" i="19"/>
  <c r="AA30" i="18"/>
  <c r="AA202" i="18"/>
  <c r="AA22" i="18"/>
  <c r="AA16" i="18"/>
  <c r="AA11" i="18"/>
  <c r="AA48" i="18" s="1"/>
  <c r="AA18" i="18"/>
  <c r="AA107" i="18"/>
  <c r="AA20" i="18"/>
  <c r="AA198" i="18"/>
  <c r="AA139" i="18"/>
  <c r="AA179" i="18"/>
  <c r="AA105" i="18"/>
  <c r="M105" i="18" s="1"/>
  <c r="AA131" i="18"/>
  <c r="AA32" i="18"/>
  <c r="AA28" i="18"/>
  <c r="AA155" i="18"/>
  <c r="AA238" i="18"/>
  <c r="AA127" i="18"/>
  <c r="AA26" i="18"/>
  <c r="AA193" i="18"/>
  <c r="AA157" i="18"/>
  <c r="AA236" i="18"/>
  <c r="AA159" i="18"/>
  <c r="AA141" i="18"/>
  <c r="AA111" i="18"/>
  <c r="AA196" i="18"/>
  <c r="AA175" i="18"/>
  <c r="AA242" i="18"/>
  <c r="AA143" i="18"/>
  <c r="AA181" i="18"/>
  <c r="AA129" i="18"/>
  <c r="AA137" i="18"/>
  <c r="AA109" i="18"/>
  <c r="AA133" i="18"/>
  <c r="AA177" i="18"/>
  <c r="AA161" i="18"/>
  <c r="AA200" i="18"/>
  <c r="AA240" i="18"/>
  <c r="U99" i="2"/>
  <c r="U147" i="10" s="1"/>
  <c r="U68" i="2"/>
  <c r="Z36" i="18"/>
  <c r="Z56" i="18"/>
  <c r="Z95" i="18"/>
  <c r="Z85" i="18"/>
  <c r="Z40" i="18"/>
  <c r="Z99" i="18"/>
  <c r="Z89" i="18"/>
  <c r="Z60" i="18"/>
  <c r="Z38" i="18"/>
  <c r="Z97" i="18"/>
  <c r="Z87" i="18"/>
  <c r="Z58" i="18"/>
  <c r="Z42" i="18"/>
  <c r="Z101" i="18"/>
  <c r="Z91" i="18"/>
  <c r="Z62" i="18"/>
  <c r="AA21" i="17"/>
  <c r="AA19" i="17"/>
  <c r="AA17" i="17"/>
  <c r="AA23" i="17"/>
  <c r="V19" i="17"/>
  <c r="V17" i="17"/>
  <c r="V23" i="17"/>
  <c r="V21" i="17"/>
  <c r="AA300" i="3"/>
  <c r="AA298" i="3"/>
  <c r="AA302" i="3"/>
  <c r="AA296" i="3"/>
  <c r="R57" i="17"/>
  <c r="AA7" i="3"/>
  <c r="AA7" i="9"/>
  <c r="AA8" i="3"/>
  <c r="AA8" i="9"/>
  <c r="AA6" i="3"/>
  <c r="AA6" i="9"/>
  <c r="AA238" i="3"/>
  <c r="AA237" i="3" s="1"/>
  <c r="AA236" i="3"/>
  <c r="AA235" i="3" s="1"/>
  <c r="AA242" i="3"/>
  <c r="AA241" i="3" s="1"/>
  <c r="AA240" i="3"/>
  <c r="AA239" i="3" s="1"/>
  <c r="AA200" i="3"/>
  <c r="AA196" i="3"/>
  <c r="AA202" i="3"/>
  <c r="AA198" i="3"/>
  <c r="AA193" i="3"/>
  <c r="AA341" i="3"/>
  <c r="AA343" i="3"/>
  <c r="AA345" i="3"/>
  <c r="AA347" i="3"/>
  <c r="AA311" i="3"/>
  <c r="AA317" i="3"/>
  <c r="AA315" i="3"/>
  <c r="AA313" i="3"/>
  <c r="AA331" i="3"/>
  <c r="AA321" i="3"/>
  <c r="AA165" i="3"/>
  <c r="AA325" i="3"/>
  <c r="AA323" i="3"/>
  <c r="AA333" i="3"/>
  <c r="AA335" i="3"/>
  <c r="AA327" i="3"/>
  <c r="AA337" i="3"/>
  <c r="AA175" i="3"/>
  <c r="AA181" i="3"/>
  <c r="AA179" i="3"/>
  <c r="AA177" i="3"/>
  <c r="AA167" i="3"/>
  <c r="AA169" i="3"/>
  <c r="AA171" i="3"/>
  <c r="AA155" i="3"/>
  <c r="AA161" i="3"/>
  <c r="AA159" i="3"/>
  <c r="AA157" i="3"/>
  <c r="AA137" i="3"/>
  <c r="AA139" i="3"/>
  <c r="AA141" i="3"/>
  <c r="AA143" i="3"/>
  <c r="AA133" i="3"/>
  <c r="AA129" i="3"/>
  <c r="AA127" i="3"/>
  <c r="AA131" i="3"/>
  <c r="AA123" i="3"/>
  <c r="AA121" i="3"/>
  <c r="AA119" i="3"/>
  <c r="AA117" i="3"/>
  <c r="AA30" i="3"/>
  <c r="AA105" i="3"/>
  <c r="AA26" i="3"/>
  <c r="AA28" i="3"/>
  <c r="AA97" i="3"/>
  <c r="AA32" i="3"/>
  <c r="AA85" i="3"/>
  <c r="AA107" i="3"/>
  <c r="AA95" i="3"/>
  <c r="AA99" i="3"/>
  <c r="AA87" i="3"/>
  <c r="AA56" i="3"/>
  <c r="AA72" i="3"/>
  <c r="AA58" i="3"/>
  <c r="AA91" i="3"/>
  <c r="AA78" i="3"/>
  <c r="AA80" i="3"/>
  <c r="AA16" i="3"/>
  <c r="AA60" i="3"/>
  <c r="AA42" i="3"/>
  <c r="AA89" i="3"/>
  <c r="AA68" i="3"/>
  <c r="AA40" i="3"/>
  <c r="AA20" i="3"/>
  <c r="AA101" i="3"/>
  <c r="AA111" i="3"/>
  <c r="AA76" i="3"/>
  <c r="AA22" i="3"/>
  <c r="AA70" i="3"/>
  <c r="AA36" i="3"/>
  <c r="AA109" i="3"/>
  <c r="AA82" i="3"/>
  <c r="AA62" i="3"/>
  <c r="AA38" i="3"/>
  <c r="AA66" i="3"/>
  <c r="AA18" i="3"/>
  <c r="W250" i="2"/>
  <c r="Z109" i="1"/>
  <c r="Z127" i="1" s="1"/>
  <c r="Z26" i="1"/>
  <c r="Z75" i="1" s="1"/>
  <c r="Z102" i="1"/>
  <c r="AA1" i="1"/>
  <c r="Z78" i="1"/>
  <c r="Z99" i="1" s="1"/>
  <c r="S40" i="11" l="1"/>
  <c r="S109" i="11" s="1"/>
  <c r="S30" i="11" s="1"/>
  <c r="S99" i="11"/>
  <c r="S95" i="11"/>
  <c r="S38" i="13"/>
  <c r="S42" i="13"/>
  <c r="AA8" i="1"/>
  <c r="Z269" i="3"/>
  <c r="Z267" i="3"/>
  <c r="Z271" i="3"/>
  <c r="Z265" i="3"/>
  <c r="Z239" i="3"/>
  <c r="Z235" i="3"/>
  <c r="Z237" i="3"/>
  <c r="Z241" i="3"/>
  <c r="S22" i="20"/>
  <c r="S62" i="19"/>
  <c r="S62" i="20" s="1"/>
  <c r="S161" i="3"/>
  <c r="S161" i="20" s="1"/>
  <c r="S99" i="15"/>
  <c r="S95" i="15"/>
  <c r="S129" i="15"/>
  <c r="S313" i="15" s="1"/>
  <c r="S60" i="20"/>
  <c r="S95" i="13"/>
  <c r="S97" i="13"/>
  <c r="S99" i="13"/>
  <c r="S133" i="15"/>
  <c r="S317" i="15" s="1"/>
  <c r="S58" i="18"/>
  <c r="S87" i="13"/>
  <c r="S18" i="20"/>
  <c r="S89" i="13"/>
  <c r="S129" i="3"/>
  <c r="S353" i="3" s="1"/>
  <c r="S133" i="3"/>
  <c r="S357" i="3" s="1"/>
  <c r="S58" i="19"/>
  <c r="S171" i="13"/>
  <c r="S181" i="13" s="1"/>
  <c r="S85" i="13"/>
  <c r="S167" i="13"/>
  <c r="S177" i="13" s="1"/>
  <c r="S167" i="11"/>
  <c r="S91" i="15"/>
  <c r="S89" i="15"/>
  <c r="S42" i="11"/>
  <c r="S111" i="11" s="1"/>
  <c r="S38" i="11"/>
  <c r="S107" i="11" s="1"/>
  <c r="S28" i="11" s="1"/>
  <c r="S169" i="11"/>
  <c r="S133" i="13"/>
  <c r="S317" i="13" s="1"/>
  <c r="S129" i="13"/>
  <c r="S313" i="13" s="1"/>
  <c r="S87" i="15"/>
  <c r="S171" i="11"/>
  <c r="S181" i="11" s="1"/>
  <c r="S297" i="11" s="1"/>
  <c r="S16" i="20"/>
  <c r="S97" i="3"/>
  <c r="S155" i="3"/>
  <c r="S155" i="20" s="1"/>
  <c r="S36" i="13"/>
  <c r="S56" i="18"/>
  <c r="S56" i="20" s="1"/>
  <c r="S95" i="19"/>
  <c r="S99" i="19"/>
  <c r="S42" i="19"/>
  <c r="S101" i="19"/>
  <c r="S101" i="18"/>
  <c r="S97" i="18"/>
  <c r="S95" i="18"/>
  <c r="S99" i="18"/>
  <c r="S97" i="19"/>
  <c r="S99" i="3"/>
  <c r="S101" i="3"/>
  <c r="S42" i="15"/>
  <c r="S167" i="15"/>
  <c r="S177" i="15" s="1"/>
  <c r="T258" i="15" s="1"/>
  <c r="S97" i="15"/>
  <c r="S87" i="19"/>
  <c r="S89" i="19"/>
  <c r="S87" i="18"/>
  <c r="S87" i="3"/>
  <c r="S85" i="18"/>
  <c r="S91" i="3"/>
  <c r="S85" i="19"/>
  <c r="S171" i="18"/>
  <c r="S181" i="18" s="1"/>
  <c r="S202" i="18" s="1"/>
  <c r="S85" i="3"/>
  <c r="S91" i="19"/>
  <c r="S91" i="18"/>
  <c r="S89" i="3"/>
  <c r="S38" i="19"/>
  <c r="S167" i="18"/>
  <c r="S177" i="18" s="1"/>
  <c r="S198" i="18" s="1"/>
  <c r="S169" i="18"/>
  <c r="S179" i="18" s="1"/>
  <c r="S167" i="19"/>
  <c r="S177" i="19" s="1"/>
  <c r="S198" i="19" s="1"/>
  <c r="S36" i="19"/>
  <c r="S42" i="3"/>
  <c r="S171" i="19"/>
  <c r="S181" i="19" s="1"/>
  <c r="S202" i="19" s="1"/>
  <c r="S42" i="18"/>
  <c r="S38" i="3"/>
  <c r="S167" i="3"/>
  <c r="S177" i="3" s="1"/>
  <c r="S333" i="3" s="1"/>
  <c r="S38" i="18"/>
  <c r="S171" i="3"/>
  <c r="S36" i="3"/>
  <c r="S36" i="18"/>
  <c r="S40" i="18"/>
  <c r="S40" i="3"/>
  <c r="S169" i="19"/>
  <c r="S179" i="19" s="1"/>
  <c r="T260" i="19" s="1"/>
  <c r="S36" i="15"/>
  <c r="S169" i="15"/>
  <c r="S179" i="15" s="1"/>
  <c r="S200" i="15" s="1"/>
  <c r="M110" i="21"/>
  <c r="S179" i="11"/>
  <c r="T260" i="11" s="1"/>
  <c r="S171" i="15"/>
  <c r="S181" i="15" s="1"/>
  <c r="T262" i="15" s="1"/>
  <c r="S40" i="15"/>
  <c r="S26" i="11"/>
  <c r="M44" i="21"/>
  <c r="S157" i="11"/>
  <c r="S129" i="11"/>
  <c r="S313" i="11" s="1"/>
  <c r="S133" i="11"/>
  <c r="S317" i="11" s="1"/>
  <c r="Y279" i="12"/>
  <c r="Y70" i="3"/>
  <c r="Y70" i="20" s="1"/>
  <c r="Y68" i="3"/>
  <c r="Y68" i="20" s="1"/>
  <c r="X66" i="15"/>
  <c r="Y72" i="3"/>
  <c r="M72" i="3" s="1"/>
  <c r="X72" i="15"/>
  <c r="Y66" i="3"/>
  <c r="Y66" i="20" s="1"/>
  <c r="X68" i="15"/>
  <c r="Y260" i="10"/>
  <c r="Y70" i="11" s="1"/>
  <c r="M70" i="11" s="1"/>
  <c r="Y260" i="12"/>
  <c r="Y70" i="13" s="1"/>
  <c r="M70" i="13" s="1"/>
  <c r="W293" i="10"/>
  <c r="Y260" i="14"/>
  <c r="Y70" i="15" s="1"/>
  <c r="M70" i="15" s="1"/>
  <c r="W293" i="12"/>
  <c r="X278" i="12"/>
  <c r="X80" i="13" s="1"/>
  <c r="W293" i="14"/>
  <c r="X278" i="10"/>
  <c r="X76" i="11" s="1"/>
  <c r="X278" i="14"/>
  <c r="X76" i="15" s="1"/>
  <c r="W7" i="17"/>
  <c r="S169" i="13"/>
  <c r="S179" i="13" s="1"/>
  <c r="T260" i="13" s="1"/>
  <c r="M59" i="21"/>
  <c r="W7" i="18"/>
  <c r="W7" i="9"/>
  <c r="X82" i="15"/>
  <c r="X78" i="15"/>
  <c r="X80" i="15"/>
  <c r="Y72" i="11"/>
  <c r="M72" i="11" s="1"/>
  <c r="Y66" i="11"/>
  <c r="M66" i="11" s="1"/>
  <c r="Y68" i="13"/>
  <c r="M68" i="13" s="1"/>
  <c r="Y66" i="13"/>
  <c r="M66" i="13" s="1"/>
  <c r="Y72" i="13"/>
  <c r="M72" i="13" s="1"/>
  <c r="X80" i="11"/>
  <c r="Y300" i="12"/>
  <c r="Y300" i="10"/>
  <c r="Y300" i="14"/>
  <c r="Y80" i="18"/>
  <c r="Y76" i="18"/>
  <c r="Y78" i="18"/>
  <c r="Y82" i="18"/>
  <c r="X296" i="14"/>
  <c r="X296" i="10"/>
  <c r="X296" i="12"/>
  <c r="X368" i="2"/>
  <c r="Y290" i="12"/>
  <c r="Y290" i="10"/>
  <c r="Y290" i="14"/>
  <c r="Y302" i="12"/>
  <c r="Y302" i="10"/>
  <c r="Y302" i="14"/>
  <c r="Y287" i="12"/>
  <c r="Y287" i="14"/>
  <c r="Y287" i="10"/>
  <c r="Y378" i="2"/>
  <c r="X77" i="18"/>
  <c r="X81" i="20"/>
  <c r="X80" i="3"/>
  <c r="X80" i="20" s="1"/>
  <c r="X76" i="3"/>
  <c r="X76" i="20" s="1"/>
  <c r="X79" i="20"/>
  <c r="X81" i="19"/>
  <c r="X77" i="20"/>
  <c r="X77" i="19"/>
  <c r="X78" i="3"/>
  <c r="X81" i="18"/>
  <c r="X82" i="3"/>
  <c r="X82" i="20" s="1"/>
  <c r="X79" i="19"/>
  <c r="X79" i="18"/>
  <c r="Y288" i="12"/>
  <c r="Y288" i="10"/>
  <c r="Y288" i="14"/>
  <c r="Y379" i="2"/>
  <c r="Y294" i="14"/>
  <c r="Y294" i="12"/>
  <c r="Y294" i="10"/>
  <c r="Y281" i="12"/>
  <c r="Y281" i="10"/>
  <c r="Y281" i="14"/>
  <c r="Y372" i="2"/>
  <c r="W82" i="15"/>
  <c r="W78" i="15"/>
  <c r="W76" i="15"/>
  <c r="W80" i="15"/>
  <c r="X297" i="12"/>
  <c r="X297" i="14"/>
  <c r="X297" i="10"/>
  <c r="Y353" i="2"/>
  <c r="W78" i="11"/>
  <c r="W80" i="11"/>
  <c r="W76" i="11"/>
  <c r="W82" i="11"/>
  <c r="Y283" i="12"/>
  <c r="Y283" i="10"/>
  <c r="Y283" i="14"/>
  <c r="Y374" i="2"/>
  <c r="Y305" i="14"/>
  <c r="Y305" i="12"/>
  <c r="Y305" i="10"/>
  <c r="W50" i="3"/>
  <c r="W46" i="3"/>
  <c r="W48" i="3"/>
  <c r="W52" i="3"/>
  <c r="W46" i="18"/>
  <c r="W50" i="19"/>
  <c r="W50" i="18"/>
  <c r="W48" i="19"/>
  <c r="W52" i="19"/>
  <c r="W48" i="18"/>
  <c r="W52" i="18"/>
  <c r="W46" i="19"/>
  <c r="W7" i="3"/>
  <c r="W8" i="2"/>
  <c r="X7" i="2" s="1"/>
  <c r="W7" i="20"/>
  <c r="Y295" i="12"/>
  <c r="Y295" i="10"/>
  <c r="Y295" i="14"/>
  <c r="Y301" i="10"/>
  <c r="Y301" i="14"/>
  <c r="Y301" i="12"/>
  <c r="Y80" i="19"/>
  <c r="Y76" i="19"/>
  <c r="Y78" i="19"/>
  <c r="Y82" i="19"/>
  <c r="W7" i="19"/>
  <c r="X300" i="10"/>
  <c r="X300" i="12"/>
  <c r="X300" i="14"/>
  <c r="Y280" i="14"/>
  <c r="Y280" i="10"/>
  <c r="Y280" i="12"/>
  <c r="Y278" i="12" s="1"/>
  <c r="Y371" i="2"/>
  <c r="Y298" i="14"/>
  <c r="Y298" i="12"/>
  <c r="Y298" i="10"/>
  <c r="X133" i="19"/>
  <c r="X129" i="19"/>
  <c r="Z52" i="20"/>
  <c r="AA167" i="20"/>
  <c r="Z50" i="20"/>
  <c r="R198" i="13"/>
  <c r="S258" i="13"/>
  <c r="AA165" i="20"/>
  <c r="AA169" i="20"/>
  <c r="AA171" i="20"/>
  <c r="AA48" i="19"/>
  <c r="AA48" i="20" s="1"/>
  <c r="T157" i="14"/>
  <c r="T38" i="15" s="1"/>
  <c r="V50" i="20"/>
  <c r="AA50" i="19"/>
  <c r="V48" i="20"/>
  <c r="AA52" i="18"/>
  <c r="V52" i="20"/>
  <c r="AA46" i="18"/>
  <c r="AA46" i="20" s="1"/>
  <c r="AA50" i="18"/>
  <c r="V46" i="20"/>
  <c r="S169" i="3"/>
  <c r="S179" i="3" s="1"/>
  <c r="S200" i="3" s="1"/>
  <c r="R355" i="3"/>
  <c r="AA52" i="19"/>
  <c r="M105" i="3"/>
  <c r="AA105" i="20"/>
  <c r="M105" i="20" s="1"/>
  <c r="V8" i="21"/>
  <c r="V8" i="20"/>
  <c r="U312" i="12"/>
  <c r="T329" i="14"/>
  <c r="T95" i="15" s="1"/>
  <c r="U169" i="12"/>
  <c r="T38" i="11"/>
  <c r="T36" i="11"/>
  <c r="T42" i="11"/>
  <c r="T40" i="11"/>
  <c r="T89" i="11"/>
  <c r="T87" i="11"/>
  <c r="T85" i="11"/>
  <c r="T91" i="11"/>
  <c r="U339" i="10"/>
  <c r="U321" i="10"/>
  <c r="U166" i="10"/>
  <c r="U336" i="10"/>
  <c r="U163" i="10"/>
  <c r="U318" i="10"/>
  <c r="U164" i="10"/>
  <c r="U337" i="10"/>
  <c r="U319" i="10"/>
  <c r="U146" i="12"/>
  <c r="U320" i="12" s="1"/>
  <c r="U146" i="10"/>
  <c r="U137" i="10" s="1"/>
  <c r="T95" i="11"/>
  <c r="T101" i="11"/>
  <c r="T99" i="11"/>
  <c r="T97" i="11"/>
  <c r="U333" i="10"/>
  <c r="U315" i="10"/>
  <c r="U160" i="10"/>
  <c r="U334" i="10"/>
  <c r="U316" i="10"/>
  <c r="U161" i="10"/>
  <c r="U167" i="10"/>
  <c r="U340" i="10"/>
  <c r="U322" i="10"/>
  <c r="U158" i="10"/>
  <c r="U313" i="10"/>
  <c r="U331" i="10"/>
  <c r="U314" i="10"/>
  <c r="U332" i="10"/>
  <c r="U159" i="10"/>
  <c r="U330" i="10"/>
  <c r="U312" i="10"/>
  <c r="U169" i="10"/>
  <c r="U335" i="10"/>
  <c r="U317" i="10"/>
  <c r="U162" i="10"/>
  <c r="U323" i="10"/>
  <c r="U168" i="10"/>
  <c r="U341" i="10"/>
  <c r="T16" i="11"/>
  <c r="T18" i="11"/>
  <c r="T20" i="11"/>
  <c r="T22" i="11"/>
  <c r="R200" i="13"/>
  <c r="T311" i="14"/>
  <c r="T87" i="15" s="1"/>
  <c r="U145" i="14"/>
  <c r="U337" i="14" s="1"/>
  <c r="U145" i="12"/>
  <c r="U139" i="14"/>
  <c r="U158" i="14" s="1"/>
  <c r="U139" i="12"/>
  <c r="U140" i="14"/>
  <c r="U314" i="14" s="1"/>
  <c r="U140" i="12"/>
  <c r="R202" i="13"/>
  <c r="S262" i="13"/>
  <c r="R297" i="13"/>
  <c r="T16" i="13"/>
  <c r="T20" i="13"/>
  <c r="T22" i="13"/>
  <c r="T18" i="13"/>
  <c r="U147" i="14"/>
  <c r="U339" i="14" s="1"/>
  <c r="U147" i="12"/>
  <c r="U144" i="14"/>
  <c r="U336" i="14" s="1"/>
  <c r="U144" i="12"/>
  <c r="U143" i="14"/>
  <c r="U317" i="14" s="1"/>
  <c r="U143" i="12"/>
  <c r="U149" i="14"/>
  <c r="U341" i="14" s="1"/>
  <c r="U149" i="12"/>
  <c r="T311" i="12"/>
  <c r="S111" i="13"/>
  <c r="T329" i="12"/>
  <c r="U141" i="14"/>
  <c r="U333" i="14" s="1"/>
  <c r="U141" i="12"/>
  <c r="U142" i="14"/>
  <c r="U316" i="14" s="1"/>
  <c r="U142" i="12"/>
  <c r="U148" i="14"/>
  <c r="U167" i="14" s="1"/>
  <c r="U148" i="12"/>
  <c r="T157" i="12"/>
  <c r="U312" i="14"/>
  <c r="U330" i="14"/>
  <c r="U169" i="14"/>
  <c r="U221" i="2"/>
  <c r="U191" i="2" s="1"/>
  <c r="U240" i="2" s="1"/>
  <c r="U146" i="14"/>
  <c r="T16" i="15"/>
  <c r="T18" i="15"/>
  <c r="T20" i="15"/>
  <c r="T22" i="15"/>
  <c r="Z101" i="20"/>
  <c r="R28" i="19"/>
  <c r="U224" i="2"/>
  <c r="U194" i="2" s="1"/>
  <c r="U217" i="2"/>
  <c r="U187" i="2" s="1"/>
  <c r="U222" i="2"/>
  <c r="U192" i="2" s="1"/>
  <c r="U219" i="2"/>
  <c r="U189" i="2" s="1"/>
  <c r="U214" i="2"/>
  <c r="U184" i="2" s="1"/>
  <c r="U215" i="2"/>
  <c r="U185" i="2" s="1"/>
  <c r="U218" i="2"/>
  <c r="U188" i="2" s="1"/>
  <c r="U220" i="2"/>
  <c r="U190" i="2" s="1"/>
  <c r="U223" i="2"/>
  <c r="U193" i="2" s="1"/>
  <c r="U216" i="2"/>
  <c r="U186" i="2" s="1"/>
  <c r="Z66" i="20"/>
  <c r="R179" i="3"/>
  <c r="S300" i="3" s="1"/>
  <c r="R107" i="20"/>
  <c r="R28" i="20" s="1"/>
  <c r="R111" i="20"/>
  <c r="R32" i="20" s="1"/>
  <c r="Z40" i="20"/>
  <c r="Z42" i="20"/>
  <c r="AA111" i="20"/>
  <c r="R198" i="20"/>
  <c r="R26" i="20"/>
  <c r="Z36" i="20"/>
  <c r="Z62" i="20"/>
  <c r="Z38" i="20"/>
  <c r="Z70" i="20"/>
  <c r="Z68" i="20"/>
  <c r="AA157" i="20"/>
  <c r="Z82" i="20"/>
  <c r="Z87" i="20"/>
  <c r="Z97" i="20"/>
  <c r="AA161" i="20"/>
  <c r="Z91" i="20"/>
  <c r="Z78" i="20"/>
  <c r="Z89" i="20"/>
  <c r="Z95" i="20"/>
  <c r="AA155" i="20"/>
  <c r="Z99" i="20"/>
  <c r="S129" i="19"/>
  <c r="Z72" i="20"/>
  <c r="Z85" i="20"/>
  <c r="AA97" i="19"/>
  <c r="AA18" i="20"/>
  <c r="AA107" i="20"/>
  <c r="S72" i="20"/>
  <c r="S68" i="20"/>
  <c r="S262" i="20"/>
  <c r="R202" i="20"/>
  <c r="Z76" i="20"/>
  <c r="AA56" i="19"/>
  <c r="AA16" i="20"/>
  <c r="AA101" i="19"/>
  <c r="AA22" i="20"/>
  <c r="AA99" i="19"/>
  <c r="AA20" i="20"/>
  <c r="Z80" i="20"/>
  <c r="S76" i="20"/>
  <c r="R109" i="20"/>
  <c r="AA109" i="20"/>
  <c r="AA159" i="20"/>
  <c r="Z58" i="20"/>
  <c r="Z60" i="20"/>
  <c r="Z56" i="20"/>
  <c r="S133" i="18"/>
  <c r="S78" i="20"/>
  <c r="T16" i="19"/>
  <c r="T155" i="19" s="1"/>
  <c r="T20" i="19"/>
  <c r="T159" i="19" s="1"/>
  <c r="T22" i="19"/>
  <c r="T161" i="19" s="1"/>
  <c r="T18" i="19"/>
  <c r="T157" i="19" s="1"/>
  <c r="S82" i="20"/>
  <c r="R179" i="20"/>
  <c r="T20" i="3"/>
  <c r="S129" i="18"/>
  <c r="T18" i="3"/>
  <c r="T232" i="2"/>
  <c r="T386" i="2"/>
  <c r="T404" i="2"/>
  <c r="T95" i="3" s="1"/>
  <c r="T16" i="3"/>
  <c r="Q179" i="15"/>
  <c r="U89" i="2"/>
  <c r="AA95" i="19"/>
  <c r="AA87" i="19"/>
  <c r="AA42" i="19"/>
  <c r="AA85" i="19"/>
  <c r="AA60" i="19"/>
  <c r="AA58" i="19"/>
  <c r="AA36" i="19"/>
  <c r="AA40" i="19"/>
  <c r="AA38" i="19"/>
  <c r="AA89" i="19"/>
  <c r="AA91" i="19"/>
  <c r="Q179" i="11"/>
  <c r="R260" i="11" s="1"/>
  <c r="Q179" i="13"/>
  <c r="R260" i="13" s="1"/>
  <c r="V8" i="19"/>
  <c r="V8" i="18"/>
  <c r="V470" i="2"/>
  <c r="V473" i="2"/>
  <c r="V474" i="2"/>
  <c r="V6" i="2"/>
  <c r="V50" i="2"/>
  <c r="V65" i="2" s="1"/>
  <c r="V303" i="2"/>
  <c r="V319" i="2" s="1"/>
  <c r="V309" i="2"/>
  <c r="V325" i="2" s="1"/>
  <c r="V302" i="2"/>
  <c r="V318" i="2" s="1"/>
  <c r="V51" i="2"/>
  <c r="V66" i="2" s="1"/>
  <c r="V55" i="2"/>
  <c r="V70" i="2" s="1"/>
  <c r="V469" i="2"/>
  <c r="V467" i="2"/>
  <c r="V8" i="3"/>
  <c r="V53" i="2"/>
  <c r="V49" i="2"/>
  <c r="V64" i="2" s="1"/>
  <c r="V304" i="2"/>
  <c r="V320" i="2" s="1"/>
  <c r="V312" i="2"/>
  <c r="W316" i="2" s="1"/>
  <c r="V476" i="2"/>
  <c r="V310" i="2"/>
  <c r="V326" i="2" s="1"/>
  <c r="V307" i="2"/>
  <c r="V323" i="2" s="1"/>
  <c r="V301" i="2"/>
  <c r="V45" i="2"/>
  <c r="V60" i="2" s="1"/>
  <c r="V52" i="2"/>
  <c r="V67" i="2" s="1"/>
  <c r="V466" i="2"/>
  <c r="V44" i="2"/>
  <c r="V90" i="2" s="1"/>
  <c r="V138" i="10" s="1"/>
  <c r="V54" i="2"/>
  <c r="V69" i="2" s="1"/>
  <c r="V8" i="9"/>
  <c r="V468" i="2"/>
  <c r="V8" i="17"/>
  <c r="V471" i="2"/>
  <c r="V472" i="2"/>
  <c r="V475" i="2"/>
  <c r="V46" i="2"/>
  <c r="V61" i="2" s="1"/>
  <c r="V306" i="2"/>
  <c r="V322" i="2" s="1"/>
  <c r="V311" i="2"/>
  <c r="V327" i="2" s="1"/>
  <c r="V308" i="2"/>
  <c r="V324" i="2" s="1"/>
  <c r="V47" i="2"/>
  <c r="V62" i="2" s="1"/>
  <c r="V48" i="2"/>
  <c r="V63" i="2" s="1"/>
  <c r="V465" i="2"/>
  <c r="V305" i="2"/>
  <c r="V321" i="2" s="1"/>
  <c r="U56" i="3"/>
  <c r="U62" i="3"/>
  <c r="U58" i="3"/>
  <c r="U60" i="3"/>
  <c r="U58" i="2"/>
  <c r="AA62" i="19"/>
  <c r="AA38" i="18"/>
  <c r="AA58" i="18"/>
  <c r="AA97" i="18"/>
  <c r="AA87" i="18"/>
  <c r="AA36" i="18"/>
  <c r="AA95" i="18"/>
  <c r="AA85" i="18"/>
  <c r="AA56" i="18"/>
  <c r="T161" i="3"/>
  <c r="T62" i="18"/>
  <c r="AA42" i="18"/>
  <c r="AA101" i="18"/>
  <c r="AA82" i="20"/>
  <c r="AA62" i="18"/>
  <c r="AA91" i="18"/>
  <c r="AA40" i="18"/>
  <c r="AA99" i="18"/>
  <c r="AA89" i="18"/>
  <c r="AA60" i="18"/>
  <c r="W21" i="17"/>
  <c r="W57" i="17" s="1"/>
  <c r="W19" i="17"/>
  <c r="W55" i="17" s="1"/>
  <c r="W17" i="17"/>
  <c r="W53" i="17" s="1"/>
  <c r="W23" i="17"/>
  <c r="W59" i="17" s="1"/>
  <c r="T55" i="17"/>
  <c r="W473" i="2"/>
  <c r="W476" i="2"/>
  <c r="W466" i="2"/>
  <c r="W475" i="2"/>
  <c r="W469" i="2"/>
  <c r="W472" i="2"/>
  <c r="W471" i="2"/>
  <c r="W465" i="2"/>
  <c r="W474" i="2"/>
  <c r="W467" i="2"/>
  <c r="W470" i="2"/>
  <c r="W468" i="2"/>
  <c r="W461" i="2"/>
  <c r="W458" i="2"/>
  <c r="W457" i="2"/>
  <c r="W459" i="2"/>
  <c r="W460" i="2"/>
  <c r="U244" i="2"/>
  <c r="U405" i="2"/>
  <c r="U387" i="2"/>
  <c r="W6" i="2"/>
  <c r="W312" i="2"/>
  <c r="X316" i="2" s="1"/>
  <c r="W301" i="2"/>
  <c r="W45" i="2"/>
  <c r="W51" i="2"/>
  <c r="W55" i="2"/>
  <c r="W44" i="2"/>
  <c r="W48" i="2"/>
  <c r="W309" i="2"/>
  <c r="W325" i="2" s="1"/>
  <c r="W46" i="2"/>
  <c r="W53" i="2"/>
  <c r="W305" i="2"/>
  <c r="W321" i="2" s="1"/>
  <c r="W311" i="2"/>
  <c r="W327" i="2" s="1"/>
  <c r="W302" i="2"/>
  <c r="W318" i="2" s="1"/>
  <c r="W47" i="2"/>
  <c r="W54" i="2"/>
  <c r="W303" i="2"/>
  <c r="W319" i="2" s="1"/>
  <c r="W304" i="2"/>
  <c r="W320" i="2" s="1"/>
  <c r="W310" i="2"/>
  <c r="W326" i="2" s="1"/>
  <c r="W52" i="2"/>
  <c r="W308" i="2"/>
  <c r="W324" i="2" s="1"/>
  <c r="W307" i="2"/>
  <c r="W323" i="2" s="1"/>
  <c r="W49" i="2"/>
  <c r="W306" i="2"/>
  <c r="W322" i="2" s="1"/>
  <c r="W50" i="2"/>
  <c r="S250" i="2"/>
  <c r="AA109" i="1"/>
  <c r="AA127" i="1" s="1"/>
  <c r="AA26" i="1"/>
  <c r="AA102" i="1"/>
  <c r="AA75" i="1"/>
  <c r="AB1" i="1"/>
  <c r="AA78" i="1"/>
  <c r="AA99" i="1" s="1"/>
  <c r="S107" i="15" l="1"/>
  <c r="S28" i="15" s="1"/>
  <c r="S107" i="13"/>
  <c r="S181" i="3"/>
  <c r="T302" i="3" s="1"/>
  <c r="S26" i="15"/>
  <c r="AB8" i="1"/>
  <c r="W8" i="17"/>
  <c r="W8" i="3"/>
  <c r="W8" i="9"/>
  <c r="S109" i="15"/>
  <c r="S30" i="15" s="1"/>
  <c r="S131" i="15" s="1"/>
  <c r="S315" i="15" s="1"/>
  <c r="S26" i="13"/>
  <c r="S109" i="13"/>
  <c r="S30" i="13" s="1"/>
  <c r="S177" i="11"/>
  <c r="S198" i="11" s="1"/>
  <c r="S58" i="20"/>
  <c r="S198" i="15"/>
  <c r="T262" i="18"/>
  <c r="T258" i="19"/>
  <c r="S293" i="15"/>
  <c r="S32" i="11"/>
  <c r="S111" i="15"/>
  <c r="S32" i="15" s="1"/>
  <c r="S36" i="20"/>
  <c r="S171" i="20"/>
  <c r="S181" i="20" s="1"/>
  <c r="S202" i="20" s="1"/>
  <c r="S97" i="20"/>
  <c r="T262" i="19"/>
  <c r="S95" i="20"/>
  <c r="S99" i="20"/>
  <c r="S101" i="20"/>
  <c r="T258" i="18"/>
  <c r="S89" i="20"/>
  <c r="S87" i="20"/>
  <c r="S38" i="20"/>
  <c r="S85" i="20"/>
  <c r="S91" i="20"/>
  <c r="W8" i="18"/>
  <c r="S167" i="20"/>
  <c r="S177" i="20" s="1"/>
  <c r="T258" i="20" s="1"/>
  <c r="S202" i="11"/>
  <c r="S42" i="20"/>
  <c r="T262" i="11"/>
  <c r="W8" i="21"/>
  <c r="S40" i="20"/>
  <c r="S297" i="15"/>
  <c r="S202" i="15"/>
  <c r="S200" i="11"/>
  <c r="T167" i="11"/>
  <c r="T260" i="15"/>
  <c r="S200" i="13"/>
  <c r="Y278" i="10"/>
  <c r="Y82" i="11" s="1"/>
  <c r="X82" i="11"/>
  <c r="X78" i="11"/>
  <c r="Y68" i="15"/>
  <c r="M68" i="15" s="1"/>
  <c r="Y72" i="15"/>
  <c r="M72" i="15" s="1"/>
  <c r="T171" i="11"/>
  <c r="W8" i="19"/>
  <c r="W8" i="20"/>
  <c r="M68" i="3"/>
  <c r="M66" i="3"/>
  <c r="Y72" i="20"/>
  <c r="X78" i="13"/>
  <c r="X82" i="13"/>
  <c r="M70" i="3"/>
  <c r="Y368" i="2"/>
  <c r="M368" i="2" s="1"/>
  <c r="X76" i="13"/>
  <c r="M260" i="14"/>
  <c r="M260" i="10"/>
  <c r="Y278" i="14"/>
  <c r="Y80" i="15" s="1"/>
  <c r="M80" i="15" s="1"/>
  <c r="Y66" i="15"/>
  <c r="M66" i="15" s="1"/>
  <c r="Y68" i="11"/>
  <c r="M68" i="11" s="1"/>
  <c r="W50" i="20"/>
  <c r="M260" i="12"/>
  <c r="X293" i="12"/>
  <c r="X293" i="10"/>
  <c r="X293" i="14"/>
  <c r="W48" i="20"/>
  <c r="Y78" i="13"/>
  <c r="Y76" i="13"/>
  <c r="Y80" i="13"/>
  <c r="M80" i="13" s="1"/>
  <c r="Y82" i="13"/>
  <c r="M278" i="12"/>
  <c r="Y78" i="11"/>
  <c r="M78" i="11" s="1"/>
  <c r="Y80" i="11"/>
  <c r="M80" i="11" s="1"/>
  <c r="Y297" i="10"/>
  <c r="Y297" i="12"/>
  <c r="Y297" i="14"/>
  <c r="Y133" i="19"/>
  <c r="Y129" i="19"/>
  <c r="Y304" i="12"/>
  <c r="Y304" i="10"/>
  <c r="Y304" i="14"/>
  <c r="X78" i="20"/>
  <c r="Y303" i="12"/>
  <c r="Y303" i="10"/>
  <c r="Y303" i="14"/>
  <c r="W52" i="20"/>
  <c r="Y299" i="10"/>
  <c r="Y299" i="14"/>
  <c r="Y299" i="12"/>
  <c r="Y81" i="20"/>
  <c r="Y77" i="19"/>
  <c r="Y77" i="18"/>
  <c r="Y82" i="3"/>
  <c r="Y82" i="20" s="1"/>
  <c r="Y80" i="3"/>
  <c r="Y80" i="20" s="1"/>
  <c r="Y79" i="20"/>
  <c r="Y81" i="18"/>
  <c r="Y76" i="3"/>
  <c r="Y76" i="20" s="1"/>
  <c r="Y79" i="19"/>
  <c r="Y81" i="19"/>
  <c r="Y78" i="3"/>
  <c r="Y79" i="18"/>
  <c r="Y77" i="20"/>
  <c r="M353" i="2"/>
  <c r="W46" i="20"/>
  <c r="Y296" i="14"/>
  <c r="Y293" i="14" s="1"/>
  <c r="Y296" i="12"/>
  <c r="Y296" i="10"/>
  <c r="X8" i="2"/>
  <c r="X7" i="17"/>
  <c r="X7" i="3"/>
  <c r="X7" i="21"/>
  <c r="X7" i="18"/>
  <c r="X7" i="20"/>
  <c r="X7" i="19"/>
  <c r="X7" i="9"/>
  <c r="U340" i="14"/>
  <c r="T42" i="15"/>
  <c r="S169" i="20"/>
  <c r="S179" i="20" s="1"/>
  <c r="T260" i="20" s="1"/>
  <c r="AA50" i="20"/>
  <c r="AA52" i="20"/>
  <c r="T300" i="3"/>
  <c r="U321" i="14"/>
  <c r="T101" i="15"/>
  <c r="T97" i="15"/>
  <c r="T107" i="15" s="1"/>
  <c r="T99" i="15"/>
  <c r="U166" i="14"/>
  <c r="T36" i="15"/>
  <c r="U159" i="14"/>
  <c r="U331" i="14"/>
  <c r="T40" i="15"/>
  <c r="U162" i="14"/>
  <c r="U165" i="12"/>
  <c r="T167" i="15"/>
  <c r="W6" i="21"/>
  <c r="W6" i="20"/>
  <c r="U313" i="14"/>
  <c r="V6" i="21"/>
  <c r="V6" i="20"/>
  <c r="S48" i="3"/>
  <c r="S50" i="3"/>
  <c r="S46" i="3"/>
  <c r="S52" i="3"/>
  <c r="S48" i="18"/>
  <c r="S48" i="19"/>
  <c r="S52" i="18"/>
  <c r="S50" i="18"/>
  <c r="S46" i="19"/>
  <c r="S50" i="19"/>
  <c r="S46" i="18"/>
  <c r="S52" i="19"/>
  <c r="U160" i="14"/>
  <c r="U315" i="14"/>
  <c r="U335" i="14"/>
  <c r="U338" i="12"/>
  <c r="T91" i="15"/>
  <c r="U318" i="14"/>
  <c r="T89" i="15"/>
  <c r="T171" i="15"/>
  <c r="T85" i="15"/>
  <c r="T26" i="15" s="1"/>
  <c r="V169" i="10"/>
  <c r="V330" i="10"/>
  <c r="V312" i="10"/>
  <c r="U164" i="14"/>
  <c r="T159" i="11"/>
  <c r="U22" i="11"/>
  <c r="U161" i="11" s="1"/>
  <c r="U16" i="11"/>
  <c r="U155" i="11" s="1"/>
  <c r="U18" i="11"/>
  <c r="U20" i="11"/>
  <c r="U159" i="11" s="1"/>
  <c r="S131" i="11"/>
  <c r="U320" i="10"/>
  <c r="U311" i="10" s="1"/>
  <c r="U165" i="10"/>
  <c r="U157" i="10" s="1"/>
  <c r="U338" i="10"/>
  <c r="U329" i="10" s="1"/>
  <c r="T109" i="11"/>
  <c r="T129" i="11"/>
  <c r="T133" i="11"/>
  <c r="T157" i="11"/>
  <c r="T111" i="11"/>
  <c r="T155" i="11"/>
  <c r="T26" i="11"/>
  <c r="U319" i="14"/>
  <c r="U332" i="14"/>
  <c r="U323" i="14"/>
  <c r="U163" i="14"/>
  <c r="T161" i="11"/>
  <c r="T107" i="11"/>
  <c r="U161" i="14"/>
  <c r="U334" i="14"/>
  <c r="U168" i="14"/>
  <c r="V138" i="14"/>
  <c r="V312" i="14" s="1"/>
  <c r="V138" i="12"/>
  <c r="U322" i="14"/>
  <c r="S198" i="13"/>
  <c r="T258" i="13"/>
  <c r="S293" i="13"/>
  <c r="T133" i="13"/>
  <c r="T157" i="13"/>
  <c r="T129" i="13"/>
  <c r="U167" i="12"/>
  <c r="U340" i="12"/>
  <c r="U322" i="12"/>
  <c r="U160" i="12"/>
  <c r="U333" i="12"/>
  <c r="U315" i="12"/>
  <c r="U317" i="12"/>
  <c r="U335" i="12"/>
  <c r="U162" i="12"/>
  <c r="U166" i="12"/>
  <c r="U339" i="12"/>
  <c r="U321" i="12"/>
  <c r="S202" i="13"/>
  <c r="T262" i="13"/>
  <c r="T161" i="13"/>
  <c r="S297" i="13"/>
  <c r="U314" i="12"/>
  <c r="U159" i="12"/>
  <c r="U332" i="12"/>
  <c r="U319" i="12"/>
  <c r="U164" i="12"/>
  <c r="U337" i="12"/>
  <c r="T95" i="13"/>
  <c r="T101" i="13"/>
  <c r="T97" i="13"/>
  <c r="T99" i="13"/>
  <c r="S32" i="13"/>
  <c r="T89" i="13"/>
  <c r="T85" i="13"/>
  <c r="T87" i="13"/>
  <c r="T91" i="13"/>
  <c r="T159" i="13"/>
  <c r="S28" i="13"/>
  <c r="T40" i="13"/>
  <c r="T42" i="13"/>
  <c r="T36" i="13"/>
  <c r="T38" i="13"/>
  <c r="T171" i="13"/>
  <c r="T167" i="13"/>
  <c r="U161" i="12"/>
  <c r="U316" i="12"/>
  <c r="U334" i="12"/>
  <c r="U323" i="12"/>
  <c r="U168" i="12"/>
  <c r="U341" i="12"/>
  <c r="U336" i="12"/>
  <c r="U163" i="12"/>
  <c r="U318" i="12"/>
  <c r="T155" i="13"/>
  <c r="U158" i="12"/>
  <c r="U313" i="12"/>
  <c r="U331" i="12"/>
  <c r="U137" i="12"/>
  <c r="T133" i="15"/>
  <c r="T157" i="15"/>
  <c r="T129" i="15"/>
  <c r="T155" i="15"/>
  <c r="U338" i="14"/>
  <c r="U320" i="14"/>
  <c r="U165" i="14"/>
  <c r="T161" i="15"/>
  <c r="U137" i="14"/>
  <c r="T159" i="15"/>
  <c r="T167" i="19"/>
  <c r="T177" i="19" s="1"/>
  <c r="U258" i="19" s="1"/>
  <c r="AA62" i="20"/>
  <c r="T167" i="18"/>
  <c r="T177" i="18" s="1"/>
  <c r="T171" i="18"/>
  <c r="T181" i="18" s="1"/>
  <c r="U262" i="18" s="1"/>
  <c r="AA95" i="20"/>
  <c r="T171" i="19"/>
  <c r="T181" i="19" s="1"/>
  <c r="U262" i="19" s="1"/>
  <c r="V213" i="2"/>
  <c r="V183" i="2" s="1"/>
  <c r="S337" i="3"/>
  <c r="R335" i="3"/>
  <c r="S335" i="3" s="1"/>
  <c r="R200" i="3"/>
  <c r="AA56" i="20"/>
  <c r="S200" i="19"/>
  <c r="AA68" i="20"/>
  <c r="T16" i="20"/>
  <c r="AA70" i="20"/>
  <c r="AA40" i="20"/>
  <c r="AA66" i="20"/>
  <c r="T298" i="3"/>
  <c r="AA76" i="20"/>
  <c r="AA99" i="20"/>
  <c r="AA91" i="20"/>
  <c r="AA42" i="20"/>
  <c r="AA36" i="20"/>
  <c r="T62" i="19"/>
  <c r="T62" i="20" s="1"/>
  <c r="T87" i="18"/>
  <c r="AA101" i="20"/>
  <c r="T161" i="20"/>
  <c r="T72" i="20"/>
  <c r="AA97" i="20"/>
  <c r="T82" i="20"/>
  <c r="AA89" i="20"/>
  <c r="Q295" i="15"/>
  <c r="R295" i="15" s="1"/>
  <c r="S295" i="15" s="1"/>
  <c r="R260" i="15"/>
  <c r="U413" i="2"/>
  <c r="AA38" i="20"/>
  <c r="S202" i="3"/>
  <c r="S198" i="3"/>
  <c r="AA85" i="20"/>
  <c r="AA80" i="20"/>
  <c r="AA78" i="20"/>
  <c r="AA87" i="20"/>
  <c r="U395" i="2"/>
  <c r="AA72" i="20"/>
  <c r="AA58" i="20"/>
  <c r="T20" i="20"/>
  <c r="S133" i="20"/>
  <c r="S129" i="20"/>
  <c r="T22" i="20"/>
  <c r="T262" i="20"/>
  <c r="T18" i="20"/>
  <c r="AA60" i="20"/>
  <c r="T40" i="3"/>
  <c r="R200" i="20"/>
  <c r="S260" i="20"/>
  <c r="R30" i="20"/>
  <c r="U397" i="2"/>
  <c r="T101" i="18"/>
  <c r="U234" i="2"/>
  <c r="U236" i="2"/>
  <c r="U233" i="2"/>
  <c r="T101" i="3"/>
  <c r="U394" i="2"/>
  <c r="U237" i="2"/>
  <c r="U238" i="2"/>
  <c r="U408" i="2"/>
  <c r="U396" i="2"/>
  <c r="T36" i="3"/>
  <c r="T42" i="19"/>
  <c r="T42" i="18"/>
  <c r="U415" i="2"/>
  <c r="T42" i="3"/>
  <c r="T60" i="18"/>
  <c r="T38" i="19"/>
  <c r="T159" i="3"/>
  <c r="T159" i="20" s="1"/>
  <c r="T60" i="19"/>
  <c r="T40" i="19"/>
  <c r="T40" i="18"/>
  <c r="T58" i="19"/>
  <c r="T157" i="3"/>
  <c r="T157" i="20" s="1"/>
  <c r="T91" i="3"/>
  <c r="T133" i="3"/>
  <c r="T357" i="3" s="1"/>
  <c r="T129" i="3"/>
  <c r="T353" i="3" s="1"/>
  <c r="T58" i="18"/>
  <c r="T38" i="18"/>
  <c r="T87" i="19"/>
  <c r="T91" i="19"/>
  <c r="T85" i="19"/>
  <c r="T38" i="3"/>
  <c r="T171" i="3"/>
  <c r="T87" i="3"/>
  <c r="T89" i="3"/>
  <c r="T91" i="18"/>
  <c r="T89" i="18"/>
  <c r="T89" i="19"/>
  <c r="T85" i="3"/>
  <c r="T167" i="3"/>
  <c r="T97" i="18"/>
  <c r="T36" i="18"/>
  <c r="T36" i="19"/>
  <c r="T99" i="3"/>
  <c r="U182" i="2"/>
  <c r="U16" i="3" s="1"/>
  <c r="T101" i="19"/>
  <c r="U197" i="2"/>
  <c r="T97" i="3"/>
  <c r="T99" i="18"/>
  <c r="T99" i="19"/>
  <c r="T97" i="19"/>
  <c r="T95" i="19"/>
  <c r="V96" i="2"/>
  <c r="Q200" i="15"/>
  <c r="U414" i="2"/>
  <c r="U391" i="2"/>
  <c r="T95" i="18"/>
  <c r="T85" i="18"/>
  <c r="T56" i="19"/>
  <c r="T155" i="3"/>
  <c r="T155" i="20" s="1"/>
  <c r="T56" i="18"/>
  <c r="U393" i="2"/>
  <c r="U390" i="2"/>
  <c r="U241" i="2"/>
  <c r="U239" i="2"/>
  <c r="U242" i="2"/>
  <c r="U243" i="2"/>
  <c r="U398" i="2"/>
  <c r="U389" i="2"/>
  <c r="U407" i="2"/>
  <c r="U406" i="2"/>
  <c r="U388" i="2"/>
  <c r="U235" i="2"/>
  <c r="U411" i="2"/>
  <c r="U409" i="2"/>
  <c r="U410" i="2"/>
  <c r="U392" i="2"/>
  <c r="V97" i="2"/>
  <c r="V145" i="10" s="1"/>
  <c r="U412" i="2"/>
  <c r="U416" i="2"/>
  <c r="V92" i="2"/>
  <c r="V140" i="10" s="1"/>
  <c r="V93" i="2"/>
  <c r="V141" i="10" s="1"/>
  <c r="V98" i="2"/>
  <c r="V146" i="10" s="1"/>
  <c r="V95" i="2"/>
  <c r="V143" i="10" s="1"/>
  <c r="V94" i="2"/>
  <c r="V142" i="10" s="1"/>
  <c r="V100" i="2"/>
  <c r="V148" i="10" s="1"/>
  <c r="V91" i="2"/>
  <c r="V139" i="10" s="1"/>
  <c r="V464" i="2"/>
  <c r="Q295" i="13"/>
  <c r="R295" i="13" s="1"/>
  <c r="S295" i="13" s="1"/>
  <c r="Q200" i="13"/>
  <c r="V99" i="2"/>
  <c r="V147" i="10" s="1"/>
  <c r="V68" i="2"/>
  <c r="V101" i="2"/>
  <c r="V149" i="10" s="1"/>
  <c r="V59" i="2"/>
  <c r="V43" i="2"/>
  <c r="V317" i="2"/>
  <c r="V315" i="2" s="1"/>
  <c r="V300" i="2"/>
  <c r="Q200" i="11"/>
  <c r="Q295" i="11"/>
  <c r="R295" i="11" s="1"/>
  <c r="S295" i="11" s="1"/>
  <c r="W6" i="17"/>
  <c r="W6" i="19"/>
  <c r="W6" i="18"/>
  <c r="U18" i="18"/>
  <c r="U157" i="18" s="1"/>
  <c r="U20" i="18"/>
  <c r="U159" i="18" s="1"/>
  <c r="U22" i="18"/>
  <c r="U161" i="18" s="1"/>
  <c r="U16" i="18"/>
  <c r="U155" i="18" s="1"/>
  <c r="V6" i="17"/>
  <c r="V6" i="19"/>
  <c r="V6" i="18"/>
  <c r="V6" i="3"/>
  <c r="V6" i="9"/>
  <c r="T260" i="18"/>
  <c r="S200" i="18"/>
  <c r="S21" i="17"/>
  <c r="S57" i="17" s="1"/>
  <c r="S19" i="17"/>
  <c r="S55" i="17" s="1"/>
  <c r="S17" i="17"/>
  <c r="S23" i="17"/>
  <c r="S59" i="17" s="1"/>
  <c r="W6" i="3"/>
  <c r="W6" i="9"/>
  <c r="W464" i="2"/>
  <c r="M250" i="2"/>
  <c r="W64" i="2"/>
  <c r="W95" i="2"/>
  <c r="W62" i="2"/>
  <c r="W93" i="2"/>
  <c r="W68" i="2"/>
  <c r="W99" i="2"/>
  <c r="W43" i="2"/>
  <c r="W59" i="2"/>
  <c r="W317" i="2"/>
  <c r="W315" i="2" s="1"/>
  <c r="W300" i="2"/>
  <c r="W61" i="2"/>
  <c r="W92" i="2"/>
  <c r="W70" i="2"/>
  <c r="W101" i="2"/>
  <c r="W65" i="2"/>
  <c r="W66" i="2"/>
  <c r="W97" i="2"/>
  <c r="W67" i="2"/>
  <c r="W98" i="2"/>
  <c r="W69" i="2"/>
  <c r="W100" i="2"/>
  <c r="W63" i="2"/>
  <c r="W94" i="2"/>
  <c r="W60" i="2"/>
  <c r="W91" i="2"/>
  <c r="AB109" i="1"/>
  <c r="AB127" i="1" s="1"/>
  <c r="AB26" i="1"/>
  <c r="AB75" i="1" s="1"/>
  <c r="AB102" i="1"/>
  <c r="AC1" i="1"/>
  <c r="AB78" i="1"/>
  <c r="AB99" i="1" s="1"/>
  <c r="T169" i="15" l="1"/>
  <c r="AC8" i="1"/>
  <c r="T258" i="11"/>
  <c r="S293" i="11"/>
  <c r="S198" i="20"/>
  <c r="M82" i="11"/>
  <c r="M278" i="10"/>
  <c r="T177" i="11"/>
  <c r="U258" i="11" s="1"/>
  <c r="T181" i="11"/>
  <c r="U262" i="11" s="1"/>
  <c r="Y76" i="11"/>
  <c r="M76" i="11" s="1"/>
  <c r="Y293" i="12"/>
  <c r="M293" i="12" s="1"/>
  <c r="M82" i="13"/>
  <c r="M293" i="14"/>
  <c r="M76" i="13"/>
  <c r="T111" i="15"/>
  <c r="T32" i="15" s="1"/>
  <c r="M278" i="14"/>
  <c r="Y76" i="15"/>
  <c r="M76" i="15" s="1"/>
  <c r="Y82" i="15"/>
  <c r="M82" i="15" s="1"/>
  <c r="Y78" i="15"/>
  <c r="M78" i="15" s="1"/>
  <c r="Y293" i="10"/>
  <c r="M293" i="10" s="1"/>
  <c r="M82" i="3"/>
  <c r="W223" i="2"/>
  <c r="W193" i="2" s="1"/>
  <c r="W415" i="2" s="1"/>
  <c r="W148" i="12"/>
  <c r="W148" i="14"/>
  <c r="W148" i="10"/>
  <c r="X473" i="2"/>
  <c r="X465" i="2"/>
  <c r="X459" i="2"/>
  <c r="X306" i="2"/>
  <c r="X322" i="2" s="1"/>
  <c r="X310" i="2"/>
  <c r="X326" i="2" s="1"/>
  <c r="X54" i="2"/>
  <c r="X6" i="2"/>
  <c r="X475" i="2"/>
  <c r="X461" i="2"/>
  <c r="X451" i="2"/>
  <c r="X305" i="2"/>
  <c r="X321" i="2" s="1"/>
  <c r="X308" i="2"/>
  <c r="X324" i="2" s="1"/>
  <c r="X53" i="2"/>
  <c r="X471" i="2"/>
  <c r="X457" i="2"/>
  <c r="X458" i="2"/>
  <c r="X476" i="2"/>
  <c r="X474" i="2"/>
  <c r="X472" i="2"/>
  <c r="X460" i="2"/>
  <c r="X454" i="2"/>
  <c r="X301" i="2"/>
  <c r="X309" i="2"/>
  <c r="X325" i="2" s="1"/>
  <c r="X47" i="2"/>
  <c r="X46" i="2"/>
  <c r="X470" i="2"/>
  <c r="X468" i="2"/>
  <c r="X456" i="2"/>
  <c r="X45" i="2"/>
  <c r="X312" i="2"/>
  <c r="Y316" i="2" s="1"/>
  <c r="X51" i="2"/>
  <c r="X49" i="2"/>
  <c r="X307" i="2"/>
  <c r="X323" i="2" s="1"/>
  <c r="X452" i="2"/>
  <c r="X311" i="2"/>
  <c r="X327" i="2" s="1"/>
  <c r="X450" i="2"/>
  <c r="X455" i="2"/>
  <c r="X304" i="2"/>
  <c r="X320" i="2" s="1"/>
  <c r="X48" i="2"/>
  <c r="X466" i="2"/>
  <c r="X303" i="2"/>
  <c r="X319" i="2" s="1"/>
  <c r="X44" i="2"/>
  <c r="X467" i="2"/>
  <c r="X302" i="2"/>
  <c r="X318" i="2" s="1"/>
  <c r="X50" i="2"/>
  <c r="X52" i="2"/>
  <c r="X469" i="2"/>
  <c r="X55" i="2"/>
  <c r="X453" i="2"/>
  <c r="X8" i="17"/>
  <c r="X8" i="3"/>
  <c r="X8" i="18"/>
  <c r="X8" i="19"/>
  <c r="X8" i="9"/>
  <c r="X8" i="21"/>
  <c r="Y7" i="2"/>
  <c r="X8" i="20"/>
  <c r="W215" i="2"/>
  <c r="W185" i="2" s="1"/>
  <c r="W389" i="2" s="1"/>
  <c r="W140" i="10"/>
  <c r="W140" i="12"/>
  <c r="W140" i="14"/>
  <c r="W216" i="2"/>
  <c r="W186" i="2" s="1"/>
  <c r="W141" i="10"/>
  <c r="W141" i="14"/>
  <c r="W141" i="12"/>
  <c r="W217" i="2"/>
  <c r="W187" i="2" s="1"/>
  <c r="W142" i="10"/>
  <c r="W142" i="14"/>
  <c r="W142" i="12"/>
  <c r="W224" i="2"/>
  <c r="W194" i="2" s="1"/>
  <c r="W149" i="14"/>
  <c r="W149" i="12"/>
  <c r="W149" i="10"/>
  <c r="W222" i="2"/>
  <c r="W192" i="2" s="1"/>
  <c r="W241" i="2" s="1"/>
  <c r="W147" i="12"/>
  <c r="W147" i="10"/>
  <c r="W147" i="14"/>
  <c r="W221" i="2"/>
  <c r="W191" i="2" s="1"/>
  <c r="W146" i="14"/>
  <c r="W146" i="10"/>
  <c r="W146" i="12"/>
  <c r="M78" i="13"/>
  <c r="W218" i="2"/>
  <c r="W188" i="2" s="1"/>
  <c r="W237" i="2" s="1"/>
  <c r="W143" i="10"/>
  <c r="W143" i="14"/>
  <c r="W143" i="12"/>
  <c r="M76" i="3"/>
  <c r="Y78" i="20"/>
  <c r="M78" i="3"/>
  <c r="W214" i="2"/>
  <c r="W184" i="2" s="1"/>
  <c r="W388" i="2" s="1"/>
  <c r="W139" i="14"/>
  <c r="W139" i="12"/>
  <c r="W139" i="10"/>
  <c r="W220" i="2"/>
  <c r="W190" i="2" s="1"/>
  <c r="W145" i="10"/>
  <c r="W145" i="12"/>
  <c r="W145" i="14"/>
  <c r="M80" i="3"/>
  <c r="T109" i="15"/>
  <c r="T30" i="15" s="1"/>
  <c r="S200" i="20"/>
  <c r="T111" i="13"/>
  <c r="T32" i="13" s="1"/>
  <c r="V330" i="14"/>
  <c r="V169" i="14"/>
  <c r="T177" i="15"/>
  <c r="T198" i="15" s="1"/>
  <c r="S52" i="20"/>
  <c r="M52" i="20" s="1"/>
  <c r="S46" i="20"/>
  <c r="S50" i="20"/>
  <c r="M50" i="20" s="1"/>
  <c r="S48" i="20"/>
  <c r="M48" i="20" s="1"/>
  <c r="T181" i="15"/>
  <c r="U262" i="15" s="1"/>
  <c r="U157" i="12"/>
  <c r="U36" i="13" s="1"/>
  <c r="U42" i="11"/>
  <c r="U38" i="11"/>
  <c r="U36" i="11"/>
  <c r="U40" i="11"/>
  <c r="U171" i="11"/>
  <c r="U167" i="11"/>
  <c r="T28" i="11"/>
  <c r="S315" i="11"/>
  <c r="T169" i="11"/>
  <c r="V340" i="10"/>
  <c r="V167" i="10"/>
  <c r="V322" i="10"/>
  <c r="V333" i="10"/>
  <c r="V315" i="10"/>
  <c r="V160" i="10"/>
  <c r="V319" i="10"/>
  <c r="V164" i="10"/>
  <c r="V337" i="10"/>
  <c r="T32" i="11"/>
  <c r="V158" i="10"/>
  <c r="V331" i="10"/>
  <c r="V313" i="10"/>
  <c r="V323" i="10"/>
  <c r="V168" i="10"/>
  <c r="V341" i="10"/>
  <c r="V161" i="10"/>
  <c r="V334" i="10"/>
  <c r="V316" i="10"/>
  <c r="U87" i="11"/>
  <c r="U85" i="11"/>
  <c r="U91" i="11"/>
  <c r="U89" i="11"/>
  <c r="T317" i="11"/>
  <c r="T30" i="11"/>
  <c r="U129" i="11"/>
  <c r="U313" i="11" s="1"/>
  <c r="U157" i="11"/>
  <c r="U133" i="11"/>
  <c r="U317" i="11" s="1"/>
  <c r="V321" i="10"/>
  <c r="V166" i="10"/>
  <c r="V339" i="10"/>
  <c r="V338" i="10"/>
  <c r="V320" i="10"/>
  <c r="V165" i="10"/>
  <c r="V159" i="10"/>
  <c r="V314" i="10"/>
  <c r="V332" i="10"/>
  <c r="V144" i="12"/>
  <c r="V318" i="12" s="1"/>
  <c r="V144" i="10"/>
  <c r="U311" i="14"/>
  <c r="U85" i="15" s="1"/>
  <c r="V317" i="10"/>
  <c r="V162" i="10"/>
  <c r="V335" i="10"/>
  <c r="U329" i="14"/>
  <c r="U99" i="15" s="1"/>
  <c r="U97" i="11"/>
  <c r="U95" i="11"/>
  <c r="U99" i="11"/>
  <c r="U101" i="11"/>
  <c r="T313" i="11"/>
  <c r="U157" i="14"/>
  <c r="U42" i="15" s="1"/>
  <c r="V142" i="14"/>
  <c r="V316" i="14" s="1"/>
  <c r="V142" i="12"/>
  <c r="V140" i="14"/>
  <c r="V159" i="14" s="1"/>
  <c r="V140" i="12"/>
  <c r="U329" i="12"/>
  <c r="T107" i="13"/>
  <c r="T317" i="13"/>
  <c r="V147" i="14"/>
  <c r="V166" i="14" s="1"/>
  <c r="V147" i="12"/>
  <c r="V143" i="14"/>
  <c r="V335" i="14" s="1"/>
  <c r="V143" i="12"/>
  <c r="U311" i="12"/>
  <c r="T26" i="13"/>
  <c r="V146" i="14"/>
  <c r="V320" i="14" s="1"/>
  <c r="V146" i="12"/>
  <c r="S131" i="13"/>
  <c r="T177" i="13"/>
  <c r="T293" i="13" s="1"/>
  <c r="T313" i="13"/>
  <c r="V312" i="12"/>
  <c r="V330" i="12"/>
  <c r="V169" i="12"/>
  <c r="V139" i="14"/>
  <c r="V158" i="14" s="1"/>
  <c r="V139" i="12"/>
  <c r="V149" i="14"/>
  <c r="V341" i="14" s="1"/>
  <c r="V149" i="12"/>
  <c r="V148" i="14"/>
  <c r="V340" i="14" s="1"/>
  <c r="V148" i="12"/>
  <c r="V141" i="14"/>
  <c r="V333" i="14" s="1"/>
  <c r="V141" i="12"/>
  <c r="V145" i="14"/>
  <c r="V164" i="14" s="1"/>
  <c r="V145" i="12"/>
  <c r="U22" i="13"/>
  <c r="U18" i="13"/>
  <c r="U16" i="13"/>
  <c r="U155" i="13" s="1"/>
  <c r="U20" i="13"/>
  <c r="T181" i="13"/>
  <c r="T297" i="13" s="1"/>
  <c r="T109" i="13"/>
  <c r="T28" i="15"/>
  <c r="T58" i="20"/>
  <c r="T313" i="15"/>
  <c r="U22" i="15"/>
  <c r="U18" i="15"/>
  <c r="U16" i="15"/>
  <c r="U20" i="15"/>
  <c r="V219" i="2"/>
  <c r="V189" i="2" s="1"/>
  <c r="V411" i="2" s="1"/>
  <c r="V144" i="14"/>
  <c r="T179" i="15"/>
  <c r="T317" i="15"/>
  <c r="V216" i="2"/>
  <c r="V186" i="2" s="1"/>
  <c r="V390" i="2" s="1"/>
  <c r="V217" i="2"/>
  <c r="V187" i="2" s="1"/>
  <c r="V222" i="2"/>
  <c r="V192" i="2" s="1"/>
  <c r="V218" i="2"/>
  <c r="V188" i="2" s="1"/>
  <c r="V224" i="2"/>
  <c r="V194" i="2" s="1"/>
  <c r="V223" i="2"/>
  <c r="V193" i="2" s="1"/>
  <c r="V220" i="2"/>
  <c r="V190" i="2" s="1"/>
  <c r="V215" i="2"/>
  <c r="V185" i="2" s="1"/>
  <c r="V214" i="2"/>
  <c r="V184" i="2" s="1"/>
  <c r="V221" i="2"/>
  <c r="V191" i="2" s="1"/>
  <c r="T68" i="20"/>
  <c r="T111" i="18"/>
  <c r="T32" i="18" s="1"/>
  <c r="T60" i="20"/>
  <c r="T80" i="20"/>
  <c r="T66" i="20"/>
  <c r="T87" i="20"/>
  <c r="T95" i="20"/>
  <c r="T97" i="20"/>
  <c r="R131" i="20"/>
  <c r="T56" i="20"/>
  <c r="U18" i="19"/>
  <c r="U157" i="19" s="1"/>
  <c r="U22" i="19"/>
  <c r="U16" i="19"/>
  <c r="U16" i="20" s="1"/>
  <c r="U20" i="19"/>
  <c r="U159" i="19" s="1"/>
  <c r="T99" i="20"/>
  <c r="T177" i="3"/>
  <c r="U298" i="3" s="1"/>
  <c r="T167" i="20"/>
  <c r="T177" i="20" s="1"/>
  <c r="T181" i="3"/>
  <c r="U302" i="3" s="1"/>
  <c r="T171" i="20"/>
  <c r="T78" i="20"/>
  <c r="T42" i="20"/>
  <c r="T101" i="20"/>
  <c r="T91" i="20"/>
  <c r="T70" i="20"/>
  <c r="T40" i="20"/>
  <c r="U155" i="3"/>
  <c r="T76" i="20"/>
  <c r="T26" i="3"/>
  <c r="T85" i="20"/>
  <c r="T89" i="20"/>
  <c r="T38" i="20"/>
  <c r="T36" i="20"/>
  <c r="U212" i="2"/>
  <c r="T109" i="18"/>
  <c r="T30" i="18" s="1"/>
  <c r="T131" i="18" s="1"/>
  <c r="T111" i="19"/>
  <c r="T32" i="19" s="1"/>
  <c r="T111" i="3"/>
  <c r="T198" i="19"/>
  <c r="T133" i="18"/>
  <c r="T129" i="18"/>
  <c r="T109" i="19"/>
  <c r="T30" i="19" s="1"/>
  <c r="T131" i="19" s="1"/>
  <c r="T107" i="3"/>
  <c r="T129" i="19"/>
  <c r="T133" i="19"/>
  <c r="T202" i="19"/>
  <c r="T26" i="19"/>
  <c r="T107" i="18"/>
  <c r="T28" i="18" s="1"/>
  <c r="T107" i="19"/>
  <c r="U18" i="3"/>
  <c r="T109" i="3"/>
  <c r="U20" i="3"/>
  <c r="U22" i="3"/>
  <c r="U62" i="18" s="1"/>
  <c r="U258" i="18"/>
  <c r="T198" i="18"/>
  <c r="T202" i="18"/>
  <c r="T26" i="18"/>
  <c r="U386" i="2"/>
  <c r="U89" i="3" s="1"/>
  <c r="U232" i="2"/>
  <c r="U404" i="2"/>
  <c r="U99" i="3" s="1"/>
  <c r="V58" i="2"/>
  <c r="V16" i="18" s="1"/>
  <c r="V155" i="18" s="1"/>
  <c r="V405" i="2"/>
  <c r="V89" i="2"/>
  <c r="U56" i="18"/>
  <c r="V62" i="3"/>
  <c r="V56" i="3"/>
  <c r="V60" i="3"/>
  <c r="V58" i="3"/>
  <c r="S109" i="19"/>
  <c r="S30" i="19" s="1"/>
  <c r="M50" i="19"/>
  <c r="M48" i="19"/>
  <c r="S107" i="19"/>
  <c r="M52" i="19"/>
  <c r="S111" i="19"/>
  <c r="V244" i="2"/>
  <c r="V387" i="2"/>
  <c r="M46" i="19"/>
  <c r="S26" i="19"/>
  <c r="S109" i="18"/>
  <c r="M50" i="18"/>
  <c r="M46" i="18"/>
  <c r="S26" i="18"/>
  <c r="M48" i="18"/>
  <c r="S107" i="18"/>
  <c r="S111" i="18"/>
  <c r="M52" i="18"/>
  <c r="T59" i="17"/>
  <c r="W234" i="2"/>
  <c r="W235" i="2"/>
  <c r="W239" i="2"/>
  <c r="W236" i="2"/>
  <c r="W240" i="2"/>
  <c r="W243" i="2"/>
  <c r="W58" i="2"/>
  <c r="S111" i="3"/>
  <c r="M52" i="3"/>
  <c r="W416" i="2"/>
  <c r="W398" i="2"/>
  <c r="W62" i="3"/>
  <c r="W60" i="3"/>
  <c r="W56" i="3"/>
  <c r="W58" i="3"/>
  <c r="W408" i="2"/>
  <c r="W390" i="2"/>
  <c r="M46" i="3"/>
  <c r="S26" i="3"/>
  <c r="W394" i="2"/>
  <c r="W412" i="2"/>
  <c r="M50" i="3"/>
  <c r="S109" i="3"/>
  <c r="W409" i="2"/>
  <c r="W391" i="2"/>
  <c r="W395" i="2"/>
  <c r="W413" i="2"/>
  <c r="W96" i="2"/>
  <c r="W90" i="2"/>
  <c r="W396" i="2"/>
  <c r="W414" i="2"/>
  <c r="S107" i="3"/>
  <c r="M48" i="3"/>
  <c r="AC109" i="1"/>
  <c r="AC127" i="1" s="1"/>
  <c r="AC26" i="1"/>
  <c r="AC102" i="1"/>
  <c r="AC75" i="1"/>
  <c r="AD1" i="1"/>
  <c r="AC78" i="1"/>
  <c r="AC99" i="1" s="1"/>
  <c r="T198" i="11" l="1"/>
  <c r="AD8" i="1"/>
  <c r="T297" i="11"/>
  <c r="T202" i="11"/>
  <c r="T293" i="11"/>
  <c r="X449" i="2"/>
  <c r="W397" i="2"/>
  <c r="W242" i="2"/>
  <c r="W407" i="2"/>
  <c r="W392" i="2"/>
  <c r="W410" i="2"/>
  <c r="W406" i="2"/>
  <c r="W233" i="2"/>
  <c r="W313" i="14"/>
  <c r="W158" i="14"/>
  <c r="W331" i="14"/>
  <c r="W321" i="10"/>
  <c r="W339" i="10"/>
  <c r="W166" i="10"/>
  <c r="W332" i="12"/>
  <c r="W314" i="12"/>
  <c r="W159" i="12"/>
  <c r="W339" i="12"/>
  <c r="W321" i="12"/>
  <c r="W166" i="12"/>
  <c r="W161" i="10"/>
  <c r="W334" i="10"/>
  <c r="W316" i="10"/>
  <c r="W159" i="10"/>
  <c r="W332" i="10"/>
  <c r="W314" i="10"/>
  <c r="W219" i="2"/>
  <c r="W189" i="2" s="1"/>
  <c r="W393" i="2" s="1"/>
  <c r="W144" i="14"/>
  <c r="W144" i="10"/>
  <c r="W144" i="12"/>
  <c r="W337" i="14"/>
  <c r="W164" i="14"/>
  <c r="W319" i="14"/>
  <c r="X43" i="2"/>
  <c r="X90" i="2"/>
  <c r="X59" i="2"/>
  <c r="X464" i="2"/>
  <c r="X119" i="3" s="1"/>
  <c r="W334" i="14"/>
  <c r="W161" i="14"/>
  <c r="W316" i="14"/>
  <c r="W337" i="12"/>
  <c r="W319" i="12"/>
  <c r="W164" i="12"/>
  <c r="W165" i="12"/>
  <c r="W338" i="12"/>
  <c r="W320" i="12"/>
  <c r="W323" i="10"/>
  <c r="W341" i="10"/>
  <c r="W168" i="10"/>
  <c r="W333" i="12"/>
  <c r="W315" i="12"/>
  <c r="W160" i="12"/>
  <c r="X92" i="2"/>
  <c r="X61" i="2"/>
  <c r="W165" i="10"/>
  <c r="W320" i="10"/>
  <c r="W338" i="10"/>
  <c r="W168" i="12"/>
  <c r="W341" i="12"/>
  <c r="W323" i="12"/>
  <c r="W333" i="14"/>
  <c r="W315" i="14"/>
  <c r="W160" i="14"/>
  <c r="Y8" i="2"/>
  <c r="Y7" i="17"/>
  <c r="Y7" i="18"/>
  <c r="Y7" i="3"/>
  <c r="Y7" i="21"/>
  <c r="Y7" i="19"/>
  <c r="Y7" i="20"/>
  <c r="Y7" i="9"/>
  <c r="X70" i="2"/>
  <c r="X101" i="2"/>
  <c r="X95" i="2"/>
  <c r="X64" i="2"/>
  <c r="X62" i="2"/>
  <c r="X93" i="2"/>
  <c r="W340" i="10"/>
  <c r="W167" i="10"/>
  <c r="W322" i="10"/>
  <c r="W317" i="14"/>
  <c r="W162" i="14"/>
  <c r="W335" i="14"/>
  <c r="W338" i="14"/>
  <c r="W320" i="14"/>
  <c r="W165" i="14"/>
  <c r="W341" i="14"/>
  <c r="W323" i="14"/>
  <c r="W168" i="14"/>
  <c r="W160" i="10"/>
  <c r="W333" i="10"/>
  <c r="W315" i="10"/>
  <c r="X94" i="2"/>
  <c r="X63" i="2"/>
  <c r="X97" i="2"/>
  <c r="X66" i="2"/>
  <c r="X6" i="20"/>
  <c r="X6" i="17"/>
  <c r="X6" i="9"/>
  <c r="X6" i="3"/>
  <c r="X6" i="18"/>
  <c r="X6" i="19"/>
  <c r="X6" i="21"/>
  <c r="W340" i="14"/>
  <c r="W167" i="14"/>
  <c r="W322" i="14"/>
  <c r="W335" i="12"/>
  <c r="W317" i="12"/>
  <c r="W162" i="12"/>
  <c r="W22" i="18"/>
  <c r="W20" i="18"/>
  <c r="W18" i="18"/>
  <c r="W16" i="18"/>
  <c r="W313" i="10"/>
  <c r="W158" i="10"/>
  <c r="W331" i="10"/>
  <c r="W335" i="10"/>
  <c r="W317" i="10"/>
  <c r="W162" i="10"/>
  <c r="X67" i="2"/>
  <c r="X98" i="2"/>
  <c r="X300" i="2"/>
  <c r="X317" i="2"/>
  <c r="X315" i="2" s="1"/>
  <c r="X100" i="2"/>
  <c r="X69" i="2"/>
  <c r="W340" i="12"/>
  <c r="W322" i="12"/>
  <c r="W167" i="12"/>
  <c r="W319" i="10"/>
  <c r="W337" i="10"/>
  <c r="W164" i="10"/>
  <c r="W213" i="2"/>
  <c r="W138" i="14"/>
  <c r="W138" i="10"/>
  <c r="W138" i="12"/>
  <c r="W313" i="12"/>
  <c r="W158" i="12"/>
  <c r="W331" i="12"/>
  <c r="W321" i="14"/>
  <c r="W339" i="14"/>
  <c r="W166" i="14"/>
  <c r="W316" i="12"/>
  <c r="W161" i="12"/>
  <c r="W334" i="12"/>
  <c r="W159" i="14"/>
  <c r="W314" i="14"/>
  <c r="W332" i="14"/>
  <c r="X96" i="2"/>
  <c r="X65" i="2"/>
  <c r="X91" i="2"/>
  <c r="X60" i="2"/>
  <c r="X99" i="2"/>
  <c r="X68" i="2"/>
  <c r="T293" i="15"/>
  <c r="V314" i="14"/>
  <c r="U258" i="15"/>
  <c r="T202" i="15"/>
  <c r="V332" i="14"/>
  <c r="U40" i="13"/>
  <c r="U42" i="13"/>
  <c r="U38" i="13"/>
  <c r="V339" i="14"/>
  <c r="V321" i="14"/>
  <c r="U36" i="15"/>
  <c r="T297" i="15"/>
  <c r="V319" i="14"/>
  <c r="V323" i="14"/>
  <c r="U171" i="13"/>
  <c r="U95" i="15"/>
  <c r="U101" i="15"/>
  <c r="U87" i="15"/>
  <c r="M46" i="20"/>
  <c r="S26" i="20"/>
  <c r="U91" i="15"/>
  <c r="U97" i="15"/>
  <c r="V161" i="14"/>
  <c r="U38" i="15"/>
  <c r="V167" i="14"/>
  <c r="V313" i="14"/>
  <c r="U167" i="13"/>
  <c r="V163" i="12"/>
  <c r="U40" i="15"/>
  <c r="V337" i="14"/>
  <c r="U167" i="15"/>
  <c r="V322" i="14"/>
  <c r="U26" i="11"/>
  <c r="T131" i="11"/>
  <c r="U171" i="15"/>
  <c r="V162" i="14"/>
  <c r="U89" i="15"/>
  <c r="U109" i="15" s="1"/>
  <c r="U30" i="15" s="1"/>
  <c r="U131" i="15" s="1"/>
  <c r="U315" i="15" s="1"/>
  <c r="V315" i="14"/>
  <c r="V168" i="14"/>
  <c r="V165" i="14"/>
  <c r="V331" i="14"/>
  <c r="V334" i="14"/>
  <c r="T179" i="11"/>
  <c r="U177" i="11"/>
  <c r="U107" i="11"/>
  <c r="V317" i="14"/>
  <c r="V160" i="14"/>
  <c r="V338" i="14"/>
  <c r="V336" i="12"/>
  <c r="U181" i="11"/>
  <c r="U111" i="11"/>
  <c r="V318" i="10"/>
  <c r="V311" i="10" s="1"/>
  <c r="V336" i="10"/>
  <c r="V329" i="10" s="1"/>
  <c r="V163" i="10"/>
  <c r="V157" i="10" s="1"/>
  <c r="U109" i="11"/>
  <c r="V137" i="10"/>
  <c r="T202" i="13"/>
  <c r="U262" i="13"/>
  <c r="U157" i="13"/>
  <c r="U177" i="13" s="1"/>
  <c r="U293" i="13" s="1"/>
  <c r="U129" i="13"/>
  <c r="U133" i="13"/>
  <c r="V160" i="12"/>
  <c r="V315" i="12"/>
  <c r="V333" i="12"/>
  <c r="U85" i="13"/>
  <c r="U87" i="13"/>
  <c r="U91" i="13"/>
  <c r="U89" i="13"/>
  <c r="T28" i="13"/>
  <c r="U161" i="13"/>
  <c r="V323" i="12"/>
  <c r="V168" i="12"/>
  <c r="V341" i="12"/>
  <c r="V158" i="12"/>
  <c r="V313" i="12"/>
  <c r="V331" i="12"/>
  <c r="S315" i="13"/>
  <c r="T169" i="13"/>
  <c r="V162" i="12"/>
  <c r="V317" i="12"/>
  <c r="V335" i="12"/>
  <c r="U101" i="13"/>
  <c r="U99" i="13"/>
  <c r="U95" i="13"/>
  <c r="U97" i="13"/>
  <c r="V159" i="12"/>
  <c r="V332" i="12"/>
  <c r="V314" i="12"/>
  <c r="T30" i="13"/>
  <c r="U159" i="13"/>
  <c r="V164" i="12"/>
  <c r="V319" i="12"/>
  <c r="V337" i="12"/>
  <c r="V167" i="12"/>
  <c r="V322" i="12"/>
  <c r="V340" i="12"/>
  <c r="V137" i="12"/>
  <c r="V165" i="12"/>
  <c r="V320" i="12"/>
  <c r="V338" i="12"/>
  <c r="T198" i="13"/>
  <c r="U258" i="13"/>
  <c r="V339" i="12"/>
  <c r="V321" i="12"/>
  <c r="V166" i="12"/>
  <c r="V316" i="12"/>
  <c r="V161" i="12"/>
  <c r="V334" i="12"/>
  <c r="V163" i="14"/>
  <c r="V318" i="14"/>
  <c r="V336" i="14"/>
  <c r="V137" i="14"/>
  <c r="U159" i="15"/>
  <c r="U155" i="15"/>
  <c r="T131" i="15"/>
  <c r="T200" i="15"/>
  <c r="U260" i="15"/>
  <c r="U129" i="15"/>
  <c r="U133" i="15"/>
  <c r="U157" i="15"/>
  <c r="T295" i="15"/>
  <c r="U161" i="15"/>
  <c r="U169" i="19"/>
  <c r="U179" i="19" s="1"/>
  <c r="U167" i="19"/>
  <c r="U177" i="19" s="1"/>
  <c r="U171" i="19"/>
  <c r="U169" i="18"/>
  <c r="U179" i="18" s="1"/>
  <c r="U167" i="18"/>
  <c r="U177" i="18" s="1"/>
  <c r="V258" i="18" s="1"/>
  <c r="U171" i="18"/>
  <c r="U181" i="18" s="1"/>
  <c r="V262" i="18" s="1"/>
  <c r="T28" i="19"/>
  <c r="U91" i="3"/>
  <c r="T333" i="3"/>
  <c r="U56" i="19"/>
  <c r="U56" i="20" s="1"/>
  <c r="U76" i="20"/>
  <c r="V393" i="2"/>
  <c r="U155" i="19"/>
  <c r="U155" i="20" s="1"/>
  <c r="V238" i="2"/>
  <c r="T337" i="3"/>
  <c r="S107" i="20"/>
  <c r="S28" i="20" s="1"/>
  <c r="S109" i="20"/>
  <c r="S30" i="20" s="1"/>
  <c r="U95" i="18"/>
  <c r="S111" i="20"/>
  <c r="S32" i="20" s="1"/>
  <c r="T202" i="3"/>
  <c r="U58" i="19"/>
  <c r="U18" i="20"/>
  <c r="T26" i="20"/>
  <c r="U62" i="19"/>
  <c r="U62" i="20" s="1"/>
  <c r="T32" i="3"/>
  <c r="T111" i="20"/>
  <c r="T32" i="20" s="1"/>
  <c r="U258" i="20"/>
  <c r="T198" i="20"/>
  <c r="T181" i="20"/>
  <c r="T133" i="20"/>
  <c r="T129" i="20"/>
  <c r="U161" i="19"/>
  <c r="T28" i="3"/>
  <c r="T107" i="20"/>
  <c r="T28" i="20" s="1"/>
  <c r="S28" i="18"/>
  <c r="U60" i="19"/>
  <c r="U20" i="20"/>
  <c r="U66" i="20"/>
  <c r="U161" i="3"/>
  <c r="U22" i="20"/>
  <c r="T30" i="3"/>
  <c r="T131" i="3" s="1"/>
  <c r="T355" i="3" s="1"/>
  <c r="T109" i="20"/>
  <c r="T30" i="20" s="1"/>
  <c r="T131" i="20" s="1"/>
  <c r="T198" i="3"/>
  <c r="V416" i="2"/>
  <c r="V212" i="2"/>
  <c r="V234" i="2"/>
  <c r="V409" i="2"/>
  <c r="V396" i="2"/>
  <c r="V397" i="2"/>
  <c r="V395" i="2"/>
  <c r="V237" i="2"/>
  <c r="U58" i="18"/>
  <c r="U159" i="3"/>
  <c r="U159" i="20" s="1"/>
  <c r="U60" i="18"/>
  <c r="U89" i="19"/>
  <c r="U97" i="3"/>
  <c r="U40" i="19"/>
  <c r="U85" i="3"/>
  <c r="U38" i="18"/>
  <c r="U133" i="3"/>
  <c r="U357" i="3" s="1"/>
  <c r="U42" i="3"/>
  <c r="U129" i="19"/>
  <c r="U97" i="19"/>
  <c r="U87" i="18"/>
  <c r="U157" i="3"/>
  <c r="U157" i="20" s="1"/>
  <c r="U36" i="19"/>
  <c r="U129" i="3"/>
  <c r="U353" i="3" s="1"/>
  <c r="U85" i="19"/>
  <c r="U95" i="3"/>
  <c r="U101" i="19"/>
  <c r="U87" i="3"/>
  <c r="U99" i="18"/>
  <c r="U171" i="3"/>
  <c r="U91" i="18"/>
  <c r="U38" i="19"/>
  <c r="U89" i="18"/>
  <c r="U87" i="19"/>
  <c r="U38" i="3"/>
  <c r="U85" i="18"/>
  <c r="U36" i="3"/>
  <c r="U36" i="18"/>
  <c r="U40" i="3"/>
  <c r="U42" i="19"/>
  <c r="U42" i="18"/>
  <c r="U40" i="18"/>
  <c r="U167" i="3"/>
  <c r="V241" i="2"/>
  <c r="V391" i="2"/>
  <c r="U91" i="19"/>
  <c r="U101" i="18"/>
  <c r="U95" i="19"/>
  <c r="V415" i="2"/>
  <c r="V414" i="2"/>
  <c r="V398" i="2"/>
  <c r="V236" i="2"/>
  <c r="U101" i="3"/>
  <c r="U97" i="18"/>
  <c r="U99" i="19"/>
  <c r="V410" i="2"/>
  <c r="V182" i="2"/>
  <c r="V16" i="3" s="1"/>
  <c r="V392" i="2"/>
  <c r="V407" i="2"/>
  <c r="V389" i="2"/>
  <c r="V408" i="2"/>
  <c r="V235" i="2"/>
  <c r="V413" i="2"/>
  <c r="V242" i="2"/>
  <c r="V240" i="2"/>
  <c r="V394" i="2"/>
  <c r="V239" i="2"/>
  <c r="V412" i="2"/>
  <c r="V388" i="2"/>
  <c r="V406" i="2"/>
  <c r="V243" i="2"/>
  <c r="V233" i="2"/>
  <c r="V197" i="2"/>
  <c r="V20" i="18"/>
  <c r="V22" i="18"/>
  <c r="V18" i="18"/>
  <c r="S131" i="19"/>
  <c r="T169" i="19" s="1"/>
  <c r="S28" i="19"/>
  <c r="S32" i="19"/>
  <c r="S32" i="18"/>
  <c r="S30" i="18"/>
  <c r="U59" i="17"/>
  <c r="U57" i="17"/>
  <c r="U55" i="17"/>
  <c r="W411" i="2"/>
  <c r="W89" i="2"/>
  <c r="S28" i="3"/>
  <c r="S30" i="3"/>
  <c r="S32" i="3"/>
  <c r="AD109" i="1"/>
  <c r="AD127" i="1" s="1"/>
  <c r="AD26" i="1"/>
  <c r="AD75" i="1" s="1"/>
  <c r="AD102" i="1"/>
  <c r="AE1" i="1"/>
  <c r="AD78" i="1"/>
  <c r="AD99" i="1" s="1"/>
  <c r="AE8" i="1" l="1"/>
  <c r="X222" i="2"/>
  <c r="X192" i="2" s="1"/>
  <c r="X396" i="2" s="1"/>
  <c r="X147" i="12"/>
  <c r="X147" i="14"/>
  <c r="X147" i="10"/>
  <c r="X221" i="2"/>
  <c r="X191" i="2" s="1"/>
  <c r="X413" i="2" s="1"/>
  <c r="X146" i="12"/>
  <c r="X146" i="10"/>
  <c r="X146" i="14"/>
  <c r="W155" i="18"/>
  <c r="X224" i="2"/>
  <c r="X194" i="2" s="1"/>
  <c r="X398" i="2" s="1"/>
  <c r="X149" i="10"/>
  <c r="X149" i="14"/>
  <c r="X149" i="12"/>
  <c r="X213" i="2"/>
  <c r="X89" i="2"/>
  <c r="X138" i="12"/>
  <c r="X138" i="10"/>
  <c r="X138" i="14"/>
  <c r="W137" i="12"/>
  <c r="W312" i="12"/>
  <c r="W330" i="12"/>
  <c r="W169" i="12"/>
  <c r="X395" i="2"/>
  <c r="W157" i="18"/>
  <c r="W129" i="18"/>
  <c r="W133" i="18"/>
  <c r="Y465" i="2"/>
  <c r="Y470" i="2"/>
  <c r="Y460" i="2"/>
  <c r="Y457" i="2"/>
  <c r="Y301" i="2"/>
  <c r="Y55" i="2"/>
  <c r="Y47" i="2"/>
  <c r="Y474" i="2"/>
  <c r="Y456" i="2"/>
  <c r="Y454" i="2"/>
  <c r="Y311" i="2"/>
  <c r="Y327" i="2" s="1"/>
  <c r="Y54" i="2"/>
  <c r="Y46" i="2"/>
  <c r="Y467" i="2"/>
  <c r="Y469" i="2"/>
  <c r="Y450" i="2"/>
  <c r="Y466" i="2"/>
  <c r="Y452" i="2"/>
  <c r="Y45" i="2"/>
  <c r="Y476" i="2"/>
  <c r="Y453" i="2"/>
  <c r="Y50" i="2"/>
  <c r="Y461" i="2"/>
  <c r="Y307" i="2"/>
  <c r="Y323" i="2" s="1"/>
  <c r="Y310" i="2"/>
  <c r="Y326" i="2" s="1"/>
  <c r="Y53" i="2"/>
  <c r="Y459" i="2"/>
  <c r="Y306" i="2"/>
  <c r="Y322" i="2" s="1"/>
  <c r="Y309" i="2"/>
  <c r="Y325" i="2" s="1"/>
  <c r="Y52" i="2"/>
  <c r="Y44" i="2"/>
  <c r="Y305" i="2"/>
  <c r="Y321" i="2" s="1"/>
  <c r="Y308" i="2"/>
  <c r="Y324" i="2" s="1"/>
  <c r="Y475" i="2"/>
  <c r="Y451" i="2"/>
  <c r="Y302" i="2"/>
  <c r="Y318" i="2" s="1"/>
  <c r="Y48" i="2"/>
  <c r="Y472" i="2"/>
  <c r="Y455" i="2"/>
  <c r="Y51" i="2"/>
  <c r="Y468" i="2"/>
  <c r="Y304" i="2"/>
  <c r="Y320" i="2" s="1"/>
  <c r="Y471" i="2"/>
  <c r="Y473" i="2"/>
  <c r="Y458" i="2"/>
  <c r="Y303" i="2"/>
  <c r="Y319" i="2" s="1"/>
  <c r="Y312" i="2"/>
  <c r="Y49" i="2"/>
  <c r="Y6" i="2"/>
  <c r="Y8" i="17"/>
  <c r="Y8" i="18"/>
  <c r="Y8" i="19"/>
  <c r="Y8" i="21"/>
  <c r="Y8" i="3"/>
  <c r="Y8" i="20"/>
  <c r="Y8" i="9"/>
  <c r="W238" i="2"/>
  <c r="X214" i="2"/>
  <c r="X184" i="2" s="1"/>
  <c r="X233" i="2" s="1"/>
  <c r="X139" i="10"/>
  <c r="X139" i="12"/>
  <c r="X139" i="14"/>
  <c r="W137" i="10"/>
  <c r="W330" i="10"/>
  <c r="W312" i="10"/>
  <c r="W169" i="10"/>
  <c r="W159" i="18"/>
  <c r="X220" i="2"/>
  <c r="X190" i="2" s="1"/>
  <c r="X412" i="2" s="1"/>
  <c r="X145" i="10"/>
  <c r="X145" i="12"/>
  <c r="X145" i="14"/>
  <c r="W137" i="14"/>
  <c r="W330" i="14"/>
  <c r="W169" i="14"/>
  <c r="W312" i="14"/>
  <c r="W161" i="18"/>
  <c r="X121" i="3"/>
  <c r="X219" i="2"/>
  <c r="X189" i="2" s="1"/>
  <c r="X393" i="2" s="1"/>
  <c r="X144" i="14"/>
  <c r="X144" i="12"/>
  <c r="X144" i="10"/>
  <c r="W212" i="2"/>
  <c r="W183" i="2"/>
  <c r="W244" i="2" s="1"/>
  <c r="X223" i="2"/>
  <c r="X193" i="2" s="1"/>
  <c r="X415" i="2" s="1"/>
  <c r="X148" i="10"/>
  <c r="X148" i="14"/>
  <c r="X148" i="12"/>
  <c r="X217" i="2"/>
  <c r="X187" i="2" s="1"/>
  <c r="X391" i="2" s="1"/>
  <c r="X142" i="14"/>
  <c r="X142" i="10"/>
  <c r="X142" i="12"/>
  <c r="X216" i="2"/>
  <c r="X186" i="2" s="1"/>
  <c r="X390" i="2" s="1"/>
  <c r="X141" i="10"/>
  <c r="X141" i="14"/>
  <c r="X141" i="12"/>
  <c r="X215" i="2"/>
  <c r="X185" i="2" s="1"/>
  <c r="X407" i="2" s="1"/>
  <c r="X140" i="10"/>
  <c r="X140" i="12"/>
  <c r="X140" i="14"/>
  <c r="X123" i="3"/>
  <c r="W318" i="12"/>
  <c r="W163" i="12"/>
  <c r="W336" i="12"/>
  <c r="X117" i="3"/>
  <c r="X62" i="3"/>
  <c r="X58" i="3"/>
  <c r="X56" i="3"/>
  <c r="X60" i="3"/>
  <c r="W163" i="10"/>
  <c r="W336" i="10"/>
  <c r="W318" i="10"/>
  <c r="X218" i="2"/>
  <c r="X188" i="2" s="1"/>
  <c r="X392" i="2" s="1"/>
  <c r="X143" i="10"/>
  <c r="X143" i="12"/>
  <c r="X143" i="14"/>
  <c r="X58" i="2"/>
  <c r="W336" i="14"/>
  <c r="W318" i="14"/>
  <c r="W163" i="14"/>
  <c r="U107" i="13"/>
  <c r="U28" i="13" s="1"/>
  <c r="U111" i="13"/>
  <c r="U32" i="13" s="1"/>
  <c r="U177" i="15"/>
  <c r="U198" i="15" s="1"/>
  <c r="U107" i="15"/>
  <c r="U28" i="15" s="1"/>
  <c r="U26" i="15"/>
  <c r="U181" i="13"/>
  <c r="U297" i="13" s="1"/>
  <c r="U111" i="15"/>
  <c r="U32" i="15" s="1"/>
  <c r="U181" i="15"/>
  <c r="U297" i="15" s="1"/>
  <c r="U109" i="13"/>
  <c r="U30" i="13" s="1"/>
  <c r="U131" i="13" s="1"/>
  <c r="U315" i="13" s="1"/>
  <c r="V329" i="14"/>
  <c r="V101" i="15" s="1"/>
  <c r="V311" i="14"/>
  <c r="V87" i="15" s="1"/>
  <c r="U26" i="13"/>
  <c r="V157" i="14"/>
  <c r="V36" i="15" s="1"/>
  <c r="V89" i="11"/>
  <c r="V91" i="11"/>
  <c r="V87" i="11"/>
  <c r="V85" i="11"/>
  <c r="V97" i="11"/>
  <c r="V99" i="11"/>
  <c r="V101" i="11"/>
  <c r="V95" i="11"/>
  <c r="U30" i="11"/>
  <c r="V262" i="11"/>
  <c r="U202" i="11"/>
  <c r="U28" i="11"/>
  <c r="T200" i="11"/>
  <c r="U260" i="11"/>
  <c r="T295" i="11"/>
  <c r="T315" i="11"/>
  <c r="U169" i="11"/>
  <c r="V311" i="12"/>
  <c r="V85" i="13" s="1"/>
  <c r="V36" i="11"/>
  <c r="V38" i="11"/>
  <c r="V42" i="11"/>
  <c r="V40" i="11"/>
  <c r="V167" i="11"/>
  <c r="V171" i="11"/>
  <c r="U32" i="11"/>
  <c r="U198" i="11"/>
  <c r="V258" i="11"/>
  <c r="V18" i="11"/>
  <c r="V16" i="11"/>
  <c r="V22" i="11"/>
  <c r="V20" i="11"/>
  <c r="U293" i="11"/>
  <c r="U297" i="11"/>
  <c r="V157" i="12"/>
  <c r="V38" i="13" s="1"/>
  <c r="V329" i="12"/>
  <c r="V99" i="13" s="1"/>
  <c r="U317" i="13"/>
  <c r="U198" i="13"/>
  <c r="V258" i="13"/>
  <c r="T131" i="13"/>
  <c r="T179" i="13"/>
  <c r="U313" i="13"/>
  <c r="V16" i="13"/>
  <c r="V22" i="13"/>
  <c r="V20" i="13"/>
  <c r="V18" i="13"/>
  <c r="U317" i="15"/>
  <c r="U313" i="15"/>
  <c r="V18" i="15"/>
  <c r="V16" i="15"/>
  <c r="V20" i="15"/>
  <c r="V22" i="15"/>
  <c r="T315" i="15"/>
  <c r="U169" i="15"/>
  <c r="U72" i="20"/>
  <c r="U89" i="20"/>
  <c r="U161" i="20"/>
  <c r="U167" i="20"/>
  <c r="U177" i="20" s="1"/>
  <c r="U181" i="19"/>
  <c r="U202" i="19" s="1"/>
  <c r="U91" i="20"/>
  <c r="U169" i="3"/>
  <c r="U179" i="3" s="1"/>
  <c r="U99" i="20"/>
  <c r="U38" i="20"/>
  <c r="U68" i="20"/>
  <c r="U85" i="20"/>
  <c r="U97" i="20"/>
  <c r="U109" i="3"/>
  <c r="U40" i="20"/>
  <c r="U181" i="3"/>
  <c r="V302" i="3" s="1"/>
  <c r="U171" i="20"/>
  <c r="U60" i="20"/>
  <c r="S131" i="20"/>
  <c r="U42" i="20"/>
  <c r="M197" i="2"/>
  <c r="V20" i="19"/>
  <c r="M20" i="19" s="1"/>
  <c r="V16" i="19"/>
  <c r="M16" i="19" s="1"/>
  <c r="V18" i="19"/>
  <c r="M18" i="19" s="1"/>
  <c r="V22" i="19"/>
  <c r="M22" i="19" s="1"/>
  <c r="U36" i="20"/>
  <c r="U82" i="20"/>
  <c r="U133" i="18"/>
  <c r="U78" i="20"/>
  <c r="U70" i="20"/>
  <c r="U262" i="20"/>
  <c r="T202" i="20"/>
  <c r="T179" i="19"/>
  <c r="V56" i="18"/>
  <c r="U101" i="20"/>
  <c r="U87" i="20"/>
  <c r="U95" i="20"/>
  <c r="U80" i="20"/>
  <c r="U58" i="20"/>
  <c r="U107" i="3"/>
  <c r="V155" i="3"/>
  <c r="U133" i="19"/>
  <c r="U109" i="19"/>
  <c r="U30" i="19" s="1"/>
  <c r="U131" i="19" s="1"/>
  <c r="U107" i="18"/>
  <c r="U28" i="18" s="1"/>
  <c r="U177" i="3"/>
  <c r="V298" i="3" s="1"/>
  <c r="U26" i="3"/>
  <c r="U26" i="19"/>
  <c r="U129" i="18"/>
  <c r="U26" i="18"/>
  <c r="V18" i="3"/>
  <c r="V157" i="3" s="1"/>
  <c r="U109" i="18"/>
  <c r="U30" i="18" s="1"/>
  <c r="U131" i="18" s="1"/>
  <c r="U107" i="19"/>
  <c r="U111" i="18"/>
  <c r="U32" i="18" s="1"/>
  <c r="V22" i="3"/>
  <c r="U111" i="19"/>
  <c r="U32" i="19" s="1"/>
  <c r="V20" i="3"/>
  <c r="U198" i="18"/>
  <c r="U202" i="18"/>
  <c r="V404" i="2"/>
  <c r="U111" i="3"/>
  <c r="V386" i="2"/>
  <c r="V89" i="3" s="1"/>
  <c r="V232" i="2"/>
  <c r="V157" i="18"/>
  <c r="V159" i="18"/>
  <c r="V161" i="18"/>
  <c r="V258" i="19"/>
  <c r="U198" i="19"/>
  <c r="V260" i="19"/>
  <c r="U200" i="19"/>
  <c r="S131" i="18"/>
  <c r="T169" i="18" s="1"/>
  <c r="V260" i="18"/>
  <c r="U200" i="18"/>
  <c r="V59" i="17"/>
  <c r="M59" i="17" s="1"/>
  <c r="M79" i="17" s="1"/>
  <c r="V55" i="17"/>
  <c r="M55" i="17" s="1"/>
  <c r="S131" i="3"/>
  <c r="S355" i="3" s="1"/>
  <c r="AE109" i="1"/>
  <c r="AE127" i="1" s="1"/>
  <c r="AE26" i="1"/>
  <c r="AE75" i="1" s="1"/>
  <c r="AE102" i="1"/>
  <c r="AF1" i="1"/>
  <c r="AE78" i="1"/>
  <c r="AE99" i="1" s="1"/>
  <c r="AF8" i="1" l="1"/>
  <c r="X240" i="2"/>
  <c r="X414" i="2"/>
  <c r="U202" i="13"/>
  <c r="X241" i="2"/>
  <c r="W405" i="2"/>
  <c r="W404" i="2" s="1"/>
  <c r="W182" i="2"/>
  <c r="W387" i="2"/>
  <c r="W386" i="2" s="1"/>
  <c r="X243" i="2"/>
  <c r="X235" i="2"/>
  <c r="X416" i="2"/>
  <c r="V262" i="13"/>
  <c r="X408" i="2"/>
  <c r="X410" i="2"/>
  <c r="U293" i="15"/>
  <c r="V258" i="15"/>
  <c r="X397" i="2"/>
  <c r="W157" i="14"/>
  <c r="W42" i="15" s="1"/>
  <c r="X242" i="2"/>
  <c r="W311" i="10"/>
  <c r="W87" i="11" s="1"/>
  <c r="Y449" i="2"/>
  <c r="X389" i="2"/>
  <c r="X411" i="2"/>
  <c r="W232" i="2"/>
  <c r="W36" i="3" s="1"/>
  <c r="X237" i="2"/>
  <c r="W40" i="15"/>
  <c r="Y95" i="2"/>
  <c r="Y64" i="2"/>
  <c r="X212" i="2"/>
  <c r="X183" i="2"/>
  <c r="X335" i="14"/>
  <c r="X317" i="14"/>
  <c r="X162" i="14"/>
  <c r="X332" i="10"/>
  <c r="X314" i="10"/>
  <c r="X159" i="10"/>
  <c r="X334" i="14"/>
  <c r="X161" i="14"/>
  <c r="X316" i="14"/>
  <c r="X163" i="10"/>
  <c r="X336" i="10"/>
  <c r="X318" i="10"/>
  <c r="X236" i="2"/>
  <c r="W311" i="14"/>
  <c r="X337" i="12"/>
  <c r="X319" i="12"/>
  <c r="X164" i="12"/>
  <c r="W329" i="10"/>
  <c r="Y90" i="2"/>
  <c r="Y43" i="2"/>
  <c r="Y59" i="2"/>
  <c r="Y93" i="2"/>
  <c r="Y62" i="2"/>
  <c r="X406" i="2"/>
  <c r="X168" i="12"/>
  <c r="X323" i="12"/>
  <c r="X341" i="12"/>
  <c r="X165" i="10"/>
  <c r="X320" i="10"/>
  <c r="X338" i="10"/>
  <c r="X314" i="12"/>
  <c r="X332" i="12"/>
  <c r="X159" i="12"/>
  <c r="X335" i="12"/>
  <c r="X162" i="12"/>
  <c r="X317" i="12"/>
  <c r="X336" i="12"/>
  <c r="X163" i="12"/>
  <c r="X318" i="12"/>
  <c r="X409" i="2"/>
  <c r="X337" i="10"/>
  <c r="X164" i="10"/>
  <c r="X319" i="10"/>
  <c r="W20" i="11"/>
  <c r="W16" i="11"/>
  <c r="W18" i="11"/>
  <c r="W22" i="11"/>
  <c r="Y98" i="2"/>
  <c r="Y67" i="2"/>
  <c r="Y96" i="2"/>
  <c r="Y65" i="2"/>
  <c r="Y101" i="2"/>
  <c r="Y70" i="2"/>
  <c r="X388" i="2"/>
  <c r="X341" i="14"/>
  <c r="X168" i="14"/>
  <c r="X323" i="14"/>
  <c r="X320" i="12"/>
  <c r="X165" i="12"/>
  <c r="X338" i="12"/>
  <c r="X334" i="10"/>
  <c r="X316" i="10"/>
  <c r="X161" i="10"/>
  <c r="X338" i="14"/>
  <c r="X165" i="14"/>
  <c r="X320" i="14"/>
  <c r="X335" i="10"/>
  <c r="X317" i="10"/>
  <c r="X162" i="10"/>
  <c r="X333" i="12"/>
  <c r="X315" i="12"/>
  <c r="X160" i="12"/>
  <c r="X167" i="12"/>
  <c r="X340" i="12"/>
  <c r="X322" i="12"/>
  <c r="X336" i="14"/>
  <c r="X163" i="14"/>
  <c r="X318" i="14"/>
  <c r="W329" i="14"/>
  <c r="X331" i="14"/>
  <c r="X158" i="14"/>
  <c r="X313" i="14"/>
  <c r="Y94" i="2"/>
  <c r="Y63" i="2"/>
  <c r="Y92" i="2"/>
  <c r="Y61" i="2"/>
  <c r="Y300" i="2"/>
  <c r="Y317" i="2"/>
  <c r="Y315" i="2" s="1"/>
  <c r="M315" i="2" s="1"/>
  <c r="X239" i="2"/>
  <c r="X168" i="10"/>
  <c r="X341" i="10"/>
  <c r="X323" i="10"/>
  <c r="X319" i="14"/>
  <c r="X337" i="14"/>
  <c r="X164" i="14"/>
  <c r="Y97" i="2"/>
  <c r="Y66" i="2"/>
  <c r="W20" i="13"/>
  <c r="W22" i="13"/>
  <c r="W18" i="13"/>
  <c r="W16" i="13"/>
  <c r="X315" i="14"/>
  <c r="X333" i="14"/>
  <c r="X160" i="14"/>
  <c r="X340" i="14"/>
  <c r="X167" i="14"/>
  <c r="X322" i="14"/>
  <c r="W22" i="15"/>
  <c r="W161" i="15" s="1"/>
  <c r="W20" i="15"/>
  <c r="W18" i="15"/>
  <c r="W16" i="15"/>
  <c r="X313" i="12"/>
  <c r="X158" i="12"/>
  <c r="X331" i="12"/>
  <c r="Y100" i="2"/>
  <c r="Y69" i="2"/>
  <c r="X394" i="2"/>
  <c r="X137" i="14"/>
  <c r="X330" i="14"/>
  <c r="X312" i="14"/>
  <c r="X169" i="14"/>
  <c r="X166" i="10"/>
  <c r="X321" i="10"/>
  <c r="X339" i="10"/>
  <c r="X315" i="10"/>
  <c r="X333" i="10"/>
  <c r="X160" i="10"/>
  <c r="X322" i="10"/>
  <c r="X340" i="10"/>
  <c r="X167" i="10"/>
  <c r="X238" i="2"/>
  <c r="X331" i="10"/>
  <c r="X313" i="10"/>
  <c r="X158" i="10"/>
  <c r="Y91" i="2"/>
  <c r="Y60" i="2"/>
  <c r="W157" i="12"/>
  <c r="X137" i="10"/>
  <c r="X330" i="10"/>
  <c r="X169" i="10"/>
  <c r="X312" i="10"/>
  <c r="X339" i="14"/>
  <c r="X166" i="14"/>
  <c r="X321" i="14"/>
  <c r="X18" i="18"/>
  <c r="X22" i="18"/>
  <c r="X16" i="18"/>
  <c r="X20" i="18"/>
  <c r="X234" i="2"/>
  <c r="Y99" i="2"/>
  <c r="Y68" i="2"/>
  <c r="W329" i="12"/>
  <c r="X137" i="12"/>
  <c r="X312" i="12"/>
  <c r="X169" i="12"/>
  <c r="X330" i="12"/>
  <c r="X321" i="12"/>
  <c r="X166" i="12"/>
  <c r="X339" i="12"/>
  <c r="V159" i="19"/>
  <c r="M159" i="19" s="1"/>
  <c r="X332" i="14"/>
  <c r="X159" i="14"/>
  <c r="X314" i="14"/>
  <c r="X334" i="12"/>
  <c r="X161" i="12"/>
  <c r="X316" i="12"/>
  <c r="W157" i="10"/>
  <c r="Y6" i="18"/>
  <c r="Y6" i="3"/>
  <c r="Y6" i="17"/>
  <c r="Y6" i="9"/>
  <c r="Y6" i="21"/>
  <c r="Y6" i="20"/>
  <c r="Y6" i="19"/>
  <c r="Y464" i="2"/>
  <c r="Y123" i="3" s="1"/>
  <c r="W311" i="12"/>
  <c r="V99" i="15"/>
  <c r="V89" i="15"/>
  <c r="V91" i="15"/>
  <c r="V85" i="15"/>
  <c r="V40" i="15"/>
  <c r="V42" i="15"/>
  <c r="U202" i="15"/>
  <c r="V262" i="15"/>
  <c r="V87" i="13"/>
  <c r="V38" i="15"/>
  <c r="V97" i="13"/>
  <c r="V36" i="13"/>
  <c r="V95" i="13"/>
  <c r="V171" i="13"/>
  <c r="V169" i="15"/>
  <c r="V95" i="15"/>
  <c r="V171" i="15"/>
  <c r="V97" i="15"/>
  <c r="V91" i="13"/>
  <c r="V167" i="15"/>
  <c r="V101" i="13"/>
  <c r="V89" i="13"/>
  <c r="V42" i="13"/>
  <c r="V155" i="11"/>
  <c r="V111" i="11"/>
  <c r="U179" i="11"/>
  <c r="U295" i="11" s="1"/>
  <c r="V40" i="13"/>
  <c r="V133" i="11"/>
  <c r="V129" i="11"/>
  <c r="V157" i="11"/>
  <c r="V107" i="11"/>
  <c r="U131" i="11"/>
  <c r="V159" i="11"/>
  <c r="V26" i="11"/>
  <c r="V167" i="13"/>
  <c r="V161" i="11"/>
  <c r="V109" i="11"/>
  <c r="V169" i="13"/>
  <c r="V161" i="13"/>
  <c r="U169" i="13"/>
  <c r="T315" i="13"/>
  <c r="V155" i="13"/>
  <c r="V159" i="13"/>
  <c r="V157" i="13"/>
  <c r="V133" i="13"/>
  <c r="V129" i="13"/>
  <c r="T200" i="13"/>
  <c r="U260" i="13"/>
  <c r="T295" i="13"/>
  <c r="V161" i="15"/>
  <c r="V159" i="15"/>
  <c r="V155" i="15"/>
  <c r="U179" i="15"/>
  <c r="V133" i="15"/>
  <c r="V129" i="15"/>
  <c r="V157" i="15"/>
  <c r="V169" i="19"/>
  <c r="V169" i="18"/>
  <c r="V179" i="18" s="1"/>
  <c r="V167" i="18"/>
  <c r="V171" i="18"/>
  <c r="V171" i="19"/>
  <c r="V167" i="19"/>
  <c r="U28" i="19"/>
  <c r="U169" i="20"/>
  <c r="U179" i="20" s="1"/>
  <c r="V260" i="20" s="1"/>
  <c r="V262" i="19"/>
  <c r="V56" i="19"/>
  <c r="V56" i="20" s="1"/>
  <c r="V300" i="3"/>
  <c r="U200" i="3"/>
  <c r="V155" i="19"/>
  <c r="V155" i="20" s="1"/>
  <c r="V66" i="20"/>
  <c r="U337" i="3"/>
  <c r="U181" i="20"/>
  <c r="V262" i="20" s="1"/>
  <c r="U202" i="3"/>
  <c r="V76" i="20"/>
  <c r="V161" i="19"/>
  <c r="M161" i="19" s="1"/>
  <c r="V16" i="20"/>
  <c r="V42" i="3"/>
  <c r="V20" i="20"/>
  <c r="V157" i="19"/>
  <c r="M157" i="19" s="1"/>
  <c r="U129" i="20"/>
  <c r="U133" i="20"/>
  <c r="U26" i="20"/>
  <c r="V258" i="20"/>
  <c r="U198" i="20"/>
  <c r="U30" i="3"/>
  <c r="U131" i="3" s="1"/>
  <c r="U355" i="3" s="1"/>
  <c r="U109" i="20"/>
  <c r="U30" i="20" s="1"/>
  <c r="T200" i="19"/>
  <c r="U260" i="19"/>
  <c r="U32" i="3"/>
  <c r="U111" i="20"/>
  <c r="U32" i="20" s="1"/>
  <c r="U28" i="3"/>
  <c r="U107" i="20"/>
  <c r="U28" i="20" s="1"/>
  <c r="V161" i="3"/>
  <c r="V22" i="20"/>
  <c r="V133" i="3"/>
  <c r="V357" i="3" s="1"/>
  <c r="V18" i="20"/>
  <c r="U333" i="3"/>
  <c r="V101" i="18"/>
  <c r="V85" i="3"/>
  <c r="V99" i="18"/>
  <c r="V97" i="19"/>
  <c r="U198" i="3"/>
  <c r="V62" i="19"/>
  <c r="V72" i="20"/>
  <c r="V38" i="18"/>
  <c r="V97" i="3"/>
  <c r="V101" i="3"/>
  <c r="V133" i="19"/>
  <c r="M133" i="19" s="1"/>
  <c r="V62" i="18"/>
  <c r="V58" i="18"/>
  <c r="V129" i="3"/>
  <c r="V353" i="3" s="1"/>
  <c r="V97" i="18"/>
  <c r="V95" i="18"/>
  <c r="V101" i="19"/>
  <c r="V95" i="19"/>
  <c r="V36" i="19"/>
  <c r="V40" i="3"/>
  <c r="V95" i="3"/>
  <c r="V99" i="3"/>
  <c r="V58" i="19"/>
  <c r="V42" i="19"/>
  <c r="V38" i="19"/>
  <c r="V42" i="18"/>
  <c r="V38" i="3"/>
  <c r="V60" i="19"/>
  <c r="V40" i="19"/>
  <c r="V99" i="19"/>
  <c r="V36" i="3"/>
  <c r="V60" i="18"/>
  <c r="V171" i="3"/>
  <c r="V85" i="18"/>
  <c r="V36" i="18"/>
  <c r="V159" i="3"/>
  <c r="V40" i="18"/>
  <c r="V91" i="18"/>
  <c r="V87" i="3"/>
  <c r="V89" i="18"/>
  <c r="V85" i="19"/>
  <c r="V91" i="3"/>
  <c r="V91" i="19"/>
  <c r="V167" i="3"/>
  <c r="V87" i="18"/>
  <c r="V89" i="19"/>
  <c r="V87" i="19"/>
  <c r="M69" i="17"/>
  <c r="M65" i="17"/>
  <c r="M75" i="17"/>
  <c r="V57" i="17"/>
  <c r="W22" i="3"/>
  <c r="W22" i="20" s="1"/>
  <c r="W20" i="3"/>
  <c r="W20" i="20" s="1"/>
  <c r="W16" i="3"/>
  <c r="W16" i="20" s="1"/>
  <c r="W18" i="3"/>
  <c r="W18" i="20" s="1"/>
  <c r="T169" i="3"/>
  <c r="W95" i="3"/>
  <c r="W97" i="3"/>
  <c r="W101" i="3"/>
  <c r="W99" i="3"/>
  <c r="W91" i="3"/>
  <c r="W85" i="3"/>
  <c r="W87" i="3"/>
  <c r="W89" i="3"/>
  <c r="AF109" i="1"/>
  <c r="AF127" i="1" s="1"/>
  <c r="AF26" i="1"/>
  <c r="AF75" i="1" s="1"/>
  <c r="AF102" i="1"/>
  <c r="AG1" i="1"/>
  <c r="AF78" i="1"/>
  <c r="AF99" i="1" s="1"/>
  <c r="AG8" i="1" l="1"/>
  <c r="W167" i="3"/>
  <c r="V159" i="20"/>
  <c r="W40" i="3"/>
  <c r="W42" i="3"/>
  <c r="W38" i="3"/>
  <c r="W89" i="11"/>
  <c r="W91" i="11"/>
  <c r="W38" i="15"/>
  <c r="X329" i="10"/>
  <c r="X99" i="11" s="1"/>
  <c r="W36" i="15"/>
  <c r="W85" i="11"/>
  <c r="V109" i="13"/>
  <c r="Y121" i="3"/>
  <c r="W99" i="13"/>
  <c r="W97" i="13"/>
  <c r="W95" i="13"/>
  <c r="W101" i="13"/>
  <c r="X16" i="15"/>
  <c r="X18" i="15"/>
  <c r="X20" i="15"/>
  <c r="X22" i="15"/>
  <c r="W157" i="15"/>
  <c r="W133" i="15"/>
  <c r="W317" i="15" s="1"/>
  <c r="W129" i="15"/>
  <c r="W313" i="15" s="1"/>
  <c r="W157" i="13"/>
  <c r="W133" i="13"/>
  <c r="W317" i="13" s="1"/>
  <c r="W129" i="13"/>
  <c r="W313" i="13" s="1"/>
  <c r="Y221" i="2"/>
  <c r="Y191" i="2" s="1"/>
  <c r="Y240" i="2" s="1"/>
  <c r="Y146" i="12"/>
  <c r="Y146" i="10"/>
  <c r="Y146" i="14"/>
  <c r="W161" i="3"/>
  <c r="W161" i="20" s="1"/>
  <c r="W42" i="11"/>
  <c r="W40" i="11"/>
  <c r="W36" i="11"/>
  <c r="W38" i="11"/>
  <c r="W167" i="11"/>
  <c r="W171" i="11"/>
  <c r="X161" i="18"/>
  <c r="X18" i="11"/>
  <c r="X16" i="11"/>
  <c r="X20" i="11"/>
  <c r="X22" i="11"/>
  <c r="W159" i="15"/>
  <c r="W161" i="13"/>
  <c r="Y217" i="2"/>
  <c r="Y187" i="2" s="1"/>
  <c r="Y391" i="2" s="1"/>
  <c r="Y142" i="10"/>
  <c r="Y142" i="14"/>
  <c r="Y142" i="12"/>
  <c r="W161" i="11"/>
  <c r="Y216" i="2"/>
  <c r="Y186" i="2" s="1"/>
  <c r="Y235" i="2" s="1"/>
  <c r="Y141" i="14"/>
  <c r="Y141" i="10"/>
  <c r="Y141" i="12"/>
  <c r="W87" i="15"/>
  <c r="W91" i="15"/>
  <c r="W89" i="15"/>
  <c r="W85" i="15"/>
  <c r="X182" i="2"/>
  <c r="X244" i="2"/>
  <c r="X232" i="2" s="1"/>
  <c r="X405" i="2"/>
  <c r="X404" i="2" s="1"/>
  <c r="X387" i="2"/>
  <c r="X386" i="2" s="1"/>
  <c r="W167" i="15"/>
  <c r="Y222" i="2"/>
  <c r="Y192" i="2" s="1"/>
  <c r="Y241" i="2" s="1"/>
  <c r="Y147" i="12"/>
  <c r="Y147" i="14"/>
  <c r="Y147" i="10"/>
  <c r="W42" i="13"/>
  <c r="W40" i="13"/>
  <c r="W38" i="13"/>
  <c r="W36" i="13"/>
  <c r="W171" i="13"/>
  <c r="W167" i="13"/>
  <c r="W171" i="19"/>
  <c r="W181" i="19" s="1"/>
  <c r="W159" i="13"/>
  <c r="W157" i="11"/>
  <c r="W133" i="11"/>
  <c r="W317" i="11" s="1"/>
  <c r="W129" i="11"/>
  <c r="W313" i="11" s="1"/>
  <c r="Y58" i="2"/>
  <c r="X157" i="18"/>
  <c r="X133" i="18"/>
  <c r="X129" i="18"/>
  <c r="Y223" i="2"/>
  <c r="Y193" i="2" s="1"/>
  <c r="Y415" i="2" s="1"/>
  <c r="Y148" i="10"/>
  <c r="Y148" i="12"/>
  <c r="Y148" i="14"/>
  <c r="X157" i="14"/>
  <c r="W155" i="11"/>
  <c r="W87" i="13"/>
  <c r="W85" i="13"/>
  <c r="W89" i="13"/>
  <c r="W91" i="13"/>
  <c r="P95" i="17"/>
  <c r="Q95" i="17" s="1"/>
  <c r="W171" i="3"/>
  <c r="M89" i="17"/>
  <c r="Y117" i="3"/>
  <c r="X329" i="12"/>
  <c r="Y214" i="2"/>
  <c r="Y184" i="2" s="1"/>
  <c r="Y388" i="2" s="1"/>
  <c r="Y139" i="12"/>
  <c r="Y139" i="14"/>
  <c r="Y139" i="10"/>
  <c r="Y220" i="2"/>
  <c r="Y190" i="2" s="1"/>
  <c r="Y412" i="2" s="1"/>
  <c r="Y145" i="14"/>
  <c r="Y145" i="10"/>
  <c r="Y145" i="12"/>
  <c r="Y224" i="2"/>
  <c r="Y194" i="2" s="1"/>
  <c r="Y416" i="2" s="1"/>
  <c r="Y149" i="12"/>
  <c r="Y149" i="14"/>
  <c r="Y149" i="10"/>
  <c r="W159" i="11"/>
  <c r="Y89" i="2"/>
  <c r="Y213" i="2"/>
  <c r="Y138" i="12"/>
  <c r="Y138" i="10"/>
  <c r="Y138" i="14"/>
  <c r="Y218" i="2"/>
  <c r="Y188" i="2" s="1"/>
  <c r="Y410" i="2" s="1"/>
  <c r="Y143" i="12"/>
  <c r="Y143" i="14"/>
  <c r="Y143" i="10"/>
  <c r="W171" i="15"/>
  <c r="W181" i="15" s="1"/>
  <c r="Y119" i="3"/>
  <c r="X157" i="10"/>
  <c r="X157" i="12"/>
  <c r="Y60" i="3"/>
  <c r="Y56" i="3"/>
  <c r="Y58" i="3"/>
  <c r="Y62" i="3"/>
  <c r="M300" i="2"/>
  <c r="W95" i="15"/>
  <c r="W101" i="15"/>
  <c r="W99" i="15"/>
  <c r="W97" i="15"/>
  <c r="W99" i="11"/>
  <c r="W97" i="11"/>
  <c r="W95" i="11"/>
  <c r="W101" i="11"/>
  <c r="X311" i="12"/>
  <c r="X159" i="18"/>
  <c r="X311" i="10"/>
  <c r="X311" i="14"/>
  <c r="Y219" i="2"/>
  <c r="Y189" i="2" s="1"/>
  <c r="Y411" i="2" s="1"/>
  <c r="Y144" i="12"/>
  <c r="Y144" i="10"/>
  <c r="Y144" i="14"/>
  <c r="X18" i="13"/>
  <c r="X20" i="13"/>
  <c r="X16" i="13"/>
  <c r="X22" i="13"/>
  <c r="X155" i="18"/>
  <c r="X329" i="14"/>
  <c r="W155" i="15"/>
  <c r="W155" i="13"/>
  <c r="Y215" i="2"/>
  <c r="Y185" i="2" s="1"/>
  <c r="Y389" i="2" s="1"/>
  <c r="Y140" i="10"/>
  <c r="Y140" i="14"/>
  <c r="Y140" i="12"/>
  <c r="V111" i="15"/>
  <c r="V32" i="15" s="1"/>
  <c r="V109" i="15"/>
  <c r="V30" i="15" s="1"/>
  <c r="V107" i="13"/>
  <c r="V28" i="13" s="1"/>
  <c r="V26" i="15"/>
  <c r="V107" i="15"/>
  <c r="V111" i="13"/>
  <c r="V26" i="13"/>
  <c r="V177" i="11"/>
  <c r="U315" i="11"/>
  <c r="V169" i="11"/>
  <c r="V181" i="11"/>
  <c r="V317" i="11"/>
  <c r="U200" i="11"/>
  <c r="V260" i="11"/>
  <c r="V30" i="11"/>
  <c r="V28" i="11"/>
  <c r="V32" i="11"/>
  <c r="V313" i="11"/>
  <c r="V179" i="13"/>
  <c r="W260" i="13" s="1"/>
  <c r="V181" i="13"/>
  <c r="V181" i="15"/>
  <c r="W262" i="15" s="1"/>
  <c r="V30" i="13"/>
  <c r="V313" i="13"/>
  <c r="V317" i="13"/>
  <c r="U179" i="13"/>
  <c r="U295" i="13" s="1"/>
  <c r="V177" i="13"/>
  <c r="V317" i="15"/>
  <c r="V179" i="15"/>
  <c r="V260" i="15"/>
  <c r="U200" i="15"/>
  <c r="U295" i="15"/>
  <c r="V177" i="15"/>
  <c r="V313" i="15"/>
  <c r="U200" i="20"/>
  <c r="V181" i="3"/>
  <c r="W302" i="3" s="1"/>
  <c r="U202" i="20"/>
  <c r="V80" i="20"/>
  <c r="V161" i="20"/>
  <c r="V169" i="3"/>
  <c r="V179" i="3" s="1"/>
  <c r="W300" i="3" s="1"/>
  <c r="V89" i="20"/>
  <c r="V38" i="20"/>
  <c r="V87" i="20"/>
  <c r="V101" i="20"/>
  <c r="V60" i="20"/>
  <c r="V68" i="20"/>
  <c r="V95" i="20"/>
  <c r="V82" i="20"/>
  <c r="V157" i="20"/>
  <c r="V42" i="20"/>
  <c r="T179" i="3"/>
  <c r="T200" i="3" s="1"/>
  <c r="T169" i="20"/>
  <c r="V70" i="20"/>
  <c r="V58" i="20"/>
  <c r="V97" i="20"/>
  <c r="V85" i="20"/>
  <c r="V171" i="20"/>
  <c r="V111" i="3"/>
  <c r="V91" i="20"/>
  <c r="V129" i="18"/>
  <c r="W167" i="18" s="1"/>
  <c r="V78" i="20"/>
  <c r="U131" i="20"/>
  <c r="V26" i="3"/>
  <c r="V177" i="3"/>
  <c r="V198" i="3" s="1"/>
  <c r="V167" i="20"/>
  <c r="V36" i="20"/>
  <c r="V99" i="20"/>
  <c r="V40" i="20"/>
  <c r="V62" i="20"/>
  <c r="V179" i="19"/>
  <c r="V129" i="19"/>
  <c r="M129" i="19" s="1"/>
  <c r="V26" i="18"/>
  <c r="V109" i="19"/>
  <c r="V30" i="19" s="1"/>
  <c r="V131" i="19" s="1"/>
  <c r="W169" i="19" s="1"/>
  <c r="V133" i="18"/>
  <c r="W171" i="18" s="1"/>
  <c r="V109" i="18"/>
  <c r="V109" i="3"/>
  <c r="V111" i="19"/>
  <c r="V32" i="19" s="1"/>
  <c r="V107" i="19"/>
  <c r="V107" i="18"/>
  <c r="V28" i="18" s="1"/>
  <c r="V107" i="3"/>
  <c r="V26" i="19"/>
  <c r="V111" i="18"/>
  <c r="V181" i="18"/>
  <c r="V177" i="19"/>
  <c r="W260" i="18"/>
  <c r="V200" i="18"/>
  <c r="V177" i="18"/>
  <c r="W258" i="18" s="1"/>
  <c r="V181" i="19"/>
  <c r="M85" i="17"/>
  <c r="W36" i="19"/>
  <c r="W85" i="19"/>
  <c r="W56" i="19"/>
  <c r="M76" i="19"/>
  <c r="W95" i="19"/>
  <c r="M66" i="19"/>
  <c r="M72" i="19"/>
  <c r="W101" i="19"/>
  <c r="W42" i="19"/>
  <c r="W62" i="19"/>
  <c r="M82" i="19"/>
  <c r="W91" i="19"/>
  <c r="W60" i="19"/>
  <c r="M80" i="19"/>
  <c r="W89" i="19"/>
  <c r="W40" i="19"/>
  <c r="W99" i="19"/>
  <c r="M70" i="19"/>
  <c r="W87" i="19"/>
  <c r="M78" i="19"/>
  <c r="W97" i="19"/>
  <c r="W58" i="19"/>
  <c r="M68" i="19"/>
  <c r="W38" i="19"/>
  <c r="W99" i="18"/>
  <c r="W89" i="18"/>
  <c r="W60" i="18"/>
  <c r="W42" i="18"/>
  <c r="W101" i="18"/>
  <c r="W62" i="18"/>
  <c r="W91" i="18"/>
  <c r="W58" i="18"/>
  <c r="W97" i="18"/>
  <c r="W87" i="18"/>
  <c r="W95" i="18"/>
  <c r="W85" i="18"/>
  <c r="W56" i="18"/>
  <c r="W157" i="3"/>
  <c r="W177" i="3" s="1"/>
  <c r="X298" i="3" s="1"/>
  <c r="W38" i="18"/>
  <c r="P99" i="17"/>
  <c r="Q99" i="17" s="1"/>
  <c r="R99" i="17" s="1"/>
  <c r="T179" i="18"/>
  <c r="W159" i="3"/>
  <c r="W40" i="18"/>
  <c r="W155" i="3"/>
  <c r="W155" i="20" s="1"/>
  <c r="W36" i="18"/>
  <c r="R95" i="17"/>
  <c r="S95" i="17" s="1"/>
  <c r="T95" i="17" s="1"/>
  <c r="U95" i="17" s="1"/>
  <c r="T57" i="17"/>
  <c r="M57" i="17" s="1"/>
  <c r="W133" i="3"/>
  <c r="W357" i="3" s="1"/>
  <c r="W129" i="3"/>
  <c r="W107" i="3"/>
  <c r="W26" i="3"/>
  <c r="W109" i="3"/>
  <c r="W111" i="3"/>
  <c r="AG109" i="1"/>
  <c r="AG127" i="1" s="1"/>
  <c r="AG26" i="1"/>
  <c r="AG102" i="1"/>
  <c r="AG75" i="1"/>
  <c r="AH1" i="1"/>
  <c r="AG78" i="1"/>
  <c r="AG99" i="1" s="1"/>
  <c r="AH8" i="1" l="1"/>
  <c r="W181" i="3"/>
  <c r="X302" i="3" s="1"/>
  <c r="X97" i="11"/>
  <c r="X95" i="11"/>
  <c r="W26" i="15"/>
  <c r="W127" i="15" s="1"/>
  <c r="X101" i="11"/>
  <c r="W181" i="11"/>
  <c r="X262" i="11" s="1"/>
  <c r="Y413" i="2"/>
  <c r="W111" i="15"/>
  <c r="W32" i="15" s="1"/>
  <c r="W143" i="15" s="1"/>
  <c r="Y238" i="2"/>
  <c r="W177" i="11"/>
  <c r="X258" i="11" s="1"/>
  <c r="Y393" i="2"/>
  <c r="W109" i="15"/>
  <c r="W30" i="15" s="1"/>
  <c r="Y395" i="2"/>
  <c r="Y394" i="2"/>
  <c r="Y414" i="2"/>
  <c r="Y407" i="2"/>
  <c r="Y396" i="2"/>
  <c r="Y234" i="2"/>
  <c r="Y242" i="2"/>
  <c r="Y397" i="2"/>
  <c r="Y392" i="2"/>
  <c r="Y237" i="2"/>
  <c r="W181" i="18"/>
  <c r="W137" i="15"/>
  <c r="W179" i="19"/>
  <c r="W177" i="18"/>
  <c r="X262" i="15"/>
  <c r="W202" i="15"/>
  <c r="X36" i="3"/>
  <c r="X42" i="3"/>
  <c r="X171" i="3"/>
  <c r="X40" i="3"/>
  <c r="X167" i="3"/>
  <c r="X38" i="3"/>
  <c r="W109" i="13"/>
  <c r="W30" i="13" s="1"/>
  <c r="W202" i="11"/>
  <c r="Y338" i="10"/>
  <c r="Y165" i="10"/>
  <c r="Y320" i="10"/>
  <c r="X159" i="15"/>
  <c r="W353" i="3"/>
  <c r="Y159" i="14"/>
  <c r="Y314" i="14"/>
  <c r="Y332" i="14"/>
  <c r="X157" i="13"/>
  <c r="X129" i="13"/>
  <c r="X133" i="13"/>
  <c r="X91" i="13"/>
  <c r="X89" i="13"/>
  <c r="X85" i="13"/>
  <c r="X87" i="13"/>
  <c r="M58" i="3"/>
  <c r="Y335" i="10"/>
  <c r="Y162" i="10"/>
  <c r="Y317" i="10"/>
  <c r="Y319" i="12"/>
  <c r="Y164" i="12"/>
  <c r="Y337" i="12"/>
  <c r="Y243" i="2"/>
  <c r="X262" i="19"/>
  <c r="W202" i="19"/>
  <c r="W111" i="13"/>
  <c r="W32" i="13" s="1"/>
  <c r="W143" i="13" s="1"/>
  <c r="Y161" i="12"/>
  <c r="Y316" i="12"/>
  <c r="Y334" i="12"/>
  <c r="Y165" i="12"/>
  <c r="Y320" i="12"/>
  <c r="Y338" i="12"/>
  <c r="W177" i="13"/>
  <c r="X157" i="15"/>
  <c r="X133" i="15"/>
  <c r="X129" i="15"/>
  <c r="W109" i="18"/>
  <c r="W30" i="18" s="1"/>
  <c r="W111" i="18"/>
  <c r="W32" i="18" s="1"/>
  <c r="Y332" i="10"/>
  <c r="Y159" i="10"/>
  <c r="Y314" i="10"/>
  <c r="X87" i="15"/>
  <c r="X85" i="15"/>
  <c r="X91" i="15"/>
  <c r="X89" i="15"/>
  <c r="M56" i="3"/>
  <c r="Y162" i="14"/>
  <c r="Y317" i="14"/>
  <c r="Y335" i="14"/>
  <c r="Y337" i="10"/>
  <c r="Y164" i="10"/>
  <c r="Y319" i="10"/>
  <c r="X101" i="13"/>
  <c r="X99" i="13"/>
  <c r="X95" i="13"/>
  <c r="X97" i="13"/>
  <c r="W171" i="20"/>
  <c r="W181" i="20" s="1"/>
  <c r="X171" i="15"/>
  <c r="X167" i="15"/>
  <c r="X38" i="15"/>
  <c r="X36" i="15"/>
  <c r="X42" i="15"/>
  <c r="X40" i="15"/>
  <c r="W167" i="19"/>
  <c r="W167" i="20" s="1"/>
  <c r="Y339" i="10"/>
  <c r="Y321" i="10"/>
  <c r="Y166" i="10"/>
  <c r="Y161" i="14"/>
  <c r="Y316" i="14"/>
  <c r="Y334" i="14"/>
  <c r="W107" i="11"/>
  <c r="W28" i="11" s="1"/>
  <c r="X155" i="15"/>
  <c r="Y318" i="14"/>
  <c r="Y163" i="14"/>
  <c r="Y336" i="14"/>
  <c r="M60" i="3"/>
  <c r="Y162" i="12"/>
  <c r="Y317" i="12"/>
  <c r="Y335" i="12"/>
  <c r="Y337" i="14"/>
  <c r="Y319" i="14"/>
  <c r="Y164" i="14"/>
  <c r="Y406" i="2"/>
  <c r="Y321" i="14"/>
  <c r="Y166" i="14"/>
  <c r="Y339" i="14"/>
  <c r="X85" i="3"/>
  <c r="X89" i="3"/>
  <c r="X87" i="3"/>
  <c r="X91" i="3"/>
  <c r="Y315" i="12"/>
  <c r="Y160" i="12"/>
  <c r="Y333" i="12"/>
  <c r="Y334" i="10"/>
  <c r="Y161" i="10"/>
  <c r="Y316" i="10"/>
  <c r="X161" i="11"/>
  <c r="W26" i="11"/>
  <c r="W107" i="15"/>
  <c r="Y409" i="2"/>
  <c r="Y314" i="12"/>
  <c r="Y159" i="12"/>
  <c r="Y332" i="12"/>
  <c r="Y158" i="12"/>
  <c r="Y313" i="12"/>
  <c r="Y331" i="12"/>
  <c r="Y167" i="10"/>
  <c r="Y340" i="10"/>
  <c r="Y322" i="10"/>
  <c r="W107" i="19"/>
  <c r="W28" i="19" s="1"/>
  <c r="W109" i="19"/>
  <c r="W30" i="19" s="1"/>
  <c r="Y318" i="10"/>
  <c r="Y163" i="10"/>
  <c r="Y336" i="10"/>
  <c r="X87" i="11"/>
  <c r="X85" i="11"/>
  <c r="X89" i="11"/>
  <c r="X91" i="11"/>
  <c r="X38" i="13"/>
  <c r="X40" i="13"/>
  <c r="X36" i="13"/>
  <c r="X171" i="13"/>
  <c r="X167" i="13"/>
  <c r="X42" i="13"/>
  <c r="Y239" i="2"/>
  <c r="Y233" i="2"/>
  <c r="Y20" i="18"/>
  <c r="Y22" i="18"/>
  <c r="Y18" i="18"/>
  <c r="Y16" i="18"/>
  <c r="M58" i="2"/>
  <c r="Y339" i="12"/>
  <c r="Y166" i="12"/>
  <c r="Y321" i="12"/>
  <c r="X95" i="3"/>
  <c r="X97" i="3"/>
  <c r="X101" i="3"/>
  <c r="X99" i="3"/>
  <c r="Y333" i="10"/>
  <c r="Y160" i="10"/>
  <c r="Y315" i="10"/>
  <c r="X159" i="11"/>
  <c r="W109" i="11"/>
  <c r="W30" i="11" s="1"/>
  <c r="Y390" i="2"/>
  <c r="Y236" i="2"/>
  <c r="X159" i="13"/>
  <c r="M62" i="3"/>
  <c r="W107" i="18"/>
  <c r="Y318" i="12"/>
  <c r="Y336" i="12"/>
  <c r="Y163" i="12"/>
  <c r="Y137" i="14"/>
  <c r="Y330" i="14"/>
  <c r="Y169" i="14"/>
  <c r="Y312" i="14"/>
  <c r="Y341" i="10"/>
  <c r="Y168" i="10"/>
  <c r="Y323" i="10"/>
  <c r="Y315" i="14"/>
  <c r="Y333" i="14"/>
  <c r="Y160" i="14"/>
  <c r="X155" i="11"/>
  <c r="W111" i="11"/>
  <c r="W32" i="11" s="1"/>
  <c r="W143" i="11" s="1"/>
  <c r="Y408" i="2"/>
  <c r="W177" i="15"/>
  <c r="Y212" i="2"/>
  <c r="M212" i="2" s="1"/>
  <c r="Y183" i="2"/>
  <c r="Y398" i="2"/>
  <c r="W111" i="19"/>
  <c r="W32" i="19" s="1"/>
  <c r="W26" i="19"/>
  <c r="W26" i="18"/>
  <c r="X161" i="13"/>
  <c r="X167" i="11"/>
  <c r="X42" i="11"/>
  <c r="X171" i="11"/>
  <c r="X40" i="11"/>
  <c r="X38" i="11"/>
  <c r="X36" i="11"/>
  <c r="Y137" i="10"/>
  <c r="Y169" i="10"/>
  <c r="Y312" i="10"/>
  <c r="Y330" i="10"/>
  <c r="Y323" i="14"/>
  <c r="Y341" i="14"/>
  <c r="Y168" i="14"/>
  <c r="Y158" i="10"/>
  <c r="Y331" i="10"/>
  <c r="Y313" i="10"/>
  <c r="Y322" i="14"/>
  <c r="Y340" i="14"/>
  <c r="Y167" i="14"/>
  <c r="W26" i="13"/>
  <c r="W127" i="13" s="1"/>
  <c r="X16" i="3"/>
  <c r="X36" i="18" s="1"/>
  <c r="X22" i="3"/>
  <c r="X42" i="18" s="1"/>
  <c r="X20" i="3"/>
  <c r="X99" i="19" s="1"/>
  <c r="X18" i="3"/>
  <c r="X97" i="18" s="1"/>
  <c r="W181" i="13"/>
  <c r="X157" i="11"/>
  <c r="X133" i="11"/>
  <c r="X129" i="11"/>
  <c r="X101" i="15"/>
  <c r="X97" i="15"/>
  <c r="X95" i="15"/>
  <c r="X99" i="15"/>
  <c r="X155" i="13"/>
  <c r="Y137" i="12"/>
  <c r="Y312" i="12"/>
  <c r="Y330" i="12"/>
  <c r="Y169" i="12"/>
  <c r="Y341" i="12"/>
  <c r="Y323" i="12"/>
  <c r="Y168" i="12"/>
  <c r="Y158" i="14"/>
  <c r="Y313" i="14"/>
  <c r="Y331" i="14"/>
  <c r="Y167" i="12"/>
  <c r="Y322" i="12"/>
  <c r="Y340" i="12"/>
  <c r="W107" i="13"/>
  <c r="X165" i="13" s="1"/>
  <c r="Y338" i="14"/>
  <c r="Y320" i="14"/>
  <c r="Y165" i="14"/>
  <c r="X161" i="15"/>
  <c r="V28" i="15"/>
  <c r="V200" i="13"/>
  <c r="V32" i="13"/>
  <c r="V337" i="3"/>
  <c r="W337" i="3" s="1"/>
  <c r="V202" i="15"/>
  <c r="V295" i="13"/>
  <c r="V297" i="15"/>
  <c r="W297" i="15" s="1"/>
  <c r="V131" i="11"/>
  <c r="W169" i="11" s="1"/>
  <c r="W179" i="11" s="1"/>
  <c r="V202" i="11"/>
  <c r="W262" i="11"/>
  <c r="V297" i="11"/>
  <c r="W297" i="11" s="1"/>
  <c r="V198" i="11"/>
  <c r="W258" i="11"/>
  <c r="V293" i="11"/>
  <c r="W293" i="11" s="1"/>
  <c r="V179" i="11"/>
  <c r="W258" i="13"/>
  <c r="V198" i="13"/>
  <c r="V293" i="13"/>
  <c r="V131" i="13"/>
  <c r="W169" i="13" s="1"/>
  <c r="U200" i="13"/>
  <c r="V260" i="13"/>
  <c r="W262" i="13"/>
  <c r="V202" i="13"/>
  <c r="V297" i="13"/>
  <c r="V295" i="15"/>
  <c r="V198" i="15"/>
  <c r="W258" i="15"/>
  <c r="V293" i="15"/>
  <c r="W260" i="15"/>
  <c r="V200" i="15"/>
  <c r="V131" i="15"/>
  <c r="W169" i="15" s="1"/>
  <c r="V202" i="3"/>
  <c r="V30" i="18"/>
  <c r="V181" i="20"/>
  <c r="W262" i="20" s="1"/>
  <c r="V169" i="20"/>
  <c r="V179" i="20" s="1"/>
  <c r="W260" i="20" s="1"/>
  <c r="T335" i="3"/>
  <c r="U335" i="3" s="1"/>
  <c r="V335" i="3" s="1"/>
  <c r="W298" i="3"/>
  <c r="V333" i="3"/>
  <c r="W333" i="3" s="1"/>
  <c r="W99" i="20"/>
  <c r="V200" i="3"/>
  <c r="V28" i="19"/>
  <c r="W95" i="20"/>
  <c r="W42" i="20"/>
  <c r="V28" i="3"/>
  <c r="V107" i="20"/>
  <c r="V28" i="20" s="1"/>
  <c r="V133" i="20"/>
  <c r="V129" i="20"/>
  <c r="W91" i="20"/>
  <c r="U300" i="3"/>
  <c r="W56" i="20"/>
  <c r="M78" i="18"/>
  <c r="W78" i="20"/>
  <c r="W62" i="20"/>
  <c r="W60" i="20"/>
  <c r="M80" i="18"/>
  <c r="W80" i="20"/>
  <c r="M80" i="20" s="1"/>
  <c r="W260" i="19"/>
  <c r="W38" i="20"/>
  <c r="V32" i="3"/>
  <c r="V111" i="20"/>
  <c r="V32" i="20" s="1"/>
  <c r="T179" i="20"/>
  <c r="V177" i="20"/>
  <c r="W58" i="20"/>
  <c r="V30" i="3"/>
  <c r="V131" i="3" s="1"/>
  <c r="V109" i="20"/>
  <c r="V30" i="20" s="1"/>
  <c r="V26" i="20"/>
  <c r="W85" i="20"/>
  <c r="W36" i="20"/>
  <c r="W40" i="20"/>
  <c r="W32" i="3"/>
  <c r="M66" i="18"/>
  <c r="W66" i="20"/>
  <c r="M66" i="20" s="1"/>
  <c r="M68" i="18"/>
  <c r="W68" i="20"/>
  <c r="M68" i="20" s="1"/>
  <c r="M82" i="18"/>
  <c r="W82" i="20"/>
  <c r="M82" i="20" s="1"/>
  <c r="M70" i="18"/>
  <c r="W70" i="20"/>
  <c r="M70" i="20" s="1"/>
  <c r="W101" i="20"/>
  <c r="W159" i="20"/>
  <c r="M76" i="18"/>
  <c r="W76" i="20"/>
  <c r="M76" i="20" s="1"/>
  <c r="V200" i="19"/>
  <c r="W157" i="20"/>
  <c r="M72" i="18"/>
  <c r="W72" i="20"/>
  <c r="M72" i="20" s="1"/>
  <c r="W89" i="20"/>
  <c r="W87" i="20"/>
  <c r="W97" i="20"/>
  <c r="V32" i="18"/>
  <c r="W262" i="18"/>
  <c r="V202" i="18"/>
  <c r="W258" i="19"/>
  <c r="V198" i="19"/>
  <c r="V198" i="18"/>
  <c r="V202" i="19"/>
  <c r="W262" i="19"/>
  <c r="S99" i="17"/>
  <c r="U260" i="18"/>
  <c r="T200" i="18"/>
  <c r="M21" i="17"/>
  <c r="M67" i="17"/>
  <c r="M77" i="17"/>
  <c r="W198" i="3"/>
  <c r="M19" i="17"/>
  <c r="V95" i="17"/>
  <c r="W95" i="17" s="1"/>
  <c r="W202" i="3"/>
  <c r="M23" i="17"/>
  <c r="W30" i="3"/>
  <c r="W28" i="3"/>
  <c r="AH109" i="1"/>
  <c r="AH127" i="1" s="1"/>
  <c r="AH26" i="1"/>
  <c r="AH102" i="1"/>
  <c r="AH75" i="1"/>
  <c r="AI1" i="1"/>
  <c r="AH78" i="1"/>
  <c r="AH99" i="1" s="1"/>
  <c r="AI8" i="1" l="1"/>
  <c r="W198" i="11"/>
  <c r="W293" i="15"/>
  <c r="X177" i="11"/>
  <c r="Y258" i="11" s="1"/>
  <c r="W109" i="20"/>
  <c r="W293" i="13"/>
  <c r="Y157" i="10"/>
  <c r="M157" i="10" s="1"/>
  <c r="X26" i="11"/>
  <c r="X127" i="11" s="1"/>
  <c r="X137" i="11" s="1"/>
  <c r="W297" i="13"/>
  <c r="W111" i="20"/>
  <c r="Y329" i="10"/>
  <c r="M329" i="10" s="1"/>
  <c r="Y311" i="10"/>
  <c r="Y87" i="11" s="1"/>
  <c r="M87" i="11" s="1"/>
  <c r="W131" i="13"/>
  <c r="X260" i="11"/>
  <c r="W200" i="11"/>
  <c r="W131" i="18"/>
  <c r="X169" i="18" s="1"/>
  <c r="X179" i="18" s="1"/>
  <c r="W139" i="11"/>
  <c r="X262" i="20"/>
  <c r="W202" i="20"/>
  <c r="X317" i="11"/>
  <c r="W179" i="15"/>
  <c r="W179" i="13"/>
  <c r="W295" i="13" s="1"/>
  <c r="Y329" i="12"/>
  <c r="X157" i="3"/>
  <c r="X18" i="20"/>
  <c r="X129" i="3"/>
  <c r="X133" i="3"/>
  <c r="X58" i="19"/>
  <c r="X58" i="18"/>
  <c r="Y161" i="18"/>
  <c r="M22" i="18"/>
  <c r="X111" i="13"/>
  <c r="X181" i="11"/>
  <c r="X297" i="11" s="1"/>
  <c r="X91" i="19"/>
  <c r="W28" i="15"/>
  <c r="W139" i="15" s="1"/>
  <c r="X109" i="15"/>
  <c r="X30" i="15" s="1"/>
  <c r="X42" i="19"/>
  <c r="X42" i="20" s="1"/>
  <c r="X107" i="3"/>
  <c r="X28" i="3" s="1"/>
  <c r="X139" i="3" s="1"/>
  <c r="X181" i="15"/>
  <c r="X297" i="15" s="1"/>
  <c r="T99" i="17"/>
  <c r="U99" i="17" s="1"/>
  <c r="Y311" i="12"/>
  <c r="X159" i="3"/>
  <c r="X20" i="20"/>
  <c r="X60" i="19"/>
  <c r="X60" i="18"/>
  <c r="X111" i="11"/>
  <c r="X32" i="11" s="1"/>
  <c r="X143" i="11" s="1"/>
  <c r="X181" i="13"/>
  <c r="X258" i="15"/>
  <c r="W198" i="15"/>
  <c r="W131" i="11"/>
  <c r="W141" i="11" s="1"/>
  <c r="X97" i="19"/>
  <c r="X97" i="20" s="1"/>
  <c r="Y159" i="18"/>
  <c r="M20" i="18"/>
  <c r="X89" i="18"/>
  <c r="X111" i="15"/>
  <c r="X171" i="19"/>
  <c r="X38" i="18"/>
  <c r="W30" i="20"/>
  <c r="W32" i="20"/>
  <c r="Y20" i="13"/>
  <c r="Y16" i="13"/>
  <c r="Y18" i="13"/>
  <c r="Y22" i="13"/>
  <c r="M137" i="12"/>
  <c r="X95" i="18"/>
  <c r="X85" i="19"/>
  <c r="X165" i="15"/>
  <c r="X175" i="15" s="1"/>
  <c r="W107" i="20"/>
  <c r="W28" i="20" s="1"/>
  <c r="X167" i="19"/>
  <c r="X177" i="19" s="1"/>
  <c r="X198" i="11"/>
  <c r="W26" i="20"/>
  <c r="W28" i="13"/>
  <c r="Y157" i="14"/>
  <c r="X313" i="11"/>
  <c r="X161" i="3"/>
  <c r="X22" i="20"/>
  <c r="X62" i="18"/>
  <c r="X62" i="19"/>
  <c r="Y18" i="11"/>
  <c r="Y20" i="11"/>
  <c r="Y16" i="11"/>
  <c r="Y22" i="11"/>
  <c r="M137" i="10"/>
  <c r="Y311" i="14"/>
  <c r="X95" i="19"/>
  <c r="Y155" i="18"/>
  <c r="M16" i="18"/>
  <c r="X85" i="18"/>
  <c r="X26" i="15"/>
  <c r="X313" i="15"/>
  <c r="X40" i="18"/>
  <c r="X26" i="13"/>
  <c r="W131" i="19"/>
  <c r="X169" i="19" s="1"/>
  <c r="X87" i="19"/>
  <c r="X107" i="15"/>
  <c r="X317" i="15"/>
  <c r="X317" i="13"/>
  <c r="X40" i="19"/>
  <c r="X109" i="3"/>
  <c r="X30" i="3" s="1"/>
  <c r="X258" i="18"/>
  <c r="W198" i="18"/>
  <c r="W311" i="15"/>
  <c r="Y329" i="14"/>
  <c r="W28" i="18"/>
  <c r="X101" i="18"/>
  <c r="X95" i="17"/>
  <c r="X109" i="13"/>
  <c r="X30" i="13" s="1"/>
  <c r="X89" i="19"/>
  <c r="W177" i="19"/>
  <c r="X313" i="13"/>
  <c r="X171" i="18"/>
  <c r="M78" i="20"/>
  <c r="W129" i="20"/>
  <c r="W133" i="20"/>
  <c r="X175" i="13"/>
  <c r="X109" i="11"/>
  <c r="Y182" i="2"/>
  <c r="Y244" i="2"/>
  <c r="Y232" i="2" s="1"/>
  <c r="Y387" i="2"/>
  <c r="Y386" i="2" s="1"/>
  <c r="Y405" i="2"/>
  <c r="Y404" i="2" s="1"/>
  <c r="Y18" i="15"/>
  <c r="Y16" i="15"/>
  <c r="Y20" i="15"/>
  <c r="Y22" i="15"/>
  <c r="M137" i="14"/>
  <c r="X99" i="18"/>
  <c r="Y157" i="18"/>
  <c r="Y129" i="18"/>
  <c r="M129" i="18" s="1"/>
  <c r="Y133" i="18"/>
  <c r="M133" i="18" s="1"/>
  <c r="M18" i="18"/>
  <c r="X107" i="13"/>
  <c r="X28" i="13" s="1"/>
  <c r="X139" i="13" s="1"/>
  <c r="W127" i="11"/>
  <c r="X87" i="18"/>
  <c r="X177" i="15"/>
  <c r="X38" i="19"/>
  <c r="X111" i="3"/>
  <c r="X155" i="3"/>
  <c r="X16" i="20"/>
  <c r="X56" i="19"/>
  <c r="X56" i="18"/>
  <c r="Y38" i="11"/>
  <c r="M38" i="11" s="1"/>
  <c r="Y42" i="11"/>
  <c r="M42" i="11" s="1"/>
  <c r="Y36" i="11"/>
  <c r="Y40" i="11"/>
  <c r="M40" i="11" s="1"/>
  <c r="W137" i="13"/>
  <c r="W311" i="13"/>
  <c r="X107" i="11"/>
  <c r="X28" i="11" s="1"/>
  <c r="W177" i="20"/>
  <c r="V355" i="3"/>
  <c r="W169" i="3"/>
  <c r="W295" i="15"/>
  <c r="X293" i="11"/>
  <c r="W202" i="13"/>
  <c r="X262" i="13"/>
  <c r="X101" i="19"/>
  <c r="Y157" i="12"/>
  <c r="X91" i="18"/>
  <c r="W198" i="13"/>
  <c r="X258" i="13"/>
  <c r="W131" i="15"/>
  <c r="W141" i="15" s="1"/>
  <c r="X177" i="13"/>
  <c r="X167" i="18"/>
  <c r="X36" i="19"/>
  <c r="X36" i="20" s="1"/>
  <c r="X26" i="3"/>
  <c r="X260" i="19"/>
  <c r="W200" i="19"/>
  <c r="X262" i="18"/>
  <c r="W202" i="18"/>
  <c r="W260" i="11"/>
  <c r="V200" i="11"/>
  <c r="V295" i="11"/>
  <c r="W295" i="11" s="1"/>
  <c r="V315" i="11"/>
  <c r="V315" i="13"/>
  <c r="V315" i="15"/>
  <c r="V131" i="18"/>
  <c r="V202" i="20"/>
  <c r="V200" i="20"/>
  <c r="V131" i="20"/>
  <c r="W258" i="20"/>
  <c r="V198" i="20"/>
  <c r="U260" i="20"/>
  <c r="T200" i="20"/>
  <c r="P97" i="17"/>
  <c r="Q97" i="17" s="1"/>
  <c r="M87" i="17"/>
  <c r="W131" i="3"/>
  <c r="AI109" i="1"/>
  <c r="AI127" i="1" s="1"/>
  <c r="AI26" i="1"/>
  <c r="AI75" i="1" s="1"/>
  <c r="AI102" i="1"/>
  <c r="AJ1" i="1"/>
  <c r="AI78" i="1"/>
  <c r="AI99" i="1" s="1"/>
  <c r="AJ8" i="1" l="1"/>
  <c r="V99" i="17"/>
  <c r="X297" i="13"/>
  <c r="M311" i="10"/>
  <c r="Y167" i="11"/>
  <c r="M167" i="11" s="1"/>
  <c r="Y95" i="11"/>
  <c r="M95" i="11" s="1"/>
  <c r="Y85" i="11"/>
  <c r="M85" i="11" s="1"/>
  <c r="Y171" i="11"/>
  <c r="M171" i="11" s="1"/>
  <c r="Y91" i="11"/>
  <c r="M91" i="11" s="1"/>
  <c r="Y89" i="11"/>
  <c r="M89" i="11" s="1"/>
  <c r="X167" i="20"/>
  <c r="Y97" i="11"/>
  <c r="M97" i="11" s="1"/>
  <c r="Y101" i="11"/>
  <c r="M101" i="11" s="1"/>
  <c r="Y99" i="11"/>
  <c r="M99" i="11" s="1"/>
  <c r="X95" i="20"/>
  <c r="X91" i="20"/>
  <c r="X111" i="18"/>
  <c r="X32" i="18" s="1"/>
  <c r="X171" i="20"/>
  <c r="X139" i="11"/>
  <c r="X131" i="15"/>
  <c r="X315" i="15" s="1"/>
  <c r="X131" i="13"/>
  <c r="X141" i="13" s="1"/>
  <c r="X131" i="3"/>
  <c r="X355" i="3" s="1"/>
  <c r="Y161" i="15"/>
  <c r="M22" i="15"/>
  <c r="X127" i="15"/>
  <c r="X311" i="15" s="1"/>
  <c r="Y36" i="3"/>
  <c r="Y40" i="3"/>
  <c r="Y167" i="3"/>
  <c r="Y42" i="3"/>
  <c r="Y171" i="3"/>
  <c r="Y38" i="3"/>
  <c r="M232" i="2"/>
  <c r="Y87" i="15"/>
  <c r="M87" i="15" s="1"/>
  <c r="Y91" i="15"/>
  <c r="M91" i="15" s="1"/>
  <c r="Y89" i="15"/>
  <c r="M89" i="15" s="1"/>
  <c r="Y85" i="15"/>
  <c r="M85" i="15" s="1"/>
  <c r="M311" i="14"/>
  <c r="Y157" i="11"/>
  <c r="Y133" i="11"/>
  <c r="Y129" i="11"/>
  <c r="M18" i="11"/>
  <c r="X107" i="18"/>
  <c r="X60" i="20"/>
  <c r="X353" i="3"/>
  <c r="W141" i="13"/>
  <c r="W315" i="13"/>
  <c r="X169" i="13"/>
  <c r="X181" i="19"/>
  <c r="X38" i="20"/>
  <c r="X129" i="20"/>
  <c r="X133" i="20"/>
  <c r="M157" i="18"/>
  <c r="Y155" i="15"/>
  <c r="M16" i="15"/>
  <c r="X30" i="11"/>
  <c r="X258" i="19"/>
  <c r="W198" i="19"/>
  <c r="X109" i="19"/>
  <c r="X30" i="19" s="1"/>
  <c r="X109" i="18"/>
  <c r="X30" i="18" s="1"/>
  <c r="Y95" i="17"/>
  <c r="M95" i="17" s="1"/>
  <c r="M105" i="17" s="1"/>
  <c r="Y38" i="15"/>
  <c r="Y171" i="15"/>
  <c r="M171" i="15" s="1"/>
  <c r="Y36" i="15"/>
  <c r="Y42" i="15"/>
  <c r="Y167" i="15"/>
  <c r="M167" i="15" s="1"/>
  <c r="Y40" i="15"/>
  <c r="M157" i="14"/>
  <c r="X87" i="20"/>
  <c r="W315" i="11"/>
  <c r="X169" i="11"/>
  <c r="W99" i="17"/>
  <c r="X177" i="3"/>
  <c r="X157" i="20"/>
  <c r="Y109" i="11"/>
  <c r="M109" i="11" s="1"/>
  <c r="Y165" i="11"/>
  <c r="X32" i="3"/>
  <c r="Y157" i="15"/>
  <c r="Y129" i="15"/>
  <c r="Y133" i="15"/>
  <c r="M18" i="15"/>
  <c r="Y256" i="13"/>
  <c r="X196" i="13"/>
  <c r="Y260" i="18"/>
  <c r="X200" i="18"/>
  <c r="W139" i="13"/>
  <c r="M161" i="18"/>
  <c r="W200" i="15"/>
  <c r="X260" i="15"/>
  <c r="Y258" i="15"/>
  <c r="X198" i="15"/>
  <c r="X127" i="3"/>
  <c r="X351" i="3" s="1"/>
  <c r="W137" i="11"/>
  <c r="W311" i="11"/>
  <c r="X165" i="11"/>
  <c r="X175" i="11" s="1"/>
  <c r="X62" i="20"/>
  <c r="W355" i="3"/>
  <c r="X169" i="3"/>
  <c r="X169" i="20" s="1"/>
  <c r="X107" i="19"/>
  <c r="X28" i="19" s="1"/>
  <c r="Y95" i="3"/>
  <c r="Y99" i="3"/>
  <c r="Y101" i="3"/>
  <c r="Y97" i="3"/>
  <c r="M404" i="2"/>
  <c r="X181" i="18"/>
  <c r="M36" i="11"/>
  <c r="X28" i="15"/>
  <c r="X139" i="15" s="1"/>
  <c r="X89" i="20"/>
  <c r="Y161" i="13"/>
  <c r="M22" i="13"/>
  <c r="X111" i="19"/>
  <c r="X32" i="19" s="1"/>
  <c r="X311" i="11"/>
  <c r="Y95" i="13"/>
  <c r="M95" i="13" s="1"/>
  <c r="Y99" i="13"/>
  <c r="M99" i="13" s="1"/>
  <c r="Y97" i="13"/>
  <c r="M97" i="13" s="1"/>
  <c r="Y101" i="13"/>
  <c r="M101" i="13" s="1"/>
  <c r="M329" i="12"/>
  <c r="Y111" i="11"/>
  <c r="M111" i="11" s="1"/>
  <c r="X155" i="20"/>
  <c r="X179" i="19"/>
  <c r="X127" i="13"/>
  <c r="X311" i="13" s="1"/>
  <c r="Y161" i="11"/>
  <c r="M22" i="11"/>
  <c r="Y258" i="19"/>
  <c r="X198" i="19"/>
  <c r="Y157" i="13"/>
  <c r="Y133" i="13"/>
  <c r="Y129" i="13"/>
  <c r="M18" i="13"/>
  <c r="W131" i="20"/>
  <c r="M159" i="18"/>
  <c r="X159" i="20"/>
  <c r="Y262" i="15"/>
  <c r="X202" i="15"/>
  <c r="Y262" i="11"/>
  <c r="X202" i="11"/>
  <c r="X58" i="20"/>
  <c r="Y171" i="13"/>
  <c r="M171" i="13" s="1"/>
  <c r="Y42" i="13"/>
  <c r="Y38" i="13"/>
  <c r="Y167" i="13"/>
  <c r="M167" i="13" s="1"/>
  <c r="Y169" i="13"/>
  <c r="Y40" i="13"/>
  <c r="Y36" i="13"/>
  <c r="M157" i="12"/>
  <c r="X56" i="20"/>
  <c r="Y258" i="13"/>
  <c r="X198" i="13"/>
  <c r="W179" i="3"/>
  <c r="Y159" i="15"/>
  <c r="M20" i="15"/>
  <c r="W169" i="18"/>
  <c r="W315" i="15"/>
  <c r="X169" i="15"/>
  <c r="Y91" i="3"/>
  <c r="Y87" i="3"/>
  <c r="Y85" i="3"/>
  <c r="Y89" i="3"/>
  <c r="M386" i="2"/>
  <c r="X99" i="20"/>
  <c r="Y155" i="11"/>
  <c r="M16" i="11"/>
  <c r="X181" i="3"/>
  <c r="X161" i="20"/>
  <c r="Y155" i="13"/>
  <c r="M16" i="13"/>
  <c r="X293" i="13"/>
  <c r="X32" i="15"/>
  <c r="Y85" i="13"/>
  <c r="M85" i="13" s="1"/>
  <c r="Y87" i="13"/>
  <c r="M87" i="13" s="1"/>
  <c r="Y89" i="13"/>
  <c r="M89" i="13" s="1"/>
  <c r="Y91" i="13"/>
  <c r="M91" i="13" s="1"/>
  <c r="M311" i="12"/>
  <c r="X99" i="17"/>
  <c r="X26" i="18"/>
  <c r="Y256" i="15"/>
  <c r="X196" i="15"/>
  <c r="X26" i="19"/>
  <c r="Y107" i="11"/>
  <c r="M107" i="11" s="1"/>
  <c r="X177" i="18"/>
  <c r="X258" i="20"/>
  <c r="W198" i="20"/>
  <c r="Y16" i="3"/>
  <c r="Y85" i="19" s="1"/>
  <c r="M85" i="19" s="1"/>
  <c r="Y22" i="3"/>
  <c r="Y101" i="18" s="1"/>
  <c r="M101" i="18" s="1"/>
  <c r="Y18" i="3"/>
  <c r="Y20" i="3"/>
  <c r="Y89" i="19" s="1"/>
  <c r="M89" i="19" s="1"/>
  <c r="M182" i="2"/>
  <c r="Y95" i="15"/>
  <c r="M95" i="15" s="1"/>
  <c r="Y97" i="15"/>
  <c r="M97" i="15" s="1"/>
  <c r="Y101" i="15"/>
  <c r="M101" i="15" s="1"/>
  <c r="Y99" i="15"/>
  <c r="M99" i="15" s="1"/>
  <c r="M329" i="14"/>
  <c r="X40" i="20"/>
  <c r="X85" i="20"/>
  <c r="X101" i="20"/>
  <c r="Y159" i="11"/>
  <c r="M20" i="11"/>
  <c r="X293" i="15"/>
  <c r="Y159" i="13"/>
  <c r="M20" i="13"/>
  <c r="Y262" i="13"/>
  <c r="X202" i="13"/>
  <c r="X32" i="13"/>
  <c r="X357" i="3"/>
  <c r="W200" i="13"/>
  <c r="X260" i="13"/>
  <c r="R97" i="17"/>
  <c r="AJ109" i="1"/>
  <c r="AJ127" i="1" s="1"/>
  <c r="AJ26" i="1"/>
  <c r="AJ102" i="1"/>
  <c r="AJ75" i="1"/>
  <c r="AK1" i="1"/>
  <c r="AK8" i="1" s="1"/>
  <c r="AJ78" i="1"/>
  <c r="AJ99" i="1" s="1"/>
  <c r="Y26" i="11" l="1"/>
  <c r="Y169" i="15"/>
  <c r="M169" i="15" s="1"/>
  <c r="Y165" i="15"/>
  <c r="Y28" i="11"/>
  <c r="Y139" i="11" s="1"/>
  <c r="Y165" i="13"/>
  <c r="X137" i="13"/>
  <c r="Y169" i="3"/>
  <c r="M169" i="3" s="1"/>
  <c r="Y99" i="17"/>
  <c r="M99" i="17" s="1"/>
  <c r="M109" i="17" s="1"/>
  <c r="X141" i="15"/>
  <c r="X137" i="15"/>
  <c r="Y85" i="18"/>
  <c r="M85" i="18" s="1"/>
  <c r="X107" i="20"/>
  <c r="X131" i="19"/>
  <c r="Y157" i="3"/>
  <c r="Y18" i="20"/>
  <c r="Y129" i="3"/>
  <c r="Y133" i="3"/>
  <c r="Y58" i="19"/>
  <c r="M58" i="19" s="1"/>
  <c r="Y58" i="18"/>
  <c r="M18" i="3"/>
  <c r="Y161" i="3"/>
  <c r="Y22" i="20"/>
  <c r="Y62" i="18"/>
  <c r="Y62" i="19"/>
  <c r="M62" i="19" s="1"/>
  <c r="M22" i="3"/>
  <c r="W179" i="18"/>
  <c r="X300" i="3"/>
  <c r="W335" i="3"/>
  <c r="W200" i="3"/>
  <c r="Y155" i="3"/>
  <c r="Y16" i="20"/>
  <c r="Y56" i="19"/>
  <c r="M56" i="19" s="1"/>
  <c r="Y56" i="18"/>
  <c r="M16" i="3"/>
  <c r="Y175" i="11"/>
  <c r="Y91" i="19"/>
  <c r="M91" i="19" s="1"/>
  <c r="M87" i="3"/>
  <c r="Y109" i="13"/>
  <c r="M109" i="13" s="1"/>
  <c r="M40" i="13"/>
  <c r="X179" i="20"/>
  <c r="Y313" i="13"/>
  <c r="M129" i="13"/>
  <c r="Y97" i="19"/>
  <c r="M97" i="19" s="1"/>
  <c r="M101" i="3"/>
  <c r="Y107" i="15"/>
  <c r="M107" i="15" s="1"/>
  <c r="M38" i="15"/>
  <c r="X111" i="20"/>
  <c r="M169" i="13"/>
  <c r="X179" i="13"/>
  <c r="Y177" i="11"/>
  <c r="M157" i="11"/>
  <c r="Y171" i="18"/>
  <c r="Y42" i="18"/>
  <c r="M171" i="3"/>
  <c r="M85" i="3"/>
  <c r="Y260" i="19"/>
  <c r="X200" i="19"/>
  <c r="M159" i="11"/>
  <c r="Y87" i="19"/>
  <c r="M87" i="19" s="1"/>
  <c r="M91" i="3"/>
  <c r="X179" i="3"/>
  <c r="Y317" i="13"/>
  <c r="M133" i="13"/>
  <c r="Y181" i="11"/>
  <c r="M161" i="11"/>
  <c r="Y95" i="18"/>
  <c r="M95" i="18" s="1"/>
  <c r="M99" i="3"/>
  <c r="Y262" i="19"/>
  <c r="X202" i="19"/>
  <c r="Y167" i="19"/>
  <c r="Y36" i="18"/>
  <c r="Y111" i="3"/>
  <c r="Y32" i="3" s="1"/>
  <c r="M42" i="3"/>
  <c r="X179" i="15"/>
  <c r="Y177" i="13"/>
  <c r="Y293" i="13" s="1"/>
  <c r="M157" i="13"/>
  <c r="M95" i="3"/>
  <c r="Y317" i="15"/>
  <c r="M133" i="15"/>
  <c r="Y175" i="15"/>
  <c r="Y171" i="19"/>
  <c r="Y40" i="19"/>
  <c r="M167" i="3"/>
  <c r="X137" i="3"/>
  <c r="X315" i="13"/>
  <c r="Y179" i="13"/>
  <c r="M159" i="13"/>
  <c r="Y32" i="11"/>
  <c r="Y30" i="11"/>
  <c r="M30" i="11" s="1"/>
  <c r="Y109" i="15"/>
  <c r="M109" i="15" s="1"/>
  <c r="M40" i="15"/>
  <c r="X28" i="18"/>
  <c r="Y38" i="19"/>
  <c r="Y109" i="3"/>
  <c r="Y30" i="3" s="1"/>
  <c r="M30" i="3" s="1"/>
  <c r="M40" i="3"/>
  <c r="X181" i="20"/>
  <c r="Y87" i="18"/>
  <c r="M87" i="18" s="1"/>
  <c r="Y107" i="13"/>
  <c r="M107" i="13" s="1"/>
  <c r="M38" i="13"/>
  <c r="Y181" i="13"/>
  <c r="M161" i="13"/>
  <c r="Y99" i="18"/>
  <c r="M99" i="18" s="1"/>
  <c r="Y313" i="15"/>
  <c r="M129" i="15"/>
  <c r="X202" i="3"/>
  <c r="Y302" i="3"/>
  <c r="X337" i="3"/>
  <c r="Y91" i="18"/>
  <c r="M91" i="18" s="1"/>
  <c r="Y179" i="15"/>
  <c r="M159" i="15"/>
  <c r="Y111" i="13"/>
  <c r="M111" i="13" s="1"/>
  <c r="M42" i="13"/>
  <c r="Y262" i="18"/>
  <c r="X202" i="18"/>
  <c r="Y101" i="19"/>
  <c r="M101" i="19" s="1"/>
  <c r="Y256" i="11"/>
  <c r="X196" i="11"/>
  <c r="Y177" i="15"/>
  <c r="Y293" i="15" s="1"/>
  <c r="M157" i="15"/>
  <c r="Y38" i="18"/>
  <c r="X143" i="13"/>
  <c r="Y159" i="3"/>
  <c r="Y20" i="20"/>
  <c r="Y60" i="19"/>
  <c r="M60" i="19" s="1"/>
  <c r="Y60" i="18"/>
  <c r="M20" i="3"/>
  <c r="Y258" i="18"/>
  <c r="X198" i="18"/>
  <c r="Y97" i="18"/>
  <c r="M97" i="18" s="1"/>
  <c r="X177" i="20"/>
  <c r="Y111" i="15"/>
  <c r="M111" i="15" s="1"/>
  <c r="M42" i="15"/>
  <c r="X28" i="20"/>
  <c r="Y313" i="11"/>
  <c r="M129" i="11"/>
  <c r="Y167" i="18"/>
  <c r="Y36" i="19"/>
  <c r="Y26" i="3"/>
  <c r="Y127" i="3" s="1"/>
  <c r="M36" i="3"/>
  <c r="Y181" i="15"/>
  <c r="M161" i="15"/>
  <c r="X26" i="20"/>
  <c r="Y175" i="13"/>
  <c r="Y89" i="18"/>
  <c r="M89" i="18" s="1"/>
  <c r="M89" i="3"/>
  <c r="W169" i="20"/>
  <c r="Y26" i="13"/>
  <c r="M36" i="13"/>
  <c r="Y95" i="19"/>
  <c r="M95" i="19" s="1"/>
  <c r="X143" i="3"/>
  <c r="X198" i="3"/>
  <c r="Y298" i="3"/>
  <c r="X333" i="3"/>
  <c r="X179" i="11"/>
  <c r="Y26" i="15"/>
  <c r="M36" i="15"/>
  <c r="Y317" i="11"/>
  <c r="M133" i="11"/>
  <c r="Y40" i="18"/>
  <c r="Y165" i="3"/>
  <c r="X141" i="3"/>
  <c r="X143" i="15"/>
  <c r="Y99" i="19"/>
  <c r="M99" i="19" s="1"/>
  <c r="M97" i="3"/>
  <c r="X131" i="18"/>
  <c r="Y169" i="18" s="1"/>
  <c r="X131" i="11"/>
  <c r="X141" i="11" s="1"/>
  <c r="X109" i="20"/>
  <c r="X30" i="20" s="1"/>
  <c r="Y42" i="19"/>
  <c r="Y107" i="3"/>
  <c r="M38" i="3"/>
  <c r="S97" i="17"/>
  <c r="AK109" i="1"/>
  <c r="AK127" i="1" s="1"/>
  <c r="AK26" i="1"/>
  <c r="AK75" i="1" s="1"/>
  <c r="AK102" i="1"/>
  <c r="AL1" i="1"/>
  <c r="AL8" i="1" s="1"/>
  <c r="AK78" i="1"/>
  <c r="AK99" i="1" s="1"/>
  <c r="M26" i="11" l="1"/>
  <c r="Y127" i="11"/>
  <c r="Y85" i="20"/>
  <c r="M85" i="20" s="1"/>
  <c r="Y143" i="3"/>
  <c r="Y89" i="20"/>
  <c r="M89" i="20" s="1"/>
  <c r="M28" i="11"/>
  <c r="Y32" i="15"/>
  <c r="Y143" i="15" s="1"/>
  <c r="M32" i="3"/>
  <c r="Y351" i="3"/>
  <c r="Y42" i="20"/>
  <c r="M42" i="20" s="1"/>
  <c r="Y179" i="18"/>
  <c r="M179" i="18" s="1"/>
  <c r="M169" i="18"/>
  <c r="Y260" i="11"/>
  <c r="X200" i="11"/>
  <c r="X295" i="11"/>
  <c r="Y26" i="19"/>
  <c r="M36" i="19"/>
  <c r="Y87" i="20"/>
  <c r="M87" i="20" s="1"/>
  <c r="Y58" i="20"/>
  <c r="M58" i="20" s="1"/>
  <c r="M58" i="18"/>
  <c r="M109" i="3"/>
  <c r="Y30" i="15"/>
  <c r="Y28" i="15"/>
  <c r="Y137" i="3"/>
  <c r="Y260" i="15"/>
  <c r="X200" i="15"/>
  <c r="M179" i="15"/>
  <c r="X295" i="15"/>
  <c r="Y295" i="15" s="1"/>
  <c r="Y177" i="19"/>
  <c r="M167" i="19"/>
  <c r="M171" i="18"/>
  <c r="Y181" i="18"/>
  <c r="Y175" i="3"/>
  <c r="Y155" i="20"/>
  <c r="Y109" i="18"/>
  <c r="M109" i="18" s="1"/>
  <c r="M40" i="18"/>
  <c r="Y177" i="18"/>
  <c r="M167" i="18"/>
  <c r="Y262" i="20"/>
  <c r="X202" i="20"/>
  <c r="Y97" i="20"/>
  <c r="M97" i="20" s="1"/>
  <c r="Y131" i="3"/>
  <c r="Y141" i="3" s="1"/>
  <c r="Z258" i="15"/>
  <c r="Y198" i="15"/>
  <c r="M198" i="15" s="1"/>
  <c r="M177" i="15"/>
  <c r="Y107" i="19"/>
  <c r="M107" i="19" s="1"/>
  <c r="M38" i="19"/>
  <c r="Y131" i="11"/>
  <c r="Y315" i="11" s="1"/>
  <c r="Y167" i="20"/>
  <c r="M167" i="20" s="1"/>
  <c r="Z262" i="11"/>
  <c r="Y202" i="11"/>
  <c r="M202" i="11" s="1"/>
  <c r="M181" i="11"/>
  <c r="Y297" i="11"/>
  <c r="Z258" i="11"/>
  <c r="Y198" i="11"/>
  <c r="M198" i="11" s="1"/>
  <c r="M177" i="11"/>
  <c r="Y293" i="11"/>
  <c r="Y260" i="20"/>
  <c r="X200" i="20"/>
  <c r="Z256" i="11"/>
  <c r="Y196" i="11"/>
  <c r="Y357" i="3"/>
  <c r="M133" i="3"/>
  <c r="X131" i="20"/>
  <c r="Z256" i="13"/>
  <c r="Y196" i="13"/>
  <c r="M26" i="13"/>
  <c r="Y127" i="13"/>
  <c r="Y311" i="13" s="1"/>
  <c r="Y258" i="20"/>
  <c r="X198" i="20"/>
  <c r="Z262" i="13"/>
  <c r="Y202" i="13"/>
  <c r="M202" i="13" s="1"/>
  <c r="Y297" i="13"/>
  <c r="M181" i="13"/>
  <c r="M32" i="11"/>
  <c r="Y143" i="11"/>
  <c r="Y109" i="19"/>
  <c r="M109" i="19" s="1"/>
  <c r="M40" i="19"/>
  <c r="Y95" i="20"/>
  <c r="M95" i="20" s="1"/>
  <c r="Y260" i="13"/>
  <c r="X200" i="13"/>
  <c r="X295" i="13"/>
  <c r="Y295" i="13" s="1"/>
  <c r="M179" i="13"/>
  <c r="Y101" i="20"/>
  <c r="M101" i="20" s="1"/>
  <c r="Y62" i="20"/>
  <c r="M62" i="20" s="1"/>
  <c r="M62" i="18"/>
  <c r="Y353" i="3"/>
  <c r="M129" i="3"/>
  <c r="Y179" i="3"/>
  <c r="Y159" i="20"/>
  <c r="M159" i="3"/>
  <c r="Y107" i="18"/>
  <c r="M107" i="18" s="1"/>
  <c r="M38" i="18"/>
  <c r="Z260" i="15"/>
  <c r="Y200" i="15"/>
  <c r="Y38" i="20"/>
  <c r="X315" i="11"/>
  <c r="Y169" i="11"/>
  <c r="W179" i="20"/>
  <c r="Z262" i="15"/>
  <c r="Y202" i="15"/>
  <c r="M202" i="15" s="1"/>
  <c r="M181" i="15"/>
  <c r="Y297" i="15"/>
  <c r="Y32" i="13"/>
  <c r="Y181" i="19"/>
  <c r="M171" i="19"/>
  <c r="Y56" i="20"/>
  <c r="M56" i="20" s="1"/>
  <c r="M56" i="18"/>
  <c r="X335" i="3"/>
  <c r="M22" i="20"/>
  <c r="Y129" i="20"/>
  <c r="M129" i="20" s="1"/>
  <c r="Y133" i="20"/>
  <c r="M133" i="20" s="1"/>
  <c r="M18" i="20"/>
  <c r="Y169" i="19"/>
  <c r="Y60" i="20"/>
  <c r="M60" i="20" s="1"/>
  <c r="M60" i="18"/>
  <c r="Z260" i="13"/>
  <c r="Y200" i="13"/>
  <c r="Z258" i="13"/>
  <c r="Y198" i="13"/>
  <c r="M198" i="13" s="1"/>
  <c r="M177" i="13"/>
  <c r="M111" i="3"/>
  <c r="Y300" i="3"/>
  <c r="X200" i="3"/>
  <c r="Y30" i="13"/>
  <c r="Y181" i="3"/>
  <c r="Y337" i="3" s="1"/>
  <c r="Y161" i="20"/>
  <c r="M161" i="3"/>
  <c r="Y28" i="13"/>
  <c r="Z256" i="15"/>
  <c r="Y196" i="15"/>
  <c r="Y171" i="20"/>
  <c r="M171" i="20" s="1"/>
  <c r="M16" i="20"/>
  <c r="Y177" i="3"/>
  <c r="Y157" i="20"/>
  <c r="M157" i="3"/>
  <c r="M107" i="3"/>
  <c r="Y28" i="3"/>
  <c r="Y36" i="20"/>
  <c r="Y111" i="19"/>
  <c r="M111" i="19" s="1"/>
  <c r="M42" i="19"/>
  <c r="M26" i="15"/>
  <c r="Y127" i="15"/>
  <c r="Y311" i="15" s="1"/>
  <c r="M20" i="20"/>
  <c r="Y40" i="20"/>
  <c r="Y26" i="18"/>
  <c r="M36" i="18"/>
  <c r="Y99" i="20"/>
  <c r="M99" i="20" s="1"/>
  <c r="Y91" i="20"/>
  <c r="M91" i="20" s="1"/>
  <c r="Y111" i="18"/>
  <c r="M111" i="18" s="1"/>
  <c r="M42" i="18"/>
  <c r="X260" i="18"/>
  <c r="W200" i="18"/>
  <c r="X32" i="20"/>
  <c r="T97" i="17"/>
  <c r="U97" i="17" s="1"/>
  <c r="V97" i="17" s="1"/>
  <c r="AL109" i="1"/>
  <c r="AL127" i="1" s="1"/>
  <c r="AL26" i="1"/>
  <c r="AL75" i="1" s="1"/>
  <c r="AL102" i="1"/>
  <c r="AM1" i="1"/>
  <c r="AM8" i="1" s="1"/>
  <c r="AL78" i="1"/>
  <c r="AL99" i="1" s="1"/>
  <c r="Y311" i="11" l="1"/>
  <c r="Y137" i="11"/>
  <c r="Y137" i="13"/>
  <c r="M32" i="15"/>
  <c r="Y30" i="18"/>
  <c r="Y131" i="18" s="1"/>
  <c r="M131" i="18" s="1"/>
  <c r="Y30" i="19"/>
  <c r="Y131" i="19" s="1"/>
  <c r="M131" i="19" s="1"/>
  <c r="M131" i="11"/>
  <c r="Y137" i="15"/>
  <c r="Y335" i="3"/>
  <c r="M30" i="13"/>
  <c r="Y131" i="13"/>
  <c r="Y141" i="13" s="1"/>
  <c r="Y179" i="19"/>
  <c r="M169" i="19"/>
  <c r="Y28" i="20"/>
  <c r="M38" i="20"/>
  <c r="M159" i="20"/>
  <c r="Y28" i="19"/>
  <c r="M200" i="15"/>
  <c r="Y107" i="20"/>
  <c r="M107" i="20" s="1"/>
  <c r="Y200" i="3"/>
  <c r="M200" i="3" s="1"/>
  <c r="Z300" i="3"/>
  <c r="Y196" i="3"/>
  <c r="Z296" i="3"/>
  <c r="Y32" i="19"/>
  <c r="M200" i="13"/>
  <c r="Z262" i="18"/>
  <c r="M262" i="18" s="1"/>
  <c r="Y202" i="18"/>
  <c r="M202" i="18" s="1"/>
  <c r="M181" i="18"/>
  <c r="Y111" i="20"/>
  <c r="M111" i="20" s="1"/>
  <c r="M40" i="20"/>
  <c r="Y139" i="13"/>
  <c r="M28" i="13"/>
  <c r="Z262" i="19"/>
  <c r="M262" i="19" s="1"/>
  <c r="Y202" i="19"/>
  <c r="M202" i="19" s="1"/>
  <c r="M181" i="19"/>
  <c r="X260" i="20"/>
  <c r="W200" i="20"/>
  <c r="Z258" i="18"/>
  <c r="M258" i="18" s="1"/>
  <c r="Y198" i="18"/>
  <c r="M198" i="18" s="1"/>
  <c r="M177" i="18"/>
  <c r="M28" i="15"/>
  <c r="Y139" i="15"/>
  <c r="M179" i="3"/>
  <c r="M28" i="3"/>
  <c r="Y139" i="3"/>
  <c r="Y32" i="18"/>
  <c r="W97" i="17"/>
  <c r="X97" i="17" s="1"/>
  <c r="Y97" i="17" s="1"/>
  <c r="Y177" i="20"/>
  <c r="M157" i="20"/>
  <c r="Y26" i="20"/>
  <c r="M36" i="20"/>
  <c r="Z298" i="3"/>
  <c r="Y198" i="3"/>
  <c r="M198" i="3" s="1"/>
  <c r="M177" i="3"/>
  <c r="Y333" i="3"/>
  <c r="M26" i="19"/>
  <c r="Z258" i="19"/>
  <c r="M258" i="19" s="1"/>
  <c r="Y198" i="19"/>
  <c r="M198" i="19" s="1"/>
  <c r="M177" i="19"/>
  <c r="M30" i="15"/>
  <c r="Y131" i="15"/>
  <c r="Y141" i="15" s="1"/>
  <c r="Y143" i="13"/>
  <c r="M32" i="13"/>
  <c r="Y28" i="18"/>
  <c r="Y141" i="11"/>
  <c r="Y169" i="20"/>
  <c r="M169" i="20" s="1"/>
  <c r="Y179" i="11"/>
  <c r="Y295" i="11" s="1"/>
  <c r="M169" i="11"/>
  <c r="Y181" i="20"/>
  <c r="M161" i="20"/>
  <c r="M26" i="18"/>
  <c r="Y202" i="3"/>
  <c r="M202" i="3" s="1"/>
  <c r="Z302" i="3"/>
  <c r="M181" i="3"/>
  <c r="Y355" i="3"/>
  <c r="M131" i="3"/>
  <c r="Y109" i="20"/>
  <c r="M109" i="20" s="1"/>
  <c r="Z260" i="18"/>
  <c r="M260" i="18" s="1"/>
  <c r="Y200" i="18"/>
  <c r="M200" i="18" s="1"/>
  <c r="AM109" i="1"/>
  <c r="AM127" i="1" s="1"/>
  <c r="M127" i="1" s="1"/>
  <c r="AM26" i="1"/>
  <c r="M27" i="1" s="1"/>
  <c r="AM102" i="1"/>
  <c r="M102" i="1" s="1"/>
  <c r="P450" i="2" s="1"/>
  <c r="AM78" i="1"/>
  <c r="AM75" i="1" l="1"/>
  <c r="M75" i="1" s="1"/>
  <c r="M76" i="1" s="1"/>
  <c r="M30" i="18"/>
  <c r="Y32" i="20"/>
  <c r="M32" i="20" s="1"/>
  <c r="M30" i="19"/>
  <c r="M97" i="17"/>
  <c r="M107" i="17" s="1"/>
  <c r="M28" i="18"/>
  <c r="M218" i="19"/>
  <c r="M208" i="19"/>
  <c r="Y179" i="20"/>
  <c r="M32" i="18"/>
  <c r="M218" i="18"/>
  <c r="M208" i="18"/>
  <c r="M28" i="20"/>
  <c r="Z262" i="20"/>
  <c r="M262" i="20" s="1"/>
  <c r="Y202" i="20"/>
  <c r="M202" i="20" s="1"/>
  <c r="M181" i="20"/>
  <c r="M28" i="19"/>
  <c r="M212" i="18"/>
  <c r="P242" i="18" s="1"/>
  <c r="M222" i="18"/>
  <c r="Y315" i="15"/>
  <c r="M131" i="15"/>
  <c r="Z260" i="19"/>
  <c r="M260" i="19" s="1"/>
  <c r="Y200" i="19"/>
  <c r="M200" i="19" s="1"/>
  <c r="M179" i="19"/>
  <c r="Z260" i="11"/>
  <c r="Y200" i="11"/>
  <c r="M200" i="11" s="1"/>
  <c r="M179" i="11"/>
  <c r="Y30" i="20"/>
  <c r="Y315" i="13"/>
  <c r="M131" i="13"/>
  <c r="M220" i="18"/>
  <c r="M210" i="18"/>
  <c r="M26" i="20"/>
  <c r="Z258" i="20"/>
  <c r="M258" i="20" s="1"/>
  <c r="Y198" i="20"/>
  <c r="M198" i="20" s="1"/>
  <c r="M177" i="20"/>
  <c r="M222" i="19"/>
  <c r="M212" i="19"/>
  <c r="P242" i="19" s="1"/>
  <c r="M32" i="19"/>
  <c r="P382" i="14"/>
  <c r="P379" i="14"/>
  <c r="P380" i="14"/>
  <c r="P384" i="12"/>
  <c r="P380" i="12"/>
  <c r="P376" i="12"/>
  <c r="P375" i="14"/>
  <c r="P384" i="14"/>
  <c r="P386" i="14"/>
  <c r="P383" i="12"/>
  <c r="P379" i="12"/>
  <c r="P383" i="14"/>
  <c r="P386" i="12"/>
  <c r="P375" i="12"/>
  <c r="P385" i="14"/>
  <c r="P382" i="12"/>
  <c r="P378" i="12"/>
  <c r="P381" i="14"/>
  <c r="P376" i="14"/>
  <c r="P381" i="12"/>
  <c r="P377" i="12"/>
  <c r="P378" i="14"/>
  <c r="P385" i="12"/>
  <c r="P377" i="14"/>
  <c r="P384" i="10"/>
  <c r="P382" i="10"/>
  <c r="P375" i="10"/>
  <c r="P385" i="10"/>
  <c r="Q376" i="14"/>
  <c r="Q383" i="14"/>
  <c r="Q381" i="12"/>
  <c r="Q382" i="12"/>
  <c r="Q380" i="12"/>
  <c r="Q379" i="10"/>
  <c r="Q386" i="10"/>
  <c r="P377" i="10"/>
  <c r="P380" i="10"/>
  <c r="P376" i="10"/>
  <c r="P383" i="10"/>
  <c r="P381" i="10"/>
  <c r="P378" i="10"/>
  <c r="Q385" i="14"/>
  <c r="Q379" i="14"/>
  <c r="Q386" i="14"/>
  <c r="Q376" i="12"/>
  <c r="Q375" i="12"/>
  <c r="Q377" i="12"/>
  <c r="Q380" i="10"/>
  <c r="Q381" i="10"/>
  <c r="Q385" i="10"/>
  <c r="P379" i="10"/>
  <c r="Q382" i="14"/>
  <c r="Q379" i="12"/>
  <c r="Q383" i="12"/>
  <c r="Q384" i="12"/>
  <c r="Q384" i="10"/>
  <c r="P386" i="10"/>
  <c r="Q377" i="14"/>
  <c r="Q380" i="14"/>
  <c r="Q378" i="14"/>
  <c r="Q386" i="12"/>
  <c r="Q378" i="12"/>
  <c r="Q376" i="10"/>
  <c r="Q383" i="10"/>
  <c r="Q382" i="10"/>
  <c r="Q375" i="10"/>
  <c r="Q377" i="10"/>
  <c r="Q381" i="14"/>
  <c r="Q384" i="14"/>
  <c r="Q375" i="14"/>
  <c r="Q385" i="12"/>
  <c r="Q378" i="10"/>
  <c r="R385" i="10"/>
  <c r="R376" i="12"/>
  <c r="R385" i="12"/>
  <c r="R381" i="12"/>
  <c r="R379" i="10"/>
  <c r="R384" i="10"/>
  <c r="R378" i="12"/>
  <c r="R380" i="12"/>
  <c r="R384" i="12"/>
  <c r="R380" i="10"/>
  <c r="R383" i="10"/>
  <c r="R382" i="12"/>
  <c r="R383" i="12"/>
  <c r="R386" i="12"/>
  <c r="R377" i="12"/>
  <c r="R375" i="12"/>
  <c r="R375" i="10"/>
  <c r="R377" i="10"/>
  <c r="R378" i="10"/>
  <c r="R386" i="10"/>
  <c r="R376" i="10"/>
  <c r="R381" i="10"/>
  <c r="R385" i="14"/>
  <c r="R380" i="14"/>
  <c r="R384" i="14"/>
  <c r="R378" i="14"/>
  <c r="R376" i="14"/>
  <c r="R383" i="14"/>
  <c r="R379" i="12"/>
  <c r="S378" i="12"/>
  <c r="R382" i="10"/>
  <c r="R379" i="14"/>
  <c r="R382" i="14"/>
  <c r="R377" i="14"/>
  <c r="S386" i="12"/>
  <c r="S376" i="14"/>
  <c r="S383" i="12"/>
  <c r="S377" i="10"/>
  <c r="S375" i="12"/>
  <c r="R386" i="14"/>
  <c r="S377" i="14"/>
  <c r="S378" i="14"/>
  <c r="S375" i="14"/>
  <c r="S380" i="14"/>
  <c r="S377" i="12"/>
  <c r="S386" i="14"/>
  <c r="S385" i="14"/>
  <c r="S383" i="14"/>
  <c r="S382" i="14"/>
  <c r="S385" i="12"/>
  <c r="S379" i="12"/>
  <c r="S380" i="12"/>
  <c r="S383" i="10"/>
  <c r="S382" i="10"/>
  <c r="S376" i="10"/>
  <c r="S386" i="10"/>
  <c r="S384" i="12"/>
  <c r="S380" i="10"/>
  <c r="S385" i="10"/>
  <c r="S384" i="10"/>
  <c r="S378" i="10"/>
  <c r="R381" i="14"/>
  <c r="R375" i="14"/>
  <c r="S382" i="12"/>
  <c r="S381" i="14"/>
  <c r="S379" i="14"/>
  <c r="S384" i="14"/>
  <c r="S381" i="12"/>
  <c r="S376" i="12"/>
  <c r="S381" i="10"/>
  <c r="S379" i="10"/>
  <c r="S375" i="10"/>
  <c r="T382" i="14"/>
  <c r="T378" i="14"/>
  <c r="T385" i="14"/>
  <c r="T385" i="12"/>
  <c r="T382" i="12"/>
  <c r="T379" i="12"/>
  <c r="T383" i="10"/>
  <c r="T384" i="10"/>
  <c r="T381" i="10"/>
  <c r="T378" i="10"/>
  <c r="T379" i="10"/>
  <c r="T383" i="14"/>
  <c r="T386" i="14"/>
  <c r="T380" i="14"/>
  <c r="T376" i="10"/>
  <c r="T385" i="10"/>
  <c r="T382" i="10"/>
  <c r="T375" i="14"/>
  <c r="T376" i="14"/>
  <c r="T386" i="12"/>
  <c r="T383" i="12"/>
  <c r="T375" i="10"/>
  <c r="T381" i="14"/>
  <c r="T379" i="14"/>
  <c r="T377" i="14"/>
  <c r="T384" i="14"/>
  <c r="T381" i="12"/>
  <c r="T377" i="12"/>
  <c r="T378" i="12"/>
  <c r="T376" i="12"/>
  <c r="T375" i="12"/>
  <c r="T380" i="12"/>
  <c r="T377" i="10"/>
  <c r="T380" i="10"/>
  <c r="T386" i="10"/>
  <c r="U382" i="14"/>
  <c r="U381" i="14"/>
  <c r="U376" i="14"/>
  <c r="U385" i="12"/>
  <c r="U383" i="12"/>
  <c r="U380" i="12"/>
  <c r="T384" i="12"/>
  <c r="U378" i="14"/>
  <c r="U377" i="14"/>
  <c r="U383" i="14"/>
  <c r="U379" i="14"/>
  <c r="U375" i="12"/>
  <c r="U379" i="12"/>
  <c r="U381" i="12"/>
  <c r="U384" i="14"/>
  <c r="U386" i="12"/>
  <c r="U376" i="12"/>
  <c r="U378" i="12"/>
  <c r="U386" i="10"/>
  <c r="U375" i="14"/>
  <c r="U384" i="12"/>
  <c r="U380" i="10"/>
  <c r="U385" i="14"/>
  <c r="U380" i="14"/>
  <c r="U386" i="14"/>
  <c r="U382" i="12"/>
  <c r="U382" i="10"/>
  <c r="U378" i="10"/>
  <c r="U377" i="12"/>
  <c r="U376" i="10"/>
  <c r="U383" i="10"/>
  <c r="V377" i="14"/>
  <c r="V381" i="14"/>
  <c r="V380" i="12"/>
  <c r="V378" i="10"/>
  <c r="V382" i="14"/>
  <c r="V384" i="14"/>
  <c r="V382" i="10"/>
  <c r="U375" i="10"/>
  <c r="V376" i="14"/>
  <c r="V379" i="14"/>
  <c r="V385" i="14"/>
  <c r="V383" i="14"/>
  <c r="V375" i="12"/>
  <c r="V379" i="12"/>
  <c r="V385" i="10"/>
  <c r="U384" i="10"/>
  <c r="U385" i="10"/>
  <c r="V378" i="12"/>
  <c r="V377" i="12"/>
  <c r="V383" i="10"/>
  <c r="U381" i="10"/>
  <c r="U379" i="10"/>
  <c r="U377" i="10"/>
  <c r="V378" i="14"/>
  <c r="V386" i="14"/>
  <c r="V375" i="14"/>
  <c r="V376" i="12"/>
  <c r="V385" i="12"/>
  <c r="V386" i="10"/>
  <c r="V381" i="10"/>
  <c r="V376" i="10"/>
  <c r="V379" i="10"/>
  <c r="V380" i="14"/>
  <c r="V384" i="12"/>
  <c r="V386" i="12"/>
  <c r="V383" i="12"/>
  <c r="V382" i="12"/>
  <c r="V380" i="10"/>
  <c r="V375" i="10"/>
  <c r="V381" i="12"/>
  <c r="V377" i="10"/>
  <c r="V384" i="10"/>
  <c r="P452" i="2"/>
  <c r="P453" i="2"/>
  <c r="P455" i="2"/>
  <c r="P454" i="2"/>
  <c r="P451" i="2"/>
  <c r="P456" i="2"/>
  <c r="M103" i="1"/>
  <c r="P460" i="2"/>
  <c r="P459" i="2"/>
  <c r="P458" i="2"/>
  <c r="P461" i="2"/>
  <c r="P457" i="2"/>
  <c r="Q452" i="2"/>
  <c r="Q455" i="2"/>
  <c r="Q459" i="2"/>
  <c r="Q450" i="2"/>
  <c r="Q456" i="2"/>
  <c r="Q457" i="2"/>
  <c r="Q458" i="2"/>
  <c r="Q451" i="2"/>
  <c r="Q460" i="2"/>
  <c r="Q453" i="2"/>
  <c r="Q454" i="2"/>
  <c r="Q461" i="2"/>
  <c r="R458" i="2"/>
  <c r="R456" i="2"/>
  <c r="R457" i="2"/>
  <c r="R451" i="2"/>
  <c r="R459" i="2"/>
  <c r="R461" i="2"/>
  <c r="R454" i="2"/>
  <c r="R452" i="2"/>
  <c r="R453" i="2"/>
  <c r="R450" i="2"/>
  <c r="R460" i="2"/>
  <c r="R455" i="2"/>
  <c r="S456" i="2"/>
  <c r="S450" i="2"/>
  <c r="S453" i="2"/>
  <c r="S452" i="2"/>
  <c r="S460" i="2"/>
  <c r="S459" i="2"/>
  <c r="S457" i="2"/>
  <c r="S458" i="2"/>
  <c r="S455" i="2"/>
  <c r="S454" i="2"/>
  <c r="S461" i="2"/>
  <c r="S451" i="2"/>
  <c r="T453" i="2"/>
  <c r="T461" i="2"/>
  <c r="T450" i="2"/>
  <c r="T452" i="2"/>
  <c r="T451" i="2"/>
  <c r="T454" i="2"/>
  <c r="T460" i="2"/>
  <c r="T455" i="2"/>
  <c r="T457" i="2"/>
  <c r="T459" i="2"/>
  <c r="T456" i="2"/>
  <c r="T458" i="2"/>
  <c r="U454" i="2"/>
  <c r="U459" i="2"/>
  <c r="U458" i="2"/>
  <c r="U455" i="2"/>
  <c r="U461" i="2"/>
  <c r="U453" i="2"/>
  <c r="U452" i="2"/>
  <c r="U460" i="2"/>
  <c r="U456" i="2"/>
  <c r="U451" i="2"/>
  <c r="U450" i="2"/>
  <c r="U457" i="2"/>
  <c r="V455" i="2"/>
  <c r="V460" i="2"/>
  <c r="V451" i="2"/>
  <c r="V456" i="2"/>
  <c r="V454" i="2"/>
  <c r="V461" i="2"/>
  <c r="V457" i="2"/>
  <c r="V450" i="2"/>
  <c r="V453" i="2"/>
  <c r="V459" i="2"/>
  <c r="V458" i="2"/>
  <c r="V452" i="2"/>
  <c r="W455" i="2"/>
  <c r="W451" i="2"/>
  <c r="W454" i="2"/>
  <c r="W450" i="2"/>
  <c r="W456" i="2"/>
  <c r="W452" i="2"/>
  <c r="W453" i="2"/>
  <c r="M109" i="1"/>
  <c r="P152" i="13" s="1"/>
  <c r="U473" i="2"/>
  <c r="U472" i="2"/>
  <c r="U471" i="2"/>
  <c r="U467" i="2"/>
  <c r="M79" i="1"/>
  <c r="AM99" i="1"/>
  <c r="M99" i="1" s="1"/>
  <c r="M100" i="1" s="1"/>
  <c r="M26" i="3"/>
  <c r="T472" i="2" l="1"/>
  <c r="Q474" i="2"/>
  <c r="S472" i="2"/>
  <c r="M222" i="20"/>
  <c r="M212" i="20"/>
  <c r="Y131" i="20"/>
  <c r="M131" i="20" s="1"/>
  <c r="M30" i="20"/>
  <c r="Z260" i="20"/>
  <c r="M260" i="20" s="1"/>
  <c r="Y200" i="20"/>
  <c r="M200" i="20" s="1"/>
  <c r="M179" i="20"/>
  <c r="M228" i="19"/>
  <c r="P238" i="19"/>
  <c r="Q238" i="19" s="1"/>
  <c r="R238" i="19" s="1"/>
  <c r="S238" i="19" s="1"/>
  <c r="M210" i="19"/>
  <c r="M220" i="19"/>
  <c r="M218" i="20"/>
  <c r="M208" i="20"/>
  <c r="M232" i="19"/>
  <c r="M232" i="18"/>
  <c r="W242" i="18"/>
  <c r="X242" i="18"/>
  <c r="Y242" i="18"/>
  <c r="Q242" i="18"/>
  <c r="R242" i="18" s="1"/>
  <c r="S242" i="18" s="1"/>
  <c r="W240" i="18"/>
  <c r="X240" i="18"/>
  <c r="Y240" i="18"/>
  <c r="P240" i="18"/>
  <c r="M230" i="18"/>
  <c r="W238" i="18"/>
  <c r="X238" i="18"/>
  <c r="Y238" i="18"/>
  <c r="M228" i="18"/>
  <c r="P238" i="18"/>
  <c r="S475" i="2"/>
  <c r="M190" i="15"/>
  <c r="P262" i="15" s="1"/>
  <c r="M262" i="15" s="1"/>
  <c r="P152" i="19"/>
  <c r="P152" i="18"/>
  <c r="X123" i="18"/>
  <c r="X143" i="18" s="1"/>
  <c r="X121" i="19"/>
  <c r="X141" i="19" s="1"/>
  <c r="X119" i="18"/>
  <c r="X139" i="18" s="1"/>
  <c r="X117" i="18"/>
  <c r="X121" i="18"/>
  <c r="X141" i="18" s="1"/>
  <c r="X119" i="19"/>
  <c r="X139" i="19" s="1"/>
  <c r="X117" i="19"/>
  <c r="X123" i="19"/>
  <c r="X143" i="19" s="1"/>
  <c r="Y119" i="19"/>
  <c r="Y139" i="19" s="1"/>
  <c r="Y121" i="19"/>
  <c r="Y141" i="19" s="1"/>
  <c r="Y121" i="18"/>
  <c r="Y141" i="18" s="1"/>
  <c r="Y117" i="18"/>
  <c r="Y119" i="18"/>
  <c r="Y139" i="18" s="1"/>
  <c r="Y123" i="18"/>
  <c r="Y143" i="18" s="1"/>
  <c r="Y117" i="19"/>
  <c r="Y123" i="19"/>
  <c r="Y143" i="19" s="1"/>
  <c r="Z123" i="19"/>
  <c r="Z121" i="19"/>
  <c r="Z117" i="18"/>
  <c r="Z121" i="18"/>
  <c r="Z119" i="19"/>
  <c r="Z123" i="18"/>
  <c r="Z119" i="18"/>
  <c r="Z117" i="19"/>
  <c r="AA121" i="19"/>
  <c r="AA117" i="18"/>
  <c r="AA123" i="19"/>
  <c r="AA119" i="18"/>
  <c r="AA119" i="19"/>
  <c r="AA123" i="18"/>
  <c r="AA121" i="18"/>
  <c r="AA117" i="19"/>
  <c r="P449" i="2"/>
  <c r="R471" i="2"/>
  <c r="T374" i="12"/>
  <c r="R374" i="14"/>
  <c r="U374" i="12"/>
  <c r="P374" i="10"/>
  <c r="V374" i="10"/>
  <c r="M190" i="3"/>
  <c r="M218" i="3" s="1"/>
  <c r="P400" i="14"/>
  <c r="P396" i="14"/>
  <c r="P392" i="14"/>
  <c r="P399" i="12"/>
  <c r="P395" i="12"/>
  <c r="P391" i="12"/>
  <c r="P399" i="14"/>
  <c r="P395" i="14"/>
  <c r="P391" i="14"/>
  <c r="P398" i="12"/>
  <c r="P394" i="12"/>
  <c r="P390" i="12"/>
  <c r="P401" i="14"/>
  <c r="P393" i="14"/>
  <c r="P401" i="12"/>
  <c r="P393" i="12"/>
  <c r="P397" i="14"/>
  <c r="P397" i="12"/>
  <c r="P394" i="14"/>
  <c r="P396" i="12"/>
  <c r="P398" i="14"/>
  <c r="P390" i="14"/>
  <c r="P400" i="12"/>
  <c r="P392" i="12"/>
  <c r="P391" i="10"/>
  <c r="P394" i="10"/>
  <c r="P392" i="10"/>
  <c r="Q396" i="14"/>
  <c r="Q397" i="14"/>
  <c r="Q398" i="14"/>
  <c r="Q395" i="14"/>
  <c r="Q392" i="12"/>
  <c r="Q394" i="12"/>
  <c r="Q397" i="12"/>
  <c r="P400" i="10"/>
  <c r="Q401" i="10"/>
  <c r="Q397" i="10"/>
  <c r="P390" i="10"/>
  <c r="P401" i="10"/>
  <c r="Q391" i="14"/>
  <c r="Q394" i="14"/>
  <c r="Q399" i="14"/>
  <c r="Q390" i="14"/>
  <c r="Q399" i="12"/>
  <c r="Q390" i="12"/>
  <c r="Q393" i="12"/>
  <c r="Q400" i="10"/>
  <c r="Q395" i="10"/>
  <c r="P399" i="10"/>
  <c r="P397" i="10"/>
  <c r="Q400" i="14"/>
  <c r="Q395" i="12"/>
  <c r="Q390" i="10"/>
  <c r="Q399" i="10"/>
  <c r="P395" i="10"/>
  <c r="P398" i="10"/>
  <c r="P393" i="10"/>
  <c r="P396" i="10"/>
  <c r="Q392" i="14"/>
  <c r="Q393" i="14"/>
  <c r="Q391" i="12"/>
  <c r="Q401" i="12"/>
  <c r="Q396" i="12"/>
  <c r="Q398" i="12"/>
  <c r="Q394" i="10"/>
  <c r="Q396" i="10"/>
  <c r="Q393" i="10"/>
  <c r="Q398" i="10"/>
  <c r="Q391" i="10"/>
  <c r="Q401" i="14"/>
  <c r="Q400" i="12"/>
  <c r="Q392" i="10"/>
  <c r="R391" i="12"/>
  <c r="R394" i="12"/>
  <c r="R399" i="10"/>
  <c r="R401" i="10"/>
  <c r="R395" i="12"/>
  <c r="R398" i="12"/>
  <c r="R400" i="12"/>
  <c r="R396" i="12"/>
  <c r="R399" i="12"/>
  <c r="R393" i="12"/>
  <c r="R391" i="10"/>
  <c r="R397" i="10"/>
  <c r="R396" i="10"/>
  <c r="R398" i="10"/>
  <c r="R400" i="10"/>
  <c r="R394" i="10"/>
  <c r="R393" i="10"/>
  <c r="R395" i="10"/>
  <c r="R400" i="14"/>
  <c r="R401" i="14"/>
  <c r="R390" i="12"/>
  <c r="R397" i="12"/>
  <c r="R392" i="12"/>
  <c r="R401" i="12"/>
  <c r="S396" i="12"/>
  <c r="R392" i="10"/>
  <c r="R390" i="10"/>
  <c r="S392" i="12"/>
  <c r="R390" i="14"/>
  <c r="R391" i="14"/>
  <c r="S391" i="14"/>
  <c r="S393" i="14"/>
  <c r="S396" i="14"/>
  <c r="S394" i="14"/>
  <c r="S391" i="12"/>
  <c r="S399" i="10"/>
  <c r="S391" i="10"/>
  <c r="S392" i="14"/>
  <c r="R397" i="14"/>
  <c r="R398" i="14"/>
  <c r="R399" i="14"/>
  <c r="S395" i="14"/>
  <c r="S397" i="14"/>
  <c r="S395" i="12"/>
  <c r="S393" i="12"/>
  <c r="S390" i="12"/>
  <c r="S396" i="10"/>
  <c r="S390" i="10"/>
  <c r="S399" i="14"/>
  <c r="S400" i="12"/>
  <c r="R393" i="14"/>
  <c r="R394" i="14"/>
  <c r="R395" i="14"/>
  <c r="S400" i="14"/>
  <c r="S390" i="14"/>
  <c r="S401" i="12"/>
  <c r="S394" i="10"/>
  <c r="S393" i="10"/>
  <c r="S400" i="10"/>
  <c r="S401" i="10"/>
  <c r="R392" i="14"/>
  <c r="S398" i="12"/>
  <c r="R396" i="14"/>
  <c r="S401" i="14"/>
  <c r="S399" i="12"/>
  <c r="S397" i="12"/>
  <c r="S394" i="12"/>
  <c r="S392" i="10"/>
  <c r="S395" i="10"/>
  <c r="S398" i="10"/>
  <c r="S397" i="10"/>
  <c r="T391" i="14"/>
  <c r="T398" i="14"/>
  <c r="T397" i="14"/>
  <c r="T396" i="14"/>
  <c r="T393" i="12"/>
  <c r="T390" i="12"/>
  <c r="T392" i="12"/>
  <c r="T392" i="10"/>
  <c r="T401" i="10"/>
  <c r="T398" i="10"/>
  <c r="T399" i="10"/>
  <c r="T396" i="12"/>
  <c r="T396" i="10"/>
  <c r="S398" i="14"/>
  <c r="T399" i="14"/>
  <c r="T390" i="14"/>
  <c r="T401" i="12"/>
  <c r="T395" i="12"/>
  <c r="T400" i="12"/>
  <c r="T400" i="10"/>
  <c r="T393" i="10"/>
  <c r="T390" i="10"/>
  <c r="T391" i="10"/>
  <c r="T394" i="14"/>
  <c r="T393" i="14"/>
  <c r="T392" i="14"/>
  <c r="T397" i="12"/>
  <c r="T394" i="12"/>
  <c r="T391" i="12"/>
  <c r="T395" i="14"/>
  <c r="T401" i="14"/>
  <c r="T400" i="14"/>
  <c r="T399" i="12"/>
  <c r="T397" i="10"/>
  <c r="T394" i="10"/>
  <c r="T395" i="10"/>
  <c r="T398" i="12"/>
  <c r="P465" i="2"/>
  <c r="P467" i="2"/>
  <c r="P471" i="2"/>
  <c r="P469" i="2"/>
  <c r="P470" i="2"/>
  <c r="P468" i="2"/>
  <c r="P466" i="2"/>
  <c r="V374" i="14"/>
  <c r="S374" i="10"/>
  <c r="R374" i="12"/>
  <c r="P374" i="12"/>
  <c r="P152" i="11"/>
  <c r="U374" i="14"/>
  <c r="S374" i="12"/>
  <c r="M152" i="13"/>
  <c r="P155" i="13"/>
  <c r="U374" i="10"/>
  <c r="T374" i="10"/>
  <c r="T374" i="14"/>
  <c r="Q374" i="14"/>
  <c r="Q374" i="10"/>
  <c r="Q374" i="12"/>
  <c r="M190" i="11"/>
  <c r="V374" i="12"/>
  <c r="S374" i="14"/>
  <c r="R374" i="10"/>
  <c r="P374" i="14"/>
  <c r="P152" i="15"/>
  <c r="M190" i="13"/>
  <c r="R466" i="2"/>
  <c r="Q468" i="2"/>
  <c r="Q472" i="2"/>
  <c r="R474" i="2"/>
  <c r="T474" i="2"/>
  <c r="S465" i="2"/>
  <c r="U465" i="2"/>
  <c r="U469" i="2"/>
  <c r="R467" i="2"/>
  <c r="S466" i="2"/>
  <c r="T468" i="2"/>
  <c r="P475" i="2"/>
  <c r="S467" i="2"/>
  <c r="Q466" i="2"/>
  <c r="Q470" i="2"/>
  <c r="R470" i="2"/>
  <c r="S473" i="2"/>
  <c r="T471" i="2"/>
  <c r="T476" i="2"/>
  <c r="S474" i="2"/>
  <c r="R465" i="2"/>
  <c r="T467" i="2"/>
  <c r="R475" i="2"/>
  <c r="S468" i="2"/>
  <c r="S476" i="2"/>
  <c r="U466" i="2"/>
  <c r="U468" i="2"/>
  <c r="U470" i="2"/>
  <c r="Q475" i="2"/>
  <c r="R468" i="2"/>
  <c r="R472" i="2"/>
  <c r="S469" i="2"/>
  <c r="T465" i="2"/>
  <c r="T469" i="2"/>
  <c r="T473" i="2"/>
  <c r="T475" i="2"/>
  <c r="P152" i="3"/>
  <c r="R476" i="2"/>
  <c r="S470" i="2"/>
  <c r="Q465" i="2"/>
  <c r="Q467" i="2"/>
  <c r="Q469" i="2"/>
  <c r="Q471" i="2"/>
  <c r="Q473" i="2"/>
  <c r="Q476" i="2"/>
  <c r="R469" i="2"/>
  <c r="R473" i="2"/>
  <c r="S471" i="2"/>
  <c r="T466" i="2"/>
  <c r="T470" i="2"/>
  <c r="P474" i="2"/>
  <c r="P476" i="2"/>
  <c r="U449" i="2"/>
  <c r="T449" i="2"/>
  <c r="P472" i="2"/>
  <c r="P473" i="2"/>
  <c r="W449" i="2"/>
  <c r="W123" i="19" s="1"/>
  <c r="W143" i="19" s="1"/>
  <c r="V449" i="2"/>
  <c r="V119" i="19" s="1"/>
  <c r="S449" i="2"/>
  <c r="Q449" i="2"/>
  <c r="R449" i="2"/>
  <c r="M128" i="1"/>
  <c r="Q238" i="18" l="1"/>
  <c r="R238" i="18" s="1"/>
  <c r="S238" i="18" s="1"/>
  <c r="T242" i="18"/>
  <c r="U242" i="18" s="1"/>
  <c r="V242" i="18" s="1"/>
  <c r="M242" i="18" s="1"/>
  <c r="M252" i="18" s="1"/>
  <c r="M210" i="15"/>
  <c r="M230" i="15" s="1"/>
  <c r="M220" i="15"/>
  <c r="M208" i="15"/>
  <c r="M228" i="15" s="1"/>
  <c r="P256" i="15"/>
  <c r="M222" i="15"/>
  <c r="P260" i="15"/>
  <c r="M260" i="15" s="1"/>
  <c r="M218" i="15"/>
  <c r="P258" i="15"/>
  <c r="M258" i="15" s="1"/>
  <c r="M212" i="15"/>
  <c r="M232" i="15" s="1"/>
  <c r="W123" i="18"/>
  <c r="W143" i="18" s="1"/>
  <c r="Y127" i="19"/>
  <c r="Y137" i="19" s="1"/>
  <c r="X127" i="19"/>
  <c r="Y165" i="19" s="1"/>
  <c r="Y175" i="19" s="1"/>
  <c r="W117" i="19"/>
  <c r="Q240" i="18"/>
  <c r="R240" i="18" s="1"/>
  <c r="S240" i="18" s="1"/>
  <c r="T238" i="19"/>
  <c r="M220" i="20"/>
  <c r="M210" i="20"/>
  <c r="W121" i="18"/>
  <c r="W141" i="18" s="1"/>
  <c r="W121" i="19"/>
  <c r="W141" i="19" s="1"/>
  <c r="AA119" i="20"/>
  <c r="Y127" i="18"/>
  <c r="Y137" i="18" s="1"/>
  <c r="X127" i="18"/>
  <c r="Y165" i="18" s="1"/>
  <c r="W117" i="18"/>
  <c r="M228" i="20"/>
  <c r="P238" i="20"/>
  <c r="Q238" i="20" s="1"/>
  <c r="R238" i="20" s="1"/>
  <c r="W119" i="18"/>
  <c r="W139" i="18" s="1"/>
  <c r="W119" i="19"/>
  <c r="W139" i="19" s="1"/>
  <c r="Q242" i="19"/>
  <c r="M232" i="20"/>
  <c r="P242" i="20"/>
  <c r="Q242" i="20" s="1"/>
  <c r="R242" i="20" s="1"/>
  <c r="S242" i="20" s="1"/>
  <c r="P240" i="19"/>
  <c r="Q240" i="19" s="1"/>
  <c r="R240" i="19" s="1"/>
  <c r="S240" i="19" s="1"/>
  <c r="M230" i="19"/>
  <c r="Y121" i="20"/>
  <c r="Y141" i="20" s="1"/>
  <c r="AA121" i="20"/>
  <c r="Z123" i="20"/>
  <c r="Y119" i="20"/>
  <c r="Y139" i="20" s="1"/>
  <c r="M212" i="3"/>
  <c r="V117" i="19"/>
  <c r="V127" i="19" s="1"/>
  <c r="Y117" i="20"/>
  <c r="X121" i="20"/>
  <c r="X141" i="20" s="1"/>
  <c r="Z121" i="20"/>
  <c r="AA123" i="20"/>
  <c r="Z119" i="20"/>
  <c r="V121" i="19"/>
  <c r="V141" i="19" s="1"/>
  <c r="Y123" i="20"/>
  <c r="Y143" i="20" s="1"/>
  <c r="V123" i="19"/>
  <c r="V143" i="19" s="1"/>
  <c r="P152" i="20"/>
  <c r="M152" i="20" s="1"/>
  <c r="P155" i="3"/>
  <c r="P175" i="3" s="1"/>
  <c r="Q296" i="3" s="1"/>
  <c r="X117" i="20"/>
  <c r="Z117" i="20"/>
  <c r="X119" i="20"/>
  <c r="X139" i="20" s="1"/>
  <c r="AA117" i="20"/>
  <c r="M152" i="18"/>
  <c r="P155" i="18"/>
  <c r="M152" i="19"/>
  <c r="P155" i="19"/>
  <c r="X123" i="20"/>
  <c r="X143" i="20" s="1"/>
  <c r="P260" i="13"/>
  <c r="M260" i="13" s="1"/>
  <c r="P256" i="13"/>
  <c r="P262" i="13"/>
  <c r="M262" i="13" s="1"/>
  <c r="P258" i="13"/>
  <c r="M258" i="13" s="1"/>
  <c r="P262" i="11"/>
  <c r="M262" i="11" s="1"/>
  <c r="P258" i="11"/>
  <c r="M258" i="11" s="1"/>
  <c r="P256" i="11"/>
  <c r="P260" i="11"/>
  <c r="M260" i="11" s="1"/>
  <c r="V139" i="19"/>
  <c r="V119" i="18"/>
  <c r="V139" i="18" s="1"/>
  <c r="V117" i="18"/>
  <c r="V127" i="18" s="1"/>
  <c r="W165" i="18" s="1"/>
  <c r="W175" i="18" s="1"/>
  <c r="V123" i="18"/>
  <c r="V143" i="18" s="1"/>
  <c r="V121" i="18"/>
  <c r="V141" i="18" s="1"/>
  <c r="M152" i="3"/>
  <c r="M210" i="3"/>
  <c r="M222" i="3"/>
  <c r="P298" i="3"/>
  <c r="M298" i="3" s="1"/>
  <c r="P296" i="3"/>
  <c r="P302" i="3"/>
  <c r="M302" i="3" s="1"/>
  <c r="P300" i="3"/>
  <c r="M300" i="3" s="1"/>
  <c r="P53" i="17"/>
  <c r="M220" i="3"/>
  <c r="M208" i="3"/>
  <c r="S389" i="14"/>
  <c r="S121" i="15" s="1"/>
  <c r="S141" i="15" s="1"/>
  <c r="R389" i="10"/>
  <c r="R119" i="11" s="1"/>
  <c r="R139" i="11" s="1"/>
  <c r="S464" i="2"/>
  <c r="S121" i="19" s="1"/>
  <c r="M152" i="15"/>
  <c r="P155" i="15"/>
  <c r="U123" i="11"/>
  <c r="U143" i="11" s="1"/>
  <c r="U121" i="11"/>
  <c r="U141" i="11" s="1"/>
  <c r="U119" i="11"/>
  <c r="U139" i="11" s="1"/>
  <c r="U117" i="11"/>
  <c r="U127" i="11" s="1"/>
  <c r="Q389" i="14"/>
  <c r="Q121" i="15" s="1"/>
  <c r="Q141" i="15" s="1"/>
  <c r="V123" i="13"/>
  <c r="V143" i="13" s="1"/>
  <c r="V121" i="13"/>
  <c r="V141" i="13" s="1"/>
  <c r="V117" i="13"/>
  <c r="V119" i="13"/>
  <c r="V139" i="13" s="1"/>
  <c r="U117" i="15"/>
  <c r="U121" i="15"/>
  <c r="U141" i="15" s="1"/>
  <c r="U123" i="15"/>
  <c r="U143" i="15" s="1"/>
  <c r="U119" i="15"/>
  <c r="U139" i="15" s="1"/>
  <c r="M374" i="12"/>
  <c r="V119" i="15"/>
  <c r="V139" i="15" s="1"/>
  <c r="V121" i="15"/>
  <c r="V141" i="15" s="1"/>
  <c r="V123" i="15"/>
  <c r="V143" i="15" s="1"/>
  <c r="V117" i="15"/>
  <c r="M218" i="13"/>
  <c r="M212" i="13"/>
  <c r="M208" i="13"/>
  <c r="M222" i="13"/>
  <c r="M220" i="13"/>
  <c r="M210" i="13"/>
  <c r="M222" i="11"/>
  <c r="M212" i="11"/>
  <c r="M218" i="11"/>
  <c r="M208" i="11"/>
  <c r="M210" i="11"/>
  <c r="M220" i="11"/>
  <c r="P175" i="13"/>
  <c r="Q256" i="13" s="1"/>
  <c r="M155" i="13"/>
  <c r="S389" i="10"/>
  <c r="S121" i="11" s="1"/>
  <c r="S141" i="11" s="1"/>
  <c r="P389" i="10"/>
  <c r="P123" i="11" s="1"/>
  <c r="U464" i="2"/>
  <c r="U119" i="3" s="1"/>
  <c r="P389" i="14"/>
  <c r="P121" i="15" s="1"/>
  <c r="V123" i="11"/>
  <c r="V143" i="11" s="1"/>
  <c r="V119" i="11"/>
  <c r="V139" i="11" s="1"/>
  <c r="V121" i="11"/>
  <c r="V141" i="11" s="1"/>
  <c r="V117" i="11"/>
  <c r="M374" i="14"/>
  <c r="P240" i="15"/>
  <c r="Q240" i="15" s="1"/>
  <c r="M152" i="11"/>
  <c r="P155" i="11"/>
  <c r="S389" i="12"/>
  <c r="S117" i="13" s="1"/>
  <c r="P389" i="12"/>
  <c r="P121" i="13" s="1"/>
  <c r="M374" i="10"/>
  <c r="T389" i="14"/>
  <c r="T117" i="15" s="1"/>
  <c r="T389" i="10"/>
  <c r="T121" i="11" s="1"/>
  <c r="T141" i="11" s="1"/>
  <c r="T389" i="12"/>
  <c r="R389" i="14"/>
  <c r="R389" i="12"/>
  <c r="R119" i="13" s="1"/>
  <c r="R139" i="13" s="1"/>
  <c r="Q389" i="10"/>
  <c r="Q121" i="11" s="1"/>
  <c r="Q389" i="12"/>
  <c r="Q119" i="13" s="1"/>
  <c r="Q139" i="13" s="1"/>
  <c r="U123" i="13"/>
  <c r="U143" i="13" s="1"/>
  <c r="U119" i="13"/>
  <c r="U139" i="13" s="1"/>
  <c r="U121" i="13"/>
  <c r="U141" i="13" s="1"/>
  <c r="U117" i="13"/>
  <c r="P464" i="2"/>
  <c r="P117" i="3" s="1"/>
  <c r="Q464" i="2"/>
  <c r="Q119" i="19" s="1"/>
  <c r="T464" i="2"/>
  <c r="T123" i="19" s="1"/>
  <c r="R464" i="2"/>
  <c r="R123" i="19" s="1"/>
  <c r="V119" i="3"/>
  <c r="V123" i="3"/>
  <c r="V117" i="3"/>
  <c r="V121" i="3"/>
  <c r="M449" i="2"/>
  <c r="W117" i="3"/>
  <c r="W119" i="3"/>
  <c r="W123" i="3"/>
  <c r="W121" i="3"/>
  <c r="P238" i="15" l="1"/>
  <c r="P242" i="15"/>
  <c r="Q242" i="15" s="1"/>
  <c r="R242" i="15" s="1"/>
  <c r="S242" i="15" s="1"/>
  <c r="T238" i="18"/>
  <c r="U238" i="18" s="1"/>
  <c r="T240" i="18"/>
  <c r="U240" i="18" s="1"/>
  <c r="V240" i="18" s="1"/>
  <c r="S119" i="3"/>
  <c r="S139" i="3" s="1"/>
  <c r="T240" i="19"/>
  <c r="U240" i="19" s="1"/>
  <c r="V240" i="19" s="1"/>
  <c r="X137" i="18"/>
  <c r="Z256" i="19"/>
  <c r="Y196" i="19"/>
  <c r="Y127" i="20"/>
  <c r="Y137" i="20" s="1"/>
  <c r="S238" i="20"/>
  <c r="T238" i="20" s="1"/>
  <c r="U238" i="20" s="1"/>
  <c r="Y175" i="18"/>
  <c r="Y165" i="20"/>
  <c r="Y175" i="20" s="1"/>
  <c r="M228" i="3"/>
  <c r="V137" i="19"/>
  <c r="W165" i="19"/>
  <c r="W175" i="19" s="1"/>
  <c r="W127" i="18"/>
  <c r="X165" i="18" s="1"/>
  <c r="X175" i="18" s="1"/>
  <c r="M232" i="3"/>
  <c r="U238" i="19"/>
  <c r="P240" i="20"/>
  <c r="Q240" i="20" s="1"/>
  <c r="R240" i="20" s="1"/>
  <c r="M230" i="20"/>
  <c r="X256" i="18"/>
  <c r="W196" i="18"/>
  <c r="T242" i="20"/>
  <c r="M230" i="3"/>
  <c r="M230" i="11"/>
  <c r="M228" i="13"/>
  <c r="R242" i="19"/>
  <c r="S242" i="19" s="1"/>
  <c r="W127" i="19"/>
  <c r="X165" i="19" s="1"/>
  <c r="X175" i="19" s="1"/>
  <c r="M228" i="11"/>
  <c r="M232" i="13"/>
  <c r="X127" i="20"/>
  <c r="X137" i="20" s="1"/>
  <c r="X137" i="19"/>
  <c r="T119" i="3"/>
  <c r="T139" i="3" s="1"/>
  <c r="S123" i="11"/>
  <c r="S143" i="11" s="1"/>
  <c r="R117" i="11"/>
  <c r="R127" i="11" s="1"/>
  <c r="R137" i="11" s="1"/>
  <c r="P242" i="3"/>
  <c r="R123" i="11"/>
  <c r="R143" i="11" s="1"/>
  <c r="U117" i="3"/>
  <c r="U127" i="3" s="1"/>
  <c r="U351" i="3" s="1"/>
  <c r="R121" i="11"/>
  <c r="R141" i="11" s="1"/>
  <c r="S119" i="19"/>
  <c r="S139" i="19" s="1"/>
  <c r="U119" i="19"/>
  <c r="U139" i="19" s="1"/>
  <c r="Q123" i="19"/>
  <c r="Q143" i="19" s="1"/>
  <c r="Q117" i="19"/>
  <c r="Q127" i="19" s="1"/>
  <c r="R165" i="19" s="1"/>
  <c r="M155" i="3"/>
  <c r="P155" i="20"/>
  <c r="M155" i="20" s="1"/>
  <c r="W143" i="3"/>
  <c r="W123" i="20"/>
  <c r="W143" i="20" s="1"/>
  <c r="Q121" i="19"/>
  <c r="Q141" i="19" s="1"/>
  <c r="R121" i="19"/>
  <c r="R141" i="19" s="1"/>
  <c r="R119" i="19"/>
  <c r="R139" i="19" s="1"/>
  <c r="W127" i="3"/>
  <c r="W137" i="3" s="1"/>
  <c r="W117" i="20"/>
  <c r="P119" i="15"/>
  <c r="P139" i="15" s="1"/>
  <c r="U117" i="19"/>
  <c r="U127" i="19" s="1"/>
  <c r="V165" i="19" s="1"/>
  <c r="P117" i="19"/>
  <c r="R117" i="3"/>
  <c r="R117" i="19"/>
  <c r="R127" i="19" s="1"/>
  <c r="S165" i="19" s="1"/>
  <c r="V141" i="3"/>
  <c r="V121" i="20"/>
  <c r="V141" i="20" s="1"/>
  <c r="T121" i="19"/>
  <c r="T141" i="19" s="1"/>
  <c r="P123" i="15"/>
  <c r="P287" i="15" s="1"/>
  <c r="P175" i="19"/>
  <c r="M155" i="19"/>
  <c r="S117" i="19"/>
  <c r="S127" i="19" s="1"/>
  <c r="T165" i="19" s="1"/>
  <c r="V127" i="3"/>
  <c r="V351" i="3" s="1"/>
  <c r="V117" i="20"/>
  <c r="U139" i="3"/>
  <c r="U123" i="19"/>
  <c r="U143" i="19" s="1"/>
  <c r="P121" i="19"/>
  <c r="P123" i="19"/>
  <c r="S123" i="19"/>
  <c r="S143" i="19" s="1"/>
  <c r="W139" i="3"/>
  <c r="W119" i="20"/>
  <c r="W139" i="20" s="1"/>
  <c r="P175" i="18"/>
  <c r="M155" i="18"/>
  <c r="P119" i="19"/>
  <c r="T117" i="19"/>
  <c r="T127" i="19" s="1"/>
  <c r="U165" i="19" s="1"/>
  <c r="V143" i="3"/>
  <c r="V123" i="20"/>
  <c r="V143" i="20" s="1"/>
  <c r="W141" i="3"/>
  <c r="W121" i="20"/>
  <c r="W141" i="20" s="1"/>
  <c r="V139" i="3"/>
  <c r="V119" i="20"/>
  <c r="V139" i="20" s="1"/>
  <c r="T119" i="19"/>
  <c r="T139" i="19" s="1"/>
  <c r="U121" i="19"/>
  <c r="U141" i="19" s="1"/>
  <c r="P331" i="3"/>
  <c r="P196" i="3"/>
  <c r="S117" i="11"/>
  <c r="S127" i="11" s="1"/>
  <c r="S137" i="11" s="1"/>
  <c r="S119" i="13"/>
  <c r="S139" i="13" s="1"/>
  <c r="S119" i="11"/>
  <c r="S139" i="11" s="1"/>
  <c r="P240" i="3"/>
  <c r="S123" i="3"/>
  <c r="T119" i="18"/>
  <c r="T139" i="18" s="1"/>
  <c r="T121" i="3"/>
  <c r="S121" i="3"/>
  <c r="Q117" i="11"/>
  <c r="Q127" i="11" s="1"/>
  <c r="Q137" i="11" s="1"/>
  <c r="T117" i="3"/>
  <c r="S117" i="3"/>
  <c r="R143" i="19"/>
  <c r="Q123" i="11"/>
  <c r="Q143" i="11" s="1"/>
  <c r="Q119" i="15"/>
  <c r="Q139" i="15" s="1"/>
  <c r="Q121" i="18"/>
  <c r="Q141" i="18" s="1"/>
  <c r="S123" i="15"/>
  <c r="S143" i="15" s="1"/>
  <c r="U121" i="18"/>
  <c r="U141" i="18" s="1"/>
  <c r="S117" i="18"/>
  <c r="S127" i="18" s="1"/>
  <c r="S137" i="18" s="1"/>
  <c r="S141" i="19"/>
  <c r="R123" i="18"/>
  <c r="R143" i="18" s="1"/>
  <c r="S117" i="15"/>
  <c r="S127" i="15" s="1"/>
  <c r="S137" i="15" s="1"/>
  <c r="P121" i="18"/>
  <c r="P141" i="18" s="1"/>
  <c r="U123" i="18"/>
  <c r="U143" i="18" s="1"/>
  <c r="R117" i="18"/>
  <c r="R127" i="18" s="1"/>
  <c r="S165" i="18" s="1"/>
  <c r="T121" i="18"/>
  <c r="T141" i="18" s="1"/>
  <c r="Q123" i="18"/>
  <c r="Q143" i="18" s="1"/>
  <c r="S119" i="18"/>
  <c r="S139" i="18" s="1"/>
  <c r="T143" i="19"/>
  <c r="Q139" i="19"/>
  <c r="P123" i="18"/>
  <c r="P143" i="18" s="1"/>
  <c r="U117" i="18"/>
  <c r="U127" i="18" s="1"/>
  <c r="V165" i="18" s="1"/>
  <c r="R119" i="18"/>
  <c r="R139" i="18" s="1"/>
  <c r="T123" i="18"/>
  <c r="T143" i="18" s="1"/>
  <c r="Q117" i="18"/>
  <c r="Q127" i="18" s="1"/>
  <c r="R165" i="18" s="1"/>
  <c r="S121" i="18"/>
  <c r="S141" i="18" s="1"/>
  <c r="R121" i="3"/>
  <c r="S119" i="15"/>
  <c r="S139" i="15" s="1"/>
  <c r="T123" i="3"/>
  <c r="R123" i="3"/>
  <c r="P119" i="18"/>
  <c r="P139" i="18" s="1"/>
  <c r="U119" i="18"/>
  <c r="U139" i="18" s="1"/>
  <c r="R121" i="18"/>
  <c r="R141" i="18" s="1"/>
  <c r="T117" i="18"/>
  <c r="T127" i="18" s="1"/>
  <c r="U165" i="18" s="1"/>
  <c r="Q119" i="18"/>
  <c r="Q139" i="18" s="1"/>
  <c r="S123" i="18"/>
  <c r="S143" i="18" s="1"/>
  <c r="P117" i="18"/>
  <c r="P127" i="18" s="1"/>
  <c r="Q165" i="18" s="1"/>
  <c r="V137" i="18"/>
  <c r="P238" i="3"/>
  <c r="P123" i="3"/>
  <c r="M389" i="10"/>
  <c r="U121" i="3"/>
  <c r="U123" i="3"/>
  <c r="P119" i="3"/>
  <c r="R119" i="3"/>
  <c r="Q119" i="11"/>
  <c r="Q139" i="11" s="1"/>
  <c r="S121" i="13"/>
  <c r="S141" i="13" s="1"/>
  <c r="P117" i="15"/>
  <c r="P281" i="15" s="1"/>
  <c r="T123" i="11"/>
  <c r="T143" i="11" s="1"/>
  <c r="M464" i="2"/>
  <c r="T123" i="15"/>
  <c r="T143" i="15" s="1"/>
  <c r="S123" i="13"/>
  <c r="S143" i="13" s="1"/>
  <c r="Q121" i="13"/>
  <c r="Q141" i="13" s="1"/>
  <c r="P123" i="13"/>
  <c r="P143" i="13" s="1"/>
  <c r="Q141" i="11"/>
  <c r="P141" i="13"/>
  <c r="P285" i="13"/>
  <c r="S127" i="13"/>
  <c r="S137" i="13" s="1"/>
  <c r="P141" i="15"/>
  <c r="P285" i="15"/>
  <c r="T127" i="15"/>
  <c r="T137" i="15" s="1"/>
  <c r="R123" i="13"/>
  <c r="R143" i="13" s="1"/>
  <c r="P143" i="11"/>
  <c r="P287" i="11"/>
  <c r="P242" i="11"/>
  <c r="Q119" i="3"/>
  <c r="P121" i="3"/>
  <c r="T119" i="15"/>
  <c r="T139" i="15" s="1"/>
  <c r="R121" i="13"/>
  <c r="R141" i="13" s="1"/>
  <c r="P117" i="11"/>
  <c r="R240" i="15"/>
  <c r="S240" i="15" s="1"/>
  <c r="Q123" i="15"/>
  <c r="Q143" i="15" s="1"/>
  <c r="P196" i="13"/>
  <c r="P291" i="13"/>
  <c r="T119" i="11"/>
  <c r="T139" i="11" s="1"/>
  <c r="Q123" i="13"/>
  <c r="Q143" i="13" s="1"/>
  <c r="P240" i="13"/>
  <c r="P242" i="13"/>
  <c r="Q242" i="13" s="1"/>
  <c r="P117" i="13"/>
  <c r="P175" i="11"/>
  <c r="Q256" i="11" s="1"/>
  <c r="M155" i="11"/>
  <c r="R121" i="15"/>
  <c r="R141" i="15" s="1"/>
  <c r="R117" i="15"/>
  <c r="R127" i="15" s="1"/>
  <c r="R123" i="15"/>
  <c r="R143" i="15" s="1"/>
  <c r="R119" i="15"/>
  <c r="R139" i="15" s="1"/>
  <c r="T121" i="15"/>
  <c r="T141" i="15" s="1"/>
  <c r="R117" i="13"/>
  <c r="R127" i="13" s="1"/>
  <c r="P121" i="11"/>
  <c r="Q117" i="15"/>
  <c r="T117" i="11"/>
  <c r="Q117" i="13"/>
  <c r="V127" i="15"/>
  <c r="U127" i="15"/>
  <c r="V127" i="13"/>
  <c r="U137" i="11"/>
  <c r="U311" i="11"/>
  <c r="V165" i="11"/>
  <c r="V175" i="11" s="1"/>
  <c r="P175" i="15"/>
  <c r="Q256" i="15" s="1"/>
  <c r="M155" i="15"/>
  <c r="P238" i="11"/>
  <c r="Q238" i="11" s="1"/>
  <c r="U127" i="13"/>
  <c r="U137" i="13" s="1"/>
  <c r="T117" i="13"/>
  <c r="T127" i="13" s="1"/>
  <c r="T121" i="13"/>
  <c r="T141" i="13" s="1"/>
  <c r="T119" i="13"/>
  <c r="T139" i="13" s="1"/>
  <c r="T123" i="13"/>
  <c r="T143" i="13" s="1"/>
  <c r="P119" i="11"/>
  <c r="M389" i="12"/>
  <c r="V127" i="11"/>
  <c r="M389" i="14"/>
  <c r="Q238" i="15"/>
  <c r="P240" i="11"/>
  <c r="Q240" i="11" s="1"/>
  <c r="M232" i="11"/>
  <c r="M230" i="13"/>
  <c r="P238" i="13"/>
  <c r="Q238" i="13" s="1"/>
  <c r="P119" i="13"/>
  <c r="T242" i="15"/>
  <c r="U242" i="15" s="1"/>
  <c r="V242" i="15" s="1"/>
  <c r="W242" i="15" s="1"/>
  <c r="Q117" i="3"/>
  <c r="Q121" i="3"/>
  <c r="Q123" i="3"/>
  <c r="P321" i="3"/>
  <c r="P127" i="3"/>
  <c r="Q238" i="3" l="1"/>
  <c r="P237" i="3" s="1"/>
  <c r="Q240" i="3"/>
  <c r="P239" i="3" s="1"/>
  <c r="Q242" i="3"/>
  <c r="P241" i="3" s="1"/>
  <c r="P272" i="3"/>
  <c r="P268" i="3"/>
  <c r="P270" i="3"/>
  <c r="V238" i="18"/>
  <c r="M238" i="18" s="1"/>
  <c r="M248" i="18" s="1"/>
  <c r="M240" i="18"/>
  <c r="M250" i="18" s="1"/>
  <c r="S165" i="11"/>
  <c r="S175" i="11" s="1"/>
  <c r="T256" i="11" s="1"/>
  <c r="V238" i="20"/>
  <c r="W238" i="20" s="1"/>
  <c r="X238" i="20" s="1"/>
  <c r="W137" i="18"/>
  <c r="W240" i="19"/>
  <c r="X240" i="19" s="1"/>
  <c r="W165" i="3"/>
  <c r="W175" i="3" s="1"/>
  <c r="T242" i="19"/>
  <c r="U242" i="19" s="1"/>
  <c r="V311" i="11"/>
  <c r="W165" i="11"/>
  <c r="W175" i="11" s="1"/>
  <c r="V311" i="15"/>
  <c r="W165" i="15"/>
  <c r="W175" i="15" s="1"/>
  <c r="Y256" i="18"/>
  <c r="X196" i="18"/>
  <c r="V311" i="13"/>
  <c r="W165" i="13"/>
  <c r="W175" i="13" s="1"/>
  <c r="U242" i="20"/>
  <c r="V238" i="19"/>
  <c r="W238" i="19" s="1"/>
  <c r="X238" i="19" s="1"/>
  <c r="W127" i="20"/>
  <c r="W137" i="20" s="1"/>
  <c r="X242" i="15"/>
  <c r="Y242" i="15" s="1"/>
  <c r="Z256" i="20"/>
  <c r="Y196" i="20"/>
  <c r="W351" i="3"/>
  <c r="X165" i="3"/>
  <c r="W137" i="19"/>
  <c r="X256" i="19"/>
  <c r="W196" i="19"/>
  <c r="Z256" i="18"/>
  <c r="Y196" i="18"/>
  <c r="Y256" i="19"/>
  <c r="X196" i="19"/>
  <c r="S240" i="20"/>
  <c r="R311" i="11"/>
  <c r="P283" i="15"/>
  <c r="Q283" i="15" s="1"/>
  <c r="P143" i="15"/>
  <c r="M143" i="15" s="1"/>
  <c r="P175" i="20"/>
  <c r="Q256" i="20" s="1"/>
  <c r="U117" i="20"/>
  <c r="U127" i="20" s="1"/>
  <c r="U137" i="20" s="1"/>
  <c r="V165" i="3"/>
  <c r="V175" i="3" s="1"/>
  <c r="W296" i="3" s="1"/>
  <c r="V137" i="3"/>
  <c r="U137" i="3"/>
  <c r="P323" i="3"/>
  <c r="Q323" i="3" s="1"/>
  <c r="R323" i="3" s="1"/>
  <c r="S323" i="3" s="1"/>
  <c r="T323" i="3" s="1"/>
  <c r="U323" i="3" s="1"/>
  <c r="V323" i="3" s="1"/>
  <c r="W323" i="3" s="1"/>
  <c r="X323" i="3" s="1"/>
  <c r="P119" i="20"/>
  <c r="U143" i="3"/>
  <c r="U123" i="20"/>
  <c r="U143" i="20" s="1"/>
  <c r="S141" i="3"/>
  <c r="S121" i="20"/>
  <c r="S141" i="20" s="1"/>
  <c r="Q256" i="19"/>
  <c r="P196" i="19"/>
  <c r="R127" i="3"/>
  <c r="R117" i="20"/>
  <c r="R127" i="20" s="1"/>
  <c r="R137" i="20" s="1"/>
  <c r="Q165" i="3"/>
  <c r="P351" i="3"/>
  <c r="U141" i="3"/>
  <c r="U121" i="20"/>
  <c r="U141" i="20" s="1"/>
  <c r="R141" i="3"/>
  <c r="R121" i="20"/>
  <c r="R141" i="20" s="1"/>
  <c r="T141" i="3"/>
  <c r="T121" i="20"/>
  <c r="T141" i="20" s="1"/>
  <c r="P196" i="18"/>
  <c r="Q256" i="18"/>
  <c r="S119" i="20"/>
  <c r="S139" i="20" s="1"/>
  <c r="P117" i="20"/>
  <c r="U119" i="20"/>
  <c r="U139" i="20" s="1"/>
  <c r="T143" i="3"/>
  <c r="T123" i="20"/>
  <c r="T143" i="20" s="1"/>
  <c r="Q143" i="3"/>
  <c r="Q123" i="20"/>
  <c r="Q143" i="20" s="1"/>
  <c r="P327" i="3"/>
  <c r="Q327" i="3" s="1"/>
  <c r="R327" i="3" s="1"/>
  <c r="S327" i="3" s="1"/>
  <c r="T327" i="3" s="1"/>
  <c r="U327" i="3" s="1"/>
  <c r="V327" i="3" s="1"/>
  <c r="W327" i="3" s="1"/>
  <c r="X327" i="3" s="1"/>
  <c r="P123" i="20"/>
  <c r="S143" i="3"/>
  <c r="S123" i="20"/>
  <c r="S143" i="20" s="1"/>
  <c r="Q141" i="3"/>
  <c r="Q121" i="20"/>
  <c r="Q141" i="20" s="1"/>
  <c r="T119" i="20"/>
  <c r="T139" i="20" s="1"/>
  <c r="V127" i="20"/>
  <c r="V137" i="20" s="1"/>
  <c r="Q139" i="3"/>
  <c r="Q119" i="20"/>
  <c r="Q139" i="20" s="1"/>
  <c r="S127" i="3"/>
  <c r="S137" i="3" s="1"/>
  <c r="S117" i="20"/>
  <c r="Q127" i="3"/>
  <c r="Q351" i="3" s="1"/>
  <c r="Q117" i="20"/>
  <c r="P325" i="3"/>
  <c r="Q325" i="3" s="1"/>
  <c r="R325" i="3" s="1"/>
  <c r="S325" i="3" s="1"/>
  <c r="T325" i="3" s="1"/>
  <c r="U325" i="3" s="1"/>
  <c r="V325" i="3" s="1"/>
  <c r="W325" i="3" s="1"/>
  <c r="X325" i="3" s="1"/>
  <c r="P121" i="20"/>
  <c r="R139" i="3"/>
  <c r="R119" i="20"/>
  <c r="R139" i="20" s="1"/>
  <c r="R143" i="3"/>
  <c r="R123" i="20"/>
  <c r="R143" i="20" s="1"/>
  <c r="T127" i="3"/>
  <c r="T351" i="3" s="1"/>
  <c r="T117" i="20"/>
  <c r="T165" i="18"/>
  <c r="T175" i="18" s="1"/>
  <c r="T137" i="18"/>
  <c r="U175" i="18"/>
  <c r="R137" i="19"/>
  <c r="S175" i="19"/>
  <c r="T137" i="19"/>
  <c r="U175" i="19"/>
  <c r="Q137" i="18"/>
  <c r="R175" i="18"/>
  <c r="S196" i="11"/>
  <c r="V196" i="11"/>
  <c r="W256" i="11"/>
  <c r="U137" i="18"/>
  <c r="V175" i="18"/>
  <c r="Q137" i="19"/>
  <c r="R175" i="19"/>
  <c r="U137" i="19"/>
  <c r="V175" i="19"/>
  <c r="S137" i="19"/>
  <c r="T175" i="19"/>
  <c r="P137" i="18"/>
  <c r="P137" i="3"/>
  <c r="P341" i="3" s="1"/>
  <c r="T165" i="11"/>
  <c r="T175" i="11" s="1"/>
  <c r="S311" i="11"/>
  <c r="M117" i="3"/>
  <c r="M119" i="18"/>
  <c r="M121" i="18"/>
  <c r="M117" i="18"/>
  <c r="M119" i="19"/>
  <c r="P139" i="19"/>
  <c r="M139" i="19" s="1"/>
  <c r="M117" i="19"/>
  <c r="P127" i="19"/>
  <c r="Q165" i="19" s="1"/>
  <c r="R137" i="18"/>
  <c r="M123" i="18"/>
  <c r="M121" i="19"/>
  <c r="P141" i="19"/>
  <c r="M141" i="19" s="1"/>
  <c r="M123" i="19"/>
  <c r="P143" i="19"/>
  <c r="M143" i="19" s="1"/>
  <c r="M139" i="18"/>
  <c r="M127" i="18"/>
  <c r="S175" i="18"/>
  <c r="P139" i="3"/>
  <c r="P343" i="3" s="1"/>
  <c r="M117" i="15"/>
  <c r="M143" i="18"/>
  <c r="M141" i="18"/>
  <c r="P127" i="15"/>
  <c r="P137" i="15" s="1"/>
  <c r="P301" i="15" s="1"/>
  <c r="P143" i="3"/>
  <c r="P141" i="3"/>
  <c r="P345" i="3" s="1"/>
  <c r="P287" i="13"/>
  <c r="Q287" i="13" s="1"/>
  <c r="M123" i="11"/>
  <c r="M119" i="3"/>
  <c r="R238" i="3"/>
  <c r="R240" i="3"/>
  <c r="M121" i="3"/>
  <c r="S53" i="17"/>
  <c r="T53" i="17"/>
  <c r="U53" i="17"/>
  <c r="V53" i="17"/>
  <c r="T240" i="15"/>
  <c r="U240" i="15" s="1"/>
  <c r="V240" i="15" s="1"/>
  <c r="W240" i="15" s="1"/>
  <c r="R238" i="13"/>
  <c r="R238" i="11"/>
  <c r="S238" i="11" s="1"/>
  <c r="R242" i="13"/>
  <c r="S242" i="13" s="1"/>
  <c r="V165" i="15"/>
  <c r="V175" i="15" s="1"/>
  <c r="U311" i="15"/>
  <c r="M123" i="3"/>
  <c r="V137" i="11"/>
  <c r="U311" i="13"/>
  <c r="V165" i="13"/>
  <c r="V175" i="13" s="1"/>
  <c r="U137" i="15"/>
  <c r="Q127" i="13"/>
  <c r="P141" i="11"/>
  <c r="P285" i="11"/>
  <c r="Q287" i="15"/>
  <c r="M143" i="11"/>
  <c r="P307" i="11"/>
  <c r="Q307" i="11" s="1"/>
  <c r="R307" i="11" s="1"/>
  <c r="S307" i="11" s="1"/>
  <c r="T307" i="11" s="1"/>
  <c r="U307" i="11" s="1"/>
  <c r="V307" i="11" s="1"/>
  <c r="W307" i="11" s="1"/>
  <c r="T311" i="15"/>
  <c r="U165" i="15"/>
  <c r="U175" i="15" s="1"/>
  <c r="M121" i="13"/>
  <c r="T127" i="11"/>
  <c r="T137" i="11" s="1"/>
  <c r="Q240" i="13"/>
  <c r="Q285" i="15"/>
  <c r="S311" i="13"/>
  <c r="T165" i="13"/>
  <c r="T175" i="13" s="1"/>
  <c r="M119" i="13"/>
  <c r="P139" i="13"/>
  <c r="P283" i="13"/>
  <c r="R240" i="11"/>
  <c r="M119" i="15"/>
  <c r="M119" i="11"/>
  <c r="P139" i="11"/>
  <c r="P283" i="11"/>
  <c r="T137" i="13"/>
  <c r="U165" i="13"/>
  <c r="U175" i="13" s="1"/>
  <c r="T311" i="13"/>
  <c r="P291" i="15"/>
  <c r="P196" i="15"/>
  <c r="V137" i="13"/>
  <c r="V137" i="15"/>
  <c r="Q281" i="15"/>
  <c r="Q311" i="11"/>
  <c r="R165" i="11"/>
  <c r="R175" i="11" s="1"/>
  <c r="P307" i="13"/>
  <c r="Q307" i="13" s="1"/>
  <c r="R307" i="13" s="1"/>
  <c r="S307" i="13" s="1"/>
  <c r="T307" i="13" s="1"/>
  <c r="U307" i="13" s="1"/>
  <c r="V307" i="13" s="1"/>
  <c r="W307" i="13" s="1"/>
  <c r="X307" i="13" s="1"/>
  <c r="Y307" i="13" s="1"/>
  <c r="M143" i="13"/>
  <c r="Q242" i="11"/>
  <c r="R242" i="11" s="1"/>
  <c r="S242" i="11" s="1"/>
  <c r="T242" i="11" s="1"/>
  <c r="M123" i="15"/>
  <c r="M141" i="15"/>
  <c r="P305" i="15"/>
  <c r="Q305" i="15" s="1"/>
  <c r="R305" i="15" s="1"/>
  <c r="S305" i="15" s="1"/>
  <c r="T305" i="15" s="1"/>
  <c r="U305" i="15" s="1"/>
  <c r="V305" i="15" s="1"/>
  <c r="W305" i="15" s="1"/>
  <c r="X305" i="15" s="1"/>
  <c r="Y305" i="15" s="1"/>
  <c r="Q285" i="13"/>
  <c r="R238" i="15"/>
  <c r="P281" i="13"/>
  <c r="M117" i="13"/>
  <c r="P127" i="13"/>
  <c r="P137" i="13" s="1"/>
  <c r="P301" i="13" s="1"/>
  <c r="P303" i="15"/>
  <c r="Q303" i="15" s="1"/>
  <c r="R303" i="15" s="1"/>
  <c r="S303" i="15" s="1"/>
  <c r="T303" i="15" s="1"/>
  <c r="U303" i="15" s="1"/>
  <c r="V303" i="15" s="1"/>
  <c r="W303" i="15" s="1"/>
  <c r="X303" i="15" s="1"/>
  <c r="Y303" i="15" s="1"/>
  <c r="M139" i="15"/>
  <c r="Q127" i="15"/>
  <c r="R137" i="13"/>
  <c r="R311" i="13"/>
  <c r="S165" i="13"/>
  <c r="S175" i="13" s="1"/>
  <c r="R137" i="15"/>
  <c r="R311" i="15"/>
  <c r="S165" i="15"/>
  <c r="S175" i="15" s="1"/>
  <c r="P291" i="11"/>
  <c r="P196" i="11"/>
  <c r="S311" i="15"/>
  <c r="T165" i="15"/>
  <c r="T175" i="15" s="1"/>
  <c r="M117" i="11"/>
  <c r="P127" i="11"/>
  <c r="P137" i="11" s="1"/>
  <c r="P281" i="11"/>
  <c r="M123" i="13"/>
  <c r="Q287" i="11"/>
  <c r="M121" i="15"/>
  <c r="M141" i="13"/>
  <c r="P305" i="13"/>
  <c r="Q305" i="13" s="1"/>
  <c r="R305" i="13" s="1"/>
  <c r="S305" i="13" s="1"/>
  <c r="T305" i="13" s="1"/>
  <c r="U305" i="13" s="1"/>
  <c r="V305" i="13" s="1"/>
  <c r="W305" i="13" s="1"/>
  <c r="X305" i="13" s="1"/>
  <c r="Y305" i="13" s="1"/>
  <c r="M121" i="11"/>
  <c r="Q321" i="3"/>
  <c r="R321" i="3" s="1"/>
  <c r="S321" i="3" s="1"/>
  <c r="T321" i="3" s="1"/>
  <c r="U321" i="3" s="1"/>
  <c r="V321" i="3" s="1"/>
  <c r="W321" i="3" s="1"/>
  <c r="X321" i="3" s="1"/>
  <c r="Q270" i="3" l="1"/>
  <c r="Q272" i="3"/>
  <c r="Q268" i="3"/>
  <c r="R242" i="3"/>
  <c r="Q239" i="3"/>
  <c r="Q237" i="3"/>
  <c r="S240" i="3"/>
  <c r="T240" i="3" s="1"/>
  <c r="S238" i="3"/>
  <c r="T238" i="3" s="1"/>
  <c r="R270" i="3"/>
  <c r="R272" i="3"/>
  <c r="S272" i="3" s="1"/>
  <c r="R268" i="3"/>
  <c r="X296" i="3"/>
  <c r="W196" i="3"/>
  <c r="W165" i="20"/>
  <c r="W175" i="20" s="1"/>
  <c r="X256" i="20" s="1"/>
  <c r="Y240" i="19"/>
  <c r="M240" i="19" s="1"/>
  <c r="M250" i="19" s="1"/>
  <c r="Y238" i="20"/>
  <c r="M238" i="20" s="1"/>
  <c r="M248" i="20" s="1"/>
  <c r="Y238" i="19"/>
  <c r="M238" i="19" s="1"/>
  <c r="M248" i="19" s="1"/>
  <c r="V242" i="19"/>
  <c r="S238" i="13"/>
  <c r="T238" i="13" s="1"/>
  <c r="Y325" i="3"/>
  <c r="X165" i="20"/>
  <c r="X175" i="20" s="1"/>
  <c r="X175" i="3"/>
  <c r="X256" i="13"/>
  <c r="W196" i="13"/>
  <c r="X256" i="11"/>
  <c r="W196" i="11"/>
  <c r="X240" i="15"/>
  <c r="Y240" i="15" s="1"/>
  <c r="M240" i="15" s="1"/>
  <c r="M250" i="15" s="1"/>
  <c r="X307" i="11"/>
  <c r="Y307" i="11" s="1"/>
  <c r="Y323" i="3"/>
  <c r="M242" i="15"/>
  <c r="M252" i="15" s="1"/>
  <c r="T240" i="20"/>
  <c r="U240" i="20" s="1"/>
  <c r="V240" i="20" s="1"/>
  <c r="V242" i="20"/>
  <c r="Y321" i="3"/>
  <c r="Y327" i="3"/>
  <c r="X256" i="15"/>
  <c r="W196" i="15"/>
  <c r="P307" i="15"/>
  <c r="Q307" i="15" s="1"/>
  <c r="R307" i="15" s="1"/>
  <c r="S307" i="15" s="1"/>
  <c r="T307" i="15" s="1"/>
  <c r="U307" i="15" s="1"/>
  <c r="V307" i="15" s="1"/>
  <c r="W307" i="15" s="1"/>
  <c r="X307" i="15" s="1"/>
  <c r="Y307" i="15" s="1"/>
  <c r="P196" i="20"/>
  <c r="M127" i="3"/>
  <c r="Q137" i="3"/>
  <c r="Q341" i="3" s="1"/>
  <c r="R165" i="3"/>
  <c r="R165" i="20" s="1"/>
  <c r="R175" i="20" s="1"/>
  <c r="Q345" i="3"/>
  <c r="R345" i="3" s="1"/>
  <c r="S345" i="3" s="1"/>
  <c r="T345" i="3" s="1"/>
  <c r="U345" i="3" s="1"/>
  <c r="V345" i="3" s="1"/>
  <c r="W345" i="3" s="1"/>
  <c r="X345" i="3" s="1"/>
  <c r="Y345" i="3" s="1"/>
  <c r="M121" i="20"/>
  <c r="P141" i="20"/>
  <c r="M141" i="20" s="1"/>
  <c r="T137" i="3"/>
  <c r="T127" i="20"/>
  <c r="T137" i="20" s="1"/>
  <c r="Q127" i="20"/>
  <c r="Q137" i="20" s="1"/>
  <c r="Q343" i="3"/>
  <c r="Q313" i="3" s="1"/>
  <c r="M119" i="20"/>
  <c r="P139" i="20"/>
  <c r="M139" i="20" s="1"/>
  <c r="M123" i="20"/>
  <c r="P143" i="20"/>
  <c r="M143" i="20" s="1"/>
  <c r="S127" i="20"/>
  <c r="S137" i="20" s="1"/>
  <c r="R351" i="3"/>
  <c r="S165" i="3"/>
  <c r="S175" i="3" s="1"/>
  <c r="R137" i="3"/>
  <c r="T165" i="3"/>
  <c r="T175" i="3" s="1"/>
  <c r="U296" i="3" s="1"/>
  <c r="S351" i="3"/>
  <c r="U165" i="3"/>
  <c r="U175" i="3" s="1"/>
  <c r="V296" i="3" s="1"/>
  <c r="M117" i="20"/>
  <c r="P127" i="20"/>
  <c r="P347" i="3"/>
  <c r="Q347" i="3" s="1"/>
  <c r="P311" i="3"/>
  <c r="U256" i="18"/>
  <c r="T196" i="18"/>
  <c r="V196" i="3"/>
  <c r="V196" i="15"/>
  <c r="W256" i="15"/>
  <c r="T196" i="15"/>
  <c r="U256" i="15"/>
  <c r="S196" i="15"/>
  <c r="T256" i="15"/>
  <c r="U196" i="15"/>
  <c r="V256" i="15"/>
  <c r="U196" i="13"/>
  <c r="V256" i="13"/>
  <c r="V196" i="13"/>
  <c r="W256" i="13"/>
  <c r="S196" i="13"/>
  <c r="T256" i="13"/>
  <c r="T196" i="13"/>
  <c r="U256" i="13"/>
  <c r="T196" i="11"/>
  <c r="U256" i="11"/>
  <c r="U196" i="19"/>
  <c r="V256" i="19"/>
  <c r="V165" i="20"/>
  <c r="V175" i="20" s="1"/>
  <c r="W256" i="19"/>
  <c r="V196" i="19"/>
  <c r="M137" i="18"/>
  <c r="T196" i="19"/>
  <c r="U256" i="19"/>
  <c r="S256" i="19"/>
  <c r="R196" i="19"/>
  <c r="R196" i="11"/>
  <c r="S256" i="11"/>
  <c r="T256" i="19"/>
  <c r="S196" i="19"/>
  <c r="Q175" i="19"/>
  <c r="M165" i="19"/>
  <c r="Q165" i="20"/>
  <c r="Q175" i="3"/>
  <c r="P313" i="3"/>
  <c r="M139" i="3"/>
  <c r="P137" i="19"/>
  <c r="M137" i="19" s="1"/>
  <c r="M127" i="19"/>
  <c r="W256" i="18"/>
  <c r="V196" i="18"/>
  <c r="S256" i="18"/>
  <c r="R196" i="18"/>
  <c r="V256" i="18"/>
  <c r="U196" i="18"/>
  <c r="T256" i="18"/>
  <c r="S196" i="18"/>
  <c r="Q175" i="18"/>
  <c r="M165" i="18"/>
  <c r="M143" i="3"/>
  <c r="Q165" i="15"/>
  <c r="Q175" i="15" s="1"/>
  <c r="P315" i="3"/>
  <c r="P311" i="15"/>
  <c r="P271" i="15" s="1"/>
  <c r="M127" i="15"/>
  <c r="M141" i="3"/>
  <c r="P277" i="11"/>
  <c r="R53" i="17"/>
  <c r="Q53" i="17"/>
  <c r="T242" i="13"/>
  <c r="T238" i="11"/>
  <c r="U238" i="11" s="1"/>
  <c r="V238" i="11" s="1"/>
  <c r="W238" i="11" s="1"/>
  <c r="P275" i="13"/>
  <c r="R240" i="13"/>
  <c r="S240" i="13" s="1"/>
  <c r="T240" i="13" s="1"/>
  <c r="U240" i="13" s="1"/>
  <c r="V240" i="13" s="1"/>
  <c r="W240" i="13" s="1"/>
  <c r="X240" i="13" s="1"/>
  <c r="Y240" i="13" s="1"/>
  <c r="P275" i="15"/>
  <c r="M139" i="11"/>
  <c r="P303" i="11"/>
  <c r="Q303" i="11" s="1"/>
  <c r="R303" i="11" s="1"/>
  <c r="S303" i="11" s="1"/>
  <c r="T303" i="11" s="1"/>
  <c r="U303" i="11" s="1"/>
  <c r="V303" i="11" s="1"/>
  <c r="W303" i="11" s="1"/>
  <c r="R165" i="13"/>
  <c r="R175" i="13" s="1"/>
  <c r="Q311" i="13"/>
  <c r="Q165" i="11"/>
  <c r="P311" i="11"/>
  <c r="M127" i="11"/>
  <c r="Q311" i="15"/>
  <c r="R165" i="15"/>
  <c r="R175" i="15" s="1"/>
  <c r="Q137" i="15"/>
  <c r="M137" i="15" s="1"/>
  <c r="Q281" i="13"/>
  <c r="Q283" i="11"/>
  <c r="S240" i="11"/>
  <c r="T240" i="11" s="1"/>
  <c r="Q137" i="13"/>
  <c r="Q301" i="13" s="1"/>
  <c r="R301" i="13" s="1"/>
  <c r="S301" i="13" s="1"/>
  <c r="T301" i="13" s="1"/>
  <c r="U301" i="13" s="1"/>
  <c r="V301" i="13" s="1"/>
  <c r="W301" i="13" s="1"/>
  <c r="X301" i="13" s="1"/>
  <c r="Y301" i="13" s="1"/>
  <c r="R283" i="15"/>
  <c r="Q273" i="15"/>
  <c r="Q281" i="11"/>
  <c r="Q283" i="13"/>
  <c r="R285" i="13"/>
  <c r="Q275" i="13"/>
  <c r="R281" i="15"/>
  <c r="M139" i="13"/>
  <c r="P303" i="13"/>
  <c r="Q303" i="13" s="1"/>
  <c r="R303" i="13" s="1"/>
  <c r="S303" i="13" s="1"/>
  <c r="T303" i="13" s="1"/>
  <c r="U303" i="13" s="1"/>
  <c r="V303" i="13" s="1"/>
  <c r="W303" i="13" s="1"/>
  <c r="X303" i="13" s="1"/>
  <c r="Y303" i="13" s="1"/>
  <c r="Q285" i="11"/>
  <c r="P277" i="13"/>
  <c r="P301" i="11"/>
  <c r="Q301" i="11" s="1"/>
  <c r="R301" i="11" s="1"/>
  <c r="S301" i="11" s="1"/>
  <c r="T301" i="11" s="1"/>
  <c r="U301" i="11" s="1"/>
  <c r="V301" i="11" s="1"/>
  <c r="W301" i="11" s="1"/>
  <c r="X301" i="11" s="1"/>
  <c r="Y301" i="11" s="1"/>
  <c r="M137" i="11"/>
  <c r="P311" i="13"/>
  <c r="P271" i="13" s="1"/>
  <c r="Q165" i="13"/>
  <c r="M127" i="13"/>
  <c r="R287" i="11"/>
  <c r="Q277" i="11"/>
  <c r="R285" i="15"/>
  <c r="Q275" i="15"/>
  <c r="U165" i="11"/>
  <c r="U175" i="11" s="1"/>
  <c r="T311" i="11"/>
  <c r="R287" i="15"/>
  <c r="M141" i="11"/>
  <c r="P305" i="11"/>
  <c r="Q305" i="11" s="1"/>
  <c r="R305" i="11" s="1"/>
  <c r="S305" i="11" s="1"/>
  <c r="T305" i="11" s="1"/>
  <c r="U305" i="11" s="1"/>
  <c r="V305" i="11" s="1"/>
  <c r="W305" i="11" s="1"/>
  <c r="X305" i="11" s="1"/>
  <c r="Y305" i="11" s="1"/>
  <c r="S238" i="15"/>
  <c r="R287" i="13"/>
  <c r="Q277" i="13"/>
  <c r="P273" i="15"/>
  <c r="U242" i="11"/>
  <c r="R271" i="3" l="1"/>
  <c r="Q267" i="3"/>
  <c r="Q271" i="3"/>
  <c r="Q269" i="3"/>
  <c r="S270" i="3"/>
  <c r="R269" i="3" s="1"/>
  <c r="P267" i="3"/>
  <c r="P271" i="3"/>
  <c r="P269" i="3"/>
  <c r="S242" i="3"/>
  <c r="S237" i="3"/>
  <c r="S239" i="3"/>
  <c r="R237" i="3"/>
  <c r="R239" i="3"/>
  <c r="Q241" i="3"/>
  <c r="S268" i="3"/>
  <c r="T272" i="3"/>
  <c r="W196" i="20"/>
  <c r="U238" i="13"/>
  <c r="V238" i="13" s="1"/>
  <c r="W238" i="13" s="1"/>
  <c r="W240" i="20"/>
  <c r="X240" i="20" s="1"/>
  <c r="Y240" i="20" s="1"/>
  <c r="M240" i="20" s="1"/>
  <c r="M250" i="20" s="1"/>
  <c r="X238" i="11"/>
  <c r="Y238" i="11" s="1"/>
  <c r="M238" i="11" s="1"/>
  <c r="M248" i="11" s="1"/>
  <c r="X315" i="3"/>
  <c r="W242" i="19"/>
  <c r="X242" i="19" s="1"/>
  <c r="Y242" i="19" s="1"/>
  <c r="Q277" i="15"/>
  <c r="W242" i="20"/>
  <c r="X242" i="20" s="1"/>
  <c r="U242" i="13"/>
  <c r="V242" i="13" s="1"/>
  <c r="W242" i="13" s="1"/>
  <c r="X196" i="3"/>
  <c r="Y296" i="3"/>
  <c r="Y256" i="20"/>
  <c r="X196" i="20"/>
  <c r="X303" i="11"/>
  <c r="Y303" i="11" s="1"/>
  <c r="Y315" i="3"/>
  <c r="P277" i="15"/>
  <c r="R175" i="3"/>
  <c r="R196" i="3" s="1"/>
  <c r="Q315" i="3"/>
  <c r="M137" i="3"/>
  <c r="T165" i="20"/>
  <c r="T175" i="20" s="1"/>
  <c r="U256" i="20" s="1"/>
  <c r="M127" i="20"/>
  <c r="R315" i="3"/>
  <c r="U165" i="20"/>
  <c r="U175" i="20" s="1"/>
  <c r="V256" i="20" s="1"/>
  <c r="R341" i="3"/>
  <c r="S341" i="3" s="1"/>
  <c r="T341" i="3" s="1"/>
  <c r="U341" i="3" s="1"/>
  <c r="V341" i="3" s="1"/>
  <c r="W341" i="3" s="1"/>
  <c r="X341" i="3" s="1"/>
  <c r="Y341" i="3" s="1"/>
  <c r="T196" i="3"/>
  <c r="R343" i="3"/>
  <c r="S343" i="3" s="1"/>
  <c r="T343" i="3" s="1"/>
  <c r="U343" i="3" s="1"/>
  <c r="V343" i="3" s="1"/>
  <c r="W343" i="3" s="1"/>
  <c r="X343" i="3" s="1"/>
  <c r="S165" i="20"/>
  <c r="S175" i="20" s="1"/>
  <c r="S196" i="20" s="1"/>
  <c r="U196" i="3"/>
  <c r="M165" i="3"/>
  <c r="P317" i="3"/>
  <c r="T296" i="3"/>
  <c r="S196" i="3"/>
  <c r="P137" i="20"/>
  <c r="M137" i="20" s="1"/>
  <c r="R347" i="3"/>
  <c r="Q317" i="3"/>
  <c r="Q291" i="15"/>
  <c r="R291" i="15" s="1"/>
  <c r="S291" i="15" s="1"/>
  <c r="T291" i="15" s="1"/>
  <c r="U291" i="15" s="1"/>
  <c r="V291" i="15" s="1"/>
  <c r="W291" i="15" s="1"/>
  <c r="R256" i="15"/>
  <c r="R196" i="15"/>
  <c r="S256" i="15"/>
  <c r="R196" i="13"/>
  <c r="S256" i="13"/>
  <c r="R296" i="3"/>
  <c r="U196" i="11"/>
  <c r="V256" i="11"/>
  <c r="S256" i="20"/>
  <c r="R196" i="20"/>
  <c r="W256" i="20"/>
  <c r="V196" i="20"/>
  <c r="Q331" i="3"/>
  <c r="Q175" i="20"/>
  <c r="Q196" i="3"/>
  <c r="R256" i="19"/>
  <c r="M256" i="19" s="1"/>
  <c r="Q196" i="19"/>
  <c r="M196" i="19" s="1"/>
  <c r="M175" i="19"/>
  <c r="Q196" i="18"/>
  <c r="M196" i="18" s="1"/>
  <c r="R256" i="18"/>
  <c r="M256" i="18" s="1"/>
  <c r="M175" i="18"/>
  <c r="M53" i="17"/>
  <c r="M63" i="17" s="1"/>
  <c r="M17" i="17"/>
  <c r="U238" i="3"/>
  <c r="U240" i="3"/>
  <c r="Q301" i="15"/>
  <c r="R301" i="15" s="1"/>
  <c r="S301" i="15" s="1"/>
  <c r="T301" i="15" s="1"/>
  <c r="U301" i="15" s="1"/>
  <c r="V301" i="15" s="1"/>
  <c r="W301" i="15" s="1"/>
  <c r="X301" i="15" s="1"/>
  <c r="Y301" i="15" s="1"/>
  <c r="P273" i="11"/>
  <c r="M137" i="13"/>
  <c r="P275" i="11"/>
  <c r="P271" i="11"/>
  <c r="S281" i="15"/>
  <c r="Q175" i="11"/>
  <c r="M165" i="11"/>
  <c r="T238" i="15"/>
  <c r="U238" i="15" s="1"/>
  <c r="V238" i="15" s="1"/>
  <c r="S285" i="15"/>
  <c r="R275" i="15"/>
  <c r="Q175" i="13"/>
  <c r="R256" i="13" s="1"/>
  <c r="M165" i="13"/>
  <c r="M240" i="13"/>
  <c r="M250" i="13" s="1"/>
  <c r="S283" i="15"/>
  <c r="R273" i="15"/>
  <c r="S287" i="13"/>
  <c r="R277" i="13"/>
  <c r="S287" i="11"/>
  <c r="R277" i="11"/>
  <c r="R285" i="11"/>
  <c r="Q275" i="11"/>
  <c r="P273" i="13"/>
  <c r="R281" i="11"/>
  <c r="R283" i="11"/>
  <c r="Q273" i="11"/>
  <c r="M165" i="15"/>
  <c r="V242" i="11"/>
  <c r="W242" i="11" s="1"/>
  <c r="X242" i="11" s="1"/>
  <c r="Y242" i="11" s="1"/>
  <c r="S287" i="15"/>
  <c r="R277" i="15"/>
  <c r="S285" i="13"/>
  <c r="R275" i="13"/>
  <c r="R283" i="13"/>
  <c r="Q273" i="13"/>
  <c r="U240" i="11"/>
  <c r="V240" i="11" s="1"/>
  <c r="W240" i="11" s="1"/>
  <c r="R281" i="13"/>
  <c r="Q196" i="15"/>
  <c r="M175" i="15"/>
  <c r="S315" i="3"/>
  <c r="T270" i="3" l="1"/>
  <c r="U270" i="3" s="1"/>
  <c r="S271" i="3"/>
  <c r="T268" i="3"/>
  <c r="U268" i="3" s="1"/>
  <c r="R267" i="3"/>
  <c r="V238" i="3"/>
  <c r="U237" i="3" s="1"/>
  <c r="T242" i="3"/>
  <c r="S241" i="3" s="1"/>
  <c r="T239" i="3"/>
  <c r="T237" i="3"/>
  <c r="R241" i="3"/>
  <c r="U272" i="3"/>
  <c r="X238" i="13"/>
  <c r="Y238" i="13" s="1"/>
  <c r="M238" i="13" s="1"/>
  <c r="M248" i="13" s="1"/>
  <c r="M242" i="19"/>
  <c r="M252" i="19" s="1"/>
  <c r="Y343" i="3"/>
  <c r="Y313" i="3" s="1"/>
  <c r="X313" i="3"/>
  <c r="X240" i="11"/>
  <c r="Y240" i="11" s="1"/>
  <c r="W238" i="15"/>
  <c r="X238" i="15" s="1"/>
  <c r="Y238" i="15" s="1"/>
  <c r="Y242" i="20"/>
  <c r="M242" i="20" s="1"/>
  <c r="M252" i="20" s="1"/>
  <c r="X291" i="15"/>
  <c r="Y291" i="15" s="1"/>
  <c r="X242" i="13"/>
  <c r="Y242" i="13" s="1"/>
  <c r="R331" i="3"/>
  <c r="S331" i="3" s="1"/>
  <c r="T331" i="3" s="1"/>
  <c r="U331" i="3" s="1"/>
  <c r="U311" i="3" s="1"/>
  <c r="M175" i="3"/>
  <c r="S296" i="3"/>
  <c r="M296" i="3" s="1"/>
  <c r="U196" i="20"/>
  <c r="S313" i="3"/>
  <c r="T256" i="20"/>
  <c r="T196" i="20"/>
  <c r="M165" i="20"/>
  <c r="R313" i="3"/>
  <c r="M196" i="3"/>
  <c r="M216" i="3" s="1"/>
  <c r="S347" i="3"/>
  <c r="R317" i="3"/>
  <c r="M196" i="15"/>
  <c r="M216" i="15" s="1"/>
  <c r="M256" i="13"/>
  <c r="M256" i="15"/>
  <c r="R256" i="11"/>
  <c r="M256" i="11" s="1"/>
  <c r="Q311" i="3"/>
  <c r="M206" i="19"/>
  <c r="M216" i="19"/>
  <c r="R256" i="20"/>
  <c r="Q196" i="20"/>
  <c r="M175" i="20"/>
  <c r="M206" i="18"/>
  <c r="M216" i="18"/>
  <c r="M73" i="17"/>
  <c r="Q271" i="15"/>
  <c r="V240" i="3"/>
  <c r="W238" i="3"/>
  <c r="M83" i="17"/>
  <c r="P93" i="17"/>
  <c r="Q93" i="17" s="1"/>
  <c r="R93" i="17" s="1"/>
  <c r="M242" i="11"/>
  <c r="M252" i="11" s="1"/>
  <c r="R271" i="15"/>
  <c r="S283" i="13"/>
  <c r="R273" i="13"/>
  <c r="T287" i="15"/>
  <c r="S277" i="15"/>
  <c r="S281" i="11"/>
  <c r="T287" i="13"/>
  <c r="S277" i="13"/>
  <c r="S281" i="13"/>
  <c r="T285" i="13"/>
  <c r="S275" i="13"/>
  <c r="S283" i="11"/>
  <c r="R273" i="11"/>
  <c r="T287" i="11"/>
  <c r="S277" i="11"/>
  <c r="T283" i="15"/>
  <c r="S273" i="15"/>
  <c r="Q196" i="13"/>
  <c r="M196" i="13" s="1"/>
  <c r="M175" i="13"/>
  <c r="Q291" i="13"/>
  <c r="T285" i="15"/>
  <c r="S275" i="15"/>
  <c r="Q291" i="11"/>
  <c r="Q196" i="11"/>
  <c r="M196" i="11" s="1"/>
  <c r="M175" i="11"/>
  <c r="T281" i="15"/>
  <c r="S271" i="15"/>
  <c r="S285" i="11"/>
  <c r="R275" i="11"/>
  <c r="T315" i="3"/>
  <c r="T313" i="3"/>
  <c r="S269" i="3" l="1"/>
  <c r="T269" i="3"/>
  <c r="V270" i="3"/>
  <c r="V269" i="3" s="1"/>
  <c r="V272" i="3"/>
  <c r="T267" i="3"/>
  <c r="T271" i="3"/>
  <c r="V268" i="3"/>
  <c r="V267" i="3" s="1"/>
  <c r="S267" i="3"/>
  <c r="U242" i="3"/>
  <c r="T241" i="3" s="1"/>
  <c r="U239" i="3"/>
  <c r="V237" i="3"/>
  <c r="M240" i="11"/>
  <c r="M250" i="11" s="1"/>
  <c r="W236" i="18"/>
  <c r="X236" i="18"/>
  <c r="Y236" i="18"/>
  <c r="X238" i="3"/>
  <c r="W237" i="3" s="1"/>
  <c r="M238" i="15"/>
  <c r="M248" i="15" s="1"/>
  <c r="M242" i="13"/>
  <c r="M252" i="13" s="1"/>
  <c r="M206" i="15"/>
  <c r="T311" i="3"/>
  <c r="R311" i="3"/>
  <c r="S311" i="3"/>
  <c r="M206" i="3"/>
  <c r="M256" i="20"/>
  <c r="M196" i="20"/>
  <c r="M216" i="20" s="1"/>
  <c r="T347" i="3"/>
  <c r="S317" i="3"/>
  <c r="M226" i="19"/>
  <c r="P236" i="19"/>
  <c r="Q236" i="19" s="1"/>
  <c r="R236" i="19" s="1"/>
  <c r="P236" i="18"/>
  <c r="Q236" i="18" s="1"/>
  <c r="M226" i="18"/>
  <c r="W240" i="3"/>
  <c r="W242" i="3"/>
  <c r="S93" i="17"/>
  <c r="M206" i="13"/>
  <c r="M216" i="13"/>
  <c r="U287" i="13"/>
  <c r="T277" i="13"/>
  <c r="R291" i="11"/>
  <c r="Q271" i="11"/>
  <c r="U281" i="15"/>
  <c r="T271" i="15"/>
  <c r="U287" i="11"/>
  <c r="T277" i="11"/>
  <c r="T285" i="11"/>
  <c r="S275" i="11"/>
  <c r="U285" i="15"/>
  <c r="T275" i="15"/>
  <c r="U285" i="13"/>
  <c r="T275" i="13"/>
  <c r="U287" i="15"/>
  <c r="T277" i="15"/>
  <c r="M206" i="11"/>
  <c r="M216" i="11"/>
  <c r="R291" i="13"/>
  <c r="Q271" i="13"/>
  <c r="U283" i="15"/>
  <c r="T273" i="15"/>
  <c r="T283" i="11"/>
  <c r="S273" i="11"/>
  <c r="T281" i="13"/>
  <c r="T281" i="11"/>
  <c r="T283" i="13"/>
  <c r="S273" i="13"/>
  <c r="V331" i="3"/>
  <c r="W331" i="3" s="1"/>
  <c r="U315" i="3"/>
  <c r="U313" i="3"/>
  <c r="M270" i="3" l="1"/>
  <c r="M280" i="3" s="1"/>
  <c r="U269" i="3"/>
  <c r="M290" i="3" s="1"/>
  <c r="M268" i="3"/>
  <c r="M278" i="3" s="1"/>
  <c r="U267" i="3"/>
  <c r="M288" i="3" s="1"/>
  <c r="M272" i="3"/>
  <c r="M282" i="3" s="1"/>
  <c r="V271" i="3"/>
  <c r="U271" i="3"/>
  <c r="Y238" i="3"/>
  <c r="Y237" i="3" s="1"/>
  <c r="V242" i="3"/>
  <c r="V241" i="3" s="1"/>
  <c r="V239" i="3"/>
  <c r="R236" i="18"/>
  <c r="S236" i="18" s="1"/>
  <c r="T236" i="18" s="1"/>
  <c r="U236" i="18" s="1"/>
  <c r="V236" i="18" s="1"/>
  <c r="X240" i="3"/>
  <c r="P236" i="15"/>
  <c r="Q236" i="15" s="1"/>
  <c r="R236" i="15" s="1"/>
  <c r="S236" i="15" s="1"/>
  <c r="X242" i="3"/>
  <c r="P236" i="3"/>
  <c r="W311" i="3"/>
  <c r="X331" i="3"/>
  <c r="M226" i="15"/>
  <c r="M226" i="3"/>
  <c r="M206" i="20"/>
  <c r="U347" i="3"/>
  <c r="T317" i="3"/>
  <c r="S236" i="19"/>
  <c r="T93" i="17"/>
  <c r="V283" i="15"/>
  <c r="U273" i="15"/>
  <c r="P236" i="11"/>
  <c r="Q236" i="11" s="1"/>
  <c r="R236" i="11" s="1"/>
  <c r="M226" i="11"/>
  <c r="V281" i="15"/>
  <c r="U271" i="15"/>
  <c r="U281" i="11"/>
  <c r="S291" i="13"/>
  <c r="R271" i="13"/>
  <c r="S291" i="11"/>
  <c r="R271" i="11"/>
  <c r="P236" i="13"/>
  <c r="Q236" i="13" s="1"/>
  <c r="R236" i="13" s="1"/>
  <c r="S236" i="13" s="1"/>
  <c r="T236" i="13" s="1"/>
  <c r="U236" i="13" s="1"/>
  <c r="V236" i="13" s="1"/>
  <c r="W236" i="13" s="1"/>
  <c r="M226" i="13"/>
  <c r="U281" i="13"/>
  <c r="U285" i="11"/>
  <c r="T275" i="11"/>
  <c r="V287" i="13"/>
  <c r="U277" i="13"/>
  <c r="U283" i="13"/>
  <c r="T273" i="13"/>
  <c r="V285" i="13"/>
  <c r="U275" i="13"/>
  <c r="U283" i="11"/>
  <c r="T273" i="11"/>
  <c r="V287" i="15"/>
  <c r="U277" i="15"/>
  <c r="V285" i="15"/>
  <c r="U275" i="15"/>
  <c r="V287" i="11"/>
  <c r="U277" i="11"/>
  <c r="V311" i="3"/>
  <c r="W313" i="3"/>
  <c r="V313" i="3"/>
  <c r="W315" i="3"/>
  <c r="V315" i="3"/>
  <c r="M292" i="3" l="1"/>
  <c r="M238" i="3"/>
  <c r="M248" i="3" s="1"/>
  <c r="U241" i="3"/>
  <c r="Y242" i="3"/>
  <c r="X241" i="3" s="1"/>
  <c r="W241" i="3"/>
  <c r="Q236" i="3"/>
  <c r="P235" i="3" s="1"/>
  <c r="Y240" i="3"/>
  <c r="Y239" i="3" s="1"/>
  <c r="W239" i="3"/>
  <c r="X237" i="3"/>
  <c r="M258" i="3" s="1"/>
  <c r="P266" i="3"/>
  <c r="P236" i="20"/>
  <c r="Q236" i="20" s="1"/>
  <c r="R236" i="20" s="1"/>
  <c r="M236" i="18"/>
  <c r="M246" i="18" s="1"/>
  <c r="T236" i="19"/>
  <c r="U236" i="19" s="1"/>
  <c r="V236" i="19" s="1"/>
  <c r="V275" i="15"/>
  <c r="W285" i="15"/>
  <c r="M226" i="20"/>
  <c r="Y331" i="3"/>
  <c r="Y311" i="3" s="1"/>
  <c r="X311" i="3"/>
  <c r="V277" i="15"/>
  <c r="W287" i="15"/>
  <c r="V277" i="13"/>
  <c r="W287" i="13"/>
  <c r="V273" i="15"/>
  <c r="W283" i="15"/>
  <c r="U93" i="17"/>
  <c r="V93" i="17" s="1"/>
  <c r="V277" i="11"/>
  <c r="W287" i="11"/>
  <c r="V275" i="13"/>
  <c r="W285" i="13"/>
  <c r="X236" i="13"/>
  <c r="Y236" i="13" s="1"/>
  <c r="V271" i="15"/>
  <c r="W281" i="15"/>
  <c r="V347" i="3"/>
  <c r="U317" i="3"/>
  <c r="S236" i="11"/>
  <c r="T291" i="11"/>
  <c r="S271" i="11"/>
  <c r="V281" i="11"/>
  <c r="W281" i="11" s="1"/>
  <c r="X281" i="11" s="1"/>
  <c r="V281" i="13"/>
  <c r="W281" i="13" s="1"/>
  <c r="X281" i="13" s="1"/>
  <c r="T291" i="13"/>
  <c r="S271" i="13"/>
  <c r="V285" i="11"/>
  <c r="U275" i="11"/>
  <c r="V283" i="11"/>
  <c r="U273" i="11"/>
  <c r="V283" i="13"/>
  <c r="U273" i="13"/>
  <c r="T236" i="15"/>
  <c r="M315" i="3"/>
  <c r="M313" i="3"/>
  <c r="M240" i="3" l="1"/>
  <c r="M250" i="3" s="1"/>
  <c r="X239" i="3"/>
  <c r="M260" i="3" s="1"/>
  <c r="Q266" i="3"/>
  <c r="R266" i="3" s="1"/>
  <c r="R236" i="3"/>
  <c r="Q235" i="3" s="1"/>
  <c r="M242" i="3"/>
  <c r="Y241" i="3"/>
  <c r="M262" i="3" s="1"/>
  <c r="M311" i="3"/>
  <c r="W236" i="19"/>
  <c r="X287" i="13"/>
  <c r="W277" i="13"/>
  <c r="V275" i="11"/>
  <c r="W285" i="11"/>
  <c r="X285" i="13"/>
  <c r="W275" i="13"/>
  <c r="X287" i="15"/>
  <c r="W277" i="15"/>
  <c r="X285" i="15"/>
  <c r="W275" i="15"/>
  <c r="X287" i="11"/>
  <c r="W277" i="11"/>
  <c r="X283" i="15"/>
  <c r="W273" i="15"/>
  <c r="V273" i="13"/>
  <c r="W283" i="13"/>
  <c r="M236" i="13"/>
  <c r="M246" i="13" s="1"/>
  <c r="M5" i="9" s="1"/>
  <c r="Y281" i="13"/>
  <c r="Y281" i="11"/>
  <c r="X281" i="15"/>
  <c r="W271" i="15"/>
  <c r="V273" i="11"/>
  <c r="W283" i="11"/>
  <c r="W93" i="17"/>
  <c r="X93" i="17" s="1"/>
  <c r="Y93" i="17" s="1"/>
  <c r="S236" i="20"/>
  <c r="T236" i="20" s="1"/>
  <c r="U236" i="20" s="1"/>
  <c r="W347" i="3"/>
  <c r="V317" i="3"/>
  <c r="T236" i="11"/>
  <c r="U291" i="11"/>
  <c r="T271" i="11"/>
  <c r="U291" i="13"/>
  <c r="T271" i="13"/>
  <c r="U236" i="15"/>
  <c r="S266" i="3" l="1"/>
  <c r="R265" i="3" s="1"/>
  <c r="Q265" i="3"/>
  <c r="P265" i="3"/>
  <c r="M252" i="3"/>
  <c r="S236" i="3"/>
  <c r="X236" i="19"/>
  <c r="Y236" i="19" s="1"/>
  <c r="X347" i="3"/>
  <c r="W317" i="3"/>
  <c r="X275" i="15"/>
  <c r="Y285" i="15"/>
  <c r="Y275" i="15" s="1"/>
  <c r="X283" i="13"/>
  <c r="W273" i="13"/>
  <c r="X277" i="15"/>
  <c r="Y287" i="15"/>
  <c r="Y277" i="15" s="1"/>
  <c r="X277" i="13"/>
  <c r="Y287" i="13"/>
  <c r="Y277" i="13" s="1"/>
  <c r="X271" i="15"/>
  <c r="Y281" i="15"/>
  <c r="Y271" i="15" s="1"/>
  <c r="X273" i="15"/>
  <c r="Y283" i="15"/>
  <c r="Y273" i="15" s="1"/>
  <c r="X275" i="13"/>
  <c r="Y285" i="13"/>
  <c r="Y275" i="13" s="1"/>
  <c r="M93" i="17"/>
  <c r="M103" i="17" s="1"/>
  <c r="X285" i="11"/>
  <c r="W275" i="11"/>
  <c r="X283" i="11"/>
  <c r="W273" i="11"/>
  <c r="X277" i="11"/>
  <c r="Y287" i="11"/>
  <c r="Y277" i="11" s="1"/>
  <c r="U236" i="11"/>
  <c r="V236" i="20"/>
  <c r="W236" i="20" s="1"/>
  <c r="W236" i="3"/>
  <c r="V236" i="15"/>
  <c r="W236" i="15" s="1"/>
  <c r="X236" i="15" s="1"/>
  <c r="Y236" i="15" s="1"/>
  <c r="V291" i="13"/>
  <c r="U271" i="13"/>
  <c r="V291" i="11"/>
  <c r="U271" i="11"/>
  <c r="T266" i="3" l="1"/>
  <c r="U266" i="3" s="1"/>
  <c r="V266" i="3"/>
  <c r="V265" i="3" s="1"/>
  <c r="X236" i="3"/>
  <c r="T236" i="3"/>
  <c r="U236" i="3" s="1"/>
  <c r="R235" i="3"/>
  <c r="M275" i="13"/>
  <c r="M277" i="15"/>
  <c r="M277" i="11"/>
  <c r="M236" i="19"/>
  <c r="M246" i="19" s="1"/>
  <c r="M277" i="13"/>
  <c r="M271" i="15"/>
  <c r="M275" i="15"/>
  <c r="M273" i="15"/>
  <c r="V271" i="11"/>
  <c r="W291" i="11"/>
  <c r="V271" i="13"/>
  <c r="W291" i="13"/>
  <c r="X273" i="11"/>
  <c r="Y283" i="11"/>
  <c r="Y273" i="11" s="1"/>
  <c r="Y236" i="3"/>
  <c r="Y347" i="3"/>
  <c r="Y317" i="3" s="1"/>
  <c r="X317" i="3"/>
  <c r="X275" i="11"/>
  <c r="Y285" i="11"/>
  <c r="Y275" i="11" s="1"/>
  <c r="X273" i="13"/>
  <c r="Y283" i="13"/>
  <c r="Y273" i="13" s="1"/>
  <c r="X236" i="20"/>
  <c r="V236" i="11"/>
  <c r="W236" i="11" s="1"/>
  <c r="X236" i="11" s="1"/>
  <c r="Y236" i="11" s="1"/>
  <c r="M236" i="15"/>
  <c r="M246" i="15" s="1"/>
  <c r="M6" i="9" s="1"/>
  <c r="S265" i="3" l="1"/>
  <c r="M286" i="3" s="1"/>
  <c r="T265" i="3"/>
  <c r="M266" i="3"/>
  <c r="M276" i="3" s="1"/>
  <c r="U265" i="3"/>
  <c r="V236" i="3"/>
  <c r="V235" i="3" s="1"/>
  <c r="T235" i="3"/>
  <c r="X235" i="3"/>
  <c r="Y235" i="3"/>
  <c r="S235" i="3"/>
  <c r="W235" i="3"/>
  <c r="M275" i="11"/>
  <c r="M273" i="11"/>
  <c r="M273" i="13"/>
  <c r="M317" i="3"/>
  <c r="Y236" i="20"/>
  <c r="M236" i="20" s="1"/>
  <c r="W271" i="13"/>
  <c r="X291" i="13"/>
  <c r="W271" i="11"/>
  <c r="X291" i="11"/>
  <c r="M236" i="11"/>
  <c r="M246" i="11" s="1"/>
  <c r="M4" i="9" s="1"/>
  <c r="M236" i="3" l="1"/>
  <c r="M246" i="3" s="1"/>
  <c r="U235" i="3"/>
  <c r="M256" i="3" s="1"/>
  <c r="M246" i="20"/>
  <c r="Y291" i="11"/>
  <c r="Y271" i="11" s="1"/>
  <c r="X271" i="11"/>
  <c r="Y291" i="13"/>
  <c r="Y271" i="13" s="1"/>
  <c r="X271" i="13"/>
  <c r="M271" i="11" l="1"/>
  <c r="M271" i="13"/>
</calcChain>
</file>

<file path=xl/sharedStrings.xml><?xml version="1.0" encoding="utf-8"?>
<sst xmlns="http://schemas.openxmlformats.org/spreadsheetml/2006/main" count="2010" uniqueCount="463">
  <si>
    <t>*</t>
  </si>
  <si>
    <t>Ячейки для внесения исходных данных</t>
  </si>
  <si>
    <t>При внесении данных ячейка меняет свой цвет на белый. Если необходимо поменять какие-либо из уже существующих данных, то ориентироваться необходимо на "красные звездочки" и пунктирные границы ячеек.</t>
  </si>
  <si>
    <t>инвестиционный период</t>
  </si>
  <si>
    <t>месяц начала инвестиций</t>
  </si>
  <si>
    <t>месяц окончания инвестиций</t>
  </si>
  <si>
    <t>вып/список</t>
  </si>
  <si>
    <t>коммуникация</t>
  </si>
  <si>
    <t>итого</t>
  </si>
  <si>
    <t>^</t>
  </si>
  <si>
    <t>Ячейки для внесения исходных данных из выпадающего списка</t>
  </si>
  <si>
    <t>Ошибка! Окончание периода раньше его начала</t>
  </si>
  <si>
    <t>KPI</t>
  </si>
  <si>
    <t>длина инвестиционного периода</t>
  </si>
  <si>
    <t>ед.изм.</t>
  </si>
  <si>
    <t>мес</t>
  </si>
  <si>
    <t>№стр</t>
  </si>
  <si>
    <t>№</t>
  </si>
  <si>
    <t>№мес</t>
  </si>
  <si>
    <t>инвестиции до начала проекта</t>
  </si>
  <si>
    <t>право аренды</t>
  </si>
  <si>
    <t>строительство ЛЭП</t>
  </si>
  <si>
    <t>доп/затраты</t>
  </si>
  <si>
    <t>тыс.руб.</t>
  </si>
  <si>
    <t>капитальное строительство объектов</t>
  </si>
  <si>
    <t>объекты кап/строительства</t>
  </si>
  <si>
    <t>АБК</t>
  </si>
  <si>
    <t>беседка большая</t>
  </si>
  <si>
    <t>беседка малая</t>
  </si>
  <si>
    <t>парк веревочный</t>
  </si>
  <si>
    <t>здание проката</t>
  </si>
  <si>
    <t>объекты кап/строительства технические</t>
  </si>
  <si>
    <t xml:space="preserve">объекты кап/строительства для сдачи в аренду </t>
  </si>
  <si>
    <t>дорожки</t>
  </si>
  <si>
    <t>внешнее электроснабжение</t>
  </si>
  <si>
    <t>объем работ</t>
  </si>
  <si>
    <t>кв.м.</t>
  </si>
  <si>
    <t>цена работ за единицу объема</t>
  </si>
  <si>
    <t>руб.</t>
  </si>
  <si>
    <t>к-во лет</t>
  </si>
  <si>
    <t>контроль</t>
  </si>
  <si>
    <t>закупка ТМЦ под оснащение объектов</t>
  </si>
  <si>
    <t>сметная стоимость</t>
  </si>
  <si>
    <t>смета</t>
  </si>
  <si>
    <t>равномерно по периоду</t>
  </si>
  <si>
    <t>цена</t>
  </si>
  <si>
    <t>кол-во</t>
  </si>
  <si>
    <t>наименование номенклатурной позиции</t>
  </si>
  <si>
    <t>Санузел</t>
  </si>
  <si>
    <t>Раковина</t>
  </si>
  <si>
    <t>смеситель для раковины</t>
  </si>
  <si>
    <t>Унитаз подвесной с инсталяцией</t>
  </si>
  <si>
    <t>писсуар</t>
  </si>
  <si>
    <t>Сушка для рук электрическая</t>
  </si>
  <si>
    <t>Держатель для бум полотенец</t>
  </si>
  <si>
    <t>Дозатор для мыльной пены</t>
  </si>
  <si>
    <t>Корзина для мусора в кабинки</t>
  </si>
  <si>
    <t>Корзина для бумажных полотенец у раковины</t>
  </si>
  <si>
    <t>Зеркало</t>
  </si>
  <si>
    <t>диспенсер  для т/б</t>
  </si>
  <si>
    <t>крючки и прочая мелочь</t>
  </si>
  <si>
    <t>Ершик</t>
  </si>
  <si>
    <t>Освежитель воздуха электронный</t>
  </si>
  <si>
    <t>Держатель туалетных подкладок на сиденье</t>
  </si>
  <si>
    <t>Ресепшн</t>
  </si>
  <si>
    <t>компьютер</t>
  </si>
  <si>
    <t>кассовый аппарат</t>
  </si>
  <si>
    <t>ящик для денег</t>
  </si>
  <si>
    <t>диван 2м</t>
  </si>
  <si>
    <t>стул</t>
  </si>
  <si>
    <t>барная стойка</t>
  </si>
  <si>
    <t>стулья барные</t>
  </si>
  <si>
    <t>декорация интерьера</t>
  </si>
  <si>
    <t>ковер на входе</t>
  </si>
  <si>
    <t>Подсобка</t>
  </si>
  <si>
    <t xml:space="preserve">Стол обеденный </t>
  </si>
  <si>
    <t>Чайник</t>
  </si>
  <si>
    <t>Микроволновка</t>
  </si>
  <si>
    <t>Холодильник</t>
  </si>
  <si>
    <t>стул складной</t>
  </si>
  <si>
    <t>Отопление</t>
  </si>
  <si>
    <t>котел Logano S111-2 12</t>
  </si>
  <si>
    <t>Расширительный бак, 50 л; Ру=6 бар, Тmax=120°С Reflex NG50</t>
  </si>
  <si>
    <t>Насос циркуляционный H=4 м; G=1,2 м³/ч STAR RS 25/6</t>
  </si>
  <si>
    <t>Кран шаровой с накидной гайкой Ду 25, Ру=16 бар, Тmax=115°С</t>
  </si>
  <si>
    <t>Кран шаровой с накидной гайкой Ду 20, Ру=16 бар, Тmax=115°С</t>
  </si>
  <si>
    <t>Кран шаровой с накидной гайкой Ду 15, Ру=16 бар, Тmax=115°С</t>
  </si>
  <si>
    <t>Фильтр сетчатый муфтовый Ду 25, Ру=25 бар, Тmax=110°С</t>
  </si>
  <si>
    <t>Обратный клапан осевой Ду 25, Ру=16 бар, Тmax=100°С</t>
  </si>
  <si>
    <t>Предохранительный клапан,  Руст 2,5 бар SVH 1/2"</t>
  </si>
  <si>
    <t>Термоманометр радиальный врезной ТМТБ-3-1-Р-2-(0...120)-(0-1,6)G1/2-2,5</t>
  </si>
  <si>
    <t>Реле "сухого хода" LP-3</t>
  </si>
  <si>
    <t>Кран трехходовой под манометр Ду 15</t>
  </si>
  <si>
    <t>Кран шаровой сливной,  Ру=16 бар, Тmax=115°С Ду 15</t>
  </si>
  <si>
    <t>Отвод 90° из оц. стали 0,5 мм ∅160х90°</t>
  </si>
  <si>
    <t>Труба стальная ВГП ГОСТ 3262-75 ∅21,3х2,8</t>
  </si>
  <si>
    <t>Труба стальная ВГП ГОСТ 3262-75 ∅26,8х2,8</t>
  </si>
  <si>
    <t>Труба стальная ВГП ГОСТ 3262-75 ∅33,5х3,2</t>
  </si>
  <si>
    <t>Труба стальная ВГП ГОСТ 3262-75 ∅57х3,5</t>
  </si>
  <si>
    <t>Хомут сантехнический MP-LHI 20-25 1/2"</t>
  </si>
  <si>
    <t>Хомут сантехнический MP-LHI 25-31 3/4"</t>
  </si>
  <si>
    <t>Хомут сантехнический MP-LHI 31-38 1"</t>
  </si>
  <si>
    <t>Грунтовка на два раза ГФ-021</t>
  </si>
  <si>
    <t>Дымовая труба "сэндвич" утепленная 150/250</t>
  </si>
  <si>
    <t>Тепловой аккумулятор 300 литров</t>
  </si>
  <si>
    <t>радиатор  Calidor Super 350/100</t>
  </si>
  <si>
    <t>руб</t>
  </si>
  <si>
    <t>комплект для подключения радиаторов ДУ15</t>
  </si>
  <si>
    <t>Радиаторный воздухоотводчик (ручной)</t>
  </si>
  <si>
    <t>Вентиль термостатический Ду 15, Ру=16 бар, Тmax=120°С</t>
  </si>
  <si>
    <t>Термостатический элемент RA 2992</t>
  </si>
  <si>
    <t xml:space="preserve">Вентиль отсечной Ду 15, Ру=16 бар, Тmax=120°С
Вентиль отсечной Ду 15, Ру=16 бар, Тmax=120°С
 RLV-П
RLV-П
RLV-П
</t>
  </si>
  <si>
    <t>Труба полипропиленовая армированная PN20 20 PPRC-3</t>
  </si>
  <si>
    <t>Труба полипропиленовая армированная PN20 25 PPRC-3</t>
  </si>
  <si>
    <t>MP-LHI 20-25 1/2" хомут</t>
  </si>
  <si>
    <t>Склады</t>
  </si>
  <si>
    <t>стеллажи</t>
  </si>
  <si>
    <t>Электрика</t>
  </si>
  <si>
    <t>светильник подвесной</t>
  </si>
  <si>
    <t>Светильник квадратный (ресепшн)</t>
  </si>
  <si>
    <t>Щиток распределительный внутри</t>
  </si>
  <si>
    <t>Щиток магистральный</t>
  </si>
  <si>
    <t>Кабель</t>
  </si>
  <si>
    <t>кабель</t>
  </si>
  <si>
    <t>розетки</t>
  </si>
  <si>
    <t>выключатели</t>
  </si>
  <si>
    <t>Вентиляция</t>
  </si>
  <si>
    <t>Система В1</t>
  </si>
  <si>
    <t>Вентилятор канальный L=220 м³/час, Р=80 Па WNK 160/1</t>
  </si>
  <si>
    <t>Шумоглушитель SGK 160/6</t>
  </si>
  <si>
    <t>Обратный клапан КОK 160</t>
  </si>
  <si>
    <t>Диффузор ДПУ-М 100</t>
  </si>
  <si>
    <t>Зонт круглый на выброс ЗК ∅160</t>
  </si>
  <si>
    <t>Воздуховод из оц. стали 0,5 мм ∅125 3м.</t>
  </si>
  <si>
    <t>Воздуховод из оц. стали 0,5 мм ∅160 3м.</t>
  </si>
  <si>
    <t>Переход из оц. стали 0,5 мм ∅125х∅160</t>
  </si>
  <si>
    <t>Отвод 90 град из оц. Стали 0,5 мм ∅160х90</t>
  </si>
  <si>
    <t>Система В2</t>
  </si>
  <si>
    <t>Вентилятор канальный L=400 м³/час, Р=120 Па WNK 200/1</t>
  </si>
  <si>
    <t>Шумоглушитель SGK 200/6</t>
  </si>
  <si>
    <t>Обратный клапан КОK 200</t>
  </si>
  <si>
    <t>Воздуховод из оц. стали 0,5 мм ∅200 3м.</t>
  </si>
  <si>
    <t>Переход из оц. стали 0,5 мм ∅200х∅160</t>
  </si>
  <si>
    <t>Отвод 90 град из оц. Стали 0,5 мм ∅200х90</t>
  </si>
  <si>
    <t>разное (не учел)</t>
  </si>
  <si>
    <t>Дорожки материалы</t>
  </si>
  <si>
    <t>светильник уличный GPL-01 Art3</t>
  </si>
  <si>
    <t>ЛАМПЫ е-27 для GPL-01 Art3</t>
  </si>
  <si>
    <t>кабель уличное освещение 2х1,5 ВВГнг</t>
  </si>
  <si>
    <t>кабель питания беседок</t>
  </si>
  <si>
    <t>щиток на беседки</t>
  </si>
  <si>
    <t>Видеонаблюдение</t>
  </si>
  <si>
    <t>прочие технические</t>
  </si>
  <si>
    <t>прочие для сдачи в аренду</t>
  </si>
  <si>
    <t>стол деревянный 2,5 х 0,8 м</t>
  </si>
  <si>
    <t>лавка длинная 2,5 м</t>
  </si>
  <si>
    <t xml:space="preserve">табурет </t>
  </si>
  <si>
    <t>мангал</t>
  </si>
  <si>
    <t>умывальник</t>
  </si>
  <si>
    <t>мусорное ведро</t>
  </si>
  <si>
    <t>колонки</t>
  </si>
  <si>
    <t>декор</t>
  </si>
  <si>
    <t>Обогреватель Ballu BEC/EZMR-500</t>
  </si>
  <si>
    <t xml:space="preserve">освещение </t>
  </si>
  <si>
    <t>стол деревянный 1,5 х 0,8 м</t>
  </si>
  <si>
    <t>лавка длинная 1,5 м</t>
  </si>
  <si>
    <t>НДС везде включен</t>
  </si>
  <si>
    <t>%-нт предоплаты строительных работ</t>
  </si>
  <si>
    <t>%</t>
  </si>
  <si>
    <t>оплата строительных работ</t>
  </si>
  <si>
    <t>срок амортизации объектов кап/затрат</t>
  </si>
  <si>
    <t>оплата оснащения объектов</t>
  </si>
  <si>
    <t>по факту покупки</t>
  </si>
  <si>
    <t>ввод объектов кап/затрат в эксплуатацию</t>
  </si>
  <si>
    <t>последний мес. периода</t>
  </si>
  <si>
    <t>аванс+равном/доплаты</t>
  </si>
  <si>
    <t>кол-во объектов для сдачи в аренду</t>
  </si>
  <si>
    <t>шт</t>
  </si>
  <si>
    <t>прокатный инвентарь</t>
  </si>
  <si>
    <t>снегоход</t>
  </si>
  <si>
    <t>квадрацикл</t>
  </si>
  <si>
    <t>покупка прокатного инвентаря</t>
  </si>
  <si>
    <t>цена одной шт прокатного инвентаря</t>
  </si>
  <si>
    <t>прочий инвентарь</t>
  </si>
  <si>
    <t>кол-во платного инвентаря</t>
  </si>
  <si>
    <t>оплата прокатного инвентаря</t>
  </si>
  <si>
    <t>срок амортизации прокатного инвентаря</t>
  </si>
  <si>
    <t>операционный период</t>
  </si>
  <si>
    <t>кол-во лет</t>
  </si>
  <si>
    <t>месяц начала операционной деятельности</t>
  </si>
  <si>
    <t>горизонт моделирования</t>
  </si>
  <si>
    <t>№года</t>
  </si>
  <si>
    <t>номер месяца</t>
  </si>
  <si>
    <t>янв</t>
  </si>
  <si>
    <t>фев</t>
  </si>
  <si>
    <t>мар</t>
  </si>
  <si>
    <t>апр</t>
  </si>
  <si>
    <t>май</t>
  </si>
  <si>
    <t>июн</t>
  </si>
  <si>
    <t>июл</t>
  </si>
  <si>
    <t>авг</t>
  </si>
  <si>
    <t>сен</t>
  </si>
  <si>
    <t>окт</t>
  </si>
  <si>
    <t>ноя</t>
  </si>
  <si>
    <t>дек</t>
  </si>
  <si>
    <t>наполняемость арендаторами</t>
  </si>
  <si>
    <t>стоимость аренды в сутки</t>
  </si>
  <si>
    <t>средний арендный чек</t>
  </si>
  <si>
    <t>одинаковая наполняемость</t>
  </si>
  <si>
    <t>количество арендных сделок</t>
  </si>
  <si>
    <t>доход от сдачи в аренду</t>
  </si>
  <si>
    <t>максимальное кол-во человек на объект</t>
  </si>
  <si>
    <t>чел</t>
  </si>
  <si>
    <t>средняя наполняемость одного объекта</t>
  </si>
  <si>
    <t>Ошибка! Кол-во человек больше максимального</t>
  </si>
  <si>
    <t>траффик арендаторов</t>
  </si>
  <si>
    <t>средний чек одной услуги</t>
  </si>
  <si>
    <t>доход от продажи услуг</t>
  </si>
  <si>
    <t>%-нт прироста "безарендного" траффика</t>
  </si>
  <si>
    <t>%-нт маркетинговых расходов от дохода</t>
  </si>
  <si>
    <t>маркетинговые расходы (начисл/оплаты)</t>
  </si>
  <si>
    <t>аренда земли в год</t>
  </si>
  <si>
    <t>аренда земли - начисление</t>
  </si>
  <si>
    <t>аренда земли - оплата</t>
  </si>
  <si>
    <t>расход э/э в сутки - ЛЕТО</t>
  </si>
  <si>
    <t>кВт</t>
  </si>
  <si>
    <t>стомость э/э за 1кВт</t>
  </si>
  <si>
    <t>коммунальные расходы (э/э) в сутки - ЛЕТО</t>
  </si>
  <si>
    <t>сезонный коэффициент по коммуналке</t>
  </si>
  <si>
    <t>коммунальные расходы - начисление</t>
  </si>
  <si>
    <t>коммунальные расходы - оплата</t>
  </si>
  <si>
    <t>количество персонала</t>
  </si>
  <si>
    <t>средний оклад одного сотрудника</t>
  </si>
  <si>
    <t>ФОТ в месяц</t>
  </si>
  <si>
    <t>ФОТ - начисления/оплаты</t>
  </si>
  <si>
    <t>ставка отчислений в соцфонды+страхНС</t>
  </si>
  <si>
    <t>начисления в соцфонды</t>
  </si>
  <si>
    <t>оплаты в соцфонды</t>
  </si>
  <si>
    <t>Заложен сдвиг на один месяц!</t>
  </si>
  <si>
    <t>доля общехоз. расходов в доходах</t>
  </si>
  <si>
    <t>доля непредв. расходов в доходах</t>
  </si>
  <si>
    <t>непредв. расходы - начисление/оплата</t>
  </si>
  <si>
    <t>общехоз. расходы - начисление/оплата</t>
  </si>
  <si>
    <t>ОПЕРАЦИОННЫЕ РАСХОДЫ</t>
  </si>
  <si>
    <t>НАЛОГИ, СТАВКИ и т.п.</t>
  </si>
  <si>
    <t>ставка НДС</t>
  </si>
  <si>
    <t>ставка налога на прибыль (ОСНО)</t>
  </si>
  <si>
    <t>ставка налога УСН-доход</t>
  </si>
  <si>
    <t>ставка налога УСН-доход-расход</t>
  </si>
  <si>
    <t>ставка налога УСН-ИП-доход</t>
  </si>
  <si>
    <t>неснижаемая доля налога УСН-доход</t>
  </si>
  <si>
    <t>минимум налога УСН-доход-расход</t>
  </si>
  <si>
    <t>ставка налога на имущество</t>
  </si>
  <si>
    <t>ставка дисконтирования</t>
  </si>
  <si>
    <t>Без НДС</t>
  </si>
  <si>
    <t>системы налогообложения</t>
  </si>
  <si>
    <t>ОСНО</t>
  </si>
  <si>
    <t>УСН(6%)</t>
  </si>
  <si>
    <t>УСН(15%)</t>
  </si>
  <si>
    <t>УСН(6%)-ИП</t>
  </si>
  <si>
    <t>ВЫРУЧКА</t>
  </si>
  <si>
    <t>маркетинговые расходы</t>
  </si>
  <si>
    <t>расходы на аренду земли</t>
  </si>
  <si>
    <t>коммунальные расходы</t>
  </si>
  <si>
    <t>начисление ФОТ</t>
  </si>
  <si>
    <t>начисления в соцфонды и НС</t>
  </si>
  <si>
    <t>общехозяйственные расходы</t>
  </si>
  <si>
    <t>непредвиденные расходы</t>
  </si>
  <si>
    <t>расходный НДС</t>
  </si>
  <si>
    <t>амортизация кап/затрат</t>
  </si>
  <si>
    <t>амортизация прокатного инвентаря</t>
  </si>
  <si>
    <t>налог на прибыль</t>
  </si>
  <si>
    <t>налог УСН</t>
  </si>
  <si>
    <t>прибыль</t>
  </si>
  <si>
    <t>PL - отчет о прибылях и убытках</t>
  </si>
  <si>
    <t>CF - отчет о движении денежных средств</t>
  </si>
  <si>
    <t>приток денежных средств</t>
  </si>
  <si>
    <t>отток денежных средств</t>
  </si>
  <si>
    <t>BS - Баланс</t>
  </si>
  <si>
    <t>ВНЕОБОРОТНЫЕ АКТИВЫ</t>
  </si>
  <si>
    <t>ДЕНЕЖНЫЕ СРЕДСТВА</t>
  </si>
  <si>
    <t>СОБСТВЕННЫЙ КАПИТАЛ</t>
  </si>
  <si>
    <t>КРЕДИТОРСКАЯ ЗАДОЛЖЕННОСТЬ</t>
  </si>
  <si>
    <t>Возмещение НДС по кап/затратам</t>
  </si>
  <si>
    <t>БАЛАНС</t>
  </si>
  <si>
    <t>фильтр для выбора системы налогообложения!</t>
  </si>
  <si>
    <t>NPV - анализ</t>
  </si>
  <si>
    <t>Инвестиционные вложения</t>
  </si>
  <si>
    <t>Коэффициент дисконтиования</t>
  </si>
  <si>
    <t>PI</t>
  </si>
  <si>
    <t>разы</t>
  </si>
  <si>
    <t>ROI</t>
  </si>
  <si>
    <t>лет</t>
  </si>
  <si>
    <t>сценарий-1</t>
  </si>
  <si>
    <t>сценарий-2</t>
  </si>
  <si>
    <t>сценарий-3</t>
  </si>
  <si>
    <t>инвест показатели</t>
  </si>
  <si>
    <t>NPV(CF)</t>
  </si>
  <si>
    <t>NPV(CF)-Inv</t>
  </si>
  <si>
    <t>АНАЛИЗ</t>
  </si>
  <si>
    <t>выбор итогового сценария</t>
  </si>
  <si>
    <t>@</t>
  </si>
  <si>
    <t>Со сценарным анализом</t>
  </si>
  <si>
    <t>Капитальные затраты</t>
  </si>
  <si>
    <t>Сметы по кап/затратам на ТМЦ</t>
  </si>
  <si>
    <t>Операционные данные</t>
  </si>
  <si>
    <t>Система отчетности</t>
  </si>
  <si>
    <t>Ключевые показатели финмодели</t>
  </si>
  <si>
    <t>Структура модели - списки</t>
  </si>
  <si>
    <t>выбран</t>
  </si>
  <si>
    <t>вкладки</t>
  </si>
  <si>
    <t>ячейки</t>
  </si>
  <si>
    <t>описание</t>
  </si>
  <si>
    <t>капитал</t>
  </si>
  <si>
    <t>Внесение данных об инвестициях и кап/затратах</t>
  </si>
  <si>
    <t>сметы</t>
  </si>
  <si>
    <t>- детализация для каждого объекта</t>
  </si>
  <si>
    <t>операции</t>
  </si>
  <si>
    <t>отчеты</t>
  </si>
  <si>
    <t>Здесь формируются все основные отчеты финансовой модели</t>
  </si>
  <si>
    <t>- формирование отчетов PL, CF, NPV, BS</t>
  </si>
  <si>
    <t>- отчеты детализируются для каждой из четырех систем налогообложения: ОСНО,УСН-дох,УСН-дох/расх, УСН-ИП</t>
  </si>
  <si>
    <t>B8</t>
  </si>
  <si>
    <t>- в ячейке B8 можно использовать фильтр для выбора одной из систем налогообложения, тогда на листе будут отображаться финансовые отчеты, соответствующие только выбранной системе налогообложения.</t>
  </si>
  <si>
    <r>
      <t xml:space="preserve">- </t>
    </r>
    <r>
      <rPr>
        <b/>
        <sz val="9"/>
        <color rgb="FFFF0000"/>
        <rFont val="Calibri"/>
        <family val="2"/>
        <charset val="204"/>
        <scheme val="minor"/>
      </rPr>
      <t>Внимание!</t>
    </r>
    <r>
      <rPr>
        <b/>
        <sz val="9"/>
        <color theme="1"/>
        <rFont val="Calibri"/>
        <family val="2"/>
        <charset val="204"/>
        <scheme val="minor"/>
      </rPr>
      <t xml:space="preserve"> </t>
    </r>
    <r>
      <rPr>
        <sz val="9"/>
        <color theme="1"/>
        <rFont val="Calibri"/>
        <family val="2"/>
        <scheme val="minor"/>
      </rPr>
      <t xml:space="preserve">На данной вкладке отчеты формируются </t>
    </r>
    <r>
      <rPr>
        <sz val="9"/>
        <color rgb="FFFF0000"/>
        <rFont val="Calibri"/>
        <family val="2"/>
        <charset val="204"/>
        <scheme val="minor"/>
      </rPr>
      <t>только</t>
    </r>
    <r>
      <rPr>
        <sz val="9"/>
        <color theme="1"/>
        <rFont val="Calibri"/>
        <family val="2"/>
        <scheme val="minor"/>
      </rPr>
      <t xml:space="preserve"> для </t>
    </r>
    <r>
      <rPr>
        <b/>
        <sz val="9"/>
        <color rgb="FFFF0000"/>
        <rFont val="Calibri"/>
        <family val="2"/>
        <charset val="204"/>
        <scheme val="minor"/>
      </rPr>
      <t>сценария</t>
    </r>
    <r>
      <rPr>
        <b/>
        <sz val="9"/>
        <color theme="1"/>
        <rFont val="Calibri"/>
        <family val="2"/>
        <charset val="204"/>
        <scheme val="minor"/>
      </rPr>
      <t xml:space="preserve">, </t>
    </r>
    <r>
      <rPr>
        <sz val="9"/>
        <color theme="1"/>
        <rFont val="Calibri"/>
        <family val="2"/>
        <scheme val="minor"/>
      </rPr>
      <t xml:space="preserve">выбранного из выпадающего списка </t>
    </r>
    <r>
      <rPr>
        <b/>
        <sz val="9"/>
        <color rgb="FFFF0000"/>
        <rFont val="Calibri"/>
        <family val="2"/>
        <charset val="204"/>
        <scheme val="minor"/>
      </rPr>
      <t>ячейки</t>
    </r>
    <r>
      <rPr>
        <sz val="9"/>
        <color theme="1"/>
        <rFont val="Calibri"/>
        <family val="2"/>
        <scheme val="minor"/>
      </rPr>
      <t xml:space="preserve"> </t>
    </r>
    <r>
      <rPr>
        <sz val="9"/>
        <color rgb="FFFF0000"/>
        <rFont val="Calibri"/>
        <family val="2"/>
        <charset val="204"/>
        <scheme val="minor"/>
      </rPr>
      <t>"</t>
    </r>
    <r>
      <rPr>
        <b/>
        <sz val="9"/>
        <color rgb="FFFF0000"/>
        <rFont val="Calibri"/>
        <family val="2"/>
        <charset val="204"/>
        <scheme val="minor"/>
      </rPr>
      <t xml:space="preserve">J7" вкладки "сценарии" </t>
    </r>
    <r>
      <rPr>
        <sz val="9"/>
        <rFont val="Calibri"/>
        <family val="2"/>
        <charset val="204"/>
        <scheme val="minor"/>
      </rPr>
      <t>после анализа и выбора итогового сценария.</t>
    </r>
  </si>
  <si>
    <t>сценарии</t>
  </si>
  <si>
    <t>структура</t>
  </si>
  <si>
    <t>раздел</t>
  </si>
  <si>
    <t>вкладка</t>
  </si>
  <si>
    <t>МЕТОДОЛОГИЯ</t>
  </si>
  <si>
    <t>методология</t>
  </si>
  <si>
    <t>Сценарный анализ и выбор итогового сценария</t>
  </si>
  <si>
    <t>Система отчетности модели для выбранного сценария</t>
  </si>
  <si>
    <t>Вспомогательные вкладки для сценарных расчетов</t>
  </si>
  <si>
    <t>опер1</t>
  </si>
  <si>
    <t>отч1</t>
  </si>
  <si>
    <t>опер2</t>
  </si>
  <si>
    <t>отч2</t>
  </si>
  <si>
    <t>опер3</t>
  </si>
  <si>
    <t>отч3</t>
  </si>
  <si>
    <t>ОГЛАВЛЕНИЕ</t>
  </si>
  <si>
    <t>оглавление</t>
  </si>
  <si>
    <t>финансовый поток (CF)</t>
  </si>
  <si>
    <t>Возврат базовых инвестиционных затрат</t>
  </si>
  <si>
    <t>CF - финпоток по операционной деятельности</t>
  </si>
  <si>
    <t>Расчет покрывающей аренд/ставки с уч.дисконтир.</t>
  </si>
  <si>
    <t>IRR</t>
  </si>
  <si>
    <t>финпоток по арендной плате</t>
  </si>
  <si>
    <t>NPV финпотока по арендной плате</t>
  </si>
  <si>
    <t>NPV финпотока по арендной плате - Inv</t>
  </si>
  <si>
    <t>д/б равен 0</t>
  </si>
  <si>
    <t>Площадь земли под беседки</t>
  </si>
  <si>
    <t>Га</t>
  </si>
  <si>
    <t>Площадь земли под веревочный парк</t>
  </si>
  <si>
    <t>арендная ставка по земле под беседки</t>
  </si>
  <si>
    <t>арендная ставка по земле под в/парк</t>
  </si>
  <si>
    <t>АРЕНДА БЕСЕДОК</t>
  </si>
  <si>
    <t>ВЕРЕВОЧ / ПАРК</t>
  </si>
  <si>
    <t>средний чек 1 услуги проката</t>
  </si>
  <si>
    <t>доход от продажи услуг веревочного парка</t>
  </si>
  <si>
    <t>доход от продажи услуг проката</t>
  </si>
  <si>
    <t>УСЛУГИ ПРОКАТА</t>
  </si>
  <si>
    <t>аренда</t>
  </si>
  <si>
    <t>Отчетность (PL,CF) для выбранного сценария для БЕСЕДОК</t>
  </si>
  <si>
    <t>отч_беседки</t>
  </si>
  <si>
    <t>Отчетность (PL,CF) для выбранного сценария для В/ПАРКА</t>
  </si>
  <si>
    <t>отч_вер_парк</t>
  </si>
  <si>
    <t>Отчетность (PL,CF) для выбранного сценария для ПРОКАТА</t>
  </si>
  <si>
    <t>отч_прокат</t>
  </si>
  <si>
    <t>- в ячейках J20-J23 задаются объемы инвестиций, которые покрываются расчетной арендной ставкой из ячейки M39 вкладки "аренда" с учетом покрытия за проектный период, в ноль (см. ячейки M63-M69 вкадки "аренда"), с учетом заданного дисконта в строке 445 вкладки "операции".</t>
  </si>
  <si>
    <r>
      <t>- в строках 26-75 задаются условия по кап/затратам на строительство и их оплатам в разрезе объектов строительства (</t>
    </r>
    <r>
      <rPr>
        <sz val="9"/>
        <color rgb="FFFF0000"/>
        <rFont val="Calibri"/>
        <family val="2"/>
        <charset val="204"/>
        <scheme val="minor"/>
      </rPr>
      <t>за исключением веревочного парка, по которому все кап/затраты задаются в блоке строк 78-99</t>
    </r>
    <r>
      <rPr>
        <sz val="9"/>
        <color theme="1"/>
        <rFont val="Calibri"/>
        <family val="2"/>
        <scheme val="minor"/>
      </rPr>
      <t>).</t>
    </r>
  </si>
  <si>
    <r>
      <t xml:space="preserve">- задание начала и окончания инвестиционного (предпроектного) периода - соответственно ячейки </t>
    </r>
    <r>
      <rPr>
        <b/>
        <sz val="9"/>
        <color theme="1"/>
        <rFont val="Calibri"/>
        <family val="2"/>
        <charset val="204"/>
        <scheme val="minor"/>
      </rPr>
      <t>J13</t>
    </r>
    <r>
      <rPr>
        <sz val="9"/>
        <color theme="1"/>
        <rFont val="Calibri"/>
        <family val="2"/>
        <scheme val="minor"/>
      </rPr>
      <t xml:space="preserve"> и </t>
    </r>
    <r>
      <rPr>
        <b/>
        <sz val="9"/>
        <color theme="1"/>
        <rFont val="Calibri"/>
        <family val="2"/>
        <charset val="204"/>
        <scheme val="minor"/>
      </rPr>
      <t>J15</t>
    </r>
    <r>
      <rPr>
        <sz val="9"/>
        <color theme="1"/>
        <rFont val="Calibri"/>
        <family val="2"/>
        <scheme val="minor"/>
      </rPr>
      <t xml:space="preserve"> с выпадающими списками месяцев</t>
    </r>
  </si>
  <si>
    <t>средний чек услуг веревочного парка</t>
  </si>
  <si>
    <t>количество продаж услуг веревочного парка</t>
  </si>
  <si>
    <t>распределение по месяцам продаж услуг в/парка</t>
  </si>
  <si>
    <t>доля траффика в/парка покупающая услуги проката</t>
  </si>
  <si>
    <t>конверсия в покупку одной услуги проката</t>
  </si>
  <si>
    <t>ФОТ</t>
  </si>
  <si>
    <t>количество персонала - веревочный парк</t>
  </si>
  <si>
    <t>средний оклад 1 сотрудника в/парка</t>
  </si>
  <si>
    <t>ФОТ веревочного парка в месяц</t>
  </si>
  <si>
    <t>кол-во инструкторов в/парка</t>
  </si>
  <si>
    <t>оклад одного инструктора</t>
  </si>
  <si>
    <t>директор в/парка</t>
  </si>
  <si>
    <t>оклад директора в/парка</t>
  </si>
  <si>
    <t>ФОТ веревочного парка</t>
  </si>
  <si>
    <t>администратор</t>
  </si>
  <si>
    <t>охранник/дворник/завхоз</t>
  </si>
  <si>
    <t>бухгалтер</t>
  </si>
  <si>
    <t>директор</t>
  </si>
  <si>
    <t>прочие сотрудники</t>
  </si>
  <si>
    <t>оклад - администратор</t>
  </si>
  <si>
    <t>оклад - охранник/дворник/завхоз</t>
  </si>
  <si>
    <t>оклад - бухгалтер</t>
  </si>
  <si>
    <t>оклад - директор</t>
  </si>
  <si>
    <t>оклад - прочие сотрудники</t>
  </si>
  <si>
    <t>Задание ФОТ в/парка и беседок</t>
  </si>
  <si>
    <t>ФОТ беседок</t>
  </si>
  <si>
    <t>охранник/дворник/завхоз в/парк</t>
  </si>
  <si>
    <t>оклад - охранник/дворник/завхоз в/парк</t>
  </si>
  <si>
    <t>с челов</t>
  </si>
  <si>
    <t>График возврата инвестиций (приведенный)</t>
  </si>
  <si>
    <t>График возврата инвестиций (неприведенный)</t>
  </si>
  <si>
    <t>Это приведенный средневзвешенный срок - т.е.произведение годов на приведенные суммы возврата и деленные на сумму инвестиций</t>
  </si>
  <si>
    <t>приведенный средневзвешенный срок окуп-ти</t>
  </si>
  <si>
    <t>неприведенный средневзвешенный срок окуп-ти</t>
  </si>
  <si>
    <t>приведенный классический срок окуп-ти</t>
  </si>
  <si>
    <t>неприведенный классический срок окуп-ти</t>
  </si>
  <si>
    <t>Это приведенный классический срок - т.е. кол-во лет за которое происходит возврат инвестиций</t>
  </si>
  <si>
    <t>Это НЕприведенный средневзвешенный срок - т.е.произведение годов на приведенные суммы возврата и деленные на сумму инвестиций</t>
  </si>
  <si>
    <t>Это НЕприведенный классический срок - т.е. кол-во лет за которое происходит возврат инвестиций</t>
  </si>
  <si>
    <t>Инвестмодель базы отдыха - Беседки &amp; Веревочный парк</t>
  </si>
  <si>
    <t>+7(985)201-6607</t>
  </si>
  <si>
    <t>- в блоке строк 28-43 задаются объемы работ, в блоке строк 46-61 задаются цены работ на единицу объема и наконец в блоке строк 64-69 задаются колиичества объектов строительства. Перемножая объемы на цены и на количества получаем стоимость всех капитальных СМР, которые "помещаются" в ячейку M26, после чего в строке 26 производится равномерное распределение этой суммы по всем месяцам предпроектного/инвестиционного периода.</t>
  </si>
  <si>
    <t>- в ячейке J72 задается %-нт предоплаты за СМР, после чего в строке 75 оплаты СМР распределяются по правилу: в начале строительства (первый месяц) производится предоплата за все СМР через %-нт из J72, после чего доплаты распределяются по месяцам в размере объемов СМР каждого месяца умноженные на 100% минус значение ячейки J72.</t>
  </si>
  <si>
    <t>- в блоке строк 78-99 аналогично СМР рассчитываются объемы закупки и оплаты материалов на основании смет, данные по которым заносятся в лист "сметы". Аванс по материалам по умолчанию принят равным нулю, соответственно закупки (строка 78) и оплаты (строка 99) тождественны друг другу.</t>
  </si>
  <si>
    <t>- в строке 102 рассчитываем совокупную стоимость объектов капзатрат и размещаем их ввод в эксплуатацию (постановку на баланс) на последний месяц инвестиционного периода.</t>
  </si>
  <si>
    <t>- в ячейку J105 заносим количество лет амортизации объектов капзатрат</t>
  </si>
  <si>
    <t>- в строках 109-130 по аналогии вносим данные об объектах покупки прокатного инвентаря</t>
  </si>
  <si>
    <t>Заполнение смет на закупку материалов и оборудования</t>
  </si>
  <si>
    <t>- задание номенклатуры оснащения объектов кап/затрат</t>
  </si>
  <si>
    <t>- задание объемов закупки и цен</t>
  </si>
  <si>
    <t>Рассчитывается арендная ставка покрывающая базовые инвестиции</t>
  </si>
  <si>
    <t xml:space="preserve">- в строке M39 рассчитывается арендная ставка, которая "отправляется" в ячейку J247 вкладки "операции", где используется в качестве ежегодного объема расходов проекта на аренду земли. </t>
  </si>
  <si>
    <t>- в блок строк 17-23 поступают значения из строки 265 вкладки "операции" с платежами за аренду земли, которые принимаются как финансовый поток покрытия базовых инвестиций из ячейки M32. В строке 50 рассчитываются коэффициенты дисконтирования финансового потока, исходя из заданной в строке 445 вкладки "операции" ставки дисконтирования. После чего в блоке строк 53-59 производится расчет приведенного финпотока и в ячейках M63-M69 производится сравнение приведенного потока с базовыми инвестициями - если расчеты верны, то значения в этих ячейках д/б равными нулю (NPV=0).</t>
  </si>
  <si>
    <t>- в ячейках M41 и M43 задаются площади земли в гектарах, отданные под беседки и веревочный парк соответственно, после чего в ячейках M45 и M47 рассчитываются соответственно арендные ставки покрытия для беседок и веревочного парка.</t>
  </si>
  <si>
    <t>Здесь можно сравнить различные сценарии</t>
  </si>
  <si>
    <t>- в модели предусмотрена возможность производить сценарный анализ по трем вариантам, после чего выбирать ключевой сценарий.</t>
  </si>
  <si>
    <t>- входящими данными для каждого сценария являются четыре показателя наполняемости/посещаемости и сезонности базы отдыха:</t>
  </si>
  <si>
    <r>
      <t xml:space="preserve">- для получения итогов сценарного анализа необходимо в ячейках </t>
    </r>
    <r>
      <rPr>
        <b/>
        <sz val="9"/>
        <color theme="1"/>
        <rFont val="Calibri"/>
        <family val="2"/>
        <charset val="204"/>
        <scheme val="minor"/>
      </rPr>
      <t>J2</t>
    </r>
    <r>
      <rPr>
        <sz val="9"/>
        <color theme="1"/>
        <rFont val="Calibri"/>
        <family val="2"/>
        <scheme val="minor"/>
      </rPr>
      <t xml:space="preserve"> и </t>
    </r>
    <r>
      <rPr>
        <b/>
        <sz val="9"/>
        <color theme="1"/>
        <rFont val="Calibri"/>
        <family val="2"/>
        <charset val="204"/>
        <scheme val="minor"/>
      </rPr>
      <t>J3</t>
    </r>
    <r>
      <rPr>
        <sz val="9"/>
        <color theme="1"/>
        <rFont val="Calibri"/>
        <family val="2"/>
        <scheme val="minor"/>
      </rPr>
      <t xml:space="preserve">  выбрать соответственно систему налогообложения и инвестиционный показатель эффективности из выпадающих списков, после чего в ячейках </t>
    </r>
    <r>
      <rPr>
        <b/>
        <sz val="9"/>
        <color theme="1"/>
        <rFont val="Calibri"/>
        <family val="2"/>
        <charset val="204"/>
        <scheme val="minor"/>
      </rPr>
      <t>M4</t>
    </r>
    <r>
      <rPr>
        <sz val="9"/>
        <color theme="1"/>
        <rFont val="Calibri"/>
        <family val="2"/>
        <scheme val="minor"/>
      </rPr>
      <t>,</t>
    </r>
    <r>
      <rPr>
        <b/>
        <sz val="9"/>
        <color theme="1"/>
        <rFont val="Calibri"/>
        <family val="2"/>
        <charset val="204"/>
        <scheme val="minor"/>
      </rPr>
      <t>M5</t>
    </r>
    <r>
      <rPr>
        <sz val="9"/>
        <color theme="1"/>
        <rFont val="Calibri"/>
        <family val="2"/>
        <scheme val="minor"/>
      </rPr>
      <t xml:space="preserve"> и </t>
    </r>
    <r>
      <rPr>
        <b/>
        <sz val="9"/>
        <color theme="1"/>
        <rFont val="Calibri"/>
        <family val="2"/>
        <charset val="204"/>
        <scheme val="minor"/>
      </rPr>
      <t>M6</t>
    </r>
    <r>
      <rPr>
        <sz val="9"/>
        <color theme="1"/>
        <rFont val="Calibri"/>
        <family val="2"/>
        <scheme val="minor"/>
      </rPr>
      <t xml:space="preserve"> появятся значения выбранного показателя эфективности для каждого из сценариев и выбранной системы налогообложения.</t>
    </r>
  </si>
  <si>
    <r>
      <t xml:space="preserve">- после анализа сценариев пользователь может выбрать из выпадающего списка ячейки </t>
    </r>
    <r>
      <rPr>
        <b/>
        <sz val="9"/>
        <color theme="1"/>
        <rFont val="Calibri"/>
        <family val="2"/>
        <charset val="204"/>
        <scheme val="minor"/>
      </rPr>
      <t>J7</t>
    </r>
    <r>
      <rPr>
        <sz val="9"/>
        <color theme="1"/>
        <rFont val="Calibri"/>
        <family val="2"/>
        <scheme val="minor"/>
      </rPr>
      <t xml:space="preserve"> итоговый сценарий, в соответствии с которым во вкладках </t>
    </r>
    <r>
      <rPr>
        <b/>
        <sz val="9"/>
        <color theme="1"/>
        <rFont val="Calibri"/>
        <family val="2"/>
        <charset val="204"/>
        <scheme val="minor"/>
      </rPr>
      <t>операции</t>
    </r>
    <r>
      <rPr>
        <sz val="9"/>
        <color theme="1"/>
        <rFont val="Calibri"/>
        <family val="2"/>
        <scheme val="minor"/>
      </rPr>
      <t xml:space="preserve"> и </t>
    </r>
    <r>
      <rPr>
        <b/>
        <sz val="9"/>
        <color theme="1"/>
        <rFont val="Calibri"/>
        <family val="2"/>
        <charset val="204"/>
        <scheme val="minor"/>
      </rPr>
      <t>отчеты</t>
    </r>
    <r>
      <rPr>
        <sz val="9"/>
        <color theme="1"/>
        <rFont val="Calibri"/>
        <family val="2"/>
        <scheme val="minor"/>
      </rPr>
      <t xml:space="preserve"> будут произведены расчеты финмодели.</t>
    </r>
  </si>
  <si>
    <t>- под наполняемостью понимается доля арендуемых беседок - эти доли, например для сценария 1 задаются в блоке строк 12-24 для каждого месяца (с целью учета сезонного фактора) каждого года проекта. После чего для получения дохода от сдачи беседок в аренду достаточно умножить %-нт наполняемости на количество сдаваемых беседок и на стоимость аренды одной беседки.</t>
  </si>
  <si>
    <t>- наполняемость одной беседки людьми необходма для расчета траффика под покупку услуг базы отдыха - например, для сценария 1 наполняемость беседок людьми (потенциальными потребителями услуг) задается в ячейках J29-J31.</t>
  </si>
  <si>
    <t>- под "%-нтом" прироста безарендного трафиика" понимается доля от людей снимающих беседки, равная количеству посетителей базы отдыха без съема беседок, и которые являются также потенциальными потребителями услуг базы отдыха, т.е. также формируют траффик на потребление услуг. Для сценария 1 это ячейка J35.</t>
  </si>
  <si>
    <t>- под конверсией в приобретение одной услуги понимается процент людей из траффика, приобретающих услугу на базе отдыха, задаются конверсии с учетом сезонного траффика, например, для сценария 1 в блоке строк 40-52.</t>
  </si>
  <si>
    <t>- входящие данные для сценария 1 задаются в блоке строк 12-52 и поставляются во вкладку "опер1", где с учетом этих данных,  производятся необходимые расчеты для формирования отчетности в ячейке "отч1" для сценария1, откуда в свою очередь забираются значения по ключевым показателям эффективности в ячейку M4. Для сценариев 2 и 3 аналогично.</t>
  </si>
  <si>
    <t>Внесение данных об операционной деятельности</t>
  </si>
  <si>
    <t>- задание горизонта моделирования в количестве лет - ячейка J17 - выпадающийи список - максимальное количество лет 11.</t>
  </si>
  <si>
    <t>- в блок строк 19-31 поставляются значения показателей наполняемости из вкладки "сценарии" для сценария выбранного в ячейке J7 вкладки "сценарии".</t>
  </si>
  <si>
    <t>- в ячейках J36-J38 задаются арендные ставки съема 1 беседки в день (без учета количества людей)</t>
  </si>
  <si>
    <t>- в строках 58-70 рассчитываются доходы от сдачи беседок в аренду путем умножения рассчитанного в строках 43-55 количества операций сдачи в аренду беседок с учетом наполняемости и количества дней в месяцах на арендные ставки из ячеек J36-J38.</t>
  </si>
  <si>
    <t>- в ячейках J75-J77 задаются максимальные количества человек для каждого типа беседок. В ячейки J82-J84 поставляются значения наполняемости беседок людьми из вкладки "сценарии" для выбранного сценария, после чего в ячейках K82-K84 производится сравнение сценарного количества с максимальным и в случае если сценарное количество превосходит максимальное для беседки, то высвечивается сообщение об ошибке красным шрифтом.</t>
  </si>
  <si>
    <t>В строке 87 производится расчет средней наполняемости для одной беседки и соответственно в блоке строк 89-101 рассчитывается среднеежемесячный траффик арендаторов беседок, как потенциальных потребителей услуг проката базы отдыха</t>
  </si>
  <si>
    <t>В ячейку J104 поставляется из вкладки "сценарии" средний прирост трафика услуг проката за счет людей посещающих базу отдыха без аренды беседок согласно выбранного сценария, на основе чего далее рассчитывается итоговый доход базы отдыха от продажи услуг проката в строках 212-224 с учетом введенных данных о среднем чеке по услугам проката (ячейки M123-M134).</t>
  </si>
  <si>
    <t>В ячейках M108-M119 задаются средние чеки услуг веревочного парка; после чего в строке 136 задается количество годовых продаж услуг веревочного парка, а в ячейках M138-M149 задается процентное распределение этих количеств продаж. Наконец, перемножая количества покупок услуг на средние чеки веревочного парка в блоке строк 212-224 получается доходная часть веревочного парка.</t>
  </si>
  <si>
    <t>В блоках строк 197-209 и 212-224 рассчитываются доходы от продажи услуг веревочного парка и проката соответственно.</t>
  </si>
  <si>
    <t>Далее ниже 227-ой строки задаются операционные расходы, где воспринимать необходимо все показатели по принципу "как пишется так и понимается"</t>
  </si>
  <si>
    <t>Здесь вкладка "отчеты" детализируется по направлению "беседки"</t>
  </si>
  <si>
    <t>- формирование отчетов PL, CF, NPV (без баланса BS)</t>
  </si>
  <si>
    <t>- аллокация всех операционных расходов за исключением аренды земли производится по объемам выручки</t>
  </si>
  <si>
    <t>- аллокация расходов на аренду земли производится по количеству гектаров</t>
  </si>
  <si>
    <t>- аллокация амортизационных начислений производится по капитальным затратам</t>
  </si>
  <si>
    <t>Здесь вкладка "отчеты" детализируется по направлению "в/парк"</t>
  </si>
  <si>
    <t>- аллокации расходов аналогично беседкам</t>
  </si>
  <si>
    <t>Здесь вкладка "отчеты" детализируется по направлению "прокат"</t>
  </si>
  <si>
    <t>- формирование отчетов по остаточному принципу</t>
  </si>
  <si>
    <t>Задание названий ключевых показателей финмодели</t>
  </si>
  <si>
    <r>
      <t xml:space="preserve">- в модели используется следующий принцип: каждый показатель, который появляется на тех или иных листах модели, оформляется там в виде прямой формулы, настроенной на соответствующую ячейку с наименованием этого показателя во вкладке </t>
    </r>
    <r>
      <rPr>
        <b/>
        <sz val="9"/>
        <color theme="1"/>
        <rFont val="Calibri"/>
        <family val="2"/>
        <charset val="204"/>
        <scheme val="minor"/>
      </rPr>
      <t>KPI</t>
    </r>
    <r>
      <rPr>
        <sz val="9"/>
        <color theme="1"/>
        <rFont val="Calibri"/>
        <family val="2"/>
        <scheme val="minor"/>
      </rPr>
      <t>.</t>
    </r>
  </si>
  <si>
    <t>- если какое-либо из названий того или иного показателя не понравится пользователю, то последний может его изменить в этой вкладе и тогда везде в модели данный показатель автоматически сменит свое наименование.</t>
  </si>
  <si>
    <t>Здесь задаются все выпадающие списки.</t>
  </si>
  <si>
    <t>опер</t>
  </si>
  <si>
    <t>Данные вкладки используются для сценарных расчетов</t>
  </si>
  <si>
    <t>отч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</si>
</sst>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419]mmmm\ yyyy;@"/>
    <numFmt numFmtId="165" formatCode="0.0%"/>
    <numFmt numFmtId="166" formatCode="dd/mm/yy;@"/>
    <numFmt numFmtId="167" formatCode="#,##0.0"/>
  </numFmts>
  <fonts count="47" x14ac:knownFonts="1">
    <font>
      <sz val="11"/>
      <color theme="1"/>
      <name val="Calibri"/>
      <family val="2"/>
      <scheme val="minor"/>
    </font>
    <font>
      <sz val="9"/>
      <color theme="1"/>
      <name val="Calibri"/>
      <family val="2"/>
      <scheme val="minor"/>
    </font>
    <font>
      <b/>
      <sz val="9"/>
      <color theme="1"/>
      <name val="Calibri"/>
      <family val="2"/>
      <charset val="204"/>
      <scheme val="minor"/>
    </font>
    <font>
      <b/>
      <sz val="9"/>
      <color rgb="FFFF0000"/>
      <name val="Calibri"/>
      <family val="2"/>
      <charset val="204"/>
      <scheme val="minor"/>
    </font>
    <font>
      <sz val="8"/>
      <color theme="1"/>
      <name val="Calibri"/>
      <family val="2"/>
      <scheme val="minor"/>
    </font>
    <font>
      <sz val="8"/>
      <color theme="1" tint="0.499984740745262"/>
      <name val="Calibri"/>
      <family val="2"/>
      <scheme val="minor"/>
    </font>
    <font>
      <sz val="9"/>
      <color theme="1"/>
      <name val="Calibri"/>
      <family val="2"/>
      <charset val="204"/>
      <scheme val="minor"/>
    </font>
    <font>
      <b/>
      <sz val="9"/>
      <color theme="9" tint="-0.499984740745262"/>
      <name val="Calibri"/>
      <family val="2"/>
      <charset val="204"/>
      <scheme val="minor"/>
    </font>
    <font>
      <b/>
      <sz val="8"/>
      <color rgb="FFFF0000"/>
      <name val="Calibri"/>
      <family val="2"/>
      <scheme val="minor"/>
    </font>
    <font>
      <b/>
      <sz val="9"/>
      <color rgb="FFFF0000"/>
      <name val="Calibri"/>
      <family val="2"/>
      <scheme val="minor"/>
    </font>
    <font>
      <b/>
      <sz val="9"/>
      <color theme="1"/>
      <name val="Calibri"/>
      <family val="2"/>
      <scheme val="minor"/>
    </font>
    <font>
      <b/>
      <sz val="9"/>
      <color theme="9" tint="-0.499984740745262"/>
      <name val="Calibri"/>
      <family val="2"/>
      <scheme val="minor"/>
    </font>
    <font>
      <sz val="9"/>
      <color theme="0" tint="-0.34998626667073579"/>
      <name val="Calibri"/>
      <family val="2"/>
      <scheme val="minor"/>
    </font>
    <font>
      <b/>
      <sz val="9"/>
      <color theme="0" tint="-0.34998626667073579"/>
      <name val="Calibri"/>
      <family val="2"/>
      <scheme val="minor"/>
    </font>
    <font>
      <sz val="8"/>
      <color theme="0" tint="-0.34998626667073579"/>
      <name val="Calibri"/>
      <family val="2"/>
      <scheme val="minor"/>
    </font>
    <font>
      <sz val="9"/>
      <color theme="1" tint="0.499984740745262"/>
      <name val="Calibri"/>
      <family val="2"/>
      <scheme val="minor"/>
    </font>
    <font>
      <sz val="8"/>
      <color rgb="FFFF0000"/>
      <name val="Calibri"/>
      <family val="2"/>
      <scheme val="minor"/>
    </font>
    <font>
      <sz val="8"/>
      <color theme="1"/>
      <name val="Calibri"/>
      <family val="2"/>
      <charset val="204"/>
      <scheme val="minor"/>
    </font>
    <font>
      <b/>
      <sz val="8"/>
      <color theme="1"/>
      <name val="Calibri"/>
      <family val="2"/>
      <scheme val="minor"/>
    </font>
    <font>
      <b/>
      <sz val="8"/>
      <color rgb="FFFF0000"/>
      <name val="Calibri"/>
      <family val="2"/>
      <charset val="204"/>
      <scheme val="minor"/>
    </font>
    <font>
      <sz val="9"/>
      <color theme="0"/>
      <name val="Calibri"/>
      <family val="2"/>
      <scheme val="minor"/>
    </font>
    <font>
      <b/>
      <sz val="9"/>
      <color theme="0"/>
      <name val="Calibri"/>
      <family val="2"/>
      <charset val="204"/>
      <scheme val="minor"/>
    </font>
    <font>
      <b/>
      <sz val="8"/>
      <color theme="1"/>
      <name val="Calibri"/>
      <family val="2"/>
      <charset val="204"/>
      <scheme val="minor"/>
    </font>
    <font>
      <sz val="9"/>
      <color theme="0" tint="-0.14999847407452621"/>
      <name val="Calibri"/>
      <family val="2"/>
      <charset val="204"/>
      <scheme val="minor"/>
    </font>
    <font>
      <b/>
      <sz val="9"/>
      <color theme="0"/>
      <name val="Calibri"/>
      <family val="2"/>
      <scheme val="minor"/>
    </font>
    <font>
      <sz val="9"/>
      <color rgb="FFFF0000"/>
      <name val="Calibri"/>
      <family val="2"/>
      <scheme val="minor"/>
    </font>
    <font>
      <b/>
      <sz val="9"/>
      <color rgb="FFC00000"/>
      <name val="Calibri"/>
      <family val="2"/>
      <scheme val="minor"/>
    </font>
    <font>
      <b/>
      <sz val="8"/>
      <color rgb="FFC00000"/>
      <name val="Calibri"/>
      <family val="2"/>
      <scheme val="minor"/>
    </font>
    <font>
      <sz val="9"/>
      <color rgb="FFC00000"/>
      <name val="Calibri"/>
      <family val="2"/>
      <charset val="204"/>
      <scheme val="minor"/>
    </font>
    <font>
      <sz val="8"/>
      <color rgb="FFC00000"/>
      <name val="Calibri"/>
      <family val="2"/>
      <charset val="204"/>
      <scheme val="minor"/>
    </font>
    <font>
      <b/>
      <sz val="9"/>
      <color rgb="FFC00000"/>
      <name val="Calibri"/>
      <family val="2"/>
      <charset val="204"/>
      <scheme val="minor"/>
    </font>
    <font>
      <sz val="8"/>
      <color rgb="FFFF0000"/>
      <name val="Calibri"/>
      <family val="2"/>
      <charset val="204"/>
      <scheme val="minor"/>
    </font>
    <font>
      <sz val="9"/>
      <color theme="0" tint="-0.14999847407452621"/>
      <name val="Calibri"/>
      <family val="2"/>
      <scheme val="minor"/>
    </font>
    <font>
      <sz val="9"/>
      <color theme="9" tint="-0.249977111117893"/>
      <name val="Calibri"/>
      <family val="2"/>
      <charset val="204"/>
      <scheme val="minor"/>
    </font>
    <font>
      <b/>
      <sz val="9"/>
      <color theme="5" tint="-0.499984740745262"/>
      <name val="Calibri"/>
      <family val="2"/>
      <charset val="204"/>
      <scheme val="minor"/>
    </font>
    <font>
      <b/>
      <sz val="9"/>
      <name val="Calibri"/>
      <family val="2"/>
      <charset val="204"/>
      <scheme val="minor"/>
    </font>
    <font>
      <b/>
      <sz val="10"/>
      <color theme="0"/>
      <name val="Calibri"/>
      <family val="2"/>
      <charset val="204"/>
      <scheme val="minor"/>
    </font>
    <font>
      <sz val="9"/>
      <name val="Calibri"/>
      <family val="2"/>
      <charset val="204"/>
      <scheme val="minor"/>
    </font>
    <font>
      <sz val="9"/>
      <color rgb="FFFF0000"/>
      <name val="Calibri"/>
      <family val="2"/>
      <charset val="204"/>
      <scheme val="minor"/>
    </font>
    <font>
      <b/>
      <sz val="10"/>
      <color theme="1"/>
      <name val="Calibri"/>
      <family val="2"/>
      <scheme val="minor"/>
    </font>
    <font>
      <sz val="10"/>
      <color theme="1"/>
      <name val="Calibri"/>
      <family val="2"/>
      <scheme val="minor"/>
    </font>
    <font>
      <b/>
      <sz val="10"/>
      <color theme="4" tint="-0.499984740745262"/>
      <name val="Calibri"/>
      <family val="2"/>
      <charset val="204"/>
      <scheme val="minor"/>
    </font>
    <font>
      <u/>
      <sz val="11"/>
      <color theme="10"/>
      <name val="Calibri"/>
      <family val="2"/>
      <scheme val="minor"/>
    </font>
    <font>
      <b/>
      <sz val="10"/>
      <color theme="1"/>
      <name val="Calibri"/>
      <family val="2"/>
      <charset val="204"/>
      <scheme val="minor"/>
    </font>
    <font>
      <b/>
      <sz val="10"/>
      <name val="Calibri"/>
      <family val="2"/>
      <charset val="204"/>
      <scheme val="minor"/>
    </font>
    <font>
      <b/>
      <sz val="10"/>
      <color theme="4" tint="-0.249977111117893"/>
      <name val="Calibri"/>
      <family val="2"/>
      <charset val="204"/>
      <scheme val="minor"/>
    </font>
    <font>
      <b/>
      <sz val="10"/>
      <color rgb="FFC00000"/>
      <name val="Calibri"/>
      <family val="2"/>
      <charset val="204"/>
      <scheme val="minor"/>
    </font>
  </fonts>
  <fills count="2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9" tint="-0.499984740745262"/>
        <bgColor indexed="64"/>
      </patternFill>
    </fill>
    <fill>
      <patternFill patternType="solid">
        <fgColor rgb="FFFF000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7" tint="-0.499984740745262"/>
        <bgColor indexed="64"/>
      </patternFill>
    </fill>
    <fill>
      <patternFill patternType="solid">
        <fgColor theme="7" tint="0.39997558519241921"/>
        <bgColor indexed="64"/>
      </patternFill>
    </fill>
    <fill>
      <patternFill patternType="solid">
        <fgColor rgb="FFC00000"/>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theme="5" tint="0.39997558519241921"/>
        <bgColor indexed="64"/>
      </patternFill>
    </fill>
  </fills>
  <borders count="36">
    <border>
      <left/>
      <right/>
      <top/>
      <bottom/>
      <diagonal/>
    </border>
    <border>
      <left style="dashed">
        <color auto="1"/>
      </left>
      <right style="dashed">
        <color auto="1"/>
      </right>
      <top style="dashed">
        <color auto="1"/>
      </top>
      <bottom style="dashed">
        <color auto="1"/>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top/>
      <bottom style="medium">
        <color theme="5" tint="-0.24994659260841701"/>
      </bottom>
      <diagonal/>
    </border>
    <border>
      <left style="dashed">
        <color auto="1"/>
      </left>
      <right style="dashed">
        <color auto="1"/>
      </right>
      <top style="dashed">
        <color auto="1"/>
      </top>
      <bottom style="medium">
        <color theme="5" tint="-0.24994659260841701"/>
      </bottom>
      <diagonal/>
    </border>
    <border>
      <left style="thin">
        <color theme="0" tint="-0.24994659260841701"/>
      </left>
      <right style="thin">
        <color theme="0" tint="-0.24994659260841701"/>
      </right>
      <top style="thin">
        <color theme="0" tint="-0.24994659260841701"/>
      </top>
      <bottom style="medium">
        <color theme="5" tint="-0.24994659260841701"/>
      </bottom>
      <diagonal/>
    </border>
    <border>
      <left/>
      <right/>
      <top style="medium">
        <color theme="5" tint="-0.24994659260841701"/>
      </top>
      <bottom/>
      <diagonal/>
    </border>
    <border>
      <left style="dashed">
        <color auto="1"/>
      </left>
      <right style="dashed">
        <color auto="1"/>
      </right>
      <top style="medium">
        <color theme="5" tint="-0.24994659260841701"/>
      </top>
      <bottom style="dashed">
        <color auto="1"/>
      </bottom>
      <diagonal/>
    </border>
    <border>
      <left style="thin">
        <color theme="0" tint="-0.24994659260841701"/>
      </left>
      <right style="thin">
        <color theme="0" tint="-0.24994659260841701"/>
      </right>
      <top style="medium">
        <color theme="5" tint="-0.24994659260841701"/>
      </top>
      <bottom style="thin">
        <color theme="0"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dashed">
        <color auto="1"/>
      </top>
      <bottom style="thin">
        <color theme="1" tint="0.499984740745262"/>
      </bottom>
      <diagonal/>
    </border>
    <border>
      <left style="medium">
        <color indexed="64"/>
      </left>
      <right style="medium">
        <color indexed="64"/>
      </right>
      <top style="medium">
        <color indexed="64"/>
      </top>
      <bottom style="medium">
        <color indexed="64"/>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top style="thick">
        <color rgb="FFFF0000"/>
      </top>
      <bottom style="dashed">
        <color auto="1"/>
      </bottom>
      <diagonal/>
    </border>
    <border>
      <left/>
      <right/>
      <top/>
      <bottom style="thin">
        <color theme="9" tint="-0.24994659260841701"/>
      </bottom>
      <diagonal/>
    </border>
    <border>
      <left/>
      <right/>
      <top style="thin">
        <color theme="9" tint="-0.24994659260841701"/>
      </top>
      <bottom style="thin">
        <color theme="9" tint="-0.24994659260841701"/>
      </bottom>
      <diagonal/>
    </border>
    <border>
      <left/>
      <right/>
      <top style="thin">
        <color theme="9" tint="-0.24994659260841701"/>
      </top>
      <bottom/>
      <diagonal/>
    </border>
    <border>
      <left style="thin">
        <color theme="9" tint="-0.24994659260841701"/>
      </left>
      <right/>
      <top style="thin">
        <color theme="9" tint="-0.24994659260841701"/>
      </top>
      <bottom style="thin">
        <color theme="9" tint="-0.24994659260841701"/>
      </bottom>
      <diagonal/>
    </border>
    <border>
      <left/>
      <right style="thin">
        <color theme="9" tint="-0.24994659260841701"/>
      </right>
      <top style="thin">
        <color theme="9" tint="-0.24994659260841701"/>
      </top>
      <bottom style="thin">
        <color theme="9" tint="-0.24994659260841701"/>
      </bottom>
      <diagonal/>
    </border>
    <border>
      <left/>
      <right/>
      <top style="thin">
        <color theme="1" tint="0.499984740745262"/>
      </top>
      <bottom style="thin">
        <color theme="0" tint="-0.24994659260841701"/>
      </bottom>
      <diagonal/>
    </border>
    <border>
      <left/>
      <right/>
      <top style="thin">
        <color theme="0" tint="-0.24994659260841701"/>
      </top>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auto="1"/>
      </left>
      <right style="thin">
        <color auto="1"/>
      </right>
      <top style="thin">
        <color auto="1"/>
      </top>
      <bottom style="thin">
        <color auto="1"/>
      </bottom>
      <diagonal/>
    </border>
  </borders>
  <cellStyleXfs count="2">
    <xf numFmtId="0" fontId="0" fillId="0" borderId="0"/>
    <xf numFmtId="0" fontId="42" fillId="0" borderId="0" applyNumberFormat="0" applyFill="0" applyBorder="0" applyAlignment="0" applyProtection="0"/>
  </cellStyleXfs>
  <cellXfs count="316">
    <xf numFmtId="0" fontId="0" fillId="0" borderId="0" xfId="0"/>
    <xf numFmtId="0" fontId="1" fillId="0" borderId="0" xfId="0" applyFont="1"/>
    <xf numFmtId="0" fontId="1" fillId="2" borderId="0" xfId="0" applyFont="1" applyFill="1"/>
    <xf numFmtId="0" fontId="2" fillId="2" borderId="0" xfId="0" applyFont="1" applyFill="1"/>
    <xf numFmtId="0" fontId="2" fillId="2" borderId="1" xfId="0" applyNumberFormat="1" applyFont="1" applyFill="1" applyBorder="1"/>
    <xf numFmtId="0" fontId="2" fillId="0" borderId="0" xfId="0" applyFont="1"/>
    <xf numFmtId="0" fontId="3" fillId="2" borderId="0" xfId="0" applyFont="1" applyFill="1" applyAlignment="1">
      <alignment horizontal="center" vertical="center"/>
    </xf>
    <xf numFmtId="0" fontId="1" fillId="3" borderId="2" xfId="0" applyFont="1" applyFill="1" applyBorder="1"/>
    <xf numFmtId="0" fontId="1" fillId="3" borderId="3" xfId="0" applyFont="1" applyFill="1" applyBorder="1"/>
    <xf numFmtId="0" fontId="1" fillId="3" borderId="4" xfId="0" applyFont="1" applyFill="1" applyBorder="1"/>
    <xf numFmtId="0" fontId="1" fillId="3" borderId="5" xfId="0" applyFont="1" applyFill="1" applyBorder="1"/>
    <xf numFmtId="0" fontId="1" fillId="2" borderId="0" xfId="0" applyFont="1" applyFill="1" applyBorder="1"/>
    <xf numFmtId="0" fontId="1" fillId="3" borderId="6" xfId="0" applyFont="1" applyFill="1" applyBorder="1"/>
    <xf numFmtId="0" fontId="1" fillId="3" borderId="7" xfId="0" applyFont="1" applyFill="1" applyBorder="1"/>
    <xf numFmtId="0" fontId="1" fillId="3" borderId="8" xfId="0" applyFont="1" applyFill="1" applyBorder="1"/>
    <xf numFmtId="0" fontId="1" fillId="3" borderId="9" xfId="0" applyFont="1" applyFill="1" applyBorder="1"/>
    <xf numFmtId="0" fontId="1" fillId="2" borderId="0" xfId="0" applyFont="1" applyFill="1" applyAlignment="1">
      <alignment wrapText="1"/>
    </xf>
    <xf numFmtId="0" fontId="1" fillId="3" borderId="3" xfId="0" applyFont="1" applyFill="1" applyBorder="1" applyAlignment="1">
      <alignment wrapText="1"/>
    </xf>
    <xf numFmtId="0" fontId="1" fillId="2" borderId="0" xfId="0" applyFont="1" applyFill="1" applyBorder="1" applyAlignment="1">
      <alignment wrapText="1"/>
    </xf>
    <xf numFmtId="0" fontId="1" fillId="3" borderId="8" xfId="0" applyFont="1" applyFill="1" applyBorder="1" applyAlignment="1">
      <alignment wrapText="1"/>
    </xf>
    <xf numFmtId="0" fontId="1" fillId="4" borderId="0" xfId="0" applyFont="1" applyFill="1"/>
    <xf numFmtId="0" fontId="1" fillId="3" borderId="0" xfId="0" applyFont="1" applyFill="1"/>
    <xf numFmtId="0" fontId="4" fillId="2" borderId="0" xfId="0" applyFont="1" applyFill="1"/>
    <xf numFmtId="0" fontId="4" fillId="0" borderId="0" xfId="0" applyFont="1"/>
    <xf numFmtId="0" fontId="5" fillId="4" borderId="0" xfId="0" applyFont="1" applyFill="1"/>
    <xf numFmtId="164" fontId="6" fillId="2" borderId="1" xfId="0" applyNumberFormat="1" applyFont="1" applyFill="1" applyBorder="1"/>
    <xf numFmtId="0" fontId="6" fillId="2" borderId="1" xfId="0" applyNumberFormat="1" applyFont="1" applyFill="1" applyBorder="1"/>
    <xf numFmtId="0" fontId="1" fillId="2" borderId="0" xfId="0" applyFont="1" applyFill="1" applyAlignment="1">
      <alignment horizontal="right"/>
    </xf>
    <xf numFmtId="0" fontId="2" fillId="2" borderId="0" xfId="0" applyFont="1" applyFill="1" applyAlignment="1">
      <alignment horizontal="center" vertical="center"/>
    </xf>
    <xf numFmtId="0" fontId="2" fillId="0" borderId="0" xfId="0" applyFont="1" applyAlignment="1">
      <alignment horizontal="center" vertical="center"/>
    </xf>
    <xf numFmtId="0" fontId="7" fillId="2" borderId="0" xfId="0" applyFont="1" applyFill="1" applyAlignment="1">
      <alignment horizontal="center" vertical="center"/>
    </xf>
    <xf numFmtId="0" fontId="8" fillId="2" borderId="0" xfId="0" applyFont="1" applyFill="1" applyAlignment="1">
      <alignment horizontal="center" vertical="center"/>
    </xf>
    <xf numFmtId="0" fontId="9" fillId="2" borderId="0" xfId="0" applyFont="1" applyFill="1" applyAlignment="1">
      <alignment horizontal="center" vertical="center"/>
    </xf>
    <xf numFmtId="0" fontId="10" fillId="2" borderId="1" xfId="0" applyNumberFormat="1" applyFont="1" applyFill="1" applyBorder="1"/>
    <xf numFmtId="0" fontId="11" fillId="2" borderId="0" xfId="0" applyFont="1" applyFill="1" applyAlignment="1">
      <alignment horizontal="center" vertical="center"/>
    </xf>
    <xf numFmtId="0" fontId="1" fillId="0" borderId="0" xfId="0" applyFont="1" applyAlignment="1">
      <alignment wrapText="1"/>
    </xf>
    <xf numFmtId="3" fontId="1" fillId="2" borderId="0" xfId="0" applyNumberFormat="1" applyFont="1" applyFill="1"/>
    <xf numFmtId="0" fontId="12" fillId="2" borderId="0" xfId="0" applyFont="1" applyFill="1"/>
    <xf numFmtId="0" fontId="12" fillId="2" borderId="0" xfId="0" applyFont="1" applyFill="1" applyAlignment="1">
      <alignment horizontal="right"/>
    </xf>
    <xf numFmtId="0" fontId="13" fillId="2" borderId="0" xfId="0" applyFont="1" applyFill="1"/>
    <xf numFmtId="0" fontId="14" fillId="2" borderId="0" xfId="0" applyFont="1" applyFill="1"/>
    <xf numFmtId="0" fontId="12" fillId="0" borderId="0" xfId="0" applyFont="1"/>
    <xf numFmtId="0" fontId="15" fillId="2" borderId="0" xfId="0" applyFont="1" applyFill="1"/>
    <xf numFmtId="0" fontId="15" fillId="2" borderId="0" xfId="0" applyFont="1" applyFill="1" applyAlignment="1">
      <alignment horizontal="center" vertical="center"/>
    </xf>
    <xf numFmtId="164" fontId="2" fillId="2" borderId="0" xfId="0" applyNumberFormat="1" applyFont="1" applyFill="1"/>
    <xf numFmtId="3" fontId="6" fillId="2" borderId="1" xfId="0" applyNumberFormat="1" applyFont="1" applyFill="1" applyBorder="1"/>
    <xf numFmtId="3" fontId="2" fillId="2" borderId="0" xfId="0" applyNumberFormat="1" applyFont="1" applyFill="1"/>
    <xf numFmtId="0" fontId="1" fillId="2" borderId="0" xfId="0" applyFont="1" applyFill="1" applyAlignment="1">
      <alignment horizontal="left" indent="1"/>
    </xf>
    <xf numFmtId="0" fontId="1" fillId="2" borderId="11" xfId="0" applyFont="1" applyFill="1" applyBorder="1" applyAlignment="1">
      <alignment horizontal="left" indent="2"/>
    </xf>
    <xf numFmtId="0" fontId="1" fillId="2" borderId="12" xfId="0" applyFont="1" applyFill="1" applyBorder="1" applyAlignment="1">
      <alignment horizontal="left" indent="2"/>
    </xf>
    <xf numFmtId="0" fontId="1" fillId="3" borderId="13" xfId="0" applyFont="1" applyFill="1" applyBorder="1"/>
    <xf numFmtId="3" fontId="15" fillId="2" borderId="0" xfId="0" applyNumberFormat="1" applyFont="1" applyFill="1" applyAlignment="1">
      <alignment horizontal="right"/>
    </xf>
    <xf numFmtId="3" fontId="1" fillId="2" borderId="0" xfId="0" applyNumberFormat="1" applyFont="1" applyFill="1" applyAlignment="1">
      <alignment horizontal="right"/>
    </xf>
    <xf numFmtId="3" fontId="2" fillId="2" borderId="0" xfId="0" applyNumberFormat="1" applyFont="1" applyFill="1" applyAlignment="1">
      <alignment horizontal="center" vertical="center"/>
    </xf>
    <xf numFmtId="3" fontId="1" fillId="3" borderId="0" xfId="0" applyNumberFormat="1" applyFont="1" applyFill="1" applyAlignment="1">
      <alignment horizontal="right"/>
    </xf>
    <xf numFmtId="3" fontId="2" fillId="2" borderId="0" xfId="0" applyNumberFormat="1" applyFont="1" applyFill="1" applyAlignment="1">
      <alignment horizontal="right"/>
    </xf>
    <xf numFmtId="3" fontId="1" fillId="0" borderId="0" xfId="0" applyNumberFormat="1" applyFont="1" applyAlignment="1">
      <alignment horizontal="right"/>
    </xf>
    <xf numFmtId="3" fontId="1" fillId="0" borderId="0" xfId="0" applyNumberFormat="1" applyFont="1"/>
    <xf numFmtId="3" fontId="4" fillId="2" borderId="0" xfId="0" applyNumberFormat="1" applyFont="1" applyFill="1" applyAlignment="1">
      <alignment horizontal="right"/>
    </xf>
    <xf numFmtId="0" fontId="16" fillId="2" borderId="0" xfId="0" applyFont="1" applyFill="1"/>
    <xf numFmtId="3" fontId="16" fillId="2" borderId="0" xfId="0" applyNumberFormat="1" applyFont="1" applyFill="1" applyAlignment="1">
      <alignment horizontal="right"/>
    </xf>
    <xf numFmtId="3" fontId="16" fillId="2" borderId="0" xfId="0" applyNumberFormat="1" applyFont="1" applyFill="1"/>
    <xf numFmtId="0" fontId="16" fillId="0" borderId="0" xfId="0" applyFont="1"/>
    <xf numFmtId="0" fontId="2" fillId="5" borderId="0" xfId="0" applyFont="1" applyFill="1"/>
    <xf numFmtId="0" fontId="10" fillId="2" borderId="0" xfId="0" applyFont="1" applyFill="1"/>
    <xf numFmtId="0" fontId="10" fillId="0" borderId="0" xfId="0" applyFont="1"/>
    <xf numFmtId="0" fontId="1" fillId="2" borderId="1" xfId="0" applyNumberFormat="1" applyFont="1" applyFill="1" applyBorder="1"/>
    <xf numFmtId="3" fontId="10" fillId="2" borderId="0" xfId="0" applyNumberFormat="1" applyFont="1" applyFill="1" applyAlignment="1">
      <alignment horizontal="right"/>
    </xf>
    <xf numFmtId="3" fontId="1" fillId="2" borderId="1" xfId="0" applyNumberFormat="1" applyFont="1" applyFill="1" applyBorder="1" applyAlignment="1">
      <alignment horizontal="right"/>
    </xf>
    <xf numFmtId="3" fontId="1" fillId="2" borderId="10" xfId="0" applyNumberFormat="1" applyFont="1" applyFill="1" applyBorder="1" applyAlignment="1">
      <alignment horizontal="right"/>
    </xf>
    <xf numFmtId="3" fontId="10" fillId="2" borderId="1" xfId="0" applyNumberFormat="1" applyFont="1" applyFill="1" applyBorder="1" applyAlignment="1">
      <alignment horizontal="center"/>
    </xf>
    <xf numFmtId="3" fontId="4" fillId="2" borderId="0" xfId="0" applyNumberFormat="1" applyFont="1" applyFill="1" applyAlignment="1">
      <alignment horizontal="center"/>
    </xf>
    <xf numFmtId="0" fontId="12" fillId="2" borderId="14" xfId="0" applyFont="1" applyFill="1" applyBorder="1"/>
    <xf numFmtId="0" fontId="1" fillId="2" borderId="14" xfId="0" applyFont="1" applyFill="1" applyBorder="1"/>
    <xf numFmtId="0" fontId="9" fillId="2" borderId="14" xfId="0" applyFont="1" applyFill="1" applyBorder="1" applyAlignment="1">
      <alignment horizontal="center" vertical="center"/>
    </xf>
    <xf numFmtId="0" fontId="1" fillId="2" borderId="15" xfId="0" applyNumberFormat="1" applyFont="1" applyFill="1" applyBorder="1"/>
    <xf numFmtId="3" fontId="1" fillId="2" borderId="15" xfId="0" applyNumberFormat="1" applyFont="1" applyFill="1" applyBorder="1" applyAlignment="1">
      <alignment horizontal="right"/>
    </xf>
    <xf numFmtId="3" fontId="1" fillId="2" borderId="16" xfId="0" applyNumberFormat="1" applyFont="1" applyFill="1" applyBorder="1" applyAlignment="1">
      <alignment horizontal="right"/>
    </xf>
    <xf numFmtId="0" fontId="12" fillId="2" borderId="17" xfId="0" applyFont="1" applyFill="1" applyBorder="1"/>
    <xf numFmtId="0" fontId="1" fillId="2" borderId="17" xfId="0" applyFont="1" applyFill="1" applyBorder="1"/>
    <xf numFmtId="0" fontId="9" fillId="2" borderId="17" xfId="0" applyFont="1" applyFill="1" applyBorder="1" applyAlignment="1">
      <alignment horizontal="center" vertical="center"/>
    </xf>
    <xf numFmtId="0" fontId="1" fillId="2" borderId="18" xfId="0" applyNumberFormat="1" applyFont="1" applyFill="1" applyBorder="1"/>
    <xf numFmtId="3" fontId="1" fillId="2" borderId="18" xfId="0" applyNumberFormat="1" applyFont="1" applyFill="1" applyBorder="1" applyAlignment="1">
      <alignment horizontal="right"/>
    </xf>
    <xf numFmtId="3" fontId="1" fillId="2" borderId="19" xfId="0" applyNumberFormat="1" applyFont="1" applyFill="1" applyBorder="1" applyAlignment="1">
      <alignment horizontal="right"/>
    </xf>
    <xf numFmtId="3" fontId="1" fillId="2" borderId="11" xfId="0" applyNumberFormat="1" applyFont="1" applyFill="1" applyBorder="1" applyAlignment="1">
      <alignment horizontal="right" indent="2"/>
    </xf>
    <xf numFmtId="3" fontId="1" fillId="2" borderId="12" xfId="0" applyNumberFormat="1" applyFont="1" applyFill="1" applyBorder="1" applyAlignment="1">
      <alignment horizontal="right" indent="2"/>
    </xf>
    <xf numFmtId="0" fontId="1" fillId="3" borderId="13" xfId="0" applyFont="1" applyFill="1" applyBorder="1" applyAlignment="1">
      <alignment horizontal="right"/>
    </xf>
    <xf numFmtId="3" fontId="1" fillId="3" borderId="13" xfId="0" applyNumberFormat="1" applyFont="1" applyFill="1" applyBorder="1" applyAlignment="1">
      <alignment horizontal="right"/>
    </xf>
    <xf numFmtId="165" fontId="6" fillId="2" borderId="1" xfId="0" applyNumberFormat="1" applyFont="1" applyFill="1" applyBorder="1"/>
    <xf numFmtId="0" fontId="2" fillId="4" borderId="0" xfId="0" applyFont="1" applyFill="1"/>
    <xf numFmtId="0" fontId="2" fillId="4" borderId="0" xfId="0" applyFont="1" applyFill="1" applyAlignment="1">
      <alignment horizontal="center" vertical="center"/>
    </xf>
    <xf numFmtId="0" fontId="17" fillId="4" borderId="0" xfId="0" applyFont="1" applyFill="1"/>
    <xf numFmtId="3" fontId="2" fillId="4" borderId="0" xfId="0" applyNumberFormat="1" applyFont="1" applyFill="1" applyAlignment="1">
      <alignment horizontal="right"/>
    </xf>
    <xf numFmtId="3" fontId="2" fillId="4" borderId="0" xfId="0" applyNumberFormat="1" applyFont="1" applyFill="1"/>
    <xf numFmtId="166" fontId="1" fillId="2" borderId="0" xfId="0" applyNumberFormat="1" applyFont="1" applyFill="1"/>
    <xf numFmtId="166" fontId="2" fillId="2" borderId="0" xfId="0" applyNumberFormat="1" applyFont="1" applyFill="1"/>
    <xf numFmtId="0" fontId="2" fillId="2" borderId="0" xfId="0" applyFont="1" applyFill="1" applyAlignment="1">
      <alignment horizontal="right"/>
    </xf>
    <xf numFmtId="0" fontId="5" fillId="2" borderId="0" xfId="0" applyFont="1" applyFill="1"/>
    <xf numFmtId="164" fontId="18" fillId="2" borderId="0" xfId="0" applyNumberFormat="1" applyFont="1" applyFill="1"/>
    <xf numFmtId="0" fontId="18" fillId="2" borderId="0" xfId="0" applyFont="1" applyFill="1" applyAlignment="1">
      <alignment horizontal="center" vertical="center"/>
    </xf>
    <xf numFmtId="3" fontId="4" fillId="2" borderId="0" xfId="0" applyNumberFormat="1" applyFont="1" applyFill="1"/>
    <xf numFmtId="3" fontId="4" fillId="4" borderId="10" xfId="0" applyNumberFormat="1" applyFont="1" applyFill="1" applyBorder="1"/>
    <xf numFmtId="9" fontId="4" fillId="4" borderId="10" xfId="0" applyNumberFormat="1" applyFont="1" applyFill="1" applyBorder="1"/>
    <xf numFmtId="0" fontId="3" fillId="2" borderId="0" xfId="0" applyFont="1" applyFill="1"/>
    <xf numFmtId="3" fontId="3" fillId="2" borderId="0" xfId="0" applyNumberFormat="1" applyFont="1" applyFill="1"/>
    <xf numFmtId="0" fontId="3" fillId="2" borderId="0" xfId="0" applyFont="1" applyFill="1" applyAlignment="1">
      <alignment horizontal="left" vertical="center"/>
    </xf>
    <xf numFmtId="3" fontId="4" fillId="2" borderId="1" xfId="0" applyNumberFormat="1" applyFont="1" applyFill="1" applyBorder="1"/>
    <xf numFmtId="9" fontId="6" fillId="2" borderId="1" xfId="0" applyNumberFormat="1" applyFont="1" applyFill="1" applyBorder="1"/>
    <xf numFmtId="0" fontId="2" fillId="6" borderId="0" xfId="0" applyFont="1" applyFill="1"/>
    <xf numFmtId="0" fontId="1" fillId="7" borderId="0" xfId="0" applyFont="1" applyFill="1"/>
    <xf numFmtId="0" fontId="1" fillId="8" borderId="0" xfId="0" applyFont="1" applyFill="1"/>
    <xf numFmtId="0" fontId="2" fillId="7" borderId="0" xfId="0" applyFont="1" applyFill="1"/>
    <xf numFmtId="167" fontId="6" fillId="2" borderId="1" xfId="0" applyNumberFormat="1" applyFont="1" applyFill="1" applyBorder="1"/>
    <xf numFmtId="9" fontId="4" fillId="2" borderId="1" xfId="0" applyNumberFormat="1" applyFont="1" applyFill="1" applyBorder="1"/>
    <xf numFmtId="167" fontId="6" fillId="2" borderId="21" xfId="0" applyNumberFormat="1" applyFont="1" applyFill="1" applyBorder="1"/>
    <xf numFmtId="3" fontId="6" fillId="2" borderId="21" xfId="0" applyNumberFormat="1" applyFont="1" applyFill="1" applyBorder="1"/>
    <xf numFmtId="0" fontId="19" fillId="2" borderId="0" xfId="0" applyFont="1" applyFill="1"/>
    <xf numFmtId="0" fontId="1" fillId="6" borderId="0" xfId="0" applyFont="1" applyFill="1"/>
    <xf numFmtId="0" fontId="1" fillId="9" borderId="0" xfId="0" applyFont="1" applyFill="1"/>
    <xf numFmtId="0" fontId="1" fillId="10" borderId="0" xfId="0" applyFont="1" applyFill="1"/>
    <xf numFmtId="0" fontId="21" fillId="9" borderId="0" xfId="0" applyFont="1" applyFill="1"/>
    <xf numFmtId="0" fontId="21" fillId="10" borderId="0" xfId="0" applyFont="1" applyFill="1"/>
    <xf numFmtId="0" fontId="1" fillId="12" borderId="0" xfId="0" applyFont="1" applyFill="1"/>
    <xf numFmtId="0" fontId="6" fillId="2" borderId="0" xfId="0" applyFont="1" applyFill="1"/>
    <xf numFmtId="0" fontId="6" fillId="2" borderId="0" xfId="0" applyFont="1" applyFill="1" applyAlignment="1">
      <alignment horizontal="center" vertical="center"/>
    </xf>
    <xf numFmtId="3" fontId="6" fillId="2" borderId="0" xfId="0" applyNumberFormat="1" applyFont="1" applyFill="1" applyAlignment="1">
      <alignment horizontal="right"/>
    </xf>
    <xf numFmtId="0" fontId="6" fillId="0" borderId="0" xfId="0" applyFont="1"/>
    <xf numFmtId="165" fontId="2" fillId="2" borderId="1" xfId="0" applyNumberFormat="1" applyFont="1" applyFill="1" applyBorder="1"/>
    <xf numFmtId="0" fontId="22" fillId="2" borderId="0" xfId="0" applyFont="1" applyFill="1"/>
    <xf numFmtId="3" fontId="22" fillId="2" borderId="0" xfId="0" applyNumberFormat="1" applyFont="1" applyFill="1"/>
    <xf numFmtId="0" fontId="6" fillId="4" borderId="0" xfId="0" applyFont="1" applyFill="1"/>
    <xf numFmtId="0" fontId="17" fillId="2" borderId="0" xfId="0" applyFont="1" applyFill="1"/>
    <xf numFmtId="3" fontId="17" fillId="2" borderId="0" xfId="0" applyNumberFormat="1" applyFont="1" applyFill="1"/>
    <xf numFmtId="0" fontId="17" fillId="0" borderId="0" xfId="0" applyFont="1"/>
    <xf numFmtId="0" fontId="6" fillId="4" borderId="0" xfId="0" applyFont="1" applyFill="1" applyAlignment="1">
      <alignment horizontal="center" vertical="center"/>
    </xf>
    <xf numFmtId="3" fontId="6" fillId="4" borderId="0" xfId="0" applyNumberFormat="1" applyFont="1" applyFill="1" applyAlignment="1">
      <alignment horizontal="right"/>
    </xf>
    <xf numFmtId="3" fontId="6" fillId="4" borderId="0" xfId="0" applyNumberFormat="1" applyFont="1" applyFill="1"/>
    <xf numFmtId="3" fontId="6" fillId="2" borderId="0" xfId="0" applyNumberFormat="1" applyFont="1" applyFill="1"/>
    <xf numFmtId="3" fontId="1" fillId="6" borderId="0" xfId="0" applyNumberFormat="1" applyFont="1" applyFill="1" applyAlignment="1">
      <alignment horizontal="right"/>
    </xf>
    <xf numFmtId="3" fontId="1" fillId="9" borderId="0" xfId="0" applyNumberFormat="1" applyFont="1" applyFill="1" applyAlignment="1">
      <alignment horizontal="right"/>
    </xf>
    <xf numFmtId="0" fontId="1" fillId="13" borderId="0" xfId="0" applyFont="1" applyFill="1"/>
    <xf numFmtId="3" fontId="1" fillId="13" borderId="0" xfId="0" applyNumberFormat="1" applyFont="1" applyFill="1" applyAlignment="1">
      <alignment horizontal="right"/>
    </xf>
    <xf numFmtId="3" fontId="1" fillId="10" borderId="0" xfId="0" applyNumberFormat="1" applyFont="1" applyFill="1" applyAlignment="1">
      <alignment horizontal="right"/>
    </xf>
    <xf numFmtId="0" fontId="1" fillId="14" borderId="0" xfId="0" applyFont="1" applyFill="1"/>
    <xf numFmtId="3" fontId="1" fillId="14" borderId="0" xfId="0" applyNumberFormat="1" applyFont="1" applyFill="1" applyAlignment="1">
      <alignment horizontal="right"/>
    </xf>
    <xf numFmtId="0" fontId="23" fillId="4" borderId="0" xfId="0" applyFont="1" applyFill="1"/>
    <xf numFmtId="0" fontId="2" fillId="11" borderId="0" xfId="0" applyFont="1" applyFill="1"/>
    <xf numFmtId="0" fontId="2" fillId="13" borderId="0" xfId="0" applyFont="1" applyFill="1"/>
    <xf numFmtId="0" fontId="2" fillId="14" borderId="0" xfId="0" applyFont="1" applyFill="1"/>
    <xf numFmtId="0" fontId="20" fillId="2" borderId="0" xfId="0" applyFont="1" applyFill="1"/>
    <xf numFmtId="0" fontId="24" fillId="2" borderId="0" xfId="0" applyFont="1" applyFill="1"/>
    <xf numFmtId="0" fontId="20" fillId="0" borderId="0" xfId="0" applyFont="1"/>
    <xf numFmtId="0" fontId="17" fillId="15" borderId="22" xfId="0" applyFont="1" applyFill="1" applyBorder="1"/>
    <xf numFmtId="3" fontId="9" fillId="2" borderId="0" xfId="0" applyNumberFormat="1" applyFont="1" applyFill="1" applyAlignment="1">
      <alignment horizontal="right"/>
    </xf>
    <xf numFmtId="0" fontId="25" fillId="2" borderId="0" xfId="0" applyFont="1" applyFill="1"/>
    <xf numFmtId="0" fontId="26" fillId="2" borderId="0" xfId="0" applyFont="1" applyFill="1"/>
    <xf numFmtId="3" fontId="27" fillId="2" borderId="0" xfId="0" applyNumberFormat="1" applyFont="1" applyFill="1"/>
    <xf numFmtId="0" fontId="26" fillId="0" borderId="0" xfId="0" applyFont="1"/>
    <xf numFmtId="0" fontId="28" fillId="2" borderId="0" xfId="0" applyFont="1" applyFill="1"/>
    <xf numFmtId="3" fontId="29" fillId="2" borderId="0" xfId="0" applyNumberFormat="1" applyFont="1" applyFill="1"/>
    <xf numFmtId="0" fontId="28" fillId="4" borderId="0" xfId="0" applyFont="1" applyFill="1"/>
    <xf numFmtId="0" fontId="28" fillId="4" borderId="0" xfId="0" applyFont="1" applyFill="1" applyAlignment="1">
      <alignment horizontal="center" vertical="center"/>
    </xf>
    <xf numFmtId="3" fontId="28" fillId="4" borderId="0" xfId="0" applyNumberFormat="1" applyFont="1" applyFill="1"/>
    <xf numFmtId="0" fontId="28" fillId="0" borderId="0" xfId="0" applyFont="1"/>
    <xf numFmtId="0" fontId="29" fillId="2" borderId="0" xfId="0" applyFont="1" applyFill="1"/>
    <xf numFmtId="0" fontId="28" fillId="2" borderId="0" xfId="0" applyFont="1" applyFill="1" applyAlignment="1">
      <alignment horizontal="center" vertical="center"/>
    </xf>
    <xf numFmtId="3" fontId="28" fillId="2" borderId="0" xfId="0" applyNumberFormat="1" applyFont="1" applyFill="1" applyAlignment="1">
      <alignment horizontal="right"/>
    </xf>
    <xf numFmtId="3" fontId="28" fillId="2" borderId="0" xfId="0" applyNumberFormat="1" applyFont="1" applyFill="1"/>
    <xf numFmtId="0" fontId="28" fillId="6" borderId="0" xfId="0" applyFont="1" applyFill="1"/>
    <xf numFmtId="3" fontId="28" fillId="6" borderId="0" xfId="0" applyNumberFormat="1" applyFont="1" applyFill="1" applyAlignment="1">
      <alignment horizontal="right"/>
    </xf>
    <xf numFmtId="0" fontId="2" fillId="13" borderId="0" xfId="0" applyFont="1" applyFill="1" applyAlignment="1">
      <alignment horizontal="center" vertical="center"/>
    </xf>
    <xf numFmtId="3" fontId="2" fillId="13" borderId="0" xfId="0" applyNumberFormat="1" applyFont="1" applyFill="1" applyAlignment="1">
      <alignment horizontal="right"/>
    </xf>
    <xf numFmtId="3" fontId="2" fillId="13" borderId="0" xfId="0" applyNumberFormat="1" applyFont="1" applyFill="1"/>
    <xf numFmtId="0" fontId="2" fillId="16" borderId="0" xfId="0" applyFont="1" applyFill="1"/>
    <xf numFmtId="0" fontId="2" fillId="16" borderId="0" xfId="0" applyFont="1" applyFill="1" applyAlignment="1">
      <alignment horizontal="center" vertical="center"/>
    </xf>
    <xf numFmtId="3" fontId="2" fillId="16" borderId="0" xfId="0" applyNumberFormat="1" applyFont="1" applyFill="1" applyAlignment="1">
      <alignment horizontal="right"/>
    </xf>
    <xf numFmtId="3" fontId="2" fillId="16" borderId="0" xfId="0" applyNumberFormat="1" applyFont="1" applyFill="1"/>
    <xf numFmtId="0" fontId="2" fillId="11" borderId="0" xfId="0" applyFont="1" applyFill="1" applyAlignment="1">
      <alignment horizontal="center" vertical="center"/>
    </xf>
    <xf numFmtId="3" fontId="2" fillId="11" borderId="0" xfId="0" applyNumberFormat="1" applyFont="1" applyFill="1" applyAlignment="1">
      <alignment horizontal="right"/>
    </xf>
    <xf numFmtId="3" fontId="2" fillId="11" borderId="0" xfId="0" applyNumberFormat="1" applyFont="1" applyFill="1"/>
    <xf numFmtId="3" fontId="30" fillId="4" borderId="0" xfId="0" applyNumberFormat="1" applyFont="1" applyFill="1" applyAlignment="1">
      <alignment horizontal="right"/>
    </xf>
    <xf numFmtId="0" fontId="2" fillId="2" borderId="23" xfId="0" applyFont="1" applyFill="1" applyBorder="1"/>
    <xf numFmtId="0" fontId="31" fillId="2" borderId="0" xfId="0" applyFont="1" applyFill="1"/>
    <xf numFmtId="0" fontId="21" fillId="6" borderId="0" xfId="0" applyFont="1" applyFill="1"/>
    <xf numFmtId="0" fontId="21" fillId="6" borderId="0" xfId="0" applyFont="1" applyFill="1" applyAlignment="1">
      <alignment horizontal="center" vertical="center"/>
    </xf>
    <xf numFmtId="165" fontId="2" fillId="2" borderId="0" xfId="0" applyNumberFormat="1" applyFont="1" applyFill="1"/>
    <xf numFmtId="3" fontId="21" fillId="6" borderId="24" xfId="0" applyNumberFormat="1" applyFont="1" applyFill="1" applyBorder="1" applyAlignment="1">
      <alignment horizontal="right"/>
    </xf>
    <xf numFmtId="167" fontId="2" fillId="13" borderId="0" xfId="0" applyNumberFormat="1" applyFont="1" applyFill="1" applyAlignment="1">
      <alignment horizontal="right"/>
    </xf>
    <xf numFmtId="165" fontId="2" fillId="13" borderId="0" xfId="0" applyNumberFormat="1" applyFont="1" applyFill="1" applyAlignment="1">
      <alignment horizontal="right"/>
    </xf>
    <xf numFmtId="0" fontId="26" fillId="11" borderId="0" xfId="0" applyFont="1" applyFill="1"/>
    <xf numFmtId="0" fontId="26" fillId="11" borderId="0" xfId="0" applyFont="1" applyFill="1" applyAlignment="1">
      <alignment horizontal="center" vertical="center"/>
    </xf>
    <xf numFmtId="3" fontId="26" fillId="11" borderId="0" xfId="0" applyNumberFormat="1" applyFont="1" applyFill="1" applyAlignment="1">
      <alignment horizontal="right"/>
    </xf>
    <xf numFmtId="3" fontId="26" fillId="11" borderId="0" xfId="0" applyNumberFormat="1" applyFont="1" applyFill="1"/>
    <xf numFmtId="3" fontId="20" fillId="2" borderId="0" xfId="0" applyNumberFormat="1" applyFont="1" applyFill="1"/>
    <xf numFmtId="0" fontId="32" fillId="2" borderId="0" xfId="0" applyFont="1" applyFill="1" applyAlignment="1">
      <alignment horizontal="center" vertical="center"/>
    </xf>
    <xf numFmtId="3" fontId="32" fillId="2" borderId="0" xfId="0" applyNumberFormat="1" applyFont="1" applyFill="1" applyAlignment="1">
      <alignment horizontal="center" vertical="center"/>
    </xf>
    <xf numFmtId="0" fontId="25" fillId="2" borderId="0" xfId="0" applyFont="1" applyFill="1" applyAlignment="1">
      <alignment horizontal="center" vertical="center"/>
    </xf>
    <xf numFmtId="0" fontId="16" fillId="2" borderId="0" xfId="0" applyFont="1" applyFill="1" applyAlignment="1">
      <alignment horizontal="center" vertical="center"/>
    </xf>
    <xf numFmtId="0" fontId="25" fillId="0" borderId="0" xfId="0" applyFont="1" applyAlignment="1">
      <alignment horizontal="center" vertical="center"/>
    </xf>
    <xf numFmtId="9" fontId="4" fillId="17" borderId="1" xfId="0" applyNumberFormat="1" applyFont="1" applyFill="1" applyBorder="1"/>
    <xf numFmtId="3" fontId="1" fillId="2" borderId="1" xfId="0" applyNumberFormat="1" applyFont="1" applyFill="1" applyBorder="1"/>
    <xf numFmtId="3" fontId="25" fillId="2" borderId="0" xfId="0" applyNumberFormat="1" applyFont="1" applyFill="1" applyAlignment="1">
      <alignment horizontal="right"/>
    </xf>
    <xf numFmtId="3" fontId="3" fillId="2" borderId="0" xfId="0" applyNumberFormat="1" applyFont="1" applyFill="1" applyAlignment="1">
      <alignment horizontal="right"/>
    </xf>
    <xf numFmtId="3" fontId="2" fillId="2" borderId="1" xfId="0" applyNumberFormat="1" applyFont="1" applyFill="1" applyBorder="1"/>
    <xf numFmtId="3" fontId="6" fillId="2" borderId="20" xfId="0" applyNumberFormat="1" applyFont="1" applyFill="1" applyBorder="1"/>
    <xf numFmtId="3" fontId="3" fillId="2" borderId="1" xfId="0" applyNumberFormat="1" applyFont="1" applyFill="1" applyBorder="1"/>
    <xf numFmtId="0" fontId="1" fillId="2" borderId="26" xfId="0" applyFont="1" applyFill="1" applyBorder="1"/>
    <xf numFmtId="3" fontId="1" fillId="2" borderId="26" xfId="0" applyNumberFormat="1" applyFont="1" applyFill="1" applyBorder="1" applyAlignment="1">
      <alignment horizontal="right"/>
    </xf>
    <xf numFmtId="0" fontId="2" fillId="2" borderId="26" xfId="0" applyFont="1" applyFill="1" applyBorder="1" applyAlignment="1">
      <alignment horizontal="center" vertical="center"/>
    </xf>
    <xf numFmtId="3" fontId="1" fillId="2" borderId="26" xfId="0" applyNumberFormat="1" applyFont="1" applyFill="1" applyBorder="1"/>
    <xf numFmtId="0" fontId="1" fillId="2" borderId="27" xfId="0" applyFont="1" applyFill="1" applyBorder="1"/>
    <xf numFmtId="3" fontId="1" fillId="2" borderId="27" xfId="0" applyNumberFormat="1" applyFont="1" applyFill="1" applyBorder="1" applyAlignment="1">
      <alignment horizontal="right"/>
    </xf>
    <xf numFmtId="0" fontId="2" fillId="2" borderId="27" xfId="0" applyFont="1" applyFill="1" applyBorder="1" applyAlignment="1">
      <alignment horizontal="center" vertical="center"/>
    </xf>
    <xf numFmtId="3" fontId="1" fillId="2" borderId="27" xfId="0" applyNumberFormat="1" applyFont="1" applyFill="1" applyBorder="1"/>
    <xf numFmtId="0" fontId="1" fillId="2" borderId="28" xfId="0" applyFont="1" applyFill="1" applyBorder="1"/>
    <xf numFmtId="3" fontId="1" fillId="2" borderId="28" xfId="0" applyNumberFormat="1" applyFont="1" applyFill="1" applyBorder="1" applyAlignment="1">
      <alignment horizontal="right"/>
    </xf>
    <xf numFmtId="0" fontId="2" fillId="2" borderId="28" xfId="0" applyFont="1" applyFill="1" applyBorder="1" applyAlignment="1">
      <alignment horizontal="center" vertical="center"/>
    </xf>
    <xf numFmtId="3" fontId="1" fillId="2" borderId="28" xfId="0" applyNumberFormat="1" applyFont="1" applyFill="1" applyBorder="1"/>
    <xf numFmtId="9" fontId="6" fillId="4" borderId="20" xfId="0" applyNumberFormat="1" applyFont="1" applyFill="1" applyBorder="1"/>
    <xf numFmtId="3" fontId="6" fillId="4" borderId="20" xfId="0" applyNumberFormat="1" applyFont="1" applyFill="1" applyBorder="1"/>
    <xf numFmtId="0" fontId="26" fillId="13" borderId="0" xfId="0" applyFont="1" applyFill="1"/>
    <xf numFmtId="0" fontId="26" fillId="13" borderId="0" xfId="0" applyFont="1" applyFill="1" applyAlignment="1">
      <alignment horizontal="center" vertical="center"/>
    </xf>
    <xf numFmtId="3" fontId="26" fillId="13" borderId="0" xfId="0" applyNumberFormat="1" applyFont="1" applyFill="1" applyAlignment="1">
      <alignment horizontal="right"/>
    </xf>
    <xf numFmtId="3" fontId="26" fillId="13" borderId="0" xfId="0" applyNumberFormat="1" applyFont="1" applyFill="1"/>
    <xf numFmtId="0" fontId="2" fillId="2" borderId="0" xfId="0" applyFont="1" applyFill="1" applyBorder="1"/>
    <xf numFmtId="0" fontId="2" fillId="2" borderId="29" xfId="0" applyFont="1" applyFill="1" applyBorder="1"/>
    <xf numFmtId="0" fontId="1" fillId="2" borderId="30" xfId="0" applyFont="1" applyFill="1" applyBorder="1"/>
    <xf numFmtId="0" fontId="33" fillId="2" borderId="0" xfId="0" applyFont="1" applyFill="1" applyBorder="1"/>
    <xf numFmtId="0" fontId="30" fillId="2" borderId="0" xfId="0" applyFont="1" applyFill="1" applyAlignment="1">
      <alignment horizontal="right"/>
    </xf>
    <xf numFmtId="165" fontId="6" fillId="2" borderId="20" xfId="0" applyNumberFormat="1" applyFont="1" applyFill="1" applyBorder="1"/>
    <xf numFmtId="165" fontId="2" fillId="2" borderId="20" xfId="0" applyNumberFormat="1" applyFont="1" applyFill="1" applyBorder="1"/>
    <xf numFmtId="4" fontId="34" fillId="2" borderId="23" xfId="0" applyNumberFormat="1" applyFont="1" applyFill="1" applyBorder="1" applyAlignment="1">
      <alignment horizontal="right"/>
    </xf>
    <xf numFmtId="3" fontId="34" fillId="2" borderId="1" xfId="0" applyNumberFormat="1" applyFont="1" applyFill="1" applyBorder="1"/>
    <xf numFmtId="0" fontId="25" fillId="18" borderId="25" xfId="0" applyFont="1" applyFill="1" applyBorder="1"/>
    <xf numFmtId="0" fontId="2" fillId="3" borderId="5"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Border="1" applyAlignment="1">
      <alignment horizontal="center" vertical="center" wrapText="1"/>
    </xf>
    <xf numFmtId="0" fontId="2" fillId="3" borderId="6" xfId="0" applyFont="1" applyFill="1" applyBorder="1" applyAlignment="1">
      <alignment horizontal="center" vertical="center"/>
    </xf>
    <xf numFmtId="0" fontId="1" fillId="20" borderId="0" xfId="0" applyFont="1" applyFill="1" applyBorder="1" applyAlignment="1">
      <alignment wrapText="1"/>
    </xf>
    <xf numFmtId="0" fontId="1" fillId="2" borderId="0" xfId="0" applyFont="1" applyFill="1" applyAlignment="1">
      <alignment horizontal="center" vertical="center"/>
    </xf>
    <xf numFmtId="0" fontId="1" fillId="3" borderId="3" xfId="0" applyFont="1" applyFill="1" applyBorder="1" applyAlignment="1">
      <alignment horizontal="center" vertical="center"/>
    </xf>
    <xf numFmtId="0" fontId="1" fillId="2" borderId="0" xfId="0" applyFont="1" applyFill="1" applyBorder="1" applyAlignment="1">
      <alignment horizontal="center" vertical="center"/>
    </xf>
    <xf numFmtId="0" fontId="1" fillId="20" borderId="0" xfId="0" applyFont="1" applyFill="1" applyBorder="1" applyAlignment="1">
      <alignment horizontal="center" vertical="center"/>
    </xf>
    <xf numFmtId="0" fontId="1" fillId="3" borderId="8" xfId="0" applyFont="1" applyFill="1" applyBorder="1" applyAlignment="1">
      <alignment horizontal="center" vertical="center"/>
    </xf>
    <xf numFmtId="0" fontId="1" fillId="0" borderId="0" xfId="0" applyFont="1" applyAlignment="1">
      <alignment horizontal="center" vertical="center"/>
    </xf>
    <xf numFmtId="0" fontId="10" fillId="2" borderId="1" xfId="0" applyNumberFormat="1" applyFont="1" applyFill="1" applyBorder="1" applyAlignment="1">
      <alignment horizontal="center" vertical="center"/>
    </xf>
    <xf numFmtId="164" fontId="1" fillId="2" borderId="1" xfId="0" applyNumberFormat="1" applyFont="1" applyFill="1" applyBorder="1" applyAlignment="1">
      <alignment horizontal="center" vertical="center"/>
    </xf>
    <xf numFmtId="0" fontId="21" fillId="6" borderId="0" xfId="0" applyFont="1" applyFill="1" applyBorder="1" applyAlignment="1">
      <alignment horizontal="center" vertical="center"/>
    </xf>
    <xf numFmtId="0" fontId="21" fillId="21" borderId="0" xfId="0" applyFont="1" applyFill="1" applyBorder="1" applyAlignment="1">
      <alignment horizontal="center" vertical="center"/>
    </xf>
    <xf numFmtId="0" fontId="36" fillId="15" borderId="22" xfId="0" applyFont="1" applyFill="1" applyBorder="1" applyAlignment="1">
      <alignment horizontal="center" vertical="center"/>
    </xf>
    <xf numFmtId="0" fontId="10" fillId="2" borderId="8" xfId="0" applyFont="1" applyFill="1" applyBorder="1" applyAlignment="1">
      <alignment wrapText="1"/>
    </xf>
    <xf numFmtId="0" fontId="1" fillId="2" borderId="31" xfId="0" applyFont="1" applyFill="1" applyBorder="1" applyAlignment="1">
      <alignment wrapText="1"/>
    </xf>
    <xf numFmtId="0" fontId="1" fillId="2" borderId="32" xfId="0" applyFont="1" applyFill="1" applyBorder="1" applyAlignment="1">
      <alignment wrapText="1"/>
    </xf>
    <xf numFmtId="0" fontId="2" fillId="2" borderId="8" xfId="0" applyFont="1" applyFill="1" applyBorder="1" applyAlignment="1">
      <alignment wrapText="1"/>
    </xf>
    <xf numFmtId="0" fontId="1" fillId="2" borderId="31" xfId="0" quotePrefix="1" applyFont="1" applyFill="1" applyBorder="1" applyAlignment="1">
      <alignment wrapText="1"/>
    </xf>
    <xf numFmtId="0" fontId="1" fillId="2" borderId="33" xfId="0" quotePrefix="1" applyFont="1" applyFill="1" applyBorder="1" applyAlignment="1">
      <alignment wrapText="1"/>
    </xf>
    <xf numFmtId="0" fontId="1" fillId="2" borderId="32" xfId="0" quotePrefix="1" applyFont="1" applyFill="1" applyBorder="1" applyAlignment="1">
      <alignment wrapText="1"/>
    </xf>
    <xf numFmtId="0" fontId="3" fillId="2" borderId="0" xfId="0" applyFont="1" applyFill="1" applyBorder="1"/>
    <xf numFmtId="0" fontId="39" fillId="0" borderId="0" xfId="0" applyFont="1"/>
    <xf numFmtId="0" fontId="40" fillId="0" borderId="0" xfId="0" applyFont="1"/>
    <xf numFmtId="0" fontId="40" fillId="3" borderId="0" xfId="0" applyFont="1" applyFill="1"/>
    <xf numFmtId="0" fontId="39" fillId="3" borderId="0" xfId="0" applyFont="1" applyFill="1"/>
    <xf numFmtId="0" fontId="40" fillId="2" borderId="0" xfId="0" applyFont="1" applyFill="1"/>
    <xf numFmtId="0" fontId="39" fillId="2" borderId="0" xfId="0" applyFont="1" applyFill="1"/>
    <xf numFmtId="0" fontId="39" fillId="10" borderId="0" xfId="0" applyFont="1" applyFill="1"/>
    <xf numFmtId="0" fontId="41" fillId="2" borderId="0" xfId="0" applyFont="1" applyFill="1"/>
    <xf numFmtId="0" fontId="42" fillId="2" borderId="0" xfId="1" applyFill="1"/>
    <xf numFmtId="0" fontId="43" fillId="2" borderId="0" xfId="0" applyFont="1" applyFill="1"/>
    <xf numFmtId="0" fontId="45" fillId="2" borderId="0" xfId="0" applyFont="1" applyFill="1"/>
    <xf numFmtId="0" fontId="45" fillId="2" borderId="0" xfId="1" applyFont="1" applyFill="1"/>
    <xf numFmtId="0" fontId="43" fillId="2" borderId="0" xfId="0" applyFont="1" applyFill="1" applyAlignment="1">
      <alignment horizontal="center" vertical="center"/>
    </xf>
    <xf numFmtId="0" fontId="36" fillId="19" borderId="0" xfId="1" applyFont="1" applyFill="1" applyAlignment="1">
      <alignment horizontal="center" vertical="center"/>
    </xf>
    <xf numFmtId="0" fontId="36" fillId="6" borderId="0" xfId="1" applyFont="1" applyFill="1" applyAlignment="1">
      <alignment horizontal="center" vertical="center"/>
    </xf>
    <xf numFmtId="0" fontId="44" fillId="5" borderId="0" xfId="1" applyFont="1" applyFill="1" applyAlignment="1">
      <alignment horizontal="center" vertical="center"/>
    </xf>
    <xf numFmtId="0" fontId="36" fillId="21" borderId="0" xfId="1" applyFont="1" applyFill="1" applyAlignment="1">
      <alignment horizontal="center" vertical="center"/>
    </xf>
    <xf numFmtId="0" fontId="36" fillId="14" borderId="0" xfId="1" applyFont="1" applyFill="1" applyAlignment="1">
      <alignment horizontal="center" vertical="center"/>
    </xf>
    <xf numFmtId="0" fontId="44" fillId="22" borderId="0" xfId="1" applyFont="1" applyFill="1" applyAlignment="1">
      <alignment horizontal="center" vertical="center"/>
    </xf>
    <xf numFmtId="0" fontId="43" fillId="3" borderId="0" xfId="0" applyFont="1" applyFill="1"/>
    <xf numFmtId="0" fontId="43" fillId="5" borderId="0" xfId="0" applyFont="1" applyFill="1"/>
    <xf numFmtId="0" fontId="43" fillId="0" borderId="0" xfId="0" applyFont="1"/>
    <xf numFmtId="0" fontId="43" fillId="8" borderId="0" xfId="0" applyFont="1" applyFill="1"/>
    <xf numFmtId="0" fontId="45" fillId="17" borderId="0" xfId="1" applyFont="1" applyFill="1"/>
    <xf numFmtId="0" fontId="36" fillId="9" borderId="0" xfId="1" applyFont="1" applyFill="1" applyAlignment="1">
      <alignment horizontal="center" vertical="center"/>
    </xf>
    <xf numFmtId="0" fontId="2" fillId="2" borderId="34" xfId="0" applyFont="1" applyFill="1" applyBorder="1" applyAlignment="1">
      <alignment horizontal="center" vertical="center"/>
    </xf>
    <xf numFmtId="0" fontId="2" fillId="2" borderId="33" xfId="0" applyFont="1" applyFill="1" applyBorder="1" applyAlignment="1">
      <alignment horizontal="center" vertical="center"/>
    </xf>
    <xf numFmtId="0" fontId="2" fillId="2" borderId="32" xfId="0" applyFont="1" applyFill="1" applyBorder="1" applyAlignment="1">
      <alignment horizontal="center" vertical="center"/>
    </xf>
    <xf numFmtId="0" fontId="2" fillId="2" borderId="34" xfId="0" applyFont="1" applyFill="1" applyBorder="1"/>
    <xf numFmtId="3" fontId="2" fillId="2" borderId="34" xfId="0" applyNumberFormat="1" applyFont="1" applyFill="1" applyBorder="1" applyAlignment="1">
      <alignment horizontal="right"/>
    </xf>
    <xf numFmtId="0" fontId="2" fillId="2" borderId="33" xfId="0" applyFont="1" applyFill="1" applyBorder="1"/>
    <xf numFmtId="3" fontId="2" fillId="2" borderId="33" xfId="0" applyNumberFormat="1" applyFont="1" applyFill="1" applyBorder="1" applyAlignment="1">
      <alignment horizontal="right"/>
    </xf>
    <xf numFmtId="0" fontId="2" fillId="2" borderId="32" xfId="0" applyFont="1" applyFill="1" applyBorder="1"/>
    <xf numFmtId="3" fontId="2" fillId="2" borderId="32" xfId="0" applyNumberFormat="1" applyFont="1" applyFill="1" applyBorder="1" applyAlignment="1">
      <alignment horizontal="right"/>
    </xf>
    <xf numFmtId="165" fontId="2" fillId="11" borderId="0" xfId="0" applyNumberFormat="1" applyFont="1" applyFill="1" applyAlignment="1">
      <alignment horizontal="right"/>
    </xf>
    <xf numFmtId="10" fontId="2" fillId="2" borderId="0" xfId="0" applyNumberFormat="1" applyFont="1" applyFill="1"/>
    <xf numFmtId="3" fontId="6" fillId="2" borderId="35" xfId="0" applyNumberFormat="1" applyFont="1" applyFill="1" applyBorder="1"/>
    <xf numFmtId="0" fontId="3" fillId="13" borderId="0" xfId="0" applyFont="1" applyFill="1"/>
    <xf numFmtId="0" fontId="35" fillId="2" borderId="0" xfId="0" applyFont="1" applyFill="1"/>
    <xf numFmtId="0" fontId="35" fillId="2" borderId="0" xfId="0" applyFont="1" applyFill="1" applyAlignment="1">
      <alignment horizontal="center" vertical="center"/>
    </xf>
    <xf numFmtId="167" fontId="35" fillId="2" borderId="1" xfId="0" applyNumberFormat="1" applyFont="1" applyFill="1" applyBorder="1" applyAlignment="1">
      <alignment horizontal="right"/>
    </xf>
    <xf numFmtId="0" fontId="1" fillId="5" borderId="0" xfId="0" applyFont="1" applyFill="1"/>
    <xf numFmtId="3" fontId="1" fillId="5" borderId="0" xfId="0" applyNumberFormat="1" applyFont="1" applyFill="1" applyAlignment="1">
      <alignment horizontal="right"/>
    </xf>
    <xf numFmtId="167" fontId="2" fillId="2" borderId="0" xfId="0" applyNumberFormat="1" applyFont="1" applyFill="1"/>
    <xf numFmtId="0" fontId="3" fillId="17" borderId="0" xfId="0" applyFont="1" applyFill="1"/>
    <xf numFmtId="0" fontId="2" fillId="23" borderId="0" xfId="0" applyFont="1" applyFill="1"/>
    <xf numFmtId="0" fontId="36" fillId="7" borderId="0" xfId="1" applyFont="1" applyFill="1" applyAlignment="1">
      <alignment horizontal="center" vertical="center"/>
    </xf>
    <xf numFmtId="3" fontId="2" fillId="4" borderId="1" xfId="0" applyNumberFormat="1" applyFont="1" applyFill="1" applyBorder="1"/>
    <xf numFmtId="9" fontId="4" fillId="2" borderId="21" xfId="0" applyNumberFormat="1" applyFont="1" applyFill="1" applyBorder="1"/>
    <xf numFmtId="0" fontId="38" fillId="2" borderId="0" xfId="0" applyFont="1" applyFill="1" applyAlignment="1">
      <alignment horizontal="center" vertical="center"/>
    </xf>
    <xf numFmtId="0" fontId="46" fillId="2" borderId="0" xfId="0" quotePrefix="1" applyFont="1" applyFill="1" applyAlignment="1">
      <alignment horizontal="right" vertical="center"/>
    </xf>
    <xf numFmtId="0" fontId="35" fillId="5" borderId="0" xfId="0" applyFont="1" applyFill="1" applyBorder="1" applyAlignment="1">
      <alignment horizontal="center" vertical="center"/>
    </xf>
    <xf numFmtId="0" fontId="21" fillId="9" borderId="0" xfId="0" applyFont="1" applyFill="1" applyBorder="1" applyAlignment="1">
      <alignment horizontal="center" vertical="center"/>
    </xf>
    <xf numFmtId="0" fontId="21" fillId="7" borderId="0" xfId="0" applyFont="1" applyFill="1" applyBorder="1" applyAlignment="1">
      <alignment horizontal="center" vertical="center"/>
    </xf>
    <xf numFmtId="0" fontId="21" fillId="14" borderId="0" xfId="0" applyFont="1" applyFill="1" applyBorder="1" applyAlignment="1">
      <alignment horizontal="center" vertical="center"/>
    </xf>
    <xf numFmtId="0" fontId="35" fillId="22" borderId="0" xfId="0" applyFont="1" applyFill="1" applyBorder="1" applyAlignment="1">
      <alignment horizontal="center" vertical="center"/>
    </xf>
    <xf numFmtId="0" fontId="1" fillId="5" borderId="0" xfId="0" applyFont="1" applyFill="1" applyBorder="1" applyAlignment="1">
      <alignment horizontal="center" vertical="center"/>
    </xf>
    <xf numFmtId="0" fontId="1" fillId="24" borderId="0" xfId="0" applyFont="1" applyFill="1" applyBorder="1" applyAlignment="1">
      <alignment horizontal="center" vertical="center"/>
    </xf>
  </cellXfs>
  <cellStyles count="2">
    <cellStyle name="Гиперссылка" xfId="1" builtinId="8"/>
    <cellStyle name="Обычный" xfId="0" builtinId="0"/>
  </cellStyles>
  <dxfs count="11724">
    <dxf>
      <fill>
        <patternFill>
          <bgColor theme="0"/>
        </patternFill>
      </fill>
    </dxf>
    <dxf>
      <font>
        <color theme="0" tint="-0.24994659260841701"/>
      </font>
    </dxf>
    <dxf>
      <font>
        <color theme="0" tint="-0.24994659260841701"/>
      </font>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9" tint="0.59996337778862885"/>
        </patternFill>
      </fill>
    </dxf>
    <dxf>
      <font>
        <color theme="0" tint="-0.24994659260841701"/>
      </font>
    </dxf>
    <dxf>
      <font>
        <color theme="0" tint="-0.24994659260841701"/>
      </font>
    </dxf>
    <dxf>
      <fill>
        <patternFill>
          <bgColor theme="9" tint="0.59996337778862885"/>
        </patternFill>
      </fill>
    </dxf>
    <dxf>
      <font>
        <color theme="0" tint="-0.24994659260841701"/>
      </font>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ont>
        <color theme="0" tint="-0.24994659260841701"/>
      </font>
    </dxf>
    <dxf>
      <font>
        <color theme="0"/>
      </font>
      <fill>
        <patternFill>
          <bgColor theme="0"/>
        </patternFill>
      </fill>
      <border>
        <left/>
        <top/>
        <bottom/>
        <vertical/>
        <horizontal/>
      </border>
    </dxf>
    <dxf>
      <font>
        <color theme="0"/>
      </font>
      <fill>
        <patternFill>
          <bgColor theme="0"/>
        </patternFill>
      </fill>
      <border>
        <left/>
        <right/>
        <top/>
        <bottom/>
        <vertical/>
        <horizontal/>
      </border>
    </dxf>
    <dxf>
      <font>
        <color theme="0"/>
      </font>
      <fill>
        <patternFill>
          <bgColor theme="0"/>
        </patternFill>
      </fill>
      <border>
        <left/>
        <top/>
        <bottom/>
        <vertical/>
        <horizontal/>
      </border>
    </dxf>
    <dxf>
      <font>
        <color theme="0" tint="-0.24994659260841701"/>
      </font>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9" tint="0.59996337778862885"/>
        </patternFill>
      </fill>
    </dxf>
    <dxf>
      <font>
        <color theme="0" tint="-0.24994659260841701"/>
      </font>
    </dxf>
    <dxf>
      <fill>
        <patternFill>
          <bgColor theme="0"/>
        </patternFill>
      </fill>
    </dxf>
    <dxf>
      <font>
        <color theme="0" tint="-0.24994659260841701"/>
      </font>
    </dxf>
    <dxf>
      <fill>
        <patternFill>
          <bgColor theme="0"/>
        </patternFill>
      </fill>
    </dxf>
    <dxf>
      <font>
        <color theme="0" tint="-0.24994659260841701"/>
      </font>
    </dxf>
    <dxf>
      <font>
        <color theme="0" tint="-0.24994659260841701"/>
      </font>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border>
        <left/>
        <top/>
        <bottom/>
        <vertical/>
        <horizontal/>
      </border>
    </dxf>
    <dxf>
      <font>
        <color theme="0" tint="-0.24994659260841701"/>
      </font>
    </dxf>
    <dxf>
      <font>
        <color theme="0"/>
      </font>
      <fill>
        <patternFill>
          <bgColor theme="0"/>
        </patternFill>
      </fill>
      <border>
        <left/>
        <top/>
        <bottom/>
        <vertical/>
        <horizontal/>
      </border>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9" tint="0.59996337778862885"/>
        </patternFill>
      </fill>
    </dxf>
    <dxf>
      <font>
        <color theme="0" tint="-0.24994659260841701"/>
      </font>
    </dxf>
    <dxf>
      <font>
        <color theme="0" tint="-0.24994659260841701"/>
      </font>
    </dxf>
    <dxf>
      <fill>
        <patternFill>
          <bgColor theme="9" tint="0.59996337778862885"/>
        </patternFill>
      </fill>
    </dxf>
    <dxf>
      <font>
        <color theme="0" tint="-0.24994659260841701"/>
      </font>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ont>
        <color theme="0" tint="-0.24994659260841701"/>
      </font>
    </dxf>
    <dxf>
      <font>
        <color theme="0"/>
      </font>
      <fill>
        <patternFill>
          <bgColor theme="0"/>
        </patternFill>
      </fill>
      <border>
        <left/>
        <top/>
        <bottom/>
        <vertical/>
        <horizontal/>
      </border>
    </dxf>
    <dxf>
      <font>
        <color theme="0"/>
      </font>
      <fill>
        <patternFill>
          <bgColor theme="0"/>
        </patternFill>
      </fill>
      <border>
        <left/>
        <right/>
        <top/>
        <bottom/>
        <vertical/>
        <horizontal/>
      </border>
    </dxf>
    <dxf>
      <font>
        <color theme="0"/>
      </font>
      <fill>
        <patternFill>
          <bgColor theme="0"/>
        </patternFill>
      </fill>
      <border>
        <left/>
        <top/>
        <bottom/>
        <vertical/>
        <horizontal/>
      </border>
    </dxf>
    <dxf>
      <font>
        <color theme="0" tint="-0.24994659260841701"/>
      </font>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font>
      <fill>
        <patternFill>
          <bgColor theme="0"/>
        </patternFill>
      </fill>
      <border>
        <left/>
        <righ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9" tint="0.59996337778862885"/>
        </patternFill>
      </fill>
    </dxf>
    <dxf>
      <font>
        <color theme="0" tint="-0.24994659260841701"/>
      </font>
    </dxf>
    <dxf>
      <fill>
        <patternFill>
          <bgColor theme="0"/>
        </patternFill>
      </fill>
    </dxf>
    <dxf>
      <font>
        <color theme="0" tint="-0.24994659260841701"/>
      </font>
    </dxf>
    <dxf>
      <fill>
        <patternFill>
          <bgColor theme="0"/>
        </patternFill>
      </fill>
    </dxf>
    <dxf>
      <font>
        <color theme="0" tint="-0.24994659260841701"/>
      </font>
    </dxf>
    <dxf>
      <font>
        <color theme="0" tint="-0.24994659260841701"/>
      </font>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border>
        <left/>
        <top/>
        <bottom/>
        <vertical/>
        <horizontal/>
      </border>
    </dxf>
    <dxf>
      <font>
        <color theme="0" tint="-0.24994659260841701"/>
      </font>
    </dxf>
    <dxf>
      <font>
        <color theme="0"/>
      </font>
      <fill>
        <patternFill>
          <bgColor theme="0"/>
        </patternFill>
      </fill>
      <border>
        <left/>
        <top/>
        <bottom/>
        <vertical/>
        <horizontal/>
      </border>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9" tint="0.59996337778862885"/>
        </patternFill>
      </fill>
    </dxf>
    <dxf>
      <font>
        <color theme="0" tint="-0.24994659260841701"/>
      </font>
    </dxf>
    <dxf>
      <font>
        <color theme="0" tint="-0.24994659260841701"/>
      </font>
    </dxf>
    <dxf>
      <fill>
        <patternFill>
          <bgColor theme="9" tint="0.59996337778862885"/>
        </patternFill>
      </fill>
    </dxf>
    <dxf>
      <font>
        <color theme="0" tint="-0.24994659260841701"/>
      </font>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ont>
        <color theme="0" tint="-0.24994659260841701"/>
      </font>
    </dxf>
    <dxf>
      <font>
        <color theme="0"/>
      </font>
      <fill>
        <patternFill>
          <bgColor theme="0"/>
        </patternFill>
      </fill>
      <border>
        <left/>
        <top/>
        <bottom/>
        <vertical/>
        <horizontal/>
      </border>
    </dxf>
    <dxf>
      <font>
        <color theme="0"/>
      </font>
      <fill>
        <patternFill>
          <bgColor theme="0"/>
        </patternFill>
      </fill>
      <border>
        <left/>
        <right/>
        <top/>
        <bottom/>
        <vertical/>
        <horizontal/>
      </border>
    </dxf>
    <dxf>
      <font>
        <color theme="0"/>
      </font>
      <fill>
        <patternFill>
          <bgColor theme="0"/>
        </patternFill>
      </fill>
      <border>
        <left/>
        <top/>
        <bottom/>
        <vertical/>
        <horizontal/>
      </border>
    </dxf>
    <dxf>
      <font>
        <color theme="0" tint="-0.24994659260841701"/>
      </font>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9" tint="0.59996337778862885"/>
        </patternFill>
      </fill>
    </dxf>
    <dxf>
      <font>
        <color theme="0" tint="-0.24994659260841701"/>
      </font>
    </dxf>
    <dxf>
      <fill>
        <patternFill>
          <bgColor theme="0"/>
        </patternFill>
      </fill>
    </dxf>
    <dxf>
      <font>
        <color theme="0" tint="-0.24994659260841701"/>
      </font>
    </dxf>
    <dxf>
      <font>
        <color theme="0" tint="-0.24994659260841701"/>
      </font>
    </dxf>
    <dxf>
      <font>
        <color theme="0" tint="-0.24994659260841701"/>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24994659260841701"/>
      </font>
    </dxf>
    <dxf>
      <font>
        <color theme="0" tint="-0.24994659260841701"/>
      </font>
    </dxf>
    <dxf>
      <font>
        <color theme="0" tint="-0.24994659260841701"/>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top/>
        <bottom/>
        <vertical/>
        <horizontal/>
      </border>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top/>
        <bottom/>
        <vertical/>
        <horizontal/>
      </border>
    </dxf>
    <dxf>
      <fill>
        <patternFill>
          <bgColor theme="9" tint="0.59996337778862885"/>
        </patternFill>
      </fill>
    </dxf>
    <dxf>
      <fill>
        <patternFill>
          <bgColor theme="9" tint="0.59996337778862885"/>
        </patternFill>
      </fill>
    </dxf>
    <dxf>
      <font>
        <color theme="0"/>
      </font>
      <fill>
        <patternFill>
          <bgColor theme="0"/>
        </patternFill>
      </fill>
      <border>
        <left/>
        <right/>
        <top/>
        <bottom/>
        <vertical/>
        <horizontal/>
      </border>
    </dxf>
    <dxf>
      <font>
        <color theme="0"/>
      </font>
      <fill>
        <patternFill>
          <bgColor theme="0"/>
        </patternFill>
      </fill>
      <border>
        <left/>
        <top/>
        <bottom/>
        <vertical/>
        <horizontal/>
      </border>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9" tint="0.59996337778862885"/>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top/>
        <bottom/>
        <vertical/>
        <horizontal/>
      </border>
    </dxf>
    <dxf>
      <font>
        <color theme="0"/>
      </font>
      <fill>
        <patternFill>
          <bgColor theme="0"/>
        </patternFill>
      </fill>
      <border>
        <left/>
        <right/>
        <top/>
        <bottom/>
        <vertical/>
        <horizontal/>
      </border>
    </dxf>
    <dxf>
      <font>
        <color theme="0"/>
      </font>
      <fill>
        <patternFill>
          <bgColor theme="0"/>
        </patternFill>
      </fill>
      <border>
        <left/>
        <top/>
        <bottom/>
        <vertical/>
        <horizontal/>
      </border>
    </dxf>
    <dxf>
      <font>
        <color theme="0" tint="-0.24994659260841701"/>
      </font>
    </dxf>
    <dxf>
      <font>
        <color theme="0"/>
      </font>
      <fill>
        <patternFill>
          <bgColor theme="0"/>
        </patternFill>
      </fill>
      <border>
        <left/>
        <right/>
        <top/>
        <bottom/>
        <vertical/>
        <horizontal/>
      </border>
    </dxf>
    <dxf>
      <font>
        <color theme="0"/>
      </font>
      <fill>
        <patternFill>
          <bgColor theme="0"/>
        </patternFill>
      </fill>
      <border>
        <left/>
        <top/>
        <bottom/>
        <vertical/>
        <horizontal/>
      </border>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ill>
        <patternFill>
          <bgColor theme="9" tint="0.59996337778862885"/>
        </patternFill>
      </fill>
    </dxf>
    <dxf>
      <font>
        <color theme="0" tint="-0.24994659260841701"/>
      </font>
    </dxf>
    <dxf>
      <font>
        <color theme="0" tint="-0.24994659260841701"/>
      </font>
    </dxf>
    <dxf>
      <fill>
        <patternFill>
          <bgColor theme="9" tint="0.59996337778862885"/>
        </patternFill>
      </fill>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24994659260841701"/>
      </font>
    </dxf>
    <dxf>
      <fill>
        <patternFill>
          <bgColor theme="9" tint="0.59996337778862885"/>
        </patternFill>
      </fill>
    </dxf>
    <dxf>
      <font>
        <color theme="0" tint="-0.24994659260841701"/>
      </font>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9" tint="0.59996337778862885"/>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ill>
        <patternFill>
          <bgColor theme="9" tint="0.59996337778862885"/>
        </patternFill>
      </fill>
    </dxf>
    <dxf>
      <fill>
        <patternFill>
          <bgColor theme="9" tint="0.59996337778862885"/>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9" tint="0.59996337778862885"/>
        </patternFill>
      </fill>
    </dxf>
    <dxf>
      <font>
        <color theme="0" tint="-0.24994659260841701"/>
      </font>
    </dxf>
    <dxf>
      <fill>
        <patternFill>
          <bgColor theme="0"/>
        </patternFill>
      </fill>
    </dxf>
    <dxf>
      <font>
        <color theme="0" tint="-0.24994659260841701"/>
      </font>
    </dxf>
    <dxf>
      <fill>
        <patternFill>
          <bgColor theme="9" tint="0.59996337778862885"/>
        </patternFill>
      </fill>
    </dxf>
    <dxf>
      <fill>
        <patternFill>
          <bgColor theme="9" tint="0.59996337778862885"/>
        </patternFill>
      </fill>
    </dxf>
    <dxf>
      <fill>
        <patternFill>
          <bgColor theme="9" tint="0.59996337778862885"/>
        </patternFill>
      </fill>
    </dxf>
    <dxf>
      <font>
        <color theme="0" tint="-0.24994659260841701"/>
      </font>
    </dxf>
    <dxf>
      <font>
        <color theme="0" tint="-0.24994659260841701"/>
      </font>
    </dxf>
    <dxf>
      <font>
        <color theme="0" tint="-0.24994659260841701"/>
      </font>
    </dxf>
    <dxf>
      <fill>
        <patternFill>
          <bgColor theme="9" tint="0.59996337778862885"/>
        </patternFill>
      </fill>
    </dxf>
    <dxf>
      <font>
        <color theme="0" tint="-0.24994659260841701"/>
      </font>
    </dxf>
    <dxf>
      <font>
        <color theme="0" tint="-0.24994659260841701"/>
      </font>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fill>
        <patternFill>
          <bgColor theme="0"/>
        </patternFill>
      </fill>
      <border>
        <lef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ill>
        <patternFill>
          <bgColor theme="9" tint="0.59996337778862885"/>
        </patternFill>
      </fill>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fill>
        <patternFill>
          <bgColor theme="0"/>
        </patternFill>
      </fill>
      <border>
        <left/>
        <top/>
        <bottom/>
        <vertical/>
        <horizontal/>
      </border>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ill>
        <patternFill>
          <bgColor theme="9" tint="0.59996337778862885"/>
        </patternFill>
      </fill>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font>
      <fill>
        <patternFill>
          <bgColor theme="0"/>
        </patternFill>
      </fill>
      <border>
        <lef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dxf>
    <dxf>
      <fill>
        <patternFill>
          <bgColor theme="0"/>
        </patternFill>
      </fill>
    </dxf>
    <dxf>
      <font>
        <color theme="0"/>
      </font>
      <fill>
        <patternFill>
          <bgColor theme="0"/>
        </patternFill>
      </fill>
      <border>
        <lef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9" tint="0.59996337778862885"/>
        </patternFill>
      </fill>
    </dxf>
    <dxf>
      <font>
        <color theme="0" tint="-0.24994659260841701"/>
      </font>
    </dxf>
    <dxf>
      <fill>
        <patternFill>
          <bgColor theme="9" tint="0.59996337778862885"/>
        </patternFill>
      </fill>
    </dxf>
    <dxf>
      <fill>
        <patternFill>
          <bgColor theme="9" tint="0.59996337778862885"/>
        </patternFill>
      </fill>
    </dxf>
    <dxf>
      <font>
        <color theme="0" tint="-0.24994659260841701"/>
      </font>
    </dxf>
    <dxf>
      <fill>
        <patternFill>
          <bgColor theme="9" tint="0.59996337778862885"/>
        </patternFill>
      </fill>
    </dxf>
    <dxf>
      <font>
        <color theme="0"/>
      </font>
      <fill>
        <patternFill>
          <bgColor theme="0"/>
        </patternFill>
      </fill>
      <border>
        <left/>
        <top/>
        <bottom/>
        <vertical/>
        <horizontal/>
      </border>
    </dxf>
    <dxf>
      <fill>
        <patternFill>
          <bgColor theme="9" tint="0.59996337778862885"/>
        </patternFill>
      </fill>
    </dxf>
    <dxf>
      <fill>
        <patternFill>
          <bgColor theme="0"/>
        </patternFill>
      </fill>
    </dxf>
    <dxf>
      <fill>
        <patternFill>
          <bgColor theme="0"/>
        </patternFill>
      </fill>
    </dxf>
    <dxf>
      <font>
        <color theme="0"/>
      </font>
      <fill>
        <patternFill>
          <bgColor theme="0"/>
        </patternFill>
      </fill>
      <border>
        <left/>
        <right/>
        <top/>
        <bottom/>
        <vertical/>
        <horizontal/>
      </border>
    </dxf>
    <dxf>
      <fill>
        <patternFill>
          <bgColor theme="9" tint="0.59996337778862885"/>
        </patternFill>
      </fill>
    </dxf>
    <dxf>
      <font>
        <color theme="0"/>
      </font>
      <fill>
        <patternFill>
          <bgColor theme="0"/>
        </patternFill>
      </fill>
      <border>
        <lef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9" tint="0.59996337778862885"/>
        </patternFill>
      </fill>
    </dxf>
    <dxf>
      <font>
        <color theme="0"/>
      </font>
      <fill>
        <patternFill>
          <bgColor theme="0"/>
        </patternFill>
      </fill>
      <border>
        <left/>
        <top/>
        <bottom/>
        <vertical/>
        <horizontal/>
      </border>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24994659260841701"/>
      </font>
    </dxf>
    <dxf>
      <fill>
        <patternFill>
          <bgColor theme="0"/>
        </patternFill>
      </fill>
    </dxf>
    <dxf>
      <font>
        <color theme="0" tint="-0.24994659260841701"/>
      </font>
    </dxf>
    <dxf>
      <font>
        <color theme="0" tint="-0.24994659260841701"/>
      </font>
    </dxf>
    <dxf>
      <fill>
        <patternFill>
          <bgColor theme="9" tint="0.59996337778862885"/>
        </patternFill>
      </fill>
    </dxf>
    <dxf>
      <fill>
        <patternFill>
          <bgColor theme="0"/>
        </patternFill>
      </fill>
    </dxf>
    <dxf>
      <fill>
        <patternFill>
          <bgColor theme="0"/>
        </patternFill>
      </fill>
    </dxf>
    <dxf>
      <fill>
        <patternFill>
          <bgColor theme="0"/>
        </patternFill>
      </fill>
    </dxf>
    <dxf>
      <font>
        <color theme="0"/>
      </font>
      <fill>
        <patternFill>
          <bgColor theme="0"/>
        </patternFill>
      </fill>
      <border>
        <left/>
        <right/>
        <top/>
        <bottom/>
        <vertical/>
        <horizontal/>
      </border>
    </dxf>
    <dxf>
      <fill>
        <patternFill>
          <bgColor theme="9" tint="0.59996337778862885"/>
        </patternFill>
      </fill>
    </dxf>
    <dxf>
      <fill>
        <patternFill>
          <bgColor theme="0"/>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24994659260841701"/>
      </font>
    </dxf>
    <dxf>
      <font>
        <color theme="0" tint="-0.24994659260841701"/>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ont>
        <color theme="0"/>
      </font>
      <fill>
        <patternFill>
          <bgColor theme="0"/>
        </patternFill>
      </fill>
      <border>
        <left/>
        <right/>
        <top/>
        <bottom/>
        <vertical/>
        <horizontal/>
      </border>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24994659260841701"/>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dxf>
    <dxf>
      <fill>
        <patternFill>
          <bgColor theme="9" tint="0.59996337778862885"/>
        </patternFill>
      </fill>
    </dxf>
    <dxf>
      <fill>
        <patternFill>
          <bgColor theme="9" tint="0.59996337778862885"/>
        </patternFill>
      </fill>
    </dxf>
    <dxf>
      <font>
        <color theme="0" tint="-0.24994659260841701"/>
      </font>
    </dxf>
    <dxf>
      <fill>
        <patternFill>
          <bgColor theme="9" tint="0.59996337778862885"/>
        </patternFill>
      </fill>
    </dxf>
    <dxf>
      <fill>
        <patternFill>
          <bgColor theme="9" tint="0.59996337778862885"/>
        </patternFill>
      </fill>
    </dxf>
    <dxf>
      <font>
        <color theme="0" tint="-0.24994659260841701"/>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mngmnt.ru/finmodeli/primery_finmodeley/investitsionnaya_model_bazy_otdykha_uslugi.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mngmnt.ru/finmodeli/primery_finmodeley/investitsionnaya_model_bazy_otdykha_uslugi.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drawing1.xml><?xml version="1.0" encoding="utf-8"?>
<xdr:wsDr xmlns:xdr="http://schemas.openxmlformats.org/drawingml/2006/spreadsheetDrawing" xmlns:a="http://schemas.openxmlformats.org/drawingml/2006/main">
  <xdr:twoCellAnchor editAs="oneCell">
    <xdr:from>
      <xdr:col>4</xdr:col>
      <xdr:colOff>3383280</xdr:colOff>
      <xdr:row>2</xdr:row>
      <xdr:rowOff>91440</xdr:rowOff>
    </xdr:from>
    <xdr:to>
      <xdr:col>7</xdr:col>
      <xdr:colOff>114460</xdr:colOff>
      <xdr:row>6</xdr:row>
      <xdr:rowOff>53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24300" y="312420"/>
          <a:ext cx="1844200" cy="609653"/>
        </a:xfrm>
        <a:prstGeom prst="rect">
          <a:avLst/>
        </a:prstGeom>
      </xdr:spPr>
    </xdr:pic>
    <xdr:clientData/>
  </xdr:twoCellAnchor>
  <xdr:twoCellAnchor editAs="absolute">
    <xdr:from>
      <xdr:col>10</xdr:col>
      <xdr:colOff>0</xdr:colOff>
      <xdr:row>2</xdr:row>
      <xdr:rowOff>0</xdr:rowOff>
    </xdr:from>
    <xdr:to>
      <xdr:col>12</xdr:col>
      <xdr:colOff>365760</xdr:colOff>
      <xdr:row>6</xdr:row>
      <xdr:rowOff>121920</xdr:rowOff>
    </xdr:to>
    <xdr:sp macro="" textlink="">
      <xdr:nvSpPr>
        <xdr:cNvPr id="3" name="Скругленный прямоугольник 2">
          <a:hlinkClick xmlns:r="http://schemas.openxmlformats.org/officeDocument/2006/relationships" r:id="rId3" tooltip="на сайт разработчика финмодели базы отдыха MNGMNT.RU"/>
        </xdr:cNvPr>
        <xdr:cNvSpPr/>
      </xdr:nvSpPr>
      <xdr:spPr>
        <a:xfrm>
          <a:off x="6080760" y="220980"/>
          <a:ext cx="1615440" cy="82296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ИНВЕСТИЦИОННЫЙ</a:t>
          </a:r>
          <a:r>
            <a:rPr lang="ru-RU" sz="1000" b="1" baseline="0">
              <a:solidFill>
                <a:srgbClr val="002060"/>
              </a:solidFill>
            </a:rPr>
            <a:t> ПРОЕКТ БАЗЫ ОТДЫХА</a:t>
          </a:r>
          <a:endParaRPr lang="ru-RU" sz="1000" b="1">
            <a:solidFill>
              <a:srgbClr val="00206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95250</xdr:colOff>
      <xdr:row>4</xdr:row>
      <xdr:rowOff>0</xdr:rowOff>
    </xdr:from>
    <xdr:to>
      <xdr:col>1</xdr:col>
      <xdr:colOff>95250</xdr:colOff>
      <xdr:row>6</xdr:row>
      <xdr:rowOff>9525</xdr:rowOff>
    </xdr:to>
    <xdr:cxnSp macro="">
      <xdr:nvCxnSpPr>
        <xdr:cNvPr id="2" name="Прямая со стрелкой 1"/>
        <xdr:cNvCxnSpPr/>
      </xdr:nvCxnSpPr>
      <xdr:spPr>
        <a:xfrm>
          <a:off x="276225" y="619125"/>
          <a:ext cx="0" cy="314325"/>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95250</xdr:colOff>
      <xdr:row>4</xdr:row>
      <xdr:rowOff>0</xdr:rowOff>
    </xdr:from>
    <xdr:to>
      <xdr:col>1</xdr:col>
      <xdr:colOff>95250</xdr:colOff>
      <xdr:row>6</xdr:row>
      <xdr:rowOff>9525</xdr:rowOff>
    </xdr:to>
    <xdr:cxnSp macro="">
      <xdr:nvCxnSpPr>
        <xdr:cNvPr id="2" name="Прямая со стрелкой 1"/>
        <xdr:cNvCxnSpPr/>
      </xdr:nvCxnSpPr>
      <xdr:spPr>
        <a:xfrm>
          <a:off x="276225" y="619125"/>
          <a:ext cx="0" cy="314325"/>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95250</xdr:colOff>
      <xdr:row>4</xdr:row>
      <xdr:rowOff>0</xdr:rowOff>
    </xdr:from>
    <xdr:to>
      <xdr:col>1</xdr:col>
      <xdr:colOff>95250</xdr:colOff>
      <xdr:row>6</xdr:row>
      <xdr:rowOff>9525</xdr:rowOff>
    </xdr:to>
    <xdr:cxnSp macro="">
      <xdr:nvCxnSpPr>
        <xdr:cNvPr id="2" name="Прямая со стрелкой 1"/>
        <xdr:cNvCxnSpPr/>
      </xdr:nvCxnSpPr>
      <xdr:spPr>
        <a:xfrm>
          <a:off x="276225" y="609600"/>
          <a:ext cx="0" cy="314325"/>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95250</xdr:colOff>
      <xdr:row>4</xdr:row>
      <xdr:rowOff>0</xdr:rowOff>
    </xdr:from>
    <xdr:to>
      <xdr:col>1</xdr:col>
      <xdr:colOff>95250</xdr:colOff>
      <xdr:row>6</xdr:row>
      <xdr:rowOff>9525</xdr:rowOff>
    </xdr:to>
    <xdr:cxnSp macro="">
      <xdr:nvCxnSpPr>
        <xdr:cNvPr id="2" name="Прямая со стрелкой 1"/>
        <xdr:cNvCxnSpPr/>
      </xdr:nvCxnSpPr>
      <xdr:spPr>
        <a:xfrm>
          <a:off x="276225" y="609600"/>
          <a:ext cx="0" cy="314325"/>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95250</xdr:colOff>
      <xdr:row>4</xdr:row>
      <xdr:rowOff>0</xdr:rowOff>
    </xdr:from>
    <xdr:to>
      <xdr:col>1</xdr:col>
      <xdr:colOff>95250</xdr:colOff>
      <xdr:row>6</xdr:row>
      <xdr:rowOff>9525</xdr:rowOff>
    </xdr:to>
    <xdr:cxnSp macro="">
      <xdr:nvCxnSpPr>
        <xdr:cNvPr id="2" name="Прямая со стрелкой 1"/>
        <xdr:cNvCxnSpPr/>
      </xdr:nvCxnSpPr>
      <xdr:spPr>
        <a:xfrm>
          <a:off x="276225" y="609600"/>
          <a:ext cx="0" cy="314325"/>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2278380</xdr:colOff>
      <xdr:row>3</xdr:row>
      <xdr:rowOff>30480</xdr:rowOff>
    </xdr:from>
    <xdr:to>
      <xdr:col>14</xdr:col>
      <xdr:colOff>7780</xdr:colOff>
      <xdr:row>7</xdr:row>
      <xdr:rowOff>30533</xdr:rowOff>
    </xdr:to>
    <xdr:pic>
      <xdr:nvPicPr>
        <xdr:cNvPr id="3" name="Рисунок 2">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5420" y="289560"/>
          <a:ext cx="1844200" cy="609653"/>
        </a:xfrm>
        <a:prstGeom prst="rect">
          <a:avLst/>
        </a:prstGeom>
      </xdr:spPr>
    </xdr:pic>
    <xdr:clientData/>
  </xdr:twoCellAnchor>
  <xdr:twoCellAnchor editAs="absolute">
    <xdr:from>
      <xdr:col>12</xdr:col>
      <xdr:colOff>594360</xdr:colOff>
      <xdr:row>2</xdr:row>
      <xdr:rowOff>60960</xdr:rowOff>
    </xdr:from>
    <xdr:to>
      <xdr:col>12</xdr:col>
      <xdr:colOff>2209800</xdr:colOff>
      <xdr:row>7</xdr:row>
      <xdr:rowOff>7620</xdr:rowOff>
    </xdr:to>
    <xdr:sp macro="" textlink="">
      <xdr:nvSpPr>
        <xdr:cNvPr id="4" name="Скругленный прямоугольник 3">
          <a:hlinkClick xmlns:r="http://schemas.openxmlformats.org/officeDocument/2006/relationships" r:id="rId3" tooltip="на сайт разработчика финмодели базы отдыха MNGMNT.RU"/>
        </xdr:cNvPr>
        <xdr:cNvSpPr/>
      </xdr:nvSpPr>
      <xdr:spPr>
        <a:xfrm>
          <a:off x="3581400" y="220980"/>
          <a:ext cx="1615440" cy="655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ИНВЕСТИЦИОННЫЙ</a:t>
          </a:r>
          <a:r>
            <a:rPr lang="ru-RU" sz="1000" b="1" baseline="0">
              <a:solidFill>
                <a:srgbClr val="002060"/>
              </a:solidFill>
            </a:rPr>
            <a:t> ПРОЕКТ БАЗЫ ОТДЫХА</a:t>
          </a:r>
          <a:endParaRPr lang="ru-RU" sz="1000" b="1">
            <a:solidFill>
              <a:srgbClr val="00206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114300</xdr:colOff>
      <xdr:row>2</xdr:row>
      <xdr:rowOff>22860</xdr:rowOff>
    </xdr:from>
    <xdr:to>
      <xdr:col>13</xdr:col>
      <xdr:colOff>83980</xdr:colOff>
      <xdr:row>6</xdr:row>
      <xdr:rowOff>22913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85360" y="350520"/>
          <a:ext cx="1844200" cy="6096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2339340</xdr:colOff>
      <xdr:row>0</xdr:row>
      <xdr:rowOff>76200</xdr:rowOff>
    </xdr:from>
    <xdr:to>
      <xdr:col>8</xdr:col>
      <xdr:colOff>45880</xdr:colOff>
      <xdr:row>4</xdr:row>
      <xdr:rowOff>53393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13020" y="76200"/>
          <a:ext cx="1844200" cy="6096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190500</xdr:colOff>
      <xdr:row>1</xdr:row>
      <xdr:rowOff>129540</xdr:rowOff>
    </xdr:from>
    <xdr:to>
      <xdr:col>13</xdr:col>
      <xdr:colOff>76360</xdr:colOff>
      <xdr:row>5</xdr:row>
      <xdr:rowOff>129593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53000" y="304800"/>
          <a:ext cx="1844200" cy="6096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228600</xdr:colOff>
      <xdr:row>2</xdr:row>
      <xdr:rowOff>45720</xdr:rowOff>
    </xdr:from>
    <xdr:to>
      <xdr:col>13</xdr:col>
      <xdr:colOff>114460</xdr:colOff>
      <xdr:row>6</xdr:row>
      <xdr:rowOff>45773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99660" y="373380"/>
          <a:ext cx="1844200" cy="6096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213360</xdr:colOff>
      <xdr:row>2</xdr:row>
      <xdr:rowOff>15240</xdr:rowOff>
    </xdr:from>
    <xdr:to>
      <xdr:col>13</xdr:col>
      <xdr:colOff>99220</xdr:colOff>
      <xdr:row>6</xdr:row>
      <xdr:rowOff>15293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84420" y="342900"/>
          <a:ext cx="1844200" cy="6096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95250</xdr:colOff>
      <xdr:row>4</xdr:row>
      <xdr:rowOff>0</xdr:rowOff>
    </xdr:from>
    <xdr:to>
      <xdr:col>1</xdr:col>
      <xdr:colOff>95250</xdr:colOff>
      <xdr:row>6</xdr:row>
      <xdr:rowOff>9525</xdr:rowOff>
    </xdr:to>
    <xdr:cxnSp macro="">
      <xdr:nvCxnSpPr>
        <xdr:cNvPr id="3" name="Прямая со стрелкой 2"/>
        <xdr:cNvCxnSpPr/>
      </xdr:nvCxnSpPr>
      <xdr:spPr>
        <a:xfrm>
          <a:off x="276225" y="609600"/>
          <a:ext cx="0" cy="314325"/>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190500</xdr:colOff>
      <xdr:row>2</xdr:row>
      <xdr:rowOff>45720</xdr:rowOff>
    </xdr:from>
    <xdr:to>
      <xdr:col>13</xdr:col>
      <xdr:colOff>76360</xdr:colOff>
      <xdr:row>6</xdr:row>
      <xdr:rowOff>45773</xdr:rowOff>
    </xdr:to>
    <xdr:pic>
      <xdr:nvPicPr>
        <xdr:cNvPr id="4" name="Рисунок 3">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53000" y="373380"/>
          <a:ext cx="1844200" cy="6096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95250</xdr:colOff>
      <xdr:row>4</xdr:row>
      <xdr:rowOff>0</xdr:rowOff>
    </xdr:from>
    <xdr:to>
      <xdr:col>1</xdr:col>
      <xdr:colOff>95250</xdr:colOff>
      <xdr:row>6</xdr:row>
      <xdr:rowOff>9525</xdr:rowOff>
    </xdr:to>
    <xdr:cxnSp macro="">
      <xdr:nvCxnSpPr>
        <xdr:cNvPr id="2" name="Прямая со стрелкой 1"/>
        <xdr:cNvCxnSpPr/>
      </xdr:nvCxnSpPr>
      <xdr:spPr>
        <a:xfrm>
          <a:off x="276225" y="619125"/>
          <a:ext cx="0" cy="314325"/>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J51"/>
  <sheetViews>
    <sheetView showGridLines="0" workbookViewId="0">
      <pane ySplit="9" topLeftCell="A10" activePane="bottomLeft" state="frozen"/>
      <selection pane="bottomLeft"/>
    </sheetView>
  </sheetViews>
  <sheetFormatPr defaultColWidth="9.109375" defaultRowHeight="13.8" x14ac:dyDescent="0.3"/>
  <cols>
    <col min="1" max="1" width="2.6640625" style="259" customWidth="1"/>
    <col min="2" max="2" width="0.88671875" style="259" customWidth="1"/>
    <col min="3" max="3" width="2.6640625" style="259" customWidth="1"/>
    <col min="4" max="4" width="1.6640625" style="259" customWidth="1"/>
    <col min="5" max="5" width="52.33203125" style="259" bestFit="1" customWidth="1"/>
    <col min="6" max="6" width="9.109375" style="259"/>
    <col min="7" max="7" width="13.109375" style="259" bestFit="1" customWidth="1"/>
    <col min="8" max="8" width="2.6640625" style="259" customWidth="1"/>
    <col min="9" max="9" width="0.88671875" style="259" customWidth="1"/>
    <col min="10" max="10" width="2.6640625" style="259" customWidth="1"/>
    <col min="11" max="16384" width="9.109375" style="259"/>
  </cols>
  <sheetData>
    <row r="1" spans="1:10" x14ac:dyDescent="0.3">
      <c r="A1" s="262"/>
      <c r="B1" s="262"/>
      <c r="C1" s="262"/>
      <c r="D1" s="262"/>
      <c r="E1" s="262"/>
      <c r="F1" s="262"/>
      <c r="G1" s="308" t="s">
        <v>412</v>
      </c>
      <c r="H1" s="262"/>
      <c r="I1" s="262"/>
      <c r="J1" s="262"/>
    </row>
    <row r="2" spans="1:10" ht="3.9" customHeight="1" x14ac:dyDescent="0.3">
      <c r="A2" s="262"/>
      <c r="B2" s="260"/>
      <c r="C2" s="260"/>
      <c r="D2" s="260"/>
      <c r="E2" s="260"/>
      <c r="F2" s="260"/>
      <c r="G2" s="260"/>
      <c r="H2" s="260"/>
      <c r="I2" s="260"/>
      <c r="J2" s="262"/>
    </row>
    <row r="3" spans="1:10" x14ac:dyDescent="0.3">
      <c r="A3" s="262"/>
      <c r="B3" s="260"/>
      <c r="C3" s="262"/>
      <c r="D3" s="262"/>
      <c r="E3" s="262"/>
      <c r="F3" s="262"/>
      <c r="G3" s="262"/>
      <c r="H3" s="262"/>
      <c r="I3" s="260"/>
      <c r="J3" s="262"/>
    </row>
    <row r="4" spans="1:10" x14ac:dyDescent="0.3">
      <c r="A4" s="262"/>
      <c r="B4" s="260"/>
      <c r="C4" s="262"/>
      <c r="D4" s="89" t="str">
        <f>методология!$E$4</f>
        <v>Инвестмодель базы отдыха - Беседки &amp; Веревочный парк</v>
      </c>
      <c r="E4" s="20"/>
      <c r="F4" s="20"/>
      <c r="G4" s="262"/>
      <c r="H4" s="262"/>
      <c r="I4" s="260"/>
      <c r="J4" s="262"/>
    </row>
    <row r="5" spans="1:10" x14ac:dyDescent="0.3">
      <c r="A5" s="262"/>
      <c r="B5" s="260"/>
      <c r="C5" s="262"/>
      <c r="D5" s="89" t="str">
        <f>методология!$E$5</f>
        <v>Со сценарным анализом</v>
      </c>
      <c r="E5" s="20"/>
      <c r="F5" s="20"/>
      <c r="G5" s="262"/>
      <c r="H5" s="262"/>
      <c r="I5" s="260"/>
      <c r="J5" s="262"/>
    </row>
    <row r="6" spans="1:10" x14ac:dyDescent="0.3">
      <c r="A6" s="262"/>
      <c r="B6" s="260"/>
      <c r="C6" s="262"/>
      <c r="D6" s="262"/>
      <c r="E6" s="265" t="s">
        <v>340</v>
      </c>
      <c r="F6" s="262"/>
      <c r="G6" s="262"/>
      <c r="H6" s="262"/>
      <c r="I6" s="260"/>
      <c r="J6" s="262"/>
    </row>
    <row r="7" spans="1:10" s="258" customFormat="1" x14ac:dyDescent="0.3">
      <c r="A7" s="263"/>
      <c r="B7" s="261"/>
      <c r="C7" s="263"/>
      <c r="D7" s="263"/>
      <c r="E7" s="263" t="s">
        <v>327</v>
      </c>
      <c r="F7" s="263"/>
      <c r="G7" s="263" t="s">
        <v>328</v>
      </c>
      <c r="H7" s="263"/>
      <c r="I7" s="261"/>
      <c r="J7" s="263"/>
    </row>
    <row r="8" spans="1:10" s="258" customFormat="1" ht="3.9" customHeight="1" x14ac:dyDescent="0.3">
      <c r="A8" s="263"/>
      <c r="B8" s="261"/>
      <c r="C8" s="263"/>
      <c r="D8" s="263"/>
      <c r="E8" s="264"/>
      <c r="F8" s="263"/>
      <c r="G8" s="264"/>
      <c r="H8" s="263"/>
      <c r="I8" s="261"/>
      <c r="J8" s="263"/>
    </row>
    <row r="9" spans="1:10" ht="3.9" customHeight="1" x14ac:dyDescent="0.3">
      <c r="A9" s="262"/>
      <c r="B9" s="260"/>
      <c r="C9" s="262"/>
      <c r="D9" s="262"/>
      <c r="E9" s="262"/>
      <c r="F9" s="262"/>
      <c r="G9" s="262"/>
      <c r="H9" s="262"/>
      <c r="I9" s="260"/>
      <c r="J9" s="262"/>
    </row>
    <row r="10" spans="1:10" x14ac:dyDescent="0.3">
      <c r="A10" s="262"/>
      <c r="B10" s="260"/>
      <c r="C10" s="262"/>
      <c r="D10" s="262"/>
      <c r="E10" s="268"/>
      <c r="F10" s="262"/>
      <c r="G10" s="270"/>
      <c r="H10" s="262"/>
      <c r="I10" s="260"/>
      <c r="J10" s="262"/>
    </row>
    <row r="11" spans="1:10" ht="14.4" x14ac:dyDescent="0.3">
      <c r="A11" s="262"/>
      <c r="B11" s="260"/>
      <c r="C11" s="262"/>
      <c r="D11" s="262"/>
      <c r="E11" s="269" t="s">
        <v>329</v>
      </c>
      <c r="F11" s="266"/>
      <c r="G11" s="271" t="s">
        <v>330</v>
      </c>
      <c r="H11" s="262"/>
      <c r="I11" s="260"/>
      <c r="J11" s="262"/>
    </row>
    <row r="12" spans="1:10" x14ac:dyDescent="0.3">
      <c r="A12" s="262"/>
      <c r="B12" s="260"/>
      <c r="C12" s="262"/>
      <c r="D12" s="262"/>
      <c r="E12" s="268"/>
      <c r="F12" s="262"/>
      <c r="G12" s="270"/>
      <c r="H12" s="262"/>
      <c r="I12" s="260"/>
      <c r="J12" s="262"/>
    </row>
    <row r="13" spans="1:10" ht="14.4" x14ac:dyDescent="0.3">
      <c r="A13" s="262"/>
      <c r="B13" s="260"/>
      <c r="C13" s="262"/>
      <c r="D13" s="262"/>
      <c r="E13" s="269" t="s">
        <v>303</v>
      </c>
      <c r="F13" s="266"/>
      <c r="G13" s="272" t="s">
        <v>313</v>
      </c>
      <c r="H13" s="262"/>
      <c r="I13" s="260"/>
      <c r="J13" s="262"/>
    </row>
    <row r="14" spans="1:10" x14ac:dyDescent="0.3">
      <c r="A14" s="262"/>
      <c r="B14" s="260"/>
      <c r="C14" s="262"/>
      <c r="D14" s="262"/>
      <c r="E14" s="268"/>
      <c r="F14" s="262"/>
      <c r="G14" s="270"/>
      <c r="H14" s="262"/>
      <c r="I14" s="260"/>
      <c r="J14" s="262"/>
    </row>
    <row r="15" spans="1:10" ht="14.4" x14ac:dyDescent="0.3">
      <c r="A15" s="262"/>
      <c r="B15" s="260"/>
      <c r="C15" s="262"/>
      <c r="D15" s="262"/>
      <c r="E15" s="269" t="s">
        <v>304</v>
      </c>
      <c r="F15" s="266"/>
      <c r="G15" s="273" t="s">
        <v>315</v>
      </c>
      <c r="H15" s="262"/>
      <c r="I15" s="260"/>
      <c r="J15" s="262"/>
    </row>
    <row r="16" spans="1:10" x14ac:dyDescent="0.3">
      <c r="A16" s="262"/>
      <c r="B16" s="260"/>
      <c r="C16" s="262"/>
      <c r="D16" s="262"/>
      <c r="E16" s="268"/>
      <c r="F16" s="262"/>
      <c r="G16" s="270"/>
      <c r="H16" s="262"/>
      <c r="I16" s="260"/>
      <c r="J16" s="262"/>
    </row>
    <row r="17" spans="1:10" ht="14.4" x14ac:dyDescent="0.3">
      <c r="A17" s="262"/>
      <c r="B17" s="260"/>
      <c r="C17" s="262"/>
      <c r="D17" s="262"/>
      <c r="E17" s="269" t="s">
        <v>343</v>
      </c>
      <c r="F17" s="266"/>
      <c r="G17" s="282" t="s">
        <v>362</v>
      </c>
      <c r="H17" s="262"/>
      <c r="I17" s="260"/>
      <c r="J17" s="262"/>
    </row>
    <row r="18" spans="1:10" x14ac:dyDescent="0.3">
      <c r="A18" s="262"/>
      <c r="B18" s="260"/>
      <c r="C18" s="262"/>
      <c r="D18" s="262"/>
      <c r="E18" s="268"/>
      <c r="F18" s="262"/>
      <c r="G18" s="270"/>
      <c r="H18" s="262"/>
      <c r="I18" s="260"/>
      <c r="J18" s="262"/>
    </row>
    <row r="19" spans="1:10" ht="14.4" x14ac:dyDescent="0.3">
      <c r="A19" s="262"/>
      <c r="B19" s="260"/>
      <c r="C19" s="262"/>
      <c r="D19" s="262"/>
      <c r="E19" s="269" t="s">
        <v>331</v>
      </c>
      <c r="F19" s="266"/>
      <c r="G19" s="274" t="s">
        <v>325</v>
      </c>
      <c r="H19" s="262"/>
      <c r="I19" s="260"/>
      <c r="J19" s="262"/>
    </row>
    <row r="20" spans="1:10" x14ac:dyDescent="0.3">
      <c r="A20" s="262"/>
      <c r="B20" s="260"/>
      <c r="C20" s="262"/>
      <c r="D20" s="262"/>
      <c r="E20" s="268"/>
      <c r="F20" s="262"/>
      <c r="G20" s="270"/>
      <c r="H20" s="262"/>
      <c r="I20" s="260"/>
      <c r="J20" s="262"/>
    </row>
    <row r="21" spans="1:10" ht="14.4" x14ac:dyDescent="0.3">
      <c r="A21" s="262"/>
      <c r="B21" s="260"/>
      <c r="C21" s="262"/>
      <c r="D21" s="262"/>
      <c r="E21" s="269" t="s">
        <v>396</v>
      </c>
      <c r="F21" s="266"/>
      <c r="G21" s="282" t="s">
        <v>377</v>
      </c>
      <c r="H21" s="262"/>
      <c r="I21" s="260"/>
      <c r="J21" s="262"/>
    </row>
    <row r="22" spans="1:10" x14ac:dyDescent="0.3">
      <c r="A22" s="262"/>
      <c r="B22" s="260"/>
      <c r="C22" s="262"/>
      <c r="D22" s="262"/>
      <c r="E22" s="268"/>
      <c r="F22" s="262"/>
      <c r="G22" s="270"/>
      <c r="H22" s="262"/>
      <c r="I22" s="260"/>
      <c r="J22" s="262"/>
    </row>
    <row r="23" spans="1:10" ht="14.4" x14ac:dyDescent="0.3">
      <c r="A23" s="262"/>
      <c r="B23" s="260"/>
      <c r="C23" s="262"/>
      <c r="D23" s="262"/>
      <c r="E23" s="269" t="s">
        <v>305</v>
      </c>
      <c r="F23" s="266"/>
      <c r="G23" s="272" t="s">
        <v>317</v>
      </c>
      <c r="H23" s="262"/>
      <c r="I23" s="260"/>
      <c r="J23" s="262"/>
    </row>
    <row r="24" spans="1:10" x14ac:dyDescent="0.3">
      <c r="A24" s="262"/>
      <c r="B24" s="260"/>
      <c r="C24" s="262"/>
      <c r="D24" s="262"/>
      <c r="E24" s="268"/>
      <c r="F24" s="262"/>
      <c r="G24" s="270"/>
      <c r="H24" s="262"/>
      <c r="I24" s="260"/>
      <c r="J24" s="262"/>
    </row>
    <row r="25" spans="1:10" ht="14.4" x14ac:dyDescent="0.3">
      <c r="A25" s="262"/>
      <c r="B25" s="260"/>
      <c r="C25" s="262"/>
      <c r="D25" s="262"/>
      <c r="E25" s="269" t="s">
        <v>332</v>
      </c>
      <c r="F25" s="266"/>
      <c r="G25" s="274" t="s">
        <v>318</v>
      </c>
      <c r="H25" s="262"/>
      <c r="I25" s="260"/>
      <c r="J25" s="262"/>
    </row>
    <row r="26" spans="1:10" x14ac:dyDescent="0.3">
      <c r="A26" s="262"/>
      <c r="B26" s="260"/>
      <c r="C26" s="262"/>
      <c r="D26" s="262"/>
      <c r="E26" s="268"/>
      <c r="F26" s="262"/>
      <c r="G26" s="270"/>
      <c r="H26" s="262"/>
      <c r="I26" s="260"/>
      <c r="J26" s="262"/>
    </row>
    <row r="27" spans="1:10" ht="14.4" x14ac:dyDescent="0.3">
      <c r="A27" s="262"/>
      <c r="B27" s="260"/>
      <c r="C27" s="262"/>
      <c r="D27" s="262"/>
      <c r="E27" s="269" t="s">
        <v>363</v>
      </c>
      <c r="F27" s="266"/>
      <c r="G27" s="304" t="s">
        <v>364</v>
      </c>
      <c r="H27" s="262"/>
      <c r="I27" s="260"/>
      <c r="J27" s="262"/>
    </row>
    <row r="28" spans="1:10" x14ac:dyDescent="0.3">
      <c r="A28" s="262"/>
      <c r="B28" s="260"/>
      <c r="C28" s="262"/>
      <c r="D28" s="262"/>
      <c r="E28" s="268"/>
      <c r="F28" s="262"/>
      <c r="G28" s="270"/>
      <c r="H28" s="262"/>
      <c r="I28" s="260"/>
      <c r="J28" s="262"/>
    </row>
    <row r="29" spans="1:10" ht="14.4" x14ac:dyDescent="0.3">
      <c r="A29" s="262"/>
      <c r="B29" s="260"/>
      <c r="C29" s="262"/>
      <c r="D29" s="262"/>
      <c r="E29" s="269" t="s">
        <v>365</v>
      </c>
      <c r="F29" s="266"/>
      <c r="G29" s="304" t="s">
        <v>366</v>
      </c>
      <c r="H29" s="262"/>
      <c r="I29" s="260"/>
      <c r="J29" s="262"/>
    </row>
    <row r="30" spans="1:10" x14ac:dyDescent="0.3">
      <c r="A30" s="262"/>
      <c r="B30" s="260"/>
      <c r="C30" s="262"/>
      <c r="D30" s="262"/>
      <c r="E30" s="268"/>
      <c r="F30" s="262"/>
      <c r="G30" s="270"/>
      <c r="H30" s="262"/>
      <c r="I30" s="260"/>
      <c r="J30" s="262"/>
    </row>
    <row r="31" spans="1:10" ht="14.4" x14ac:dyDescent="0.3">
      <c r="A31" s="262"/>
      <c r="B31" s="260"/>
      <c r="C31" s="262"/>
      <c r="D31" s="262"/>
      <c r="E31" s="269" t="s">
        <v>367</v>
      </c>
      <c r="F31" s="266"/>
      <c r="G31" s="304" t="s">
        <v>368</v>
      </c>
      <c r="H31" s="262"/>
      <c r="I31" s="260"/>
      <c r="J31" s="262"/>
    </row>
    <row r="32" spans="1:10" x14ac:dyDescent="0.3">
      <c r="A32" s="262"/>
      <c r="B32" s="260"/>
      <c r="C32" s="262"/>
      <c r="D32" s="262"/>
      <c r="E32" s="268"/>
      <c r="F32" s="262"/>
      <c r="G32" s="270"/>
      <c r="H32" s="262"/>
      <c r="I32" s="260"/>
      <c r="J32" s="262"/>
    </row>
    <row r="33" spans="1:10" ht="14.4" x14ac:dyDescent="0.3">
      <c r="A33" s="262"/>
      <c r="B33" s="260"/>
      <c r="C33" s="262"/>
      <c r="D33" s="262"/>
      <c r="E33" s="269" t="s">
        <v>307</v>
      </c>
      <c r="F33" s="266"/>
      <c r="G33" s="275" t="s">
        <v>12</v>
      </c>
      <c r="H33" s="262"/>
      <c r="I33" s="260"/>
      <c r="J33" s="262"/>
    </row>
    <row r="34" spans="1:10" x14ac:dyDescent="0.3">
      <c r="A34" s="262"/>
      <c r="B34" s="260"/>
      <c r="C34" s="262"/>
      <c r="D34" s="262"/>
      <c r="E34" s="268"/>
      <c r="F34" s="262"/>
      <c r="G34" s="270"/>
      <c r="H34" s="262"/>
      <c r="I34" s="260"/>
      <c r="J34" s="262"/>
    </row>
    <row r="35" spans="1:10" ht="14.4" x14ac:dyDescent="0.3">
      <c r="A35" s="262"/>
      <c r="B35" s="260"/>
      <c r="C35" s="262"/>
      <c r="D35" s="262"/>
      <c r="E35" s="269" t="s">
        <v>308</v>
      </c>
      <c r="F35" s="266"/>
      <c r="G35" s="276" t="s">
        <v>326</v>
      </c>
      <c r="H35" s="262"/>
      <c r="I35" s="260"/>
      <c r="J35" s="262"/>
    </row>
    <row r="36" spans="1:10" ht="3.9" customHeight="1" x14ac:dyDescent="0.3">
      <c r="A36" s="262"/>
      <c r="B36" s="260"/>
      <c r="C36" s="262"/>
      <c r="D36" s="262"/>
      <c r="E36" s="268"/>
      <c r="F36" s="262"/>
      <c r="G36" s="270"/>
      <c r="H36" s="262"/>
      <c r="I36" s="260"/>
      <c r="J36" s="262"/>
    </row>
    <row r="37" spans="1:10" s="258" customFormat="1" ht="3.9" customHeight="1" x14ac:dyDescent="0.3">
      <c r="A37" s="263"/>
      <c r="B37" s="261"/>
      <c r="C37" s="263"/>
      <c r="D37" s="263"/>
      <c r="E37" s="264"/>
      <c r="F37" s="263"/>
      <c r="G37" s="264"/>
      <c r="H37" s="263"/>
      <c r="I37" s="261"/>
      <c r="J37" s="263"/>
    </row>
    <row r="38" spans="1:10" ht="3.9" customHeight="1" x14ac:dyDescent="0.3">
      <c r="A38" s="262"/>
      <c r="B38" s="260"/>
      <c r="C38" s="262"/>
      <c r="D38" s="262"/>
      <c r="E38" s="262"/>
      <c r="F38" s="262"/>
      <c r="G38" s="262"/>
      <c r="H38" s="262"/>
      <c r="I38" s="260"/>
      <c r="J38" s="262"/>
    </row>
    <row r="39" spans="1:10" s="279" customFormat="1" x14ac:dyDescent="0.3">
      <c r="A39" s="267"/>
      <c r="B39" s="277"/>
      <c r="C39" s="267"/>
      <c r="D39" s="267"/>
      <c r="E39" s="267" t="s">
        <v>333</v>
      </c>
      <c r="F39" s="267"/>
      <c r="G39" s="278" t="s">
        <v>334</v>
      </c>
      <c r="H39" s="267"/>
      <c r="I39" s="277"/>
      <c r="J39" s="267"/>
    </row>
    <row r="40" spans="1:10" s="279" customFormat="1" x14ac:dyDescent="0.3">
      <c r="A40" s="267"/>
      <c r="B40" s="277"/>
      <c r="C40" s="267"/>
      <c r="D40" s="267"/>
      <c r="E40" s="267"/>
      <c r="F40" s="267"/>
      <c r="G40" s="280" t="s">
        <v>335</v>
      </c>
      <c r="H40" s="267"/>
      <c r="I40" s="277"/>
      <c r="J40" s="267"/>
    </row>
    <row r="41" spans="1:10" s="279" customFormat="1" x14ac:dyDescent="0.3">
      <c r="A41" s="267"/>
      <c r="B41" s="277"/>
      <c r="C41" s="267"/>
      <c r="D41" s="267"/>
      <c r="E41" s="267"/>
      <c r="F41" s="267"/>
      <c r="G41" s="278" t="s">
        <v>336</v>
      </c>
      <c r="H41" s="267"/>
      <c r="I41" s="277"/>
      <c r="J41" s="267"/>
    </row>
    <row r="42" spans="1:10" s="279" customFormat="1" x14ac:dyDescent="0.3">
      <c r="A42" s="267"/>
      <c r="B42" s="277"/>
      <c r="C42" s="267"/>
      <c r="D42" s="267"/>
      <c r="E42" s="267"/>
      <c r="F42" s="267"/>
      <c r="G42" s="280" t="s">
        <v>337</v>
      </c>
      <c r="H42" s="267"/>
      <c r="I42" s="277"/>
      <c r="J42" s="267"/>
    </row>
    <row r="43" spans="1:10" s="279" customFormat="1" x14ac:dyDescent="0.3">
      <c r="A43" s="267"/>
      <c r="B43" s="277"/>
      <c r="C43" s="267"/>
      <c r="D43" s="267"/>
      <c r="E43" s="267"/>
      <c r="F43" s="267"/>
      <c r="G43" s="278" t="s">
        <v>338</v>
      </c>
      <c r="H43" s="267"/>
      <c r="I43" s="277"/>
      <c r="J43" s="267"/>
    </row>
    <row r="44" spans="1:10" s="279" customFormat="1" x14ac:dyDescent="0.3">
      <c r="A44" s="267"/>
      <c r="B44" s="277"/>
      <c r="C44" s="267"/>
      <c r="D44" s="267"/>
      <c r="E44" s="267"/>
      <c r="F44" s="267"/>
      <c r="G44" s="280" t="s">
        <v>339</v>
      </c>
      <c r="H44" s="267"/>
      <c r="I44" s="277"/>
      <c r="J44" s="267"/>
    </row>
    <row r="45" spans="1:10" s="279" customFormat="1" x14ac:dyDescent="0.3">
      <c r="A45" s="267"/>
      <c r="B45" s="277"/>
      <c r="C45" s="267"/>
      <c r="D45" s="267"/>
      <c r="E45" s="267"/>
      <c r="F45" s="267"/>
      <c r="G45" s="262"/>
      <c r="H45" s="267"/>
      <c r="I45" s="277"/>
      <c r="J45" s="267"/>
    </row>
    <row r="46" spans="1:10" s="279" customFormat="1" x14ac:dyDescent="0.3">
      <c r="A46" s="267"/>
      <c r="B46" s="277"/>
      <c r="C46" s="267"/>
      <c r="D46" s="267"/>
      <c r="E46" s="267"/>
      <c r="F46" s="267"/>
      <c r="G46" s="262"/>
      <c r="H46" s="267"/>
      <c r="I46" s="277"/>
      <c r="J46" s="267"/>
    </row>
    <row r="47" spans="1:10" s="279" customFormat="1" x14ac:dyDescent="0.3">
      <c r="A47" s="267"/>
      <c r="B47" s="277"/>
      <c r="C47" s="267"/>
      <c r="D47" s="267"/>
      <c r="E47" s="267"/>
      <c r="F47" s="267"/>
      <c r="G47" s="262"/>
      <c r="H47" s="267"/>
      <c r="I47" s="277"/>
      <c r="J47" s="267"/>
    </row>
    <row r="48" spans="1:10" s="279" customFormat="1" x14ac:dyDescent="0.3">
      <c r="A48" s="267"/>
      <c r="B48" s="277"/>
      <c r="C48" s="267"/>
      <c r="D48" s="267"/>
      <c r="E48" s="267"/>
      <c r="F48" s="267"/>
      <c r="G48" s="262"/>
      <c r="H48" s="267"/>
      <c r="I48" s="277"/>
      <c r="J48" s="267"/>
    </row>
    <row r="49" spans="1:10" x14ac:dyDescent="0.3">
      <c r="A49" s="262"/>
      <c r="B49" s="260"/>
      <c r="C49" s="262"/>
      <c r="D49" s="262"/>
      <c r="E49" s="262"/>
      <c r="F49" s="262"/>
      <c r="G49" s="262"/>
      <c r="H49" s="262"/>
      <c r="I49" s="260"/>
      <c r="J49" s="262"/>
    </row>
    <row r="50" spans="1:10" ht="3.9" customHeight="1" x14ac:dyDescent="0.3">
      <c r="A50" s="262"/>
      <c r="B50" s="260"/>
      <c r="C50" s="260"/>
      <c r="D50" s="260"/>
      <c r="E50" s="260"/>
      <c r="F50" s="260"/>
      <c r="G50" s="260"/>
      <c r="H50" s="260"/>
      <c r="I50" s="260"/>
      <c r="J50" s="262"/>
    </row>
    <row r="51" spans="1:10" x14ac:dyDescent="0.3">
      <c r="A51" s="262"/>
      <c r="B51" s="262"/>
      <c r="C51" s="262"/>
      <c r="D51" s="262"/>
      <c r="E51" s="262"/>
      <c r="F51" s="262"/>
      <c r="G51" s="262"/>
      <c r="H51" s="262"/>
      <c r="I51" s="262"/>
      <c r="J51" s="262"/>
    </row>
  </sheetData>
  <conditionalFormatting sqref="D4:F5">
    <cfRule type="cellIs" dxfId="11723" priority="1" operator="equal">
      <formula>0</formula>
    </cfRule>
  </conditionalFormatting>
  <hyperlinks>
    <hyperlink ref="E11:G11" location="методология!A1" tooltip="методология" display="МЕТОДОЛОГИЯ"/>
    <hyperlink ref="E13:G13" location="капитал!A1" tooltip="капитал" display="Капитальные затраты"/>
    <hyperlink ref="E15:G15" location="сметы!A1" tooltip="сметы" display="Сметы по кап/затратам на ТМЦ"/>
    <hyperlink ref="E19:G19" location="сценарии!A1" tooltip="сценарии" display="Сценарный анализ и выбор итогового сценария"/>
    <hyperlink ref="E23:G23" location="операции!A1" tooltip="операции" display="Операционные данные"/>
    <hyperlink ref="E25:G25" location="отчеты!A1" tooltip="отчеты" display="Система отчетности модели для выбранного сценария"/>
    <hyperlink ref="E33:G33" location="KPI!A1" tooltip="KPI" display="Ключевые показатели финмодели"/>
    <hyperlink ref="E35:G35" location="структура!A1" tooltip="структура" display="Структура модели - списки"/>
    <hyperlink ref="E17:G17" location="Inv!A1" tooltip="возврат инвестиций" display="Возврат базовых инвестиционных затрат"/>
    <hyperlink ref="E27:G27" location="отч_беседки!A1" tooltip="отчетность по беседкам" display="Отчетность (PL,CF) для выбранного сценария для БЕСЕДОК"/>
    <hyperlink ref="E29:G29" location="отч_вер_парк!A1" tooltip="отчетность по веревочному парку" display="Отчетность (PL,CF) для выбранного сценария для В/ПАРКА"/>
    <hyperlink ref="E31:G31" location="отч_прокат!A1" tooltip="отчетность по услугам проката" display="Отчетность (PL,CF) для выбранного сценария для ПРОКАТА"/>
    <hyperlink ref="E21:G21" location="ФОТ!A1" tooltip="ФОТ" display="Сценарный анализ и выбор итогового сценария"/>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249977111117893"/>
  </sheetPr>
  <dimension ref="A1:AB278"/>
  <sheetViews>
    <sheetView workbookViewId="0">
      <pane xSplit="14" ySplit="10" topLeftCell="O11" activePane="bottomRight" state="frozen"/>
      <selection pane="topRight" activeCell="O1" sqref="O1"/>
      <selection pane="bottomLeft" activeCell="A11" sqref="A11"/>
      <selection pane="bottomRight" activeCell="A2" sqref="A2"/>
    </sheetView>
  </sheetViews>
  <sheetFormatPr defaultColWidth="9.109375" defaultRowHeight="12" x14ac:dyDescent="0.25"/>
  <cols>
    <col min="1" max="1" width="2.6640625" style="151" customWidth="1"/>
    <col min="2" max="2" width="2.6640625" style="133" customWidth="1"/>
    <col min="3" max="3" width="2.6640625" style="1" customWidth="1"/>
    <col min="4" max="4" width="4"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tr">
        <f>операции!$M$1</f>
        <v>№года</v>
      </c>
      <c r="N1" s="42"/>
      <c r="O1" s="42"/>
      <c r="P1" s="43">
        <f>операции!P1</f>
        <v>1</v>
      </c>
      <c r="Q1" s="43">
        <f>операции!Q1</f>
        <v>2</v>
      </c>
      <c r="R1" s="43">
        <f>операции!R1</f>
        <v>3</v>
      </c>
      <c r="S1" s="43">
        <f>операции!S1</f>
        <v>4</v>
      </c>
      <c r="T1" s="43">
        <f>операции!T1</f>
        <v>5</v>
      </c>
      <c r="U1" s="43">
        <f>операции!U1</f>
        <v>6</v>
      </c>
      <c r="V1" s="43">
        <f>операции!V1</f>
        <v>7</v>
      </c>
      <c r="W1" s="43" t="str">
        <f>операции!W1</f>
        <v/>
      </c>
      <c r="X1" s="43" t="str">
        <f>операции!X1</f>
        <v/>
      </c>
      <c r="Y1" s="43" t="str">
        <f>операции!Y1</f>
        <v/>
      </c>
      <c r="Z1" s="43" t="str">
        <f>операции!Z1</f>
        <v/>
      </c>
      <c r="AA1" s="43" t="str">
        <f>операции!AA1</f>
        <v/>
      </c>
      <c r="AB1" s="2"/>
    </row>
    <row r="2" spans="1:28" x14ac:dyDescent="0.25">
      <c r="A2" s="149"/>
      <c r="B2" s="131"/>
      <c r="C2" s="2"/>
      <c r="D2" s="2"/>
      <c r="E2" s="2"/>
      <c r="F2" s="2"/>
      <c r="G2" s="2"/>
      <c r="H2" s="2"/>
      <c r="I2" s="28"/>
      <c r="J2" s="2"/>
      <c r="K2" s="28"/>
      <c r="L2" s="2"/>
      <c r="M2" s="52"/>
      <c r="N2" s="2"/>
      <c r="O2" s="2"/>
      <c r="P2" s="194">
        <v>1</v>
      </c>
      <c r="Q2" s="195">
        <f>P2+1</f>
        <v>2</v>
      </c>
      <c r="R2" s="195">
        <f t="shared" ref="R2:AA2" si="0">Q2+1</f>
        <v>3</v>
      </c>
      <c r="S2" s="195">
        <f t="shared" si="0"/>
        <v>4</v>
      </c>
      <c r="T2" s="195">
        <f t="shared" si="0"/>
        <v>5</v>
      </c>
      <c r="U2" s="195">
        <f t="shared" si="0"/>
        <v>6</v>
      </c>
      <c r="V2" s="195">
        <f t="shared" si="0"/>
        <v>7</v>
      </c>
      <c r="W2" s="195">
        <f t="shared" si="0"/>
        <v>8</v>
      </c>
      <c r="X2" s="195">
        <f t="shared" si="0"/>
        <v>9</v>
      </c>
      <c r="Y2" s="195">
        <f t="shared" si="0"/>
        <v>10</v>
      </c>
      <c r="Z2" s="195">
        <f t="shared" si="0"/>
        <v>11</v>
      </c>
      <c r="AA2" s="195">
        <f t="shared" si="0"/>
        <v>12</v>
      </c>
      <c r="AB2" s="2"/>
    </row>
    <row r="3" spans="1:28" x14ac:dyDescent="0.25">
      <c r="A3" s="149"/>
      <c r="B3" s="131"/>
      <c r="C3" s="89" t="str">
        <f>методология!$E$4</f>
        <v>Инвестмодель базы отдыха - Беседки &amp; Веревочный парк</v>
      </c>
      <c r="D3" s="20"/>
      <c r="E3" s="20"/>
      <c r="F3" s="2"/>
      <c r="G3" s="2"/>
      <c r="H3" s="2"/>
      <c r="I3" s="28"/>
      <c r="J3" s="302" t="s">
        <v>356</v>
      </c>
      <c r="K3" s="28"/>
      <c r="L3" s="2"/>
      <c r="M3" s="52"/>
      <c r="N3" s="2"/>
      <c r="O3" s="2"/>
      <c r="P3" s="2"/>
      <c r="Q3" s="2"/>
      <c r="R3" s="2"/>
      <c r="S3" s="2"/>
      <c r="T3" s="2"/>
      <c r="U3" s="2"/>
      <c r="V3" s="2"/>
      <c r="W3" s="2"/>
      <c r="X3" s="2"/>
      <c r="Y3" s="2"/>
      <c r="Z3" s="2"/>
      <c r="AA3" s="2"/>
      <c r="AB3" s="2"/>
    </row>
    <row r="4" spans="1:28" x14ac:dyDescent="0.25">
      <c r="A4" s="149"/>
      <c r="B4" s="131"/>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149"/>
      <c r="B5" s="131"/>
      <c r="C5" s="2"/>
      <c r="D5" s="2"/>
      <c r="E5" s="2"/>
      <c r="F5" s="2"/>
      <c r="G5" s="154" t="s">
        <v>309</v>
      </c>
      <c r="H5" s="2"/>
      <c r="I5" s="28"/>
      <c r="J5" s="2"/>
      <c r="K5" s="28"/>
      <c r="L5" s="2"/>
      <c r="M5" s="52"/>
      <c r="N5" s="2"/>
      <c r="O5" s="2"/>
      <c r="P5" s="2"/>
      <c r="Q5" s="2"/>
      <c r="R5" s="2"/>
      <c r="S5" s="2"/>
      <c r="T5" s="2"/>
      <c r="U5" s="2"/>
      <c r="V5" s="2"/>
      <c r="W5" s="2"/>
      <c r="X5" s="2"/>
      <c r="Y5" s="2"/>
      <c r="Z5" s="2"/>
      <c r="AA5" s="2"/>
      <c r="AB5" s="2"/>
    </row>
    <row r="6" spans="1:28" x14ac:dyDescent="0.25">
      <c r="A6" s="149"/>
      <c r="B6" s="131"/>
      <c r="C6" s="225" t="s">
        <v>332</v>
      </c>
      <c r="D6" s="210"/>
      <c r="E6" s="226"/>
      <c r="F6" s="2"/>
      <c r="G6" s="104" t="str">
        <f>сценарии!$J$7</f>
        <v>сценарий-1</v>
      </c>
      <c r="H6" s="2"/>
      <c r="I6" s="28"/>
      <c r="J6" s="2"/>
      <c r="K6" s="28"/>
      <c r="L6" s="2"/>
      <c r="M6" s="52"/>
      <c r="N6" s="2"/>
      <c r="O6" s="2"/>
      <c r="P6" s="96" t="str">
        <f>операции!P6</f>
        <v>2022г.</v>
      </c>
      <c r="Q6" s="96" t="str">
        <f>операции!Q6</f>
        <v>2023г.</v>
      </c>
      <c r="R6" s="96" t="str">
        <f>операции!R6</f>
        <v>2024г.</v>
      </c>
      <c r="S6" s="96" t="str">
        <f>операции!S6</f>
        <v>2025г.</v>
      </c>
      <c r="T6" s="96" t="str">
        <f>операции!T6</f>
        <v>2026г.</v>
      </c>
      <c r="U6" s="96" t="str">
        <f>операции!U6</f>
        <v>2027г.</v>
      </c>
      <c r="V6" s="96" t="str">
        <f>операции!V6</f>
        <v>2028г.</v>
      </c>
      <c r="W6" s="96" t="str">
        <f>операции!W6</f>
        <v/>
      </c>
      <c r="X6" s="96" t="str">
        <f>операции!X6</f>
        <v/>
      </c>
      <c r="Y6" s="96" t="str">
        <f>операции!Y6</f>
        <v/>
      </c>
      <c r="Z6" s="96" t="str">
        <f>операции!Z6</f>
        <v/>
      </c>
      <c r="AA6" s="96" t="str">
        <f>операции!AA6</f>
        <v/>
      </c>
      <c r="AB6" s="2"/>
    </row>
    <row r="7" spans="1:28" ht="12.6" thickBot="1" x14ac:dyDescent="0.3">
      <c r="A7" s="149"/>
      <c r="B7" s="182" t="s">
        <v>285</v>
      </c>
      <c r="C7" s="2"/>
      <c r="D7" s="2"/>
      <c r="E7" s="2"/>
      <c r="F7" s="2"/>
      <c r="G7" s="2"/>
      <c r="H7" s="2"/>
      <c r="I7" s="28"/>
      <c r="J7" s="2"/>
      <c r="K7" s="28"/>
      <c r="L7" s="2"/>
      <c r="M7" s="52"/>
      <c r="N7" s="2"/>
      <c r="O7" s="2"/>
      <c r="P7" s="94">
        <f>операции!P7</f>
        <v>44562</v>
      </c>
      <c r="Q7" s="94">
        <f>операции!Q7</f>
        <v>44927</v>
      </c>
      <c r="R7" s="94">
        <f>операции!R7</f>
        <v>45292</v>
      </c>
      <c r="S7" s="94">
        <f>операции!S7</f>
        <v>45658</v>
      </c>
      <c r="T7" s="94">
        <f>операции!T7</f>
        <v>46023</v>
      </c>
      <c r="U7" s="94">
        <f>операции!U7</f>
        <v>46388</v>
      </c>
      <c r="V7" s="94">
        <f>операции!V7</f>
        <v>46753</v>
      </c>
      <c r="W7" s="94" t="str">
        <f>операции!W7</f>
        <v/>
      </c>
      <c r="X7" s="94" t="str">
        <f>операции!X7</f>
        <v/>
      </c>
      <c r="Y7" s="94" t="str">
        <f>операции!Y7</f>
        <v/>
      </c>
      <c r="Z7" s="94" t="str">
        <f>операции!Z7</f>
        <v/>
      </c>
      <c r="AA7" s="94" t="str">
        <f>операции!AA7</f>
        <v/>
      </c>
      <c r="AB7" s="2"/>
    </row>
    <row r="8" spans="1:28" s="5" customFormat="1" ht="12.6" thickBot="1" x14ac:dyDescent="0.3">
      <c r="A8" s="150">
        <f>1</f>
        <v>1</v>
      </c>
      <c r="B8" s="152"/>
      <c r="C8" s="3"/>
      <c r="D8" s="3"/>
      <c r="E8" s="3" t="str">
        <f>KPI!$E$8</f>
        <v>KPI</v>
      </c>
      <c r="F8" s="3"/>
      <c r="G8" s="28" t="str">
        <f>KPI!$G$8</f>
        <v>ед.изм.</v>
      </c>
      <c r="H8" s="3"/>
      <c r="I8" s="28"/>
      <c r="J8" s="3"/>
      <c r="K8" s="28"/>
      <c r="L8" s="3"/>
      <c r="M8" s="53" t="str">
        <f>операции!M8</f>
        <v>итого</v>
      </c>
      <c r="N8" s="3"/>
      <c r="O8" s="3"/>
      <c r="P8" s="95">
        <f>операции!P8</f>
        <v>44926</v>
      </c>
      <c r="Q8" s="95">
        <f>операции!Q8</f>
        <v>45291</v>
      </c>
      <c r="R8" s="95">
        <f>операции!R8</f>
        <v>45657</v>
      </c>
      <c r="S8" s="95">
        <f>операции!S8</f>
        <v>46022</v>
      </c>
      <c r="T8" s="95">
        <f>операции!T8</f>
        <v>46387</v>
      </c>
      <c r="U8" s="95">
        <f>операции!U8</f>
        <v>46752</v>
      </c>
      <c r="V8" s="95">
        <f>операции!V8</f>
        <v>47118</v>
      </c>
      <c r="W8" s="95" t="str">
        <f>операции!W8</f>
        <v/>
      </c>
      <c r="X8" s="95" t="str">
        <f>операции!X8</f>
        <v/>
      </c>
      <c r="Y8" s="95" t="str">
        <f>операции!Y8</f>
        <v/>
      </c>
      <c r="Z8" s="95" t="str">
        <f>операции!Z8</f>
        <v/>
      </c>
      <c r="AA8" s="95" t="str">
        <f>операции!AA8</f>
        <v/>
      </c>
      <c r="AB8" s="3"/>
    </row>
    <row r="9" spans="1:28" ht="3.9" hidden="1" customHeight="1" x14ac:dyDescent="0.25">
      <c r="A9" s="149">
        <f>1</f>
        <v>1</v>
      </c>
      <c r="B9" s="131"/>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hidden="1" customHeight="1" x14ac:dyDescent="0.25">
      <c r="A10" s="149">
        <f>1</f>
        <v>1</v>
      </c>
      <c r="B10" s="131"/>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hidden="1" x14ac:dyDescent="0.25">
      <c r="A11" s="150">
        <f>1</f>
        <v>1</v>
      </c>
      <c r="B11" s="131"/>
      <c r="C11" s="3"/>
      <c r="D11" s="3"/>
      <c r="E11" s="296" t="str">
        <f>KPI!$E$111</f>
        <v>Площадь земли под беседки</v>
      </c>
      <c r="F11" s="296"/>
      <c r="G11" s="296" t="str">
        <f>IF($E11="","",INDEX(KPI!$G:$G,SUMIFS(KPI!$B:$B,KPI!$E:$E,$E11)))</f>
        <v>Га</v>
      </c>
      <c r="H11" s="3"/>
      <c r="I11" s="28"/>
      <c r="J11" s="3"/>
      <c r="K11" s="28"/>
      <c r="L11" s="3"/>
      <c r="M11" s="55"/>
      <c r="N11" s="3"/>
      <c r="O11" s="3"/>
      <c r="P11" s="301">
        <f>IF(P$1="",0,аренда!$M$41)</f>
        <v>1.1000000000000001</v>
      </c>
      <c r="Q11" s="301">
        <f>IF(Q$1="",0,аренда!$M$41)</f>
        <v>1.1000000000000001</v>
      </c>
      <c r="R11" s="301">
        <f>IF(R$1="",0,аренда!$M$41)</f>
        <v>1.1000000000000001</v>
      </c>
      <c r="S11" s="301">
        <f>IF(S$1="",0,аренда!$M$41)</f>
        <v>1.1000000000000001</v>
      </c>
      <c r="T11" s="301">
        <f>IF(T$1="",0,аренда!$M$41)</f>
        <v>1.1000000000000001</v>
      </c>
      <c r="U11" s="301">
        <f>IF(U$1="",0,аренда!$M$41)</f>
        <v>1.1000000000000001</v>
      </c>
      <c r="V11" s="301">
        <f>IF(V$1="",0,аренда!$M$41)</f>
        <v>1.1000000000000001</v>
      </c>
      <c r="W11" s="301">
        <f>IF(W$1="",0,аренда!$M$41)</f>
        <v>0</v>
      </c>
      <c r="X11" s="301">
        <f>IF(X$1="",0,аренда!$M$41)</f>
        <v>0</v>
      </c>
      <c r="Y11" s="301">
        <f>IF(Y$1="",0,аренда!$M$41)</f>
        <v>0</v>
      </c>
      <c r="Z11" s="301">
        <f>IF(Z$1="",0,аренда!$M$41)</f>
        <v>0</v>
      </c>
      <c r="AA11" s="301">
        <f>IF(AA$1="",0,аренда!$M$41)</f>
        <v>0</v>
      </c>
      <c r="AB11" s="3"/>
    </row>
    <row r="12" spans="1:28" ht="3.9" hidden="1" customHeight="1" x14ac:dyDescent="0.25">
      <c r="A12" s="149">
        <f>1</f>
        <v>1</v>
      </c>
      <c r="B12" s="131"/>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hidden="1" x14ac:dyDescent="0.25">
      <c r="A13" s="150">
        <f>1</f>
        <v>1</v>
      </c>
      <c r="B13" s="131"/>
      <c r="C13" s="3"/>
      <c r="D13" s="3"/>
      <c r="E13" s="181" t="s">
        <v>274</v>
      </c>
      <c r="F13" s="3"/>
      <c r="G13" s="3"/>
      <c r="H13" s="3"/>
      <c r="I13" s="28"/>
      <c r="J13" s="3"/>
      <c r="K13" s="28"/>
      <c r="L13" s="3"/>
      <c r="M13" s="55"/>
      <c r="N13" s="3"/>
      <c r="O13" s="3"/>
      <c r="P13" s="46"/>
      <c r="Q13" s="46"/>
      <c r="R13" s="46"/>
      <c r="S13" s="46"/>
      <c r="T13" s="46"/>
      <c r="U13" s="46"/>
      <c r="V13" s="46"/>
      <c r="W13" s="46"/>
      <c r="X13" s="46"/>
      <c r="Y13" s="46"/>
      <c r="Z13" s="46"/>
      <c r="AA13" s="46"/>
      <c r="AB13" s="3"/>
    </row>
    <row r="14" spans="1:28" ht="8.1" hidden="1" customHeight="1" x14ac:dyDescent="0.25">
      <c r="A14" s="149">
        <f>1</f>
        <v>1</v>
      </c>
      <c r="B14" s="131"/>
      <c r="C14" s="2"/>
      <c r="D14" s="2"/>
      <c r="E14" s="2"/>
      <c r="F14" s="2"/>
      <c r="G14" s="2"/>
      <c r="H14" s="2"/>
      <c r="I14" s="28"/>
      <c r="J14" s="2"/>
      <c r="K14" s="28"/>
      <c r="L14" s="2"/>
      <c r="M14" s="52"/>
      <c r="N14" s="2"/>
      <c r="O14" s="2"/>
      <c r="P14" s="36"/>
      <c r="Q14" s="36"/>
      <c r="R14" s="36"/>
      <c r="S14" s="36"/>
      <c r="T14" s="36"/>
      <c r="U14" s="36"/>
      <c r="V14" s="36"/>
      <c r="W14" s="36"/>
      <c r="X14" s="36"/>
      <c r="Y14" s="36"/>
      <c r="Z14" s="36"/>
      <c r="AA14" s="36"/>
      <c r="AB14" s="2"/>
    </row>
    <row r="15" spans="1:28" ht="3.9" hidden="1" customHeight="1" x14ac:dyDescent="0.25">
      <c r="A15" s="149">
        <f>1</f>
        <v>1</v>
      </c>
      <c r="B15" s="131"/>
      <c r="C15" s="2"/>
      <c r="D15" s="2"/>
      <c r="E15" s="2"/>
      <c r="F15" s="2"/>
      <c r="G15" s="2"/>
      <c r="H15" s="2"/>
      <c r="I15" s="28"/>
      <c r="J15" s="2"/>
      <c r="K15" s="28"/>
      <c r="L15" s="2"/>
      <c r="M15" s="52"/>
      <c r="N15" s="2"/>
      <c r="O15" s="2"/>
      <c r="P15" s="36"/>
      <c r="Q15" s="36"/>
      <c r="R15" s="36"/>
      <c r="S15" s="36"/>
      <c r="T15" s="36"/>
      <c r="U15" s="36"/>
      <c r="V15" s="36"/>
      <c r="W15" s="36"/>
      <c r="X15" s="36"/>
      <c r="Y15" s="36"/>
      <c r="Z15" s="36"/>
      <c r="AA15" s="36"/>
      <c r="AB15" s="2"/>
    </row>
    <row r="16" spans="1:28" s="5" customFormat="1" hidden="1" x14ac:dyDescent="0.25">
      <c r="A16" s="150">
        <f>1</f>
        <v>1</v>
      </c>
      <c r="B16" s="132" t="str">
        <f>структура!$J$12</f>
        <v>ОСНО</v>
      </c>
      <c r="C16" s="3"/>
      <c r="D16" s="3"/>
      <c r="E16" s="89" t="str">
        <f>KPI!$E$74</f>
        <v>ВЫРУЧКА</v>
      </c>
      <c r="F16" s="89"/>
      <c r="G16" s="89" t="str">
        <f>IF($E16="","",INDEX(KPI!$G:$G,SUMIFS(KPI!$B:$B,KPI!$E:$E,$E16)))</f>
        <v>тыс.руб.</v>
      </c>
      <c r="H16" s="89"/>
      <c r="I16" s="90"/>
      <c r="J16" s="130" t="str">
        <f>структура!$AL$21</f>
        <v>Без НДС</v>
      </c>
      <c r="K16" s="90"/>
      <c r="L16" s="89"/>
      <c r="M16" s="92">
        <f>SUM($O16:$AB16)</f>
        <v>42625</v>
      </c>
      <c r="N16" s="3"/>
      <c r="O16" s="3"/>
      <c r="P16" s="93">
        <f>IF(P$1="",0,IF(1+операции!P$421=0,0,(операции!P$58)/(1+операции!P$421)))</f>
        <v>6085.5384615384619</v>
      </c>
      <c r="Q16" s="93">
        <f>IF(Q$1="",0,IF(1+операции!Q$421=0,0,(операции!Q$58)/(1+операции!Q$421)))</f>
        <v>6085.5384615384619</v>
      </c>
      <c r="R16" s="93">
        <f>IF(R$1="",0,IF(1+операции!R$421=0,0,(операции!R$58)/(1+операции!R$421)))</f>
        <v>6098.6538461538466</v>
      </c>
      <c r="S16" s="93">
        <f>IF(S$1="",0,IF(1+операции!S$421=0,0,(операции!S$58)/(1+операции!S$421)))</f>
        <v>6085.5384615384619</v>
      </c>
      <c r="T16" s="93">
        <f>IF(T$1="",0,IF(1+операции!T$421=0,0,(операции!T$58)/(1+операции!T$421)))</f>
        <v>6085.5384615384619</v>
      </c>
      <c r="U16" s="93">
        <f>IF(U$1="",0,IF(1+операции!U$421=0,0,(операции!U$58)/(1+операции!U$421)))</f>
        <v>6085.5384615384619</v>
      </c>
      <c r="V16" s="93">
        <f>IF(V$1="",0,IF(1+операции!V$421=0,0,(операции!V$58)/(1+операции!V$421)))</f>
        <v>6098.6538461538466</v>
      </c>
      <c r="W16" s="93">
        <f>IF(W$1="",0,IF(1+операции!W$421=0,0,(операции!W$58)/(1+операции!W$421)))</f>
        <v>0</v>
      </c>
      <c r="X16" s="93">
        <f>IF(X$1="",0,IF(1+операции!X$421=0,0,(операции!X$58)/(1+операции!X$421)))</f>
        <v>0</v>
      </c>
      <c r="Y16" s="93">
        <f>IF(Y$1="",0,IF(1+операции!Y$421=0,0,(операции!Y$58)/(1+операции!Y$421)))</f>
        <v>0</v>
      </c>
      <c r="Z16" s="93">
        <f>IF(Z$1="",0,IF(1+операции!Z$421=0,0,(операции!Z$58)/(1+операции!Z$421)))</f>
        <v>0</v>
      </c>
      <c r="AA16" s="93">
        <f>IF(AA$1="",0,IF(1+операции!AA$421=0,0,(операции!AA$58)/(1+операции!AA$421)))</f>
        <v>0</v>
      </c>
      <c r="AB16" s="3"/>
    </row>
    <row r="17" spans="1:28" ht="3.9" hidden="1" customHeight="1" x14ac:dyDescent="0.25">
      <c r="A17" s="149">
        <f>1</f>
        <v>1</v>
      </c>
      <c r="B17" s="131"/>
      <c r="C17" s="2"/>
      <c r="D17" s="2"/>
      <c r="E17" s="2"/>
      <c r="F17" s="2"/>
      <c r="G17" s="2"/>
      <c r="H17" s="2"/>
      <c r="I17" s="28"/>
      <c r="J17" s="2"/>
      <c r="K17" s="28"/>
      <c r="L17" s="2"/>
      <c r="M17" s="52"/>
      <c r="N17" s="2"/>
      <c r="O17" s="2"/>
      <c r="P17" s="36"/>
      <c r="Q17" s="36"/>
      <c r="R17" s="36"/>
      <c r="S17" s="36"/>
      <c r="T17" s="36"/>
      <c r="U17" s="36"/>
      <c r="V17" s="36"/>
      <c r="W17" s="36"/>
      <c r="X17" s="36"/>
      <c r="Y17" s="36"/>
      <c r="Z17" s="36"/>
      <c r="AA17" s="36"/>
      <c r="AB17" s="2"/>
    </row>
    <row r="18" spans="1:28" s="5" customFormat="1" hidden="1" x14ac:dyDescent="0.25">
      <c r="A18" s="150">
        <f>1</f>
        <v>1</v>
      </c>
      <c r="B18" s="132" t="str">
        <f>структура!$J$13</f>
        <v>УСН(6%)</v>
      </c>
      <c r="C18" s="3"/>
      <c r="D18" s="3"/>
      <c r="E18" s="89" t="str">
        <f>E16</f>
        <v>ВЫРУЧКА</v>
      </c>
      <c r="F18" s="89"/>
      <c r="G18" s="89" t="str">
        <f>IF($E18="","",INDEX(KPI!$G:$G,SUMIFS(KPI!$B:$B,KPI!$E:$E,$E18)))</f>
        <v>тыс.руб.</v>
      </c>
      <c r="H18" s="89"/>
      <c r="I18" s="90"/>
      <c r="J18" s="130"/>
      <c r="K18" s="90"/>
      <c r="L18" s="89"/>
      <c r="M18" s="92">
        <f>SUM($O18:$AB18)</f>
        <v>51149.999999999993</v>
      </c>
      <c r="N18" s="3"/>
      <c r="O18" s="3"/>
      <c r="P18" s="93">
        <f>IF(P$1="",0,операции!P$58)</f>
        <v>7302.6461538461535</v>
      </c>
      <c r="Q18" s="93">
        <f>IF(Q$1="",0,операции!Q$58)</f>
        <v>7302.6461538461535</v>
      </c>
      <c r="R18" s="93">
        <f>IF(R$1="",0,операции!R$58)</f>
        <v>7318.3846153846152</v>
      </c>
      <c r="S18" s="93">
        <f>IF(S$1="",0,операции!S$58)</f>
        <v>7302.6461538461535</v>
      </c>
      <c r="T18" s="93">
        <f>IF(T$1="",0,операции!T$58)</f>
        <v>7302.6461538461535</v>
      </c>
      <c r="U18" s="93">
        <f>IF(U$1="",0,операции!U$58)</f>
        <v>7302.6461538461535</v>
      </c>
      <c r="V18" s="93">
        <f>IF(V$1="",0,операции!V$58)</f>
        <v>7318.3846153846152</v>
      </c>
      <c r="W18" s="93">
        <f>IF(W$1="",0,операции!W$58)</f>
        <v>0</v>
      </c>
      <c r="X18" s="93">
        <f>IF(X$1="",0,операции!X$58)</f>
        <v>0</v>
      </c>
      <c r="Y18" s="93">
        <f>IF(Y$1="",0,операции!Y$58)</f>
        <v>0</v>
      </c>
      <c r="Z18" s="93">
        <f>IF(Z$1="",0,операции!Z$58)</f>
        <v>0</v>
      </c>
      <c r="AA18" s="93">
        <f>IF(AA$1="",0,операции!AA$58)</f>
        <v>0</v>
      </c>
      <c r="AB18" s="3"/>
    </row>
    <row r="19" spans="1:28" ht="3.9" hidden="1" customHeight="1" x14ac:dyDescent="0.25">
      <c r="A19" s="149">
        <f>1</f>
        <v>1</v>
      </c>
      <c r="B19" s="131"/>
      <c r="C19" s="2"/>
      <c r="D19" s="2"/>
      <c r="E19" s="2"/>
      <c r="F19" s="2"/>
      <c r="G19" s="2"/>
      <c r="H19" s="2"/>
      <c r="I19" s="28"/>
      <c r="J19" s="2"/>
      <c r="K19" s="28"/>
      <c r="L19" s="2"/>
      <c r="M19" s="52"/>
      <c r="N19" s="2"/>
      <c r="O19" s="2"/>
      <c r="P19" s="36"/>
      <c r="Q19" s="36"/>
      <c r="R19" s="36"/>
      <c r="S19" s="36"/>
      <c r="T19" s="36"/>
      <c r="U19" s="36"/>
      <c r="V19" s="36"/>
      <c r="W19" s="36"/>
      <c r="X19" s="36"/>
      <c r="Y19" s="36"/>
      <c r="Z19" s="36"/>
      <c r="AA19" s="36"/>
      <c r="AB19" s="2"/>
    </row>
    <row r="20" spans="1:28" s="5" customFormat="1" hidden="1" x14ac:dyDescent="0.25">
      <c r="A20" s="150">
        <f>1</f>
        <v>1</v>
      </c>
      <c r="B20" s="132" t="str">
        <f>структура!$J$14</f>
        <v>УСН(15%)</v>
      </c>
      <c r="C20" s="3"/>
      <c r="D20" s="3"/>
      <c r="E20" s="89" t="str">
        <f>E16</f>
        <v>ВЫРУЧКА</v>
      </c>
      <c r="F20" s="89"/>
      <c r="G20" s="89" t="str">
        <f>IF($E20="","",INDEX(KPI!$G:$G,SUMIFS(KPI!$B:$B,KPI!$E:$E,$E20)))</f>
        <v>тыс.руб.</v>
      </c>
      <c r="H20" s="89"/>
      <c r="I20" s="90"/>
      <c r="J20" s="130"/>
      <c r="K20" s="90"/>
      <c r="L20" s="89"/>
      <c r="M20" s="92">
        <f>SUM($O20:$AB20)</f>
        <v>51149.999999999993</v>
      </c>
      <c r="N20" s="3"/>
      <c r="O20" s="3"/>
      <c r="P20" s="93">
        <f>IF(P$1="",0,операции!P$58)</f>
        <v>7302.6461538461535</v>
      </c>
      <c r="Q20" s="93">
        <f>IF(Q$1="",0,операции!Q$58)</f>
        <v>7302.6461538461535</v>
      </c>
      <c r="R20" s="93">
        <f>IF(R$1="",0,операции!R$58)</f>
        <v>7318.3846153846152</v>
      </c>
      <c r="S20" s="93">
        <f>IF(S$1="",0,операции!S$58)</f>
        <v>7302.6461538461535</v>
      </c>
      <c r="T20" s="93">
        <f>IF(T$1="",0,операции!T$58)</f>
        <v>7302.6461538461535</v>
      </c>
      <c r="U20" s="93">
        <f>IF(U$1="",0,операции!U$58)</f>
        <v>7302.6461538461535</v>
      </c>
      <c r="V20" s="93">
        <f>IF(V$1="",0,операции!V$58)</f>
        <v>7318.3846153846152</v>
      </c>
      <c r="W20" s="93">
        <f>IF(W$1="",0,операции!W$58)</f>
        <v>0</v>
      </c>
      <c r="X20" s="93">
        <f>IF(X$1="",0,операции!X$58)</f>
        <v>0</v>
      </c>
      <c r="Y20" s="93">
        <f>IF(Y$1="",0,операции!Y$58)</f>
        <v>0</v>
      </c>
      <c r="Z20" s="93">
        <f>IF(Z$1="",0,операции!Z$58)</f>
        <v>0</v>
      </c>
      <c r="AA20" s="93">
        <f>IF(AA$1="",0,операции!AA$58)</f>
        <v>0</v>
      </c>
      <c r="AB20" s="3"/>
    </row>
    <row r="21" spans="1:28" ht="3.9" hidden="1" customHeight="1" x14ac:dyDescent="0.25">
      <c r="A21" s="149">
        <f>1</f>
        <v>1</v>
      </c>
      <c r="B21" s="131"/>
      <c r="C21" s="2"/>
      <c r="D21" s="2"/>
      <c r="E21" s="2"/>
      <c r="F21" s="2"/>
      <c r="G21" s="2"/>
      <c r="H21" s="2"/>
      <c r="I21" s="28"/>
      <c r="J21" s="2"/>
      <c r="K21" s="28"/>
      <c r="L21" s="2"/>
      <c r="M21" s="52"/>
      <c r="N21" s="2"/>
      <c r="O21" s="2"/>
      <c r="P21" s="36"/>
      <c r="Q21" s="36"/>
      <c r="R21" s="36"/>
      <c r="S21" s="36"/>
      <c r="T21" s="36"/>
      <c r="U21" s="36"/>
      <c r="V21" s="36"/>
      <c r="W21" s="36"/>
      <c r="X21" s="36"/>
      <c r="Y21" s="36"/>
      <c r="Z21" s="36"/>
      <c r="AA21" s="36"/>
      <c r="AB21" s="2"/>
    </row>
    <row r="22" spans="1:28" s="5" customFormat="1" x14ac:dyDescent="0.25">
      <c r="A22" s="150">
        <f>1</f>
        <v>1</v>
      </c>
      <c r="B22" s="132" t="str">
        <f>структура!$J$15</f>
        <v>УСН(6%)-ИП</v>
      </c>
      <c r="C22" s="3"/>
      <c r="D22" s="3"/>
      <c r="E22" s="89" t="str">
        <f>E16</f>
        <v>ВЫРУЧКА</v>
      </c>
      <c r="F22" s="89"/>
      <c r="G22" s="89" t="str">
        <f>IF($E22="","",INDEX(KPI!$G:$G,SUMIFS(KPI!$B:$B,KPI!$E:$E,$E22)))</f>
        <v>тыс.руб.</v>
      </c>
      <c r="H22" s="89"/>
      <c r="I22" s="90"/>
      <c r="J22" s="130"/>
      <c r="K22" s="90"/>
      <c r="L22" s="89"/>
      <c r="M22" s="92">
        <f>SUM($O22:$AB22)</f>
        <v>51149.999999999993</v>
      </c>
      <c r="N22" s="3"/>
      <c r="O22" s="3"/>
      <c r="P22" s="93">
        <f>IF(P$1="",0,операции!P$58)</f>
        <v>7302.6461538461535</v>
      </c>
      <c r="Q22" s="93">
        <f>IF(Q$1="",0,операции!Q$58)</f>
        <v>7302.6461538461535</v>
      </c>
      <c r="R22" s="93">
        <f>IF(R$1="",0,операции!R$58)</f>
        <v>7318.3846153846152</v>
      </c>
      <c r="S22" s="93">
        <f>IF(S$1="",0,операции!S$58)</f>
        <v>7302.6461538461535</v>
      </c>
      <c r="T22" s="93">
        <f>IF(T$1="",0,операции!T$58)</f>
        <v>7302.6461538461535</v>
      </c>
      <c r="U22" s="93">
        <f>IF(U$1="",0,операции!U$58)</f>
        <v>7302.6461538461535</v>
      </c>
      <c r="V22" s="93">
        <f>IF(V$1="",0,операции!V$58)</f>
        <v>7318.3846153846152</v>
      </c>
      <c r="W22" s="93">
        <f>IF(W$1="",0,операции!W$58)</f>
        <v>0</v>
      </c>
      <c r="X22" s="93">
        <f>IF(X$1="",0,операции!X$58)</f>
        <v>0</v>
      </c>
      <c r="Y22" s="93">
        <f>IF(Y$1="",0,операции!Y$58)</f>
        <v>0</v>
      </c>
      <c r="Z22" s="93">
        <f>IF(Z$1="",0,операции!Z$58)</f>
        <v>0</v>
      </c>
      <c r="AA22" s="93">
        <f>IF(AA$1="",0,операции!AA$58)</f>
        <v>0</v>
      </c>
      <c r="AB22" s="3"/>
    </row>
    <row r="23" spans="1:28" ht="3.9" hidden="1" customHeight="1" x14ac:dyDescent="0.25">
      <c r="A23" s="149">
        <f>1</f>
        <v>1</v>
      </c>
      <c r="B23" s="131"/>
      <c r="C23" s="2"/>
      <c r="D23" s="2"/>
      <c r="E23" s="117"/>
      <c r="F23" s="2"/>
      <c r="G23" s="117"/>
      <c r="H23" s="2"/>
      <c r="I23" s="28"/>
      <c r="J23" s="2"/>
      <c r="K23" s="28"/>
      <c r="L23" s="2"/>
      <c r="M23" s="138"/>
      <c r="N23" s="2"/>
      <c r="O23" s="2"/>
      <c r="P23" s="36"/>
      <c r="Q23" s="36"/>
      <c r="R23" s="36"/>
      <c r="S23" s="36"/>
      <c r="T23" s="36"/>
      <c r="U23" s="36"/>
      <c r="V23" s="36"/>
      <c r="W23" s="36"/>
      <c r="X23" s="36"/>
      <c r="Y23" s="36"/>
      <c r="Z23" s="36"/>
      <c r="AA23" s="36"/>
      <c r="AB23" s="2"/>
    </row>
    <row r="24" spans="1:28" ht="8.1" hidden="1" customHeight="1" x14ac:dyDescent="0.25">
      <c r="A24" s="149">
        <f>1</f>
        <v>1</v>
      </c>
      <c r="B24" s="131"/>
      <c r="C24" s="2"/>
      <c r="D24" s="2"/>
      <c r="E24" s="2"/>
      <c r="F24" s="2"/>
      <c r="G24" s="2"/>
      <c r="H24" s="2"/>
      <c r="I24" s="28"/>
      <c r="J24" s="2"/>
      <c r="K24" s="28"/>
      <c r="L24" s="2"/>
      <c r="M24" s="52"/>
      <c r="N24" s="2"/>
      <c r="O24" s="2"/>
      <c r="P24" s="36"/>
      <c r="Q24" s="36"/>
      <c r="R24" s="36"/>
      <c r="S24" s="36"/>
      <c r="T24" s="36"/>
      <c r="U24" s="36"/>
      <c r="V24" s="36"/>
      <c r="W24" s="36"/>
      <c r="X24" s="36"/>
      <c r="Y24" s="36"/>
      <c r="Z24" s="36"/>
      <c r="AA24" s="36"/>
      <c r="AB24" s="2"/>
    </row>
    <row r="25" spans="1:28" ht="3.9" hidden="1" customHeight="1" x14ac:dyDescent="0.25">
      <c r="A25" s="149">
        <f>1</f>
        <v>1</v>
      </c>
      <c r="B25" s="131"/>
      <c r="C25" s="2"/>
      <c r="D25" s="2"/>
      <c r="E25" s="2"/>
      <c r="F25" s="2"/>
      <c r="G25" s="2"/>
      <c r="H25" s="2"/>
      <c r="I25" s="28"/>
      <c r="J25" s="2"/>
      <c r="K25" s="28"/>
      <c r="L25" s="2"/>
      <c r="M25" s="52"/>
      <c r="N25" s="2"/>
      <c r="O25" s="2"/>
      <c r="P25" s="36"/>
      <c r="Q25" s="36"/>
      <c r="R25" s="36"/>
      <c r="S25" s="36"/>
      <c r="T25" s="36"/>
      <c r="U25" s="36"/>
      <c r="V25" s="36"/>
      <c r="W25" s="36"/>
      <c r="X25" s="36"/>
      <c r="Y25" s="36"/>
      <c r="Z25" s="36"/>
      <c r="AA25" s="36"/>
      <c r="AB25" s="2"/>
    </row>
    <row r="26" spans="1:28" s="5" customFormat="1" hidden="1" x14ac:dyDescent="0.25">
      <c r="A26" s="150">
        <f>1</f>
        <v>1</v>
      </c>
      <c r="B26" s="132" t="str">
        <f>структура!$J$12</f>
        <v>ОСНО</v>
      </c>
      <c r="C26" s="3"/>
      <c r="D26" s="3"/>
      <c r="E26" s="89" t="str">
        <f>KPI!$E$75</f>
        <v>ОПЕРАЦИОННЫЕ РАСХОДЫ</v>
      </c>
      <c r="F26" s="89"/>
      <c r="G26" s="89" t="str">
        <f>IF($E26="","",INDEX(KPI!$G:$G,SUMIFS(KPI!$B:$B,KPI!$E:$E,$E26)))</f>
        <v>тыс.руб.</v>
      </c>
      <c r="H26" s="89"/>
      <c r="I26" s="90"/>
      <c r="J26" s="130" t="str">
        <f>структура!$AL$21</f>
        <v>Без НДС</v>
      </c>
      <c r="K26" s="90"/>
      <c r="L26" s="89"/>
      <c r="M26" s="92">
        <f>SUM($O26:$AB26)</f>
        <v>22718.092103318559</v>
      </c>
      <c r="N26" s="3"/>
      <c r="O26" s="3"/>
      <c r="P26" s="93">
        <f>IF(P$1="",0,SUMIFS(P33:P$113,$B33:$B$113,$B26))</f>
        <v>3347.0789144534015</v>
      </c>
      <c r="Q26" s="93">
        <f>IF(Q$1="",0,SUMIFS(Q33:Q$113,$B33:$B$113,$B26))</f>
        <v>3342.1767549783754</v>
      </c>
      <c r="R26" s="93">
        <f>IF(R$1="",0,SUMIFS(R33:R$113,$B33:$B$113,$B26))</f>
        <v>3276.9802586677065</v>
      </c>
      <c r="S26" s="93">
        <f>IF(S$1="",0,SUMIFS(S33:S$113,$B33:$B$113,$B26))</f>
        <v>3209.8712647268812</v>
      </c>
      <c r="T26" s="93">
        <f>IF(T$1="",0,SUMIFS(T33:T$113,$B33:$B$113,$B26))</f>
        <v>3204.4448426414515</v>
      </c>
      <c r="U26" s="93">
        <f>IF(U$1="",0,SUMIFS(U33:U$113,$B33:$B$113,$B26))</f>
        <v>3178.3569687252884</v>
      </c>
      <c r="V26" s="93">
        <f>IF(V$1="",0,SUMIFS(V33:V$113,$B33:$B$113,$B26))</f>
        <v>3159.1830991254542</v>
      </c>
      <c r="W26" s="93">
        <f>IF(W$1="",0,SUMIFS(W33:W$113,$B33:$B$113,$B26))</f>
        <v>0</v>
      </c>
      <c r="X26" s="93">
        <f>IF(X$1="",0,SUMIFS(X33:X$113,$B33:$B$113,$B26))</f>
        <v>0</v>
      </c>
      <c r="Y26" s="93">
        <f>IF(Y$1="",0,SUMIFS(Y33:Y$113,$B33:$B$113,$B26))</f>
        <v>0</v>
      </c>
      <c r="Z26" s="93">
        <f>IF(Z$1="",0,SUMIFS(Z33:Z$113,$B33:$B$113,$B26))</f>
        <v>0</v>
      </c>
      <c r="AA26" s="93">
        <f>IF(AA$1="",0,SUMIFS(AA33:AA$113,$B33:$B$113,$B26))</f>
        <v>0</v>
      </c>
      <c r="AB26" s="3"/>
    </row>
    <row r="27" spans="1:28" ht="3.9" hidden="1" customHeight="1" x14ac:dyDescent="0.25">
      <c r="A27" s="149">
        <f>1</f>
        <v>1</v>
      </c>
      <c r="B27" s="131"/>
      <c r="C27" s="2"/>
      <c r="D27" s="2"/>
      <c r="E27" s="2"/>
      <c r="F27" s="2"/>
      <c r="G27" s="2"/>
      <c r="H27" s="2"/>
      <c r="I27" s="28"/>
      <c r="J27" s="2"/>
      <c r="K27" s="28"/>
      <c r="L27" s="2"/>
      <c r="M27" s="52"/>
      <c r="N27" s="2"/>
      <c r="O27" s="2"/>
      <c r="P27" s="36"/>
      <c r="Q27" s="36"/>
      <c r="R27" s="36"/>
      <c r="S27" s="36"/>
      <c r="T27" s="36"/>
      <c r="U27" s="36"/>
      <c r="V27" s="36"/>
      <c r="W27" s="36"/>
      <c r="X27" s="36"/>
      <c r="Y27" s="36"/>
      <c r="Z27" s="36"/>
      <c r="AA27" s="36"/>
      <c r="AB27" s="2"/>
    </row>
    <row r="28" spans="1:28" s="5" customFormat="1" hidden="1" x14ac:dyDescent="0.25">
      <c r="A28" s="150">
        <f>1</f>
        <v>1</v>
      </c>
      <c r="B28" s="132" t="str">
        <f>структура!$J$13</f>
        <v>УСН(6%)</v>
      </c>
      <c r="C28" s="3"/>
      <c r="D28" s="3"/>
      <c r="E28" s="89" t="str">
        <f>E26</f>
        <v>ОПЕРАЦИОННЫЕ РАСХОДЫ</v>
      </c>
      <c r="F28" s="89"/>
      <c r="G28" s="89" t="str">
        <f>IF($E28="","",INDEX(KPI!$G:$G,SUMIFS(KPI!$B:$B,KPI!$E:$E,$E28)))</f>
        <v>тыс.руб.</v>
      </c>
      <c r="H28" s="89"/>
      <c r="I28" s="90"/>
      <c r="J28" s="130" t="str">
        <f>структура!$AL$21</f>
        <v>Без НДС</v>
      </c>
      <c r="K28" s="90"/>
      <c r="L28" s="89"/>
      <c r="M28" s="92">
        <f>SUM($O28:$AB28)</f>
        <v>24013.871631643975</v>
      </c>
      <c r="N28" s="3"/>
      <c r="O28" s="3"/>
      <c r="P28" s="93">
        <f>IF(P$1="",0,SUMIFS(P35:P$113,$B35:$B$113,$B28))</f>
        <v>3552.5177127243251</v>
      </c>
      <c r="Q28" s="93">
        <f>IF(Q$1="",0,SUMIFS(Q35:Q$113,$B35:$B$113,$B28))</f>
        <v>3546.6351213542939</v>
      </c>
      <c r="R28" s="93">
        <f>IF(R$1="",0,SUMIFS(R35:R$113,$B35:$B$113,$B28))</f>
        <v>3468.3993257814914</v>
      </c>
      <c r="S28" s="93">
        <f>IF(S$1="",0,SUMIFS(S35:S$113,$B35:$B$113,$B28))</f>
        <v>3387.8685330525013</v>
      </c>
      <c r="T28" s="93">
        <f>IF(T$1="",0,SUMIFS(T35:T$113,$B35:$B$113,$B28))</f>
        <v>3381.3568265499853</v>
      </c>
      <c r="U28" s="93">
        <f>IF(U$1="",0,SUMIFS(U35:U$113,$B35:$B$113,$B28))</f>
        <v>3350.0513778505892</v>
      </c>
      <c r="V28" s="93">
        <f>IF(V$1="",0,SUMIFS(V35:V$113,$B35:$B$113,$B28))</f>
        <v>3327.0427343307888</v>
      </c>
      <c r="W28" s="93">
        <f>IF(W$1="",0,SUMIFS(W35:W$113,$B35:$B$113,$B28))</f>
        <v>0</v>
      </c>
      <c r="X28" s="93">
        <f>IF(X$1="",0,SUMIFS(X35:X$113,$B35:$B$113,$B28))</f>
        <v>0</v>
      </c>
      <c r="Y28" s="93">
        <f>IF(Y$1="",0,SUMIFS(Y35:Y$113,$B35:$B$113,$B28))</f>
        <v>0</v>
      </c>
      <c r="Z28" s="93">
        <f>IF(Z$1="",0,SUMIFS(Z35:Z$113,$B35:$B$113,$B28))</f>
        <v>0</v>
      </c>
      <c r="AA28" s="93">
        <f>IF(AA$1="",0,SUMIFS(AA35:AA$113,$B35:$B$113,$B28))</f>
        <v>0</v>
      </c>
      <c r="AB28" s="3"/>
    </row>
    <row r="29" spans="1:28" ht="3.9" hidden="1" customHeight="1" x14ac:dyDescent="0.25">
      <c r="A29" s="149">
        <f>1</f>
        <v>1</v>
      </c>
      <c r="B29" s="131"/>
      <c r="C29" s="2"/>
      <c r="D29" s="2"/>
      <c r="E29" s="2"/>
      <c r="F29" s="2"/>
      <c r="G29" s="2"/>
      <c r="H29" s="2"/>
      <c r="I29" s="28"/>
      <c r="J29" s="2"/>
      <c r="K29" s="28"/>
      <c r="L29" s="2"/>
      <c r="M29" s="52"/>
      <c r="N29" s="2"/>
      <c r="O29" s="2"/>
      <c r="P29" s="36"/>
      <c r="Q29" s="36"/>
      <c r="R29" s="36"/>
      <c r="S29" s="36"/>
      <c r="T29" s="36"/>
      <c r="U29" s="36"/>
      <c r="V29" s="36"/>
      <c r="W29" s="36"/>
      <c r="X29" s="36"/>
      <c r="Y29" s="36"/>
      <c r="Z29" s="36"/>
      <c r="AA29" s="36"/>
      <c r="AB29" s="2"/>
    </row>
    <row r="30" spans="1:28" s="5" customFormat="1" hidden="1" x14ac:dyDescent="0.25">
      <c r="A30" s="150">
        <f>1</f>
        <v>1</v>
      </c>
      <c r="B30" s="132" t="str">
        <f>структура!$J$14</f>
        <v>УСН(15%)</v>
      </c>
      <c r="C30" s="3"/>
      <c r="D30" s="3"/>
      <c r="E30" s="89" t="str">
        <f>E26</f>
        <v>ОПЕРАЦИОННЫЕ РАСХОДЫ</v>
      </c>
      <c r="F30" s="89"/>
      <c r="G30" s="89" t="str">
        <f>IF($E30="","",INDEX(KPI!$G:$G,SUMIFS(KPI!$B:$B,KPI!$E:$E,$E30)))</f>
        <v>тыс.руб.</v>
      </c>
      <c r="H30" s="89"/>
      <c r="I30" s="90"/>
      <c r="J30" s="130" t="str">
        <f>структура!$AL$21</f>
        <v>Без НДС</v>
      </c>
      <c r="K30" s="90"/>
      <c r="L30" s="89"/>
      <c r="M30" s="92">
        <f>SUM($O30:$AB30)</f>
        <v>24013.871631643975</v>
      </c>
      <c r="N30" s="3"/>
      <c r="O30" s="3"/>
      <c r="P30" s="93">
        <f>IF(P$1="",0,SUMIFS(P37:P$113,$B37:$B$113,$B30))</f>
        <v>3552.5177127243251</v>
      </c>
      <c r="Q30" s="93">
        <f>IF(Q$1="",0,SUMIFS(Q37:Q$113,$B37:$B$113,$B30))</f>
        <v>3546.6351213542939</v>
      </c>
      <c r="R30" s="93">
        <f>IF(R$1="",0,SUMIFS(R37:R$113,$B37:$B$113,$B30))</f>
        <v>3468.3993257814914</v>
      </c>
      <c r="S30" s="93">
        <f>IF(S$1="",0,SUMIFS(S37:S$113,$B37:$B$113,$B30))</f>
        <v>3387.8685330525013</v>
      </c>
      <c r="T30" s="93">
        <f>IF(T$1="",0,SUMIFS(T37:T$113,$B37:$B$113,$B30))</f>
        <v>3381.3568265499853</v>
      </c>
      <c r="U30" s="93">
        <f>IF(U$1="",0,SUMIFS(U37:U$113,$B37:$B$113,$B30))</f>
        <v>3350.0513778505892</v>
      </c>
      <c r="V30" s="93">
        <f>IF(V$1="",0,SUMIFS(V37:V$113,$B37:$B$113,$B30))</f>
        <v>3327.0427343307888</v>
      </c>
      <c r="W30" s="93">
        <f>IF(W$1="",0,SUMIFS(W37:W$113,$B37:$B$113,$B30))</f>
        <v>0</v>
      </c>
      <c r="X30" s="93">
        <f>IF(X$1="",0,SUMIFS(X37:X$113,$B37:$B$113,$B30))</f>
        <v>0</v>
      </c>
      <c r="Y30" s="93">
        <f>IF(Y$1="",0,SUMIFS(Y37:Y$113,$B37:$B$113,$B30))</f>
        <v>0</v>
      </c>
      <c r="Z30" s="93">
        <f>IF(Z$1="",0,SUMIFS(Z37:Z$113,$B37:$B$113,$B30))</f>
        <v>0</v>
      </c>
      <c r="AA30" s="93">
        <f>IF(AA$1="",0,SUMIFS(AA37:AA$113,$B37:$B$113,$B30))</f>
        <v>0</v>
      </c>
      <c r="AB30" s="3"/>
    </row>
    <row r="31" spans="1:28" ht="3.9" hidden="1" customHeight="1" x14ac:dyDescent="0.25">
      <c r="A31" s="149">
        <f>1</f>
        <v>1</v>
      </c>
      <c r="B31" s="131"/>
      <c r="C31" s="2"/>
      <c r="D31" s="2"/>
      <c r="E31" s="2"/>
      <c r="F31" s="2"/>
      <c r="G31" s="2"/>
      <c r="H31" s="2"/>
      <c r="I31" s="28"/>
      <c r="J31" s="2"/>
      <c r="K31" s="28"/>
      <c r="L31" s="2"/>
      <c r="M31" s="52"/>
      <c r="N31" s="2"/>
      <c r="O31" s="2"/>
      <c r="P31" s="36"/>
      <c r="Q31" s="36"/>
      <c r="R31" s="36"/>
      <c r="S31" s="36"/>
      <c r="T31" s="36"/>
      <c r="U31" s="36"/>
      <c r="V31" s="36"/>
      <c r="W31" s="36"/>
      <c r="X31" s="36"/>
      <c r="Y31" s="36"/>
      <c r="Z31" s="36"/>
      <c r="AA31" s="36"/>
      <c r="AB31" s="2"/>
    </row>
    <row r="32" spans="1:28" s="5" customFormat="1" x14ac:dyDescent="0.25">
      <c r="A32" s="150">
        <f>1</f>
        <v>1</v>
      </c>
      <c r="B32" s="132" t="str">
        <f>структура!$J$15</f>
        <v>УСН(6%)-ИП</v>
      </c>
      <c r="C32" s="3"/>
      <c r="D32" s="3"/>
      <c r="E32" s="89" t="str">
        <f>E26</f>
        <v>ОПЕРАЦИОННЫЕ РАСХОДЫ</v>
      </c>
      <c r="F32" s="89"/>
      <c r="G32" s="89" t="str">
        <f>IF($E32="","",INDEX(KPI!$G:$G,SUMIFS(KPI!$B:$B,KPI!$E:$E,$E32)))</f>
        <v>тыс.руб.</v>
      </c>
      <c r="H32" s="89"/>
      <c r="I32" s="90"/>
      <c r="J32" s="130" t="str">
        <f>структура!$AL$21</f>
        <v>Без НДС</v>
      </c>
      <c r="K32" s="90"/>
      <c r="L32" s="89"/>
      <c r="M32" s="92">
        <f>SUM($O32:$AB32)</f>
        <v>24013.871631643975</v>
      </c>
      <c r="N32" s="3"/>
      <c r="O32" s="3"/>
      <c r="P32" s="93">
        <f>IF(P$1="",0,SUMIFS(P39:P$113,$B39:$B$113,$B32))</f>
        <v>3552.5177127243251</v>
      </c>
      <c r="Q32" s="93">
        <f>IF(Q$1="",0,SUMIFS(Q39:Q$113,$B39:$B$113,$B32))</f>
        <v>3546.6351213542939</v>
      </c>
      <c r="R32" s="93">
        <f>IF(R$1="",0,SUMIFS(R39:R$113,$B39:$B$113,$B32))</f>
        <v>3468.3993257814914</v>
      </c>
      <c r="S32" s="93">
        <f>IF(S$1="",0,SUMIFS(S39:S$113,$B39:$B$113,$B32))</f>
        <v>3387.8685330525013</v>
      </c>
      <c r="T32" s="93">
        <f>IF(T$1="",0,SUMIFS(T39:T$113,$B39:$B$113,$B32))</f>
        <v>3381.3568265499853</v>
      </c>
      <c r="U32" s="93">
        <f>IF(U$1="",0,SUMIFS(U39:U$113,$B39:$B$113,$B32))</f>
        <v>3350.0513778505892</v>
      </c>
      <c r="V32" s="93">
        <f>IF(V$1="",0,SUMIFS(V39:V$113,$B39:$B$113,$B32))</f>
        <v>3327.0427343307888</v>
      </c>
      <c r="W32" s="93">
        <f>IF(W$1="",0,SUMIFS(W39:W$113,$B39:$B$113,$B32))</f>
        <v>0</v>
      </c>
      <c r="X32" s="93">
        <f>IF(X$1="",0,SUMIFS(X39:X$113,$B39:$B$113,$B32))</f>
        <v>0</v>
      </c>
      <c r="Y32" s="93">
        <f>IF(Y$1="",0,SUMIFS(Y39:Y$113,$B39:$B$113,$B32))</f>
        <v>0</v>
      </c>
      <c r="Z32" s="93">
        <f>IF(Z$1="",0,SUMIFS(Z39:Z$113,$B39:$B$113,$B32))</f>
        <v>0</v>
      </c>
      <c r="AA32" s="93">
        <f>IF(AA$1="",0,SUMIFS(AA39:AA$113,$B39:$B$113,$B32))</f>
        <v>0</v>
      </c>
      <c r="AB32" s="3"/>
    </row>
    <row r="33" spans="1:28" ht="3.9" hidden="1" customHeight="1" x14ac:dyDescent="0.25">
      <c r="A33" s="149">
        <f>1</f>
        <v>1</v>
      </c>
      <c r="B33" s="131"/>
      <c r="C33" s="2"/>
      <c r="D33" s="2"/>
      <c r="E33" s="2"/>
      <c r="F33" s="2"/>
      <c r="G33" s="2"/>
      <c r="H33" s="2"/>
      <c r="I33" s="28"/>
      <c r="J33" s="2"/>
      <c r="K33" s="28"/>
      <c r="L33" s="2"/>
      <c r="M33" s="52"/>
      <c r="N33" s="2"/>
      <c r="O33" s="2"/>
      <c r="P33" s="36"/>
      <c r="Q33" s="36"/>
      <c r="R33" s="36"/>
      <c r="S33" s="36"/>
      <c r="T33" s="36"/>
      <c r="U33" s="36"/>
      <c r="V33" s="36"/>
      <c r="W33" s="36"/>
      <c r="X33" s="36"/>
      <c r="Y33" s="36"/>
      <c r="Z33" s="36"/>
      <c r="AA33" s="36"/>
      <c r="AB33" s="2"/>
    </row>
    <row r="34" spans="1:28" ht="8.1" hidden="1" customHeight="1" x14ac:dyDescent="0.25">
      <c r="A34" s="149">
        <f>1</f>
        <v>1</v>
      </c>
      <c r="B34" s="131"/>
      <c r="C34" s="2"/>
      <c r="D34" s="2"/>
      <c r="E34" s="2"/>
      <c r="F34" s="2"/>
      <c r="G34" s="2"/>
      <c r="H34" s="2"/>
      <c r="I34" s="28"/>
      <c r="J34" s="2"/>
      <c r="K34" s="28"/>
      <c r="L34" s="2"/>
      <c r="M34" s="52"/>
      <c r="N34" s="2"/>
      <c r="O34" s="2"/>
      <c r="P34" s="36"/>
      <c r="Q34" s="36"/>
      <c r="R34" s="36"/>
      <c r="S34" s="36"/>
      <c r="T34" s="36"/>
      <c r="U34" s="36"/>
      <c r="V34" s="36"/>
      <c r="W34" s="36"/>
      <c r="X34" s="36"/>
      <c r="Y34" s="36"/>
      <c r="Z34" s="36"/>
      <c r="AA34" s="36"/>
      <c r="AB34" s="2"/>
    </row>
    <row r="35" spans="1:28" ht="3.9" hidden="1" customHeight="1" x14ac:dyDescent="0.25">
      <c r="A35" s="149">
        <f>1</f>
        <v>1</v>
      </c>
      <c r="B35" s="131"/>
      <c r="C35" s="2"/>
      <c r="D35" s="2"/>
      <c r="E35" s="2"/>
      <c r="F35" s="2"/>
      <c r="G35" s="2"/>
      <c r="H35" s="2"/>
      <c r="I35" s="28"/>
      <c r="J35" s="2"/>
      <c r="K35" s="28"/>
      <c r="L35" s="2"/>
      <c r="M35" s="52"/>
      <c r="N35" s="2"/>
      <c r="O35" s="2"/>
      <c r="P35" s="36"/>
      <c r="Q35" s="36"/>
      <c r="R35" s="36"/>
      <c r="S35" s="36"/>
      <c r="T35" s="36"/>
      <c r="U35" s="36"/>
      <c r="V35" s="36"/>
      <c r="W35" s="36"/>
      <c r="X35" s="36"/>
      <c r="Y35" s="36"/>
      <c r="Z35" s="36"/>
      <c r="AA35" s="36"/>
      <c r="AB35" s="2"/>
    </row>
    <row r="36" spans="1:28" s="126" customFormat="1" hidden="1" x14ac:dyDescent="0.25">
      <c r="A36" s="149">
        <f>1</f>
        <v>1</v>
      </c>
      <c r="B36" s="132" t="str">
        <f>структура!$J$12</f>
        <v>ОСНО</v>
      </c>
      <c r="C36" s="123"/>
      <c r="D36" s="123"/>
      <c r="E36" s="130" t="str">
        <f>KPI!$E$76</f>
        <v>маркетинговые расходы</v>
      </c>
      <c r="F36" s="130"/>
      <c r="G36" s="130" t="str">
        <f>IF($E36="","",INDEX(KPI!$G:$G,SUMIFS(KPI!$B:$B,KPI!$E:$E,$E36)))</f>
        <v>тыс.руб.</v>
      </c>
      <c r="H36" s="130"/>
      <c r="I36" s="134"/>
      <c r="J36" s="130" t="str">
        <f>структура!$AL$21</f>
        <v>Без НДС</v>
      </c>
      <c r="K36" s="134"/>
      <c r="L36" s="130"/>
      <c r="M36" s="135">
        <f>SUM($O36:$AB36)</f>
        <v>1534.4081923076926</v>
      </c>
      <c r="N36" s="123"/>
      <c r="O36" s="123"/>
      <c r="P36" s="136">
        <f>IF(P$1="",0,IF(1+операции!P$421=0,0,(операции!P$232)/(1+операции!P$421)))*IF(отчеты!P16=0,0,P16/отчеты!P16)</f>
        <v>304.27692307692314</v>
      </c>
      <c r="Q36" s="136">
        <f>IF(Q$1="",0,IF(1+операции!Q$421=0,0,(операции!Q$232)/(1+операции!Q$421)))*IF(отчеты!Q16=0,0,Q16/отчеты!Q16)</f>
        <v>304.27692307692308</v>
      </c>
      <c r="R36" s="136">
        <f>IF(R$1="",0,IF(1+операции!R$421=0,0,(операции!R$232)/(1+операции!R$421)))*IF(отчеты!R16=0,0,R16/отчеты!R16)</f>
        <v>243.94615384615386</v>
      </c>
      <c r="S36" s="136">
        <f>IF(S$1="",0,IF(1+операции!S$421=0,0,(операции!S$232)/(1+операции!S$421)))*IF(отчеты!S16=0,0,S16/отчеты!S16)</f>
        <v>182.56615384615384</v>
      </c>
      <c r="T36" s="136">
        <f>IF(T$1="",0,IF(1+операции!T$421=0,0,(операции!T$232)/(1+операции!T$421)))*IF(отчеты!T16=0,0,T16/отчеты!T16)</f>
        <v>182.56615384615384</v>
      </c>
      <c r="U36" s="136">
        <f>IF(U$1="",0,IF(1+операции!U$421=0,0,(операции!U$232)/(1+операции!U$421)))*IF(отчеты!U16=0,0,U16/отчеты!U16)</f>
        <v>164.30953846153844</v>
      </c>
      <c r="V36" s="136">
        <f>IF(V$1="",0,IF(1+операции!V$421=0,0,(операции!V$232)/(1+операции!V$421)))*IF(отчеты!V16=0,0,V16/отчеты!V16)</f>
        <v>152.46634615384616</v>
      </c>
      <c r="W36" s="136">
        <f>IF(W$1="",0,IF(1+операции!W$421=0,0,(операции!W$232)/(1+операции!W$421)))*IF(отчеты!W16=0,0,W16/отчеты!W16)</f>
        <v>0</v>
      </c>
      <c r="X36" s="136">
        <f>IF(X$1="",0,IF(1+операции!X$421=0,0,(операции!X$232)/(1+операции!X$421)))*IF(отчеты!X16=0,0,X16/отчеты!X16)</f>
        <v>0</v>
      </c>
      <c r="Y36" s="136">
        <f>IF(Y$1="",0,IF(1+операции!Y$421=0,0,(операции!Y$232)/(1+операции!Y$421)))*IF(отчеты!Y16=0,0,Y16/отчеты!Y16)</f>
        <v>0</v>
      </c>
      <c r="Z36" s="136">
        <f>IF(Z$1="",0,IF(1+операции!Z$421=0,0,(операции!Z$232)/(1+операции!Z$421)))*IF(отчеты!Z16=0,0,Z16/отчеты!Z16)</f>
        <v>0</v>
      </c>
      <c r="AA36" s="136">
        <f>IF(AA$1="",0,IF(1+операции!AA$421=0,0,(операции!AA$232)/(1+операции!AA$421)))*IF(отчеты!AA16=0,0,AA16/отчеты!AA16)</f>
        <v>0</v>
      </c>
      <c r="AB36" s="123"/>
    </row>
    <row r="37" spans="1:28" s="126" customFormat="1" ht="3.9" hidden="1" customHeight="1" x14ac:dyDescent="0.25">
      <c r="A37" s="149">
        <f>1</f>
        <v>1</v>
      </c>
      <c r="B37" s="131"/>
      <c r="C37" s="123"/>
      <c r="D37" s="123"/>
      <c r="E37" s="123"/>
      <c r="F37" s="123"/>
      <c r="G37" s="123"/>
      <c r="H37" s="123"/>
      <c r="I37" s="124"/>
      <c r="J37" s="123"/>
      <c r="K37" s="124"/>
      <c r="L37" s="123"/>
      <c r="M37" s="125"/>
      <c r="N37" s="123"/>
      <c r="O37" s="123"/>
      <c r="P37" s="137"/>
      <c r="Q37" s="137"/>
      <c r="R37" s="137"/>
      <c r="S37" s="137"/>
      <c r="T37" s="137"/>
      <c r="U37" s="137"/>
      <c r="V37" s="137"/>
      <c r="W37" s="137"/>
      <c r="X37" s="137"/>
      <c r="Y37" s="137"/>
      <c r="Z37" s="137"/>
      <c r="AA37" s="137"/>
      <c r="AB37" s="123"/>
    </row>
    <row r="38" spans="1:28" s="126" customFormat="1" hidden="1" x14ac:dyDescent="0.25">
      <c r="A38" s="149">
        <f>1</f>
        <v>1</v>
      </c>
      <c r="B38" s="132" t="str">
        <f>структура!$J$13</f>
        <v>УСН(6%)</v>
      </c>
      <c r="C38" s="123"/>
      <c r="D38" s="123"/>
      <c r="E38" s="130" t="str">
        <f>E36</f>
        <v>маркетинговые расходы</v>
      </c>
      <c r="F38" s="130"/>
      <c r="G38" s="130" t="str">
        <f>IF($E38="","",INDEX(KPI!$G:$G,SUMIFS(KPI!$B:$B,KPI!$E:$E,$E38)))</f>
        <v>тыс.руб.</v>
      </c>
      <c r="H38" s="130"/>
      <c r="I38" s="134"/>
      <c r="J38" s="130" t="str">
        <f>структура!$AL$21</f>
        <v>Без НДС</v>
      </c>
      <c r="K38" s="134"/>
      <c r="L38" s="130"/>
      <c r="M38" s="135">
        <f>SUM($O38:$AB38)</f>
        <v>1534.4081923076924</v>
      </c>
      <c r="N38" s="123"/>
      <c r="O38" s="123"/>
      <c r="P38" s="136">
        <f>IF(P$1="",0,IF(1+операции!P$421=0,0,(операции!P$232)/(1+операции!P$421)))*IF(отчеты!P18=0,0,P18/отчеты!P18)</f>
        <v>304.27692307692308</v>
      </c>
      <c r="Q38" s="136">
        <f>IF(Q$1="",0,IF(1+операции!Q$421=0,0,(операции!Q$232)/(1+операции!Q$421)))*IF(отчеты!Q18=0,0,Q18/отчеты!Q18)</f>
        <v>304.27692307692308</v>
      </c>
      <c r="R38" s="136">
        <f>IF(R$1="",0,IF(1+операции!R$421=0,0,(операции!R$232)/(1+операции!R$421)))*IF(отчеты!R18=0,0,R18/отчеты!R18)</f>
        <v>243.94615384615386</v>
      </c>
      <c r="S38" s="136">
        <f>IF(S$1="",0,IF(1+операции!S$421=0,0,(операции!S$232)/(1+операции!S$421)))*IF(отчеты!S18=0,0,S18/отчеты!S18)</f>
        <v>182.56615384615384</v>
      </c>
      <c r="T38" s="136">
        <f>IF(T$1="",0,IF(1+операции!T$421=0,0,(операции!T$232)/(1+операции!T$421)))*IF(отчеты!T18=0,0,T18/отчеты!T18)</f>
        <v>182.56615384615384</v>
      </c>
      <c r="U38" s="136">
        <f>IF(U$1="",0,IF(1+операции!U$421=0,0,(операции!U$232)/(1+операции!U$421)))*IF(отчеты!U18=0,0,U18/отчеты!U18)</f>
        <v>164.30953846153841</v>
      </c>
      <c r="V38" s="136">
        <f>IF(V$1="",0,IF(1+операции!V$421=0,0,(операции!V$232)/(1+операции!V$421)))*IF(отчеты!V18=0,0,V18/отчеты!V18)</f>
        <v>152.46634615384616</v>
      </c>
      <c r="W38" s="136">
        <f>IF(W$1="",0,IF(1+операции!W$421=0,0,(операции!W$232)/(1+операции!W$421)))*IF(отчеты!W18=0,0,W18/отчеты!W18)</f>
        <v>0</v>
      </c>
      <c r="X38" s="136">
        <f>IF(X$1="",0,IF(1+операции!X$421=0,0,(операции!X$232)/(1+операции!X$421)))*IF(отчеты!X18=0,0,X18/отчеты!X18)</f>
        <v>0</v>
      </c>
      <c r="Y38" s="136">
        <f>IF(Y$1="",0,IF(1+операции!Y$421=0,0,(операции!Y$232)/(1+операции!Y$421)))*IF(отчеты!Y18=0,0,Y18/отчеты!Y18)</f>
        <v>0</v>
      </c>
      <c r="Z38" s="136">
        <f>IF(Z$1="",0,IF(1+операции!Z$421=0,0,(операции!Z$232)/(1+операции!Z$421)))*IF(отчеты!Z18=0,0,Z18/отчеты!Z18)</f>
        <v>0</v>
      </c>
      <c r="AA38" s="136">
        <f>IF(AA$1="",0,IF(1+операции!AA$421=0,0,(операции!AA$232)/(1+операции!AA$421)))*IF(отчеты!AA18=0,0,AA18/отчеты!AA18)</f>
        <v>0</v>
      </c>
      <c r="AB38" s="123"/>
    </row>
    <row r="39" spans="1:28" s="126" customFormat="1" ht="3.9" hidden="1" customHeight="1" x14ac:dyDescent="0.25">
      <c r="A39" s="149">
        <f>1</f>
        <v>1</v>
      </c>
      <c r="B39" s="131"/>
      <c r="C39" s="123"/>
      <c r="D39" s="123"/>
      <c r="E39" s="123"/>
      <c r="F39" s="123"/>
      <c r="G39" s="123"/>
      <c r="H39" s="123"/>
      <c r="I39" s="124"/>
      <c r="J39" s="123"/>
      <c r="K39" s="124"/>
      <c r="L39" s="123"/>
      <c r="M39" s="125"/>
      <c r="N39" s="123"/>
      <c r="O39" s="123"/>
      <c r="P39" s="137"/>
      <c r="Q39" s="137"/>
      <c r="R39" s="137"/>
      <c r="S39" s="137"/>
      <c r="T39" s="137"/>
      <c r="U39" s="137"/>
      <c r="V39" s="137"/>
      <c r="W39" s="137"/>
      <c r="X39" s="137"/>
      <c r="Y39" s="137"/>
      <c r="Z39" s="137"/>
      <c r="AA39" s="137"/>
      <c r="AB39" s="123"/>
    </row>
    <row r="40" spans="1:28" s="126" customFormat="1" hidden="1" x14ac:dyDescent="0.25">
      <c r="A40" s="149">
        <f>1</f>
        <v>1</v>
      </c>
      <c r="B40" s="132" t="str">
        <f>структура!$J$14</f>
        <v>УСН(15%)</v>
      </c>
      <c r="C40" s="123"/>
      <c r="D40" s="123"/>
      <c r="E40" s="130" t="str">
        <f>E36</f>
        <v>маркетинговые расходы</v>
      </c>
      <c r="F40" s="130"/>
      <c r="G40" s="130" t="str">
        <f>IF($E40="","",INDEX(KPI!$G:$G,SUMIFS(KPI!$B:$B,KPI!$E:$E,$E40)))</f>
        <v>тыс.руб.</v>
      </c>
      <c r="H40" s="130"/>
      <c r="I40" s="134"/>
      <c r="J40" s="130" t="str">
        <f>структура!$AL$21</f>
        <v>Без НДС</v>
      </c>
      <c r="K40" s="134"/>
      <c r="L40" s="130"/>
      <c r="M40" s="135">
        <f>SUM($O40:$AB40)</f>
        <v>1534.4081923076924</v>
      </c>
      <c r="N40" s="123"/>
      <c r="O40" s="123"/>
      <c r="P40" s="136">
        <f>IF(P$1="",0,IF(1+операции!P$421=0,0,(операции!P$232)/(1+операции!P$421)))*IF(отчеты!P20=0,0,P20/отчеты!P20)</f>
        <v>304.27692307692308</v>
      </c>
      <c r="Q40" s="136">
        <f>IF(Q$1="",0,IF(1+операции!Q$421=0,0,(операции!Q$232)/(1+операции!Q$421)))*IF(отчеты!Q20=0,0,Q20/отчеты!Q20)</f>
        <v>304.27692307692308</v>
      </c>
      <c r="R40" s="136">
        <f>IF(R$1="",0,IF(1+операции!R$421=0,0,(операции!R$232)/(1+операции!R$421)))*IF(отчеты!R20=0,0,R20/отчеты!R20)</f>
        <v>243.94615384615386</v>
      </c>
      <c r="S40" s="136">
        <f>IF(S$1="",0,IF(1+операции!S$421=0,0,(операции!S$232)/(1+операции!S$421)))*IF(отчеты!S20=0,0,S20/отчеты!S20)</f>
        <v>182.56615384615384</v>
      </c>
      <c r="T40" s="136">
        <f>IF(T$1="",0,IF(1+операции!T$421=0,0,(операции!T$232)/(1+операции!T$421)))*IF(отчеты!T20=0,0,T20/отчеты!T20)</f>
        <v>182.56615384615384</v>
      </c>
      <c r="U40" s="136">
        <f>IF(U$1="",0,IF(1+операции!U$421=0,0,(операции!U$232)/(1+операции!U$421)))*IF(отчеты!U20=0,0,U20/отчеты!U20)</f>
        <v>164.30953846153841</v>
      </c>
      <c r="V40" s="136">
        <f>IF(V$1="",0,IF(1+операции!V$421=0,0,(операции!V$232)/(1+операции!V$421)))*IF(отчеты!V20=0,0,V20/отчеты!V20)</f>
        <v>152.46634615384616</v>
      </c>
      <c r="W40" s="136">
        <f>IF(W$1="",0,IF(1+операции!W$421=0,0,(операции!W$232)/(1+операции!W$421)))*IF(отчеты!W20=0,0,W20/отчеты!W20)</f>
        <v>0</v>
      </c>
      <c r="X40" s="136">
        <f>IF(X$1="",0,IF(1+операции!X$421=0,0,(операции!X$232)/(1+операции!X$421)))*IF(отчеты!X20=0,0,X20/отчеты!X20)</f>
        <v>0</v>
      </c>
      <c r="Y40" s="136">
        <f>IF(Y$1="",0,IF(1+операции!Y$421=0,0,(операции!Y$232)/(1+операции!Y$421)))*IF(отчеты!Y20=0,0,Y20/отчеты!Y20)</f>
        <v>0</v>
      </c>
      <c r="Z40" s="136">
        <f>IF(Z$1="",0,IF(1+операции!Z$421=0,0,(операции!Z$232)/(1+операции!Z$421)))*IF(отчеты!Z20=0,0,Z20/отчеты!Z20)</f>
        <v>0</v>
      </c>
      <c r="AA40" s="136">
        <f>IF(AA$1="",0,IF(1+операции!AA$421=0,0,(операции!AA$232)/(1+операции!AA$421)))*IF(отчеты!AA20=0,0,AA20/отчеты!AA20)</f>
        <v>0</v>
      </c>
      <c r="AB40" s="123"/>
    </row>
    <row r="41" spans="1:28" s="126" customFormat="1" ht="3.9" hidden="1" customHeight="1" x14ac:dyDescent="0.25">
      <c r="A41" s="149">
        <f>1</f>
        <v>1</v>
      </c>
      <c r="B41" s="131"/>
      <c r="C41" s="123"/>
      <c r="D41" s="123"/>
      <c r="E41" s="123"/>
      <c r="F41" s="123"/>
      <c r="G41" s="123"/>
      <c r="H41" s="123"/>
      <c r="I41" s="124"/>
      <c r="J41" s="123"/>
      <c r="K41" s="124"/>
      <c r="L41" s="123"/>
      <c r="M41" s="125"/>
      <c r="N41" s="123"/>
      <c r="O41" s="123"/>
      <c r="P41" s="137"/>
      <c r="Q41" s="137"/>
      <c r="R41" s="137"/>
      <c r="S41" s="137"/>
      <c r="T41" s="137"/>
      <c r="U41" s="137"/>
      <c r="V41" s="137"/>
      <c r="W41" s="137"/>
      <c r="X41" s="137"/>
      <c r="Y41" s="137"/>
      <c r="Z41" s="137"/>
      <c r="AA41" s="137"/>
      <c r="AB41" s="123"/>
    </row>
    <row r="42" spans="1:28" s="126" customFormat="1" x14ac:dyDescent="0.25">
      <c r="A42" s="149">
        <f>1</f>
        <v>1</v>
      </c>
      <c r="B42" s="132" t="str">
        <f>структура!$J$15</f>
        <v>УСН(6%)-ИП</v>
      </c>
      <c r="C42" s="123"/>
      <c r="D42" s="123"/>
      <c r="E42" s="130" t="str">
        <f>E36</f>
        <v>маркетинговые расходы</v>
      </c>
      <c r="F42" s="130"/>
      <c r="G42" s="130" t="str">
        <f>IF($E42="","",INDEX(KPI!$G:$G,SUMIFS(KPI!$B:$B,KPI!$E:$E,$E42)))</f>
        <v>тыс.руб.</v>
      </c>
      <c r="H42" s="130"/>
      <c r="I42" s="134"/>
      <c r="J42" s="130" t="str">
        <f>структура!$AL$21</f>
        <v>Без НДС</v>
      </c>
      <c r="K42" s="134"/>
      <c r="L42" s="130"/>
      <c r="M42" s="135">
        <f>SUM($O42:$AB42)</f>
        <v>1534.4081923076924</v>
      </c>
      <c r="N42" s="123"/>
      <c r="O42" s="123"/>
      <c r="P42" s="136">
        <f>IF(P$1="",0,IF(1+операции!P$421=0,0,(операции!P$232)/(1+операции!P$421)))*IF(отчеты!P22=0,0,P22/отчеты!P22)</f>
        <v>304.27692307692308</v>
      </c>
      <c r="Q42" s="136">
        <f>IF(Q$1="",0,IF(1+операции!Q$421=0,0,(операции!Q$232)/(1+операции!Q$421)))*IF(отчеты!Q22=0,0,Q22/отчеты!Q22)</f>
        <v>304.27692307692308</v>
      </c>
      <c r="R42" s="136">
        <f>IF(R$1="",0,IF(1+операции!R$421=0,0,(операции!R$232)/(1+операции!R$421)))*IF(отчеты!R22=0,0,R22/отчеты!R22)</f>
        <v>243.94615384615386</v>
      </c>
      <c r="S42" s="136">
        <f>IF(S$1="",0,IF(1+операции!S$421=0,0,(операции!S$232)/(1+операции!S$421)))*IF(отчеты!S22=0,0,S22/отчеты!S22)</f>
        <v>182.56615384615384</v>
      </c>
      <c r="T42" s="136">
        <f>IF(T$1="",0,IF(1+операции!T$421=0,0,(операции!T$232)/(1+операции!T$421)))*IF(отчеты!T22=0,0,T22/отчеты!T22)</f>
        <v>182.56615384615384</v>
      </c>
      <c r="U42" s="136">
        <f>IF(U$1="",0,IF(1+операции!U$421=0,0,(операции!U$232)/(1+операции!U$421)))*IF(отчеты!U22=0,0,U22/отчеты!U22)</f>
        <v>164.30953846153841</v>
      </c>
      <c r="V42" s="136">
        <f>IF(V$1="",0,IF(1+операции!V$421=0,0,(операции!V$232)/(1+операции!V$421)))*IF(отчеты!V22=0,0,V22/отчеты!V22)</f>
        <v>152.46634615384616</v>
      </c>
      <c r="W42" s="136">
        <f>IF(W$1="",0,IF(1+операции!W$421=0,0,(операции!W$232)/(1+операции!W$421)))*IF(отчеты!W22=0,0,W22/отчеты!W22)</f>
        <v>0</v>
      </c>
      <c r="X42" s="136">
        <f>IF(X$1="",0,IF(1+операции!X$421=0,0,(операции!X$232)/(1+операции!X$421)))*IF(отчеты!X22=0,0,X22/отчеты!X22)</f>
        <v>0</v>
      </c>
      <c r="Y42" s="136">
        <f>IF(Y$1="",0,IF(1+операции!Y$421=0,0,(операции!Y$232)/(1+операции!Y$421)))*IF(отчеты!Y22=0,0,Y22/отчеты!Y22)</f>
        <v>0</v>
      </c>
      <c r="Z42" s="136">
        <f>IF(Z$1="",0,IF(1+операции!Z$421=0,0,(операции!Z$232)/(1+операции!Z$421)))*IF(отчеты!Z22=0,0,Z22/отчеты!Z22)</f>
        <v>0</v>
      </c>
      <c r="AA42" s="136">
        <f>IF(AA$1="",0,IF(1+операции!AA$421=0,0,(операции!AA$232)/(1+операции!AA$421)))*IF(отчеты!AA22=0,0,AA22/отчеты!AA22)</f>
        <v>0</v>
      </c>
      <c r="AB42" s="123"/>
    </row>
    <row r="43" spans="1:28" ht="3.9" hidden="1" customHeight="1" x14ac:dyDescent="0.25">
      <c r="A43" s="149">
        <f>1</f>
        <v>1</v>
      </c>
      <c r="B43" s="131"/>
      <c r="C43" s="2"/>
      <c r="D43" s="2"/>
      <c r="E43" s="2"/>
      <c r="F43" s="2"/>
      <c r="G43" s="2"/>
      <c r="H43" s="2"/>
      <c r="I43" s="28"/>
      <c r="J43" s="2"/>
      <c r="K43" s="28"/>
      <c r="L43" s="2"/>
      <c r="M43" s="52"/>
      <c r="N43" s="2"/>
      <c r="O43" s="2"/>
      <c r="P43" s="36"/>
      <c r="Q43" s="36"/>
      <c r="R43" s="36"/>
      <c r="S43" s="36"/>
      <c r="T43" s="36"/>
      <c r="U43" s="36"/>
      <c r="V43" s="36"/>
      <c r="W43" s="36"/>
      <c r="X43" s="36"/>
      <c r="Y43" s="36"/>
      <c r="Z43" s="36"/>
      <c r="AA43" s="36"/>
      <c r="AB43" s="2"/>
    </row>
    <row r="44" spans="1:28" ht="8.1" hidden="1" customHeight="1" x14ac:dyDescent="0.25">
      <c r="A44" s="149">
        <f>1</f>
        <v>1</v>
      </c>
      <c r="B44" s="131"/>
      <c r="C44" s="2"/>
      <c r="D44" s="2"/>
      <c r="E44" s="2"/>
      <c r="F44" s="2"/>
      <c r="G44" s="2"/>
      <c r="H44" s="2"/>
      <c r="I44" s="28"/>
      <c r="J44" s="2"/>
      <c r="K44" s="28"/>
      <c r="L44" s="2"/>
      <c r="M44" s="52"/>
      <c r="N44" s="2"/>
      <c r="O44" s="2"/>
      <c r="P44" s="36"/>
      <c r="Q44" s="36"/>
      <c r="R44" s="36"/>
      <c r="S44" s="36"/>
      <c r="T44" s="36"/>
      <c r="U44" s="36"/>
      <c r="V44" s="36"/>
      <c r="W44" s="36"/>
      <c r="X44" s="36"/>
      <c r="Y44" s="36"/>
      <c r="Z44" s="36"/>
      <c r="AA44" s="36"/>
      <c r="AB44" s="2"/>
    </row>
    <row r="45" spans="1:28" ht="3.9" hidden="1" customHeight="1" x14ac:dyDescent="0.25">
      <c r="A45" s="149">
        <f>1</f>
        <v>1</v>
      </c>
      <c r="B45" s="131"/>
      <c r="C45" s="2"/>
      <c r="D45" s="2"/>
      <c r="E45" s="2"/>
      <c r="F45" s="2"/>
      <c r="G45" s="2"/>
      <c r="H45" s="2"/>
      <c r="I45" s="28"/>
      <c r="J45" s="2"/>
      <c r="K45" s="28"/>
      <c r="L45" s="2"/>
      <c r="M45" s="52"/>
      <c r="N45" s="2"/>
      <c r="O45" s="2"/>
      <c r="P45" s="36"/>
      <c r="Q45" s="36"/>
      <c r="R45" s="36"/>
      <c r="S45" s="36"/>
      <c r="T45" s="36"/>
      <c r="U45" s="36"/>
      <c r="V45" s="36"/>
      <c r="W45" s="36"/>
      <c r="X45" s="36"/>
      <c r="Y45" s="36"/>
      <c r="Z45" s="36"/>
      <c r="AA45" s="36"/>
      <c r="AB45" s="2"/>
    </row>
    <row r="46" spans="1:28" s="126" customFormat="1" hidden="1" x14ac:dyDescent="0.25">
      <c r="A46" s="149">
        <f>1</f>
        <v>1</v>
      </c>
      <c r="B46" s="132" t="str">
        <f>структура!$J$12</f>
        <v>ОСНО</v>
      </c>
      <c r="C46" s="123"/>
      <c r="D46" s="123"/>
      <c r="E46" s="130" t="str">
        <f>KPI!$E$77</f>
        <v>расходы на аренду земли</v>
      </c>
      <c r="F46" s="130"/>
      <c r="G46" s="130" t="str">
        <f>IF($E46="","",INDEX(KPI!$G:$G,SUMIFS(KPI!$B:$B,KPI!$E:$E,$E46)))</f>
        <v>тыс.руб.</v>
      </c>
      <c r="H46" s="130"/>
      <c r="I46" s="134"/>
      <c r="J46" s="130"/>
      <c r="K46" s="134"/>
      <c r="L46" s="130"/>
      <c r="M46" s="135">
        <f>SUM($O46:$AB46)</f>
        <v>9130.2744616914733</v>
      </c>
      <c r="N46" s="123"/>
      <c r="O46" s="123"/>
      <c r="P46" s="136">
        <f>IF(P$1="",0,операции!P$250)*IF(аренда!$M$41+аренда!$M$43=0,0,P$11/(аренда!$M$41+аренда!$M$43))</f>
        <v>1304.3249230987819</v>
      </c>
      <c r="Q46" s="136">
        <f>IF(Q$1="",0,операции!Q$250)*IF(аренда!$M$41+аренда!$M$43=0,0,Q$11/(аренда!$M$41+аренда!$M$43))</f>
        <v>1304.3249230987819</v>
      </c>
      <c r="R46" s="136">
        <f>IF(R$1="",0,операции!R$250)*IF(аренда!$M$41+аренда!$M$43=0,0,R$11/(аренда!$M$41+аренда!$M$43))</f>
        <v>1304.3249230987819</v>
      </c>
      <c r="S46" s="136">
        <f>IF(S$1="",0,операции!S$250)*IF(аренда!$M$41+аренда!$M$43=0,0,S$11/(аренда!$M$41+аренда!$M$43))</f>
        <v>1304.3249230987819</v>
      </c>
      <c r="T46" s="136">
        <f>IF(T$1="",0,операции!T$250)*IF(аренда!$M$41+аренда!$M$43=0,0,T$11/(аренда!$M$41+аренда!$M$43))</f>
        <v>1304.3249230987819</v>
      </c>
      <c r="U46" s="136">
        <f>IF(U$1="",0,операции!U$250)*IF(аренда!$M$41+аренда!$M$43=0,0,U$11/(аренда!$M$41+аренда!$M$43))</f>
        <v>1304.3249230987819</v>
      </c>
      <c r="V46" s="136">
        <f>IF(V$1="",0,операции!V$250)*IF(аренда!$M$41+аренда!$M$43=0,0,V$11/(аренда!$M$41+аренда!$M$43))</f>
        <v>1304.3249230987819</v>
      </c>
      <c r="W46" s="136">
        <f>IF(W$1="",0,операции!W$250)*IF(аренда!$M$41+аренда!$M$43=0,0,W$11/(аренда!$M$41+аренда!$M$43))</f>
        <v>0</v>
      </c>
      <c r="X46" s="136">
        <f>IF(X$1="",0,операции!X$250)*IF(аренда!$M$41+аренда!$M$43=0,0,X$11/(аренда!$M$41+аренда!$M$43))</f>
        <v>0</v>
      </c>
      <c r="Y46" s="136">
        <f>IF(Y$1="",0,операции!Y$250)*IF(аренда!$M$41+аренда!$M$43=0,0,Y$11/(аренда!$M$41+аренда!$M$43))</f>
        <v>0</v>
      </c>
      <c r="Z46" s="136">
        <f>IF(Z$1="",0,операции!Z$250)*IF(аренда!$M$41+аренда!$M$43=0,0,Z$11/(аренда!$M$41+аренда!$M$43))</f>
        <v>0</v>
      </c>
      <c r="AA46" s="136">
        <f>IF(AA$1="",0,операции!AA$250)*IF(аренда!$M$41+аренда!$M$43=0,0,AA$11/(аренда!$M$41+аренда!$M$43))</f>
        <v>0</v>
      </c>
      <c r="AB46" s="123"/>
    </row>
    <row r="47" spans="1:28" s="126" customFormat="1" ht="3.9" hidden="1" customHeight="1" x14ac:dyDescent="0.25">
      <c r="A47" s="149">
        <f>1</f>
        <v>1</v>
      </c>
      <c r="B47" s="131"/>
      <c r="C47" s="123"/>
      <c r="D47" s="123"/>
      <c r="E47" s="123"/>
      <c r="F47" s="123"/>
      <c r="G47" s="123"/>
      <c r="H47" s="123"/>
      <c r="I47" s="124"/>
      <c r="J47" s="123"/>
      <c r="K47" s="124"/>
      <c r="L47" s="123"/>
      <c r="M47" s="125"/>
      <c r="N47" s="123"/>
      <c r="O47" s="123"/>
      <c r="P47" s="137"/>
      <c r="Q47" s="137"/>
      <c r="R47" s="137"/>
      <c r="S47" s="137"/>
      <c r="T47" s="137"/>
      <c r="U47" s="137"/>
      <c r="V47" s="137"/>
      <c r="W47" s="137"/>
      <c r="X47" s="137"/>
      <c r="Y47" s="137"/>
      <c r="Z47" s="137"/>
      <c r="AA47" s="137"/>
      <c r="AB47" s="123"/>
    </row>
    <row r="48" spans="1:28" s="126" customFormat="1" hidden="1" x14ac:dyDescent="0.25">
      <c r="A48" s="149">
        <f>1</f>
        <v>1</v>
      </c>
      <c r="B48" s="132" t="str">
        <f>структура!$J$13</f>
        <v>УСН(6%)</v>
      </c>
      <c r="C48" s="123"/>
      <c r="D48" s="123"/>
      <c r="E48" s="130" t="str">
        <f>E46</f>
        <v>расходы на аренду земли</v>
      </c>
      <c r="F48" s="130"/>
      <c r="G48" s="130" t="str">
        <f>IF($E48="","",INDEX(KPI!$G:$G,SUMIFS(KPI!$B:$B,KPI!$E:$E,$E48)))</f>
        <v>тыс.руб.</v>
      </c>
      <c r="H48" s="130"/>
      <c r="I48" s="134"/>
      <c r="J48" s="130"/>
      <c r="K48" s="134"/>
      <c r="L48" s="130"/>
      <c r="M48" s="135">
        <f>SUM($O48:$AB48)</f>
        <v>9130.2744616914733</v>
      </c>
      <c r="N48" s="123"/>
      <c r="O48" s="123"/>
      <c r="P48" s="136">
        <f>IF(P$1="",0,операции!P$250)*IF(аренда!$M$41+аренда!$M$43=0,0,P$11/(аренда!$M$41+аренда!$M$43))</f>
        <v>1304.3249230987819</v>
      </c>
      <c r="Q48" s="136">
        <f>IF(Q$1="",0,операции!Q$250)*IF(аренда!$M$41+аренда!$M$43=0,0,Q$11/(аренда!$M$41+аренда!$M$43))</f>
        <v>1304.3249230987819</v>
      </c>
      <c r="R48" s="136">
        <f>IF(R$1="",0,операции!R$250)*IF(аренда!$M$41+аренда!$M$43=0,0,R$11/(аренда!$M$41+аренда!$M$43))</f>
        <v>1304.3249230987819</v>
      </c>
      <c r="S48" s="136">
        <f>IF(S$1="",0,операции!S$250)*IF(аренда!$M$41+аренда!$M$43=0,0,S$11/(аренда!$M$41+аренда!$M$43))</f>
        <v>1304.3249230987819</v>
      </c>
      <c r="T48" s="136">
        <f>IF(T$1="",0,операции!T$250)*IF(аренда!$M$41+аренда!$M$43=0,0,T$11/(аренда!$M$41+аренда!$M$43))</f>
        <v>1304.3249230987819</v>
      </c>
      <c r="U48" s="136">
        <f>IF(U$1="",0,операции!U$250)*IF(аренда!$M$41+аренда!$M$43=0,0,U$11/(аренда!$M$41+аренда!$M$43))</f>
        <v>1304.3249230987819</v>
      </c>
      <c r="V48" s="136">
        <f>IF(V$1="",0,операции!V$250)*IF(аренда!$M$41+аренда!$M$43=0,0,V$11/(аренда!$M$41+аренда!$M$43))</f>
        <v>1304.3249230987819</v>
      </c>
      <c r="W48" s="136">
        <f>IF(W$1="",0,операции!W$250)*IF(аренда!$M$41+аренда!$M$43=0,0,W$11/(аренда!$M$41+аренда!$M$43))</f>
        <v>0</v>
      </c>
      <c r="X48" s="136">
        <f>IF(X$1="",0,операции!X$250)*IF(аренда!$M$41+аренда!$M$43=0,0,X$11/(аренда!$M$41+аренда!$M$43))</f>
        <v>0</v>
      </c>
      <c r="Y48" s="136">
        <f>IF(Y$1="",0,операции!Y$250)*IF(аренда!$M$41+аренда!$M$43=0,0,Y$11/(аренда!$M$41+аренда!$M$43))</f>
        <v>0</v>
      </c>
      <c r="Z48" s="136">
        <f>IF(Z$1="",0,операции!Z$250)*IF(аренда!$M$41+аренда!$M$43=0,0,Z$11/(аренда!$M$41+аренда!$M$43))</f>
        <v>0</v>
      </c>
      <c r="AA48" s="136">
        <f>IF(AA$1="",0,операции!AA$250)*IF(аренда!$M$41+аренда!$M$43=0,0,AA$11/(аренда!$M$41+аренда!$M$43))</f>
        <v>0</v>
      </c>
      <c r="AB48" s="123"/>
    </row>
    <row r="49" spans="1:28" s="126" customFormat="1" ht="3.9" hidden="1" customHeight="1" x14ac:dyDescent="0.25">
      <c r="A49" s="149">
        <f>1</f>
        <v>1</v>
      </c>
      <c r="B49" s="131"/>
      <c r="C49" s="123"/>
      <c r="D49" s="123"/>
      <c r="E49" s="123"/>
      <c r="F49" s="123"/>
      <c r="G49" s="123"/>
      <c r="H49" s="123"/>
      <c r="I49" s="124"/>
      <c r="J49" s="123"/>
      <c r="K49" s="124"/>
      <c r="L49" s="123"/>
      <c r="M49" s="125"/>
      <c r="N49" s="123"/>
      <c r="O49" s="123"/>
      <c r="P49" s="137"/>
      <c r="Q49" s="137"/>
      <c r="R49" s="137"/>
      <c r="S49" s="137"/>
      <c r="T49" s="137"/>
      <c r="U49" s="137"/>
      <c r="V49" s="137"/>
      <c r="W49" s="137"/>
      <c r="X49" s="137"/>
      <c r="Y49" s="137"/>
      <c r="Z49" s="137"/>
      <c r="AA49" s="137"/>
      <c r="AB49" s="123"/>
    </row>
    <row r="50" spans="1:28" s="126" customFormat="1" hidden="1" x14ac:dyDescent="0.25">
      <c r="A50" s="149">
        <f>1</f>
        <v>1</v>
      </c>
      <c r="B50" s="132" t="str">
        <f>структура!$J$14</f>
        <v>УСН(15%)</v>
      </c>
      <c r="C50" s="123"/>
      <c r="D50" s="123"/>
      <c r="E50" s="130" t="str">
        <f>E46</f>
        <v>расходы на аренду земли</v>
      </c>
      <c r="F50" s="130"/>
      <c r="G50" s="130" t="str">
        <f>IF($E50="","",INDEX(KPI!$G:$G,SUMIFS(KPI!$B:$B,KPI!$E:$E,$E50)))</f>
        <v>тыс.руб.</v>
      </c>
      <c r="H50" s="130"/>
      <c r="I50" s="134"/>
      <c r="J50" s="130"/>
      <c r="K50" s="134"/>
      <c r="L50" s="130"/>
      <c r="M50" s="135">
        <f>SUM($O50:$AB50)</f>
        <v>9130.2744616914733</v>
      </c>
      <c r="N50" s="123"/>
      <c r="O50" s="123"/>
      <c r="P50" s="136">
        <f>IF(P$1="",0,операции!P$250)*IF(аренда!$M$41+аренда!$M$43=0,0,P$11/(аренда!$M$41+аренда!$M$43))</f>
        <v>1304.3249230987819</v>
      </c>
      <c r="Q50" s="136">
        <f>IF(Q$1="",0,операции!Q$250)*IF(аренда!$M$41+аренда!$M$43=0,0,Q$11/(аренда!$M$41+аренда!$M$43))</f>
        <v>1304.3249230987819</v>
      </c>
      <c r="R50" s="136">
        <f>IF(R$1="",0,операции!R$250)*IF(аренда!$M$41+аренда!$M$43=0,0,R$11/(аренда!$M$41+аренда!$M$43))</f>
        <v>1304.3249230987819</v>
      </c>
      <c r="S50" s="136">
        <f>IF(S$1="",0,операции!S$250)*IF(аренда!$M$41+аренда!$M$43=0,0,S$11/(аренда!$M$41+аренда!$M$43))</f>
        <v>1304.3249230987819</v>
      </c>
      <c r="T50" s="136">
        <f>IF(T$1="",0,операции!T$250)*IF(аренда!$M$41+аренда!$M$43=0,0,T$11/(аренда!$M$41+аренда!$M$43))</f>
        <v>1304.3249230987819</v>
      </c>
      <c r="U50" s="136">
        <f>IF(U$1="",0,операции!U$250)*IF(аренда!$M$41+аренда!$M$43=0,0,U$11/(аренда!$M$41+аренда!$M$43))</f>
        <v>1304.3249230987819</v>
      </c>
      <c r="V50" s="136">
        <f>IF(V$1="",0,операции!V$250)*IF(аренда!$M$41+аренда!$M$43=0,0,V$11/(аренда!$M$41+аренда!$M$43))</f>
        <v>1304.3249230987819</v>
      </c>
      <c r="W50" s="136">
        <f>IF(W$1="",0,операции!W$250)*IF(аренда!$M$41+аренда!$M$43=0,0,W$11/(аренда!$M$41+аренда!$M$43))</f>
        <v>0</v>
      </c>
      <c r="X50" s="136">
        <f>IF(X$1="",0,операции!X$250)*IF(аренда!$M$41+аренда!$M$43=0,0,X$11/(аренда!$M$41+аренда!$M$43))</f>
        <v>0</v>
      </c>
      <c r="Y50" s="136">
        <f>IF(Y$1="",0,операции!Y$250)*IF(аренда!$M$41+аренда!$M$43=0,0,Y$11/(аренда!$M$41+аренда!$M$43))</f>
        <v>0</v>
      </c>
      <c r="Z50" s="136">
        <f>IF(Z$1="",0,операции!Z$250)*IF(аренда!$M$41+аренда!$M$43=0,0,Z$11/(аренда!$M$41+аренда!$M$43))</f>
        <v>0</v>
      </c>
      <c r="AA50" s="136">
        <f>IF(AA$1="",0,операции!AA$250)*IF(аренда!$M$41+аренда!$M$43=0,0,AA$11/(аренда!$M$41+аренда!$M$43))</f>
        <v>0</v>
      </c>
      <c r="AB50" s="123"/>
    </row>
    <row r="51" spans="1:28" s="126" customFormat="1" ht="3.9" hidden="1" customHeight="1" x14ac:dyDescent="0.25">
      <c r="A51" s="149">
        <f>1</f>
        <v>1</v>
      </c>
      <c r="B51" s="131"/>
      <c r="C51" s="123"/>
      <c r="D51" s="123"/>
      <c r="E51" s="123"/>
      <c r="F51" s="123"/>
      <c r="G51" s="123"/>
      <c r="H51" s="123"/>
      <c r="I51" s="124"/>
      <c r="J51" s="123"/>
      <c r="K51" s="124"/>
      <c r="L51" s="123"/>
      <c r="M51" s="125"/>
      <c r="N51" s="123"/>
      <c r="O51" s="123"/>
      <c r="P51" s="137"/>
      <c r="Q51" s="137"/>
      <c r="R51" s="137"/>
      <c r="S51" s="137"/>
      <c r="T51" s="137"/>
      <c r="U51" s="137"/>
      <c r="V51" s="137"/>
      <c r="W51" s="137"/>
      <c r="X51" s="137"/>
      <c r="Y51" s="137"/>
      <c r="Z51" s="137"/>
      <c r="AA51" s="137"/>
      <c r="AB51" s="123"/>
    </row>
    <row r="52" spans="1:28" s="126" customFormat="1" x14ac:dyDescent="0.25">
      <c r="A52" s="149">
        <f>1</f>
        <v>1</v>
      </c>
      <c r="B52" s="132" t="str">
        <f>структура!$J$15</f>
        <v>УСН(6%)-ИП</v>
      </c>
      <c r="C52" s="123"/>
      <c r="D52" s="123"/>
      <c r="E52" s="130" t="str">
        <f>E46</f>
        <v>расходы на аренду земли</v>
      </c>
      <c r="F52" s="130"/>
      <c r="G52" s="130" t="str">
        <f>IF($E52="","",INDEX(KPI!$G:$G,SUMIFS(KPI!$B:$B,KPI!$E:$E,$E52)))</f>
        <v>тыс.руб.</v>
      </c>
      <c r="H52" s="130"/>
      <c r="I52" s="134"/>
      <c r="J52" s="130"/>
      <c r="K52" s="134"/>
      <c r="L52" s="130"/>
      <c r="M52" s="135">
        <f>SUM($O52:$AB52)</f>
        <v>9130.2744616914733</v>
      </c>
      <c r="N52" s="123"/>
      <c r="O52" s="123"/>
      <c r="P52" s="136">
        <f>IF(P$1="",0,операции!P$250)*IF(аренда!$M$41+аренда!$M$43=0,0,P$11/(аренда!$M$41+аренда!$M$43))</f>
        <v>1304.3249230987819</v>
      </c>
      <c r="Q52" s="136">
        <f>IF(Q$1="",0,операции!Q$250)*IF(аренда!$M$41+аренда!$M$43=0,0,Q$11/(аренда!$M$41+аренда!$M$43))</f>
        <v>1304.3249230987819</v>
      </c>
      <c r="R52" s="136">
        <f>IF(R$1="",0,операции!R$250)*IF(аренда!$M$41+аренда!$M$43=0,0,R$11/(аренда!$M$41+аренда!$M$43))</f>
        <v>1304.3249230987819</v>
      </c>
      <c r="S52" s="136">
        <f>IF(S$1="",0,операции!S$250)*IF(аренда!$M$41+аренда!$M$43=0,0,S$11/(аренда!$M$41+аренда!$M$43))</f>
        <v>1304.3249230987819</v>
      </c>
      <c r="T52" s="136">
        <f>IF(T$1="",0,операции!T$250)*IF(аренда!$M$41+аренда!$M$43=0,0,T$11/(аренда!$M$41+аренда!$M$43))</f>
        <v>1304.3249230987819</v>
      </c>
      <c r="U52" s="136">
        <f>IF(U$1="",0,операции!U$250)*IF(аренда!$M$41+аренда!$M$43=0,0,U$11/(аренда!$M$41+аренда!$M$43))</f>
        <v>1304.3249230987819</v>
      </c>
      <c r="V52" s="136">
        <f>IF(V$1="",0,операции!V$250)*IF(аренда!$M$41+аренда!$M$43=0,0,V$11/(аренда!$M$41+аренда!$M$43))</f>
        <v>1304.3249230987819</v>
      </c>
      <c r="W52" s="136">
        <f>IF(W$1="",0,операции!W$250)*IF(аренда!$M$41+аренда!$M$43=0,0,W$11/(аренда!$M$41+аренда!$M$43))</f>
        <v>0</v>
      </c>
      <c r="X52" s="136">
        <f>IF(X$1="",0,операции!X$250)*IF(аренда!$M$41+аренда!$M$43=0,0,X$11/(аренда!$M$41+аренда!$M$43))</f>
        <v>0</v>
      </c>
      <c r="Y52" s="136">
        <f>IF(Y$1="",0,операции!Y$250)*IF(аренда!$M$41+аренда!$M$43=0,0,Y$11/(аренда!$M$41+аренда!$M$43))</f>
        <v>0</v>
      </c>
      <c r="Z52" s="136">
        <f>IF(Z$1="",0,операции!Z$250)*IF(аренда!$M$41+аренда!$M$43=0,0,Z$11/(аренда!$M$41+аренда!$M$43))</f>
        <v>0</v>
      </c>
      <c r="AA52" s="136">
        <f>IF(AA$1="",0,операции!AA$250)*IF(аренда!$M$41+аренда!$M$43=0,0,AA$11/(аренда!$M$41+аренда!$M$43))</f>
        <v>0</v>
      </c>
      <c r="AB52" s="123"/>
    </row>
    <row r="53" spans="1:28" ht="3.9" hidden="1" customHeight="1" x14ac:dyDescent="0.25">
      <c r="A53" s="149">
        <f>1</f>
        <v>1</v>
      </c>
      <c r="B53" s="131"/>
      <c r="C53" s="2"/>
      <c r="D53" s="2"/>
      <c r="E53" s="2"/>
      <c r="F53" s="2"/>
      <c r="G53" s="2"/>
      <c r="H53" s="2"/>
      <c r="I53" s="28"/>
      <c r="J53" s="2"/>
      <c r="K53" s="28"/>
      <c r="L53" s="2"/>
      <c r="M53" s="52"/>
      <c r="N53" s="2"/>
      <c r="O53" s="2"/>
      <c r="P53" s="36"/>
      <c r="Q53" s="36"/>
      <c r="R53" s="36"/>
      <c r="S53" s="36"/>
      <c r="T53" s="36"/>
      <c r="U53" s="36"/>
      <c r="V53" s="36"/>
      <c r="W53" s="36"/>
      <c r="X53" s="36"/>
      <c r="Y53" s="36"/>
      <c r="Z53" s="36"/>
      <c r="AA53" s="36"/>
      <c r="AB53" s="2"/>
    </row>
    <row r="54" spans="1:28" ht="8.1" hidden="1" customHeight="1" x14ac:dyDescent="0.25">
      <c r="A54" s="149">
        <f>1</f>
        <v>1</v>
      </c>
      <c r="B54" s="131"/>
      <c r="C54" s="2"/>
      <c r="D54" s="2"/>
      <c r="E54" s="2"/>
      <c r="F54" s="2"/>
      <c r="G54" s="2"/>
      <c r="H54" s="2"/>
      <c r="I54" s="28"/>
      <c r="J54" s="2"/>
      <c r="K54" s="28"/>
      <c r="L54" s="2"/>
      <c r="M54" s="52"/>
      <c r="N54" s="2"/>
      <c r="O54" s="2"/>
      <c r="P54" s="36"/>
      <c r="Q54" s="36"/>
      <c r="R54" s="36"/>
      <c r="S54" s="36"/>
      <c r="T54" s="36"/>
      <c r="U54" s="36"/>
      <c r="V54" s="36"/>
      <c r="W54" s="36"/>
      <c r="X54" s="36"/>
      <c r="Y54" s="36"/>
      <c r="Z54" s="36"/>
      <c r="AA54" s="36"/>
      <c r="AB54" s="2"/>
    </row>
    <row r="55" spans="1:28" ht="3.9" hidden="1" customHeight="1" x14ac:dyDescent="0.25">
      <c r="A55" s="149">
        <f>1</f>
        <v>1</v>
      </c>
      <c r="B55" s="131"/>
      <c r="C55" s="2"/>
      <c r="D55" s="2"/>
      <c r="E55" s="2"/>
      <c r="F55" s="2"/>
      <c r="G55" s="2"/>
      <c r="H55" s="2"/>
      <c r="I55" s="28"/>
      <c r="J55" s="2"/>
      <c r="K55" s="28"/>
      <c r="L55" s="2"/>
      <c r="M55" s="52"/>
      <c r="N55" s="2"/>
      <c r="O55" s="2"/>
      <c r="P55" s="36"/>
      <c r="Q55" s="36"/>
      <c r="R55" s="36"/>
      <c r="S55" s="36"/>
      <c r="T55" s="36"/>
      <c r="U55" s="36"/>
      <c r="V55" s="36"/>
      <c r="W55" s="36"/>
      <c r="X55" s="36"/>
      <c r="Y55" s="36"/>
      <c r="Z55" s="36"/>
      <c r="AA55" s="36"/>
      <c r="AB55" s="2"/>
    </row>
    <row r="56" spans="1:28" s="126" customFormat="1" hidden="1" x14ac:dyDescent="0.25">
      <c r="A56" s="149">
        <f>1</f>
        <v>1</v>
      </c>
      <c r="B56" s="132" t="str">
        <f>структура!$J$12</f>
        <v>ОСНО</v>
      </c>
      <c r="C56" s="123"/>
      <c r="D56" s="123"/>
      <c r="E56" s="130" t="str">
        <f>KPI!$E$78</f>
        <v>коммунальные расходы</v>
      </c>
      <c r="F56" s="130"/>
      <c r="G56" s="130" t="str">
        <f>IF($E56="","",INDEX(KPI!$G:$G,SUMIFS(KPI!$B:$B,KPI!$E:$E,$E56)))</f>
        <v>тыс.руб.</v>
      </c>
      <c r="H56" s="130"/>
      <c r="I56" s="134"/>
      <c r="J56" s="130" t="str">
        <f>структура!$AL$21</f>
        <v>Без НДС</v>
      </c>
      <c r="K56" s="134"/>
      <c r="L56" s="130"/>
      <c r="M56" s="135">
        <f>SUM($O56:$AB56)</f>
        <v>681.98944931939332</v>
      </c>
      <c r="N56" s="123"/>
      <c r="O56" s="123"/>
      <c r="P56" s="136">
        <f>IF(P$1="",0,IF(1+операции!P$421=0,0,(операции!P$300)/(1+операции!P$421)))*IF(отчеты!P16=0,0,P16/отчеты!P16)</f>
        <v>114.36322212385048</v>
      </c>
      <c r="Q56" s="136">
        <f>IF(Q$1="",0,IF(1+операции!Q$421=0,0,(операции!Q$300)/(1+операции!Q$421)))*IF(отчеты!Q16=0,0,Q16/отчеты!Q16)</f>
        <v>109.46106264882431</v>
      </c>
      <c r="R56" s="136">
        <f>IF(R$1="",0,IF(1+операции!R$421=0,0,(операции!R$300)/(1+операции!R$421)))*IF(отчеты!R16=0,0,R16/отчеты!R16)</f>
        <v>103.28379710738565</v>
      </c>
      <c r="S56" s="136">
        <f>IF(S$1="",0,IF(1+операции!S$421=0,0,(операции!S$300)/(1+операции!S$421)))*IF(отчеты!S16=0,0,S16/отчеты!S16)</f>
        <v>98.86634162809932</v>
      </c>
      <c r="T56" s="136">
        <f>IF(T$1="",0,IF(1+операции!T$421=0,0,(операции!T$300)/(1+операции!T$421)))*IF(отчеты!T16=0,0,T16/отчеты!T16)</f>
        <v>93.439919542669955</v>
      </c>
      <c r="U56" s="136">
        <f>IF(U$1="",0,IF(1+операции!U$421=0,0,(операции!U$300)/(1+операции!U$421)))*IF(отчеты!U16=0,0,U16/отчеты!U16)</f>
        <v>85.608661011122095</v>
      </c>
      <c r="V56" s="136">
        <f>IF(V$1="",0,IF(1+операции!V$421=0,0,(операции!V$300)/(1+операции!V$421)))*IF(отчеты!V16=0,0,V16/отчеты!V16)</f>
        <v>76.966445257441436</v>
      </c>
      <c r="W56" s="136">
        <f>IF(W$1="",0,IF(1+операции!W$421=0,0,(операции!W$300)/(1+операции!W$421)))*IF(отчеты!W16=0,0,W16/отчеты!W16)</f>
        <v>0</v>
      </c>
      <c r="X56" s="136">
        <f>IF(X$1="",0,IF(1+операции!X$421=0,0,(операции!X$300)/(1+операции!X$421)))*IF(отчеты!X16=0,0,X16/отчеты!X16)</f>
        <v>0</v>
      </c>
      <c r="Y56" s="136">
        <f>IF(Y$1="",0,IF(1+операции!Y$421=0,0,(операции!Y$300)/(1+операции!Y$421)))*IF(отчеты!Y16=0,0,Y16/отчеты!Y16)</f>
        <v>0</v>
      </c>
      <c r="Z56" s="136">
        <f>IF(Z$1="",0,IF(1+операции!Z$421=0,0,(операции!Z$300)/(1+операции!Z$421)))*IF(отчеты!Z16=0,0,Z16/отчеты!Z16)</f>
        <v>0</v>
      </c>
      <c r="AA56" s="136">
        <f>IF(AA$1="",0,IF(1+операции!AA$421=0,0,(операции!AA$300)/(1+операции!AA$421)))*IF(отчеты!AA16=0,0,AA16/отчеты!AA16)</f>
        <v>0</v>
      </c>
      <c r="AB56" s="123"/>
    </row>
    <row r="57" spans="1:28" s="126" customFormat="1" ht="3.9" hidden="1" customHeight="1" x14ac:dyDescent="0.25">
      <c r="A57" s="149">
        <f>1</f>
        <v>1</v>
      </c>
      <c r="B57" s="131"/>
      <c r="C57" s="123"/>
      <c r="D57" s="123"/>
      <c r="E57" s="123"/>
      <c r="F57" s="123"/>
      <c r="G57" s="123"/>
      <c r="H57" s="123"/>
      <c r="I57" s="124"/>
      <c r="J57" s="123"/>
      <c r="K57" s="124"/>
      <c r="L57" s="123"/>
      <c r="M57" s="125"/>
      <c r="N57" s="123"/>
      <c r="O57" s="123"/>
      <c r="P57" s="137"/>
      <c r="Q57" s="137"/>
      <c r="R57" s="137"/>
      <c r="S57" s="137"/>
      <c r="T57" s="137"/>
      <c r="U57" s="137"/>
      <c r="V57" s="137"/>
      <c r="W57" s="137"/>
      <c r="X57" s="137"/>
      <c r="Y57" s="137"/>
      <c r="Z57" s="137"/>
      <c r="AA57" s="137"/>
      <c r="AB57" s="123"/>
    </row>
    <row r="58" spans="1:28" s="126" customFormat="1" hidden="1" x14ac:dyDescent="0.25">
      <c r="A58" s="149">
        <f>1</f>
        <v>1</v>
      </c>
      <c r="B58" s="132" t="str">
        <f>структура!$J$13</f>
        <v>УСН(6%)</v>
      </c>
      <c r="C58" s="123"/>
      <c r="D58" s="123"/>
      <c r="E58" s="130" t="str">
        <f>E56</f>
        <v>коммунальные расходы</v>
      </c>
      <c r="F58" s="130"/>
      <c r="G58" s="130" t="str">
        <f>IF($E58="","",INDEX(KPI!$G:$G,SUMIFS(KPI!$B:$B,KPI!$E:$E,$E58)))</f>
        <v>тыс.руб.</v>
      </c>
      <c r="H58" s="130"/>
      <c r="I58" s="134"/>
      <c r="J58" s="130" t="str">
        <f>структура!$AL$21</f>
        <v>Без НДС</v>
      </c>
      <c r="K58" s="134"/>
      <c r="L58" s="130"/>
      <c r="M58" s="135">
        <f>SUM($O58:$AB58)</f>
        <v>681.98944931939309</v>
      </c>
      <c r="N58" s="123"/>
      <c r="O58" s="123"/>
      <c r="P58" s="136">
        <f>IF(P$1="",0,IF(1+операции!P$421=0,0,(операции!P$300)/(1+операции!P$421)))*IF(отчеты!P18=0,0,P18/отчеты!P18)</f>
        <v>114.36322212385045</v>
      </c>
      <c r="Q58" s="136">
        <f>IF(Q$1="",0,IF(1+операции!Q$421=0,0,(операции!Q$300)/(1+операции!Q$421)))*IF(отчеты!Q18=0,0,Q18/отчеты!Q18)</f>
        <v>109.46106264882431</v>
      </c>
      <c r="R58" s="136">
        <f>IF(R$1="",0,IF(1+операции!R$421=0,0,(операции!R$300)/(1+операции!R$421)))*IF(отчеты!R18=0,0,R18/отчеты!R18)</f>
        <v>103.28379710738565</v>
      </c>
      <c r="S58" s="136">
        <f>IF(S$1="",0,IF(1+операции!S$421=0,0,(операции!S$300)/(1+операции!S$421)))*IF(отчеты!S18=0,0,S18/отчеты!S18)</f>
        <v>98.86634162809932</v>
      </c>
      <c r="T58" s="136">
        <f>IF(T$1="",0,IF(1+операции!T$421=0,0,(операции!T$300)/(1+операции!T$421)))*IF(отчеты!T18=0,0,T18/отчеты!T18)</f>
        <v>93.439919542669955</v>
      </c>
      <c r="U58" s="136">
        <f>IF(U$1="",0,IF(1+операции!U$421=0,0,(операции!U$300)/(1+операции!U$421)))*IF(отчеты!U18=0,0,U18/отчеты!U18)</f>
        <v>85.608661011122081</v>
      </c>
      <c r="V58" s="136">
        <f>IF(V$1="",0,IF(1+операции!V$421=0,0,(операции!V$300)/(1+операции!V$421)))*IF(отчеты!V18=0,0,V18/отчеты!V18)</f>
        <v>76.966445257441421</v>
      </c>
      <c r="W58" s="136">
        <f>IF(W$1="",0,IF(1+операции!W$421=0,0,(операции!W$300)/(1+операции!W$421)))*IF(отчеты!W18=0,0,W18/отчеты!W18)</f>
        <v>0</v>
      </c>
      <c r="X58" s="136">
        <f>IF(X$1="",0,IF(1+операции!X$421=0,0,(операции!X$300)/(1+операции!X$421)))*IF(отчеты!X18=0,0,X18/отчеты!X18)</f>
        <v>0</v>
      </c>
      <c r="Y58" s="136">
        <f>IF(Y$1="",0,IF(1+операции!Y$421=0,0,(операции!Y$300)/(1+операции!Y$421)))*IF(отчеты!Y18=0,0,Y18/отчеты!Y18)</f>
        <v>0</v>
      </c>
      <c r="Z58" s="136">
        <f>IF(Z$1="",0,IF(1+операции!Z$421=0,0,(операции!Z$300)/(1+операции!Z$421)))*IF(отчеты!Z18=0,0,Z18/отчеты!Z18)</f>
        <v>0</v>
      </c>
      <c r="AA58" s="136">
        <f>IF(AA$1="",0,IF(1+операции!AA$421=0,0,(операции!AA$300)/(1+операции!AA$421)))*IF(отчеты!AA18=0,0,AA18/отчеты!AA18)</f>
        <v>0</v>
      </c>
      <c r="AB58" s="123"/>
    </row>
    <row r="59" spans="1:28" s="126" customFormat="1" ht="3.9" hidden="1" customHeight="1" x14ac:dyDescent="0.25">
      <c r="A59" s="149">
        <f>1</f>
        <v>1</v>
      </c>
      <c r="B59" s="131"/>
      <c r="C59" s="123"/>
      <c r="D59" s="123"/>
      <c r="E59" s="123"/>
      <c r="F59" s="123"/>
      <c r="G59" s="123"/>
      <c r="H59" s="123"/>
      <c r="I59" s="124"/>
      <c r="J59" s="123"/>
      <c r="K59" s="124"/>
      <c r="L59" s="123"/>
      <c r="M59" s="125"/>
      <c r="N59" s="123"/>
      <c r="O59" s="123"/>
      <c r="P59" s="137"/>
      <c r="Q59" s="137"/>
      <c r="R59" s="137"/>
      <c r="S59" s="137"/>
      <c r="T59" s="137"/>
      <c r="U59" s="137"/>
      <c r="V59" s="137"/>
      <c r="W59" s="137"/>
      <c r="X59" s="137"/>
      <c r="Y59" s="137"/>
      <c r="Z59" s="137"/>
      <c r="AA59" s="137"/>
      <c r="AB59" s="123"/>
    </row>
    <row r="60" spans="1:28" s="126" customFormat="1" hidden="1" x14ac:dyDescent="0.25">
      <c r="A60" s="149">
        <f>1</f>
        <v>1</v>
      </c>
      <c r="B60" s="132" t="str">
        <f>структура!$J$14</f>
        <v>УСН(15%)</v>
      </c>
      <c r="C60" s="123"/>
      <c r="D60" s="123"/>
      <c r="E60" s="130" t="str">
        <f>E56</f>
        <v>коммунальные расходы</v>
      </c>
      <c r="F60" s="130"/>
      <c r="G60" s="130" t="str">
        <f>IF($E60="","",INDEX(KPI!$G:$G,SUMIFS(KPI!$B:$B,KPI!$E:$E,$E60)))</f>
        <v>тыс.руб.</v>
      </c>
      <c r="H60" s="130"/>
      <c r="I60" s="134"/>
      <c r="J60" s="130" t="str">
        <f>структура!$AL$21</f>
        <v>Без НДС</v>
      </c>
      <c r="K60" s="134"/>
      <c r="L60" s="130"/>
      <c r="M60" s="135">
        <f>SUM($O60:$AB60)</f>
        <v>681.98944931939309</v>
      </c>
      <c r="N60" s="123"/>
      <c r="O60" s="123"/>
      <c r="P60" s="136">
        <f>IF(P$1="",0,IF(1+операции!P$421=0,0,(операции!P$300)/(1+операции!P$421)))*IF(отчеты!P20=0,0,P20/отчеты!P20)</f>
        <v>114.36322212385045</v>
      </c>
      <c r="Q60" s="136">
        <f>IF(Q$1="",0,IF(1+операции!Q$421=0,0,(операции!Q$300)/(1+операции!Q$421)))*IF(отчеты!Q20=0,0,Q20/отчеты!Q20)</f>
        <v>109.46106264882431</v>
      </c>
      <c r="R60" s="136">
        <f>IF(R$1="",0,IF(1+операции!R$421=0,0,(операции!R$300)/(1+операции!R$421)))*IF(отчеты!R20=0,0,R20/отчеты!R20)</f>
        <v>103.28379710738565</v>
      </c>
      <c r="S60" s="136">
        <f>IF(S$1="",0,IF(1+операции!S$421=0,0,(операции!S$300)/(1+операции!S$421)))*IF(отчеты!S20=0,0,S20/отчеты!S20)</f>
        <v>98.86634162809932</v>
      </c>
      <c r="T60" s="136">
        <f>IF(T$1="",0,IF(1+операции!T$421=0,0,(операции!T$300)/(1+операции!T$421)))*IF(отчеты!T20=0,0,T20/отчеты!T20)</f>
        <v>93.439919542669955</v>
      </c>
      <c r="U60" s="136">
        <f>IF(U$1="",0,IF(1+операции!U$421=0,0,(операции!U$300)/(1+операции!U$421)))*IF(отчеты!U20=0,0,U20/отчеты!U20)</f>
        <v>85.608661011122081</v>
      </c>
      <c r="V60" s="136">
        <f>IF(V$1="",0,IF(1+операции!V$421=0,0,(операции!V$300)/(1+операции!V$421)))*IF(отчеты!V20=0,0,V20/отчеты!V20)</f>
        <v>76.966445257441421</v>
      </c>
      <c r="W60" s="136">
        <f>IF(W$1="",0,IF(1+операции!W$421=0,0,(операции!W$300)/(1+операции!W$421)))*IF(отчеты!W20=0,0,W20/отчеты!W20)</f>
        <v>0</v>
      </c>
      <c r="X60" s="136">
        <f>IF(X$1="",0,IF(1+операции!X$421=0,0,(операции!X$300)/(1+операции!X$421)))*IF(отчеты!X20=0,0,X20/отчеты!X20)</f>
        <v>0</v>
      </c>
      <c r="Y60" s="136">
        <f>IF(Y$1="",0,IF(1+операции!Y$421=0,0,(операции!Y$300)/(1+операции!Y$421)))*IF(отчеты!Y20=0,0,Y20/отчеты!Y20)</f>
        <v>0</v>
      </c>
      <c r="Z60" s="136">
        <f>IF(Z$1="",0,IF(1+операции!Z$421=0,0,(операции!Z$300)/(1+операции!Z$421)))*IF(отчеты!Z20=0,0,Z20/отчеты!Z20)</f>
        <v>0</v>
      </c>
      <c r="AA60" s="136">
        <f>IF(AA$1="",0,IF(1+операции!AA$421=0,0,(операции!AA$300)/(1+операции!AA$421)))*IF(отчеты!AA20=0,0,AA20/отчеты!AA20)</f>
        <v>0</v>
      </c>
      <c r="AB60" s="123"/>
    </row>
    <row r="61" spans="1:28" s="126" customFormat="1" ht="3.9" hidden="1" customHeight="1" x14ac:dyDescent="0.25">
      <c r="A61" s="149">
        <f>1</f>
        <v>1</v>
      </c>
      <c r="B61" s="131"/>
      <c r="C61" s="123"/>
      <c r="D61" s="123"/>
      <c r="E61" s="123"/>
      <c r="F61" s="123"/>
      <c r="G61" s="123"/>
      <c r="H61" s="123"/>
      <c r="I61" s="124"/>
      <c r="J61" s="123"/>
      <c r="K61" s="124"/>
      <c r="L61" s="123"/>
      <c r="M61" s="125"/>
      <c r="N61" s="123"/>
      <c r="O61" s="123"/>
      <c r="P61" s="137"/>
      <c r="Q61" s="137"/>
      <c r="R61" s="137"/>
      <c r="S61" s="137"/>
      <c r="T61" s="137"/>
      <c r="U61" s="137"/>
      <c r="V61" s="137"/>
      <c r="W61" s="137"/>
      <c r="X61" s="137"/>
      <c r="Y61" s="137"/>
      <c r="Z61" s="137"/>
      <c r="AA61" s="137"/>
      <c r="AB61" s="123"/>
    </row>
    <row r="62" spans="1:28" s="126" customFormat="1" x14ac:dyDescent="0.25">
      <c r="A62" s="149">
        <f>1</f>
        <v>1</v>
      </c>
      <c r="B62" s="132" t="str">
        <f>структура!$J$15</f>
        <v>УСН(6%)-ИП</v>
      </c>
      <c r="C62" s="123"/>
      <c r="D62" s="123"/>
      <c r="E62" s="130" t="str">
        <f>E56</f>
        <v>коммунальные расходы</v>
      </c>
      <c r="F62" s="130"/>
      <c r="G62" s="130" t="str">
        <f>IF($E62="","",INDEX(KPI!$G:$G,SUMIFS(KPI!$B:$B,KPI!$E:$E,$E62)))</f>
        <v>тыс.руб.</v>
      </c>
      <c r="H62" s="130"/>
      <c r="I62" s="134"/>
      <c r="J62" s="130" t="str">
        <f>структура!$AL$21</f>
        <v>Без НДС</v>
      </c>
      <c r="K62" s="134"/>
      <c r="L62" s="130"/>
      <c r="M62" s="135">
        <f>SUM($O62:$AB62)</f>
        <v>681.98944931939309</v>
      </c>
      <c r="N62" s="123"/>
      <c r="O62" s="123"/>
      <c r="P62" s="136">
        <f>IF(P$1="",0,IF(1+операции!P$421=0,0,(операции!P$300)/(1+операции!P$421)))*IF(отчеты!P22=0,0,P22/отчеты!P22)</f>
        <v>114.36322212385045</v>
      </c>
      <c r="Q62" s="136">
        <f>IF(Q$1="",0,IF(1+операции!Q$421=0,0,(операции!Q$300)/(1+операции!Q$421)))*IF(отчеты!Q22=0,0,Q22/отчеты!Q22)</f>
        <v>109.46106264882431</v>
      </c>
      <c r="R62" s="136">
        <f>IF(R$1="",0,IF(1+операции!R$421=0,0,(операции!R$300)/(1+операции!R$421)))*IF(отчеты!R22=0,0,R22/отчеты!R22)</f>
        <v>103.28379710738565</v>
      </c>
      <c r="S62" s="136">
        <f>IF(S$1="",0,IF(1+операции!S$421=0,0,(операции!S$300)/(1+операции!S$421)))*IF(отчеты!S22=0,0,S22/отчеты!S22)</f>
        <v>98.86634162809932</v>
      </c>
      <c r="T62" s="136">
        <f>IF(T$1="",0,IF(1+операции!T$421=0,0,(операции!T$300)/(1+операции!T$421)))*IF(отчеты!T22=0,0,T22/отчеты!T22)</f>
        <v>93.439919542669955</v>
      </c>
      <c r="U62" s="136">
        <f>IF(U$1="",0,IF(1+операции!U$421=0,0,(операции!U$300)/(1+операции!U$421)))*IF(отчеты!U22=0,0,U22/отчеты!U22)</f>
        <v>85.608661011122081</v>
      </c>
      <c r="V62" s="136">
        <f>IF(V$1="",0,IF(1+операции!V$421=0,0,(операции!V$300)/(1+операции!V$421)))*IF(отчеты!V22=0,0,V22/отчеты!V22)</f>
        <v>76.966445257441421</v>
      </c>
      <c r="W62" s="136">
        <f>IF(W$1="",0,IF(1+операции!W$421=0,0,(операции!W$300)/(1+операции!W$421)))*IF(отчеты!W22=0,0,W22/отчеты!W22)</f>
        <v>0</v>
      </c>
      <c r="X62" s="136">
        <f>IF(X$1="",0,IF(1+операции!X$421=0,0,(операции!X$300)/(1+операции!X$421)))*IF(отчеты!X22=0,0,X22/отчеты!X22)</f>
        <v>0</v>
      </c>
      <c r="Y62" s="136">
        <f>IF(Y$1="",0,IF(1+операции!Y$421=0,0,(операции!Y$300)/(1+операции!Y$421)))*IF(отчеты!Y22=0,0,Y22/отчеты!Y22)</f>
        <v>0</v>
      </c>
      <c r="Z62" s="136">
        <f>IF(Z$1="",0,IF(1+операции!Z$421=0,0,(операции!Z$300)/(1+операции!Z$421)))*IF(отчеты!Z22=0,0,Z22/отчеты!Z22)</f>
        <v>0</v>
      </c>
      <c r="AA62" s="136">
        <f>IF(AA$1="",0,IF(1+операции!AA$421=0,0,(операции!AA$300)/(1+операции!AA$421)))*IF(отчеты!AA22=0,0,AA22/отчеты!AA22)</f>
        <v>0</v>
      </c>
      <c r="AB62" s="123"/>
    </row>
    <row r="63" spans="1:28" ht="3.9" hidden="1" customHeight="1" x14ac:dyDescent="0.25">
      <c r="A63" s="149">
        <f>1</f>
        <v>1</v>
      </c>
      <c r="B63" s="131"/>
      <c r="C63" s="2"/>
      <c r="D63" s="2"/>
      <c r="E63" s="2"/>
      <c r="F63" s="2"/>
      <c r="G63" s="2"/>
      <c r="H63" s="2"/>
      <c r="I63" s="28"/>
      <c r="J63" s="2"/>
      <c r="K63" s="28"/>
      <c r="L63" s="2"/>
      <c r="M63" s="52"/>
      <c r="N63" s="2"/>
      <c r="O63" s="2"/>
      <c r="P63" s="36"/>
      <c r="Q63" s="36"/>
      <c r="R63" s="36"/>
      <c r="S63" s="36"/>
      <c r="T63" s="36"/>
      <c r="U63" s="36"/>
      <c r="V63" s="36"/>
      <c r="W63" s="36"/>
      <c r="X63" s="36"/>
      <c r="Y63" s="36"/>
      <c r="Z63" s="36"/>
      <c r="AA63" s="36"/>
      <c r="AB63" s="2"/>
    </row>
    <row r="64" spans="1:28" ht="8.1" hidden="1" customHeight="1" x14ac:dyDescent="0.25">
      <c r="A64" s="149">
        <f>1</f>
        <v>1</v>
      </c>
      <c r="B64" s="131"/>
      <c r="C64" s="2"/>
      <c r="D64" s="2"/>
      <c r="E64" s="2"/>
      <c r="F64" s="2"/>
      <c r="G64" s="2"/>
      <c r="H64" s="2"/>
      <c r="I64" s="28"/>
      <c r="J64" s="2"/>
      <c r="K64" s="28"/>
      <c r="L64" s="2"/>
      <c r="M64" s="52"/>
      <c r="N64" s="2"/>
      <c r="O64" s="2"/>
      <c r="P64" s="36"/>
      <c r="Q64" s="36"/>
      <c r="R64" s="36"/>
      <c r="S64" s="36"/>
      <c r="T64" s="36"/>
      <c r="U64" s="36"/>
      <c r="V64" s="36"/>
      <c r="W64" s="36"/>
      <c r="X64" s="36"/>
      <c r="Y64" s="36"/>
      <c r="Z64" s="36"/>
      <c r="AA64" s="36"/>
      <c r="AB64" s="2"/>
    </row>
    <row r="65" spans="1:28" ht="3.9" hidden="1" customHeight="1" x14ac:dyDescent="0.25">
      <c r="A65" s="149">
        <f>1</f>
        <v>1</v>
      </c>
      <c r="B65" s="131"/>
      <c r="C65" s="2"/>
      <c r="D65" s="2"/>
      <c r="E65" s="2"/>
      <c r="F65" s="2"/>
      <c r="G65" s="2"/>
      <c r="H65" s="2"/>
      <c r="I65" s="28"/>
      <c r="J65" s="2"/>
      <c r="K65" s="28"/>
      <c r="L65" s="2"/>
      <c r="M65" s="52"/>
      <c r="N65" s="2"/>
      <c r="O65" s="2"/>
      <c r="P65" s="36"/>
      <c r="Q65" s="36"/>
      <c r="R65" s="36"/>
      <c r="S65" s="36"/>
      <c r="T65" s="36"/>
      <c r="U65" s="36"/>
      <c r="V65" s="36"/>
      <c r="W65" s="36"/>
      <c r="X65" s="36"/>
      <c r="Y65" s="36"/>
      <c r="Z65" s="36"/>
      <c r="AA65" s="36"/>
      <c r="AB65" s="2"/>
    </row>
    <row r="66" spans="1:28" s="126" customFormat="1" hidden="1" x14ac:dyDescent="0.25">
      <c r="A66" s="149">
        <f>1</f>
        <v>1</v>
      </c>
      <c r="B66" s="132" t="str">
        <f>структура!$J$12</f>
        <v>ОСНО</v>
      </c>
      <c r="C66" s="123"/>
      <c r="D66" s="123"/>
      <c r="E66" s="130" t="str">
        <f>KPI!$E$79</f>
        <v>начисление ФОТ</v>
      </c>
      <c r="F66" s="130"/>
      <c r="G66" s="130" t="str">
        <f>IF($E66="","",INDEX(KPI!$G:$G,SUMIFS(KPI!$B:$B,KPI!$E:$E,$E66)))</f>
        <v>тыс.руб.</v>
      </c>
      <c r="H66" s="130"/>
      <c r="I66" s="134"/>
      <c r="J66" s="130"/>
      <c r="K66" s="134"/>
      <c r="L66" s="130"/>
      <c r="M66" s="135">
        <f>SUM($O66:$AB66)</f>
        <v>5460</v>
      </c>
      <c r="N66" s="123"/>
      <c r="O66" s="123"/>
      <c r="P66" s="136">
        <f>IF(P$1="",0,ФОТ!P$92)</f>
        <v>780</v>
      </c>
      <c r="Q66" s="136">
        <f>IF(Q$1="",0,ФОТ!Q$92)</f>
        <v>780</v>
      </c>
      <c r="R66" s="136">
        <f>IF(R$1="",0,ФОТ!R$92)</f>
        <v>780</v>
      </c>
      <c r="S66" s="136">
        <f>IF(S$1="",0,ФОТ!S$92)</f>
        <v>780</v>
      </c>
      <c r="T66" s="136">
        <f>IF(T$1="",0,ФОТ!T$92)</f>
        <v>780</v>
      </c>
      <c r="U66" s="136">
        <f>IF(U$1="",0,ФОТ!U$92)</f>
        <v>780</v>
      </c>
      <c r="V66" s="136">
        <f>IF(V$1="",0,ФОТ!V$92)</f>
        <v>780</v>
      </c>
      <c r="W66" s="136">
        <f>IF(W$1="",0,ФОТ!W$92)</f>
        <v>0</v>
      </c>
      <c r="X66" s="136">
        <f>IF(X$1="",0,ФОТ!X$92)</f>
        <v>0</v>
      </c>
      <c r="Y66" s="136">
        <f>IF(Y$1="",0,ФОТ!Y$92)</f>
        <v>0</v>
      </c>
      <c r="Z66" s="136">
        <f>IF(Z$1="",0,ФОТ!Z$92)</f>
        <v>0</v>
      </c>
      <c r="AA66" s="136">
        <f>IF(AA$1="",0,ФОТ!AA$92)</f>
        <v>0</v>
      </c>
      <c r="AB66" s="123"/>
    </row>
    <row r="67" spans="1:28" s="126" customFormat="1" ht="3.9" hidden="1" customHeight="1" x14ac:dyDescent="0.25">
      <c r="A67" s="149">
        <f>1</f>
        <v>1</v>
      </c>
      <c r="B67" s="131"/>
      <c r="C67" s="123"/>
      <c r="D67" s="123"/>
      <c r="E67" s="123"/>
      <c r="F67" s="123"/>
      <c r="G67" s="123"/>
      <c r="H67" s="123"/>
      <c r="I67" s="124"/>
      <c r="J67" s="123"/>
      <c r="K67" s="124"/>
      <c r="L67" s="123"/>
      <c r="M67" s="125"/>
      <c r="N67" s="123"/>
      <c r="O67" s="123"/>
      <c r="P67" s="137"/>
      <c r="Q67" s="137"/>
      <c r="R67" s="137"/>
      <c r="S67" s="137"/>
      <c r="T67" s="137"/>
      <c r="U67" s="137"/>
      <c r="V67" s="137"/>
      <c r="W67" s="137"/>
      <c r="X67" s="137"/>
      <c r="Y67" s="137"/>
      <c r="Z67" s="137"/>
      <c r="AA67" s="137"/>
      <c r="AB67" s="123"/>
    </row>
    <row r="68" spans="1:28" s="126" customFormat="1" hidden="1" x14ac:dyDescent="0.25">
      <c r="A68" s="149">
        <f>1</f>
        <v>1</v>
      </c>
      <c r="B68" s="132" t="str">
        <f>структура!$J$13</f>
        <v>УСН(6%)</v>
      </c>
      <c r="C68" s="123"/>
      <c r="D68" s="123"/>
      <c r="E68" s="130" t="str">
        <f>E66</f>
        <v>начисление ФОТ</v>
      </c>
      <c r="F68" s="130"/>
      <c r="G68" s="130" t="str">
        <f>IF($E68="","",INDEX(KPI!$G:$G,SUMIFS(KPI!$B:$B,KPI!$E:$E,$E68)))</f>
        <v>тыс.руб.</v>
      </c>
      <c r="H68" s="130"/>
      <c r="I68" s="134"/>
      <c r="J68" s="130"/>
      <c r="K68" s="134"/>
      <c r="L68" s="130"/>
      <c r="M68" s="135">
        <f>SUM($O68:$AB68)</f>
        <v>5460</v>
      </c>
      <c r="N68" s="123"/>
      <c r="O68" s="123"/>
      <c r="P68" s="136">
        <f>IF(P$1="",0,ФОТ!P$92)</f>
        <v>780</v>
      </c>
      <c r="Q68" s="136">
        <f>IF(Q$1="",0,ФОТ!Q$92)</f>
        <v>780</v>
      </c>
      <c r="R68" s="136">
        <f>IF(R$1="",0,ФОТ!R$92)</f>
        <v>780</v>
      </c>
      <c r="S68" s="136">
        <f>IF(S$1="",0,ФОТ!S$92)</f>
        <v>780</v>
      </c>
      <c r="T68" s="136">
        <f>IF(T$1="",0,ФОТ!T$92)</f>
        <v>780</v>
      </c>
      <c r="U68" s="136">
        <f>IF(U$1="",0,ФОТ!U$92)</f>
        <v>780</v>
      </c>
      <c r="V68" s="136">
        <f>IF(V$1="",0,ФОТ!V$92)</f>
        <v>780</v>
      </c>
      <c r="W68" s="136">
        <f>IF(W$1="",0,ФОТ!W$92)</f>
        <v>0</v>
      </c>
      <c r="X68" s="136">
        <f>IF(X$1="",0,ФОТ!X$92)</f>
        <v>0</v>
      </c>
      <c r="Y68" s="136">
        <f>IF(Y$1="",0,ФОТ!Y$92)</f>
        <v>0</v>
      </c>
      <c r="Z68" s="136">
        <f>IF(Z$1="",0,ФОТ!Z$92)</f>
        <v>0</v>
      </c>
      <c r="AA68" s="136">
        <f>IF(AA$1="",0,ФОТ!AA$92)</f>
        <v>0</v>
      </c>
      <c r="AB68" s="123"/>
    </row>
    <row r="69" spans="1:28" s="126" customFormat="1" ht="3.9" hidden="1" customHeight="1" x14ac:dyDescent="0.25">
      <c r="A69" s="149">
        <f>1</f>
        <v>1</v>
      </c>
      <c r="B69" s="131"/>
      <c r="C69" s="123"/>
      <c r="D69" s="123"/>
      <c r="E69" s="123"/>
      <c r="F69" s="123"/>
      <c r="G69" s="123"/>
      <c r="H69" s="123"/>
      <c r="I69" s="124"/>
      <c r="J69" s="123"/>
      <c r="K69" s="124"/>
      <c r="L69" s="123"/>
      <c r="M69" s="125"/>
      <c r="N69" s="123"/>
      <c r="O69" s="123"/>
      <c r="P69" s="137"/>
      <c r="Q69" s="137"/>
      <c r="R69" s="137"/>
      <c r="S69" s="137"/>
      <c r="T69" s="137"/>
      <c r="U69" s="137"/>
      <c r="V69" s="137"/>
      <c r="W69" s="137"/>
      <c r="X69" s="137"/>
      <c r="Y69" s="137"/>
      <c r="Z69" s="137"/>
      <c r="AA69" s="137"/>
      <c r="AB69" s="123"/>
    </row>
    <row r="70" spans="1:28" s="126" customFormat="1" hidden="1" x14ac:dyDescent="0.25">
      <c r="A70" s="149">
        <f>1</f>
        <v>1</v>
      </c>
      <c r="B70" s="132" t="str">
        <f>структура!$J$14</f>
        <v>УСН(15%)</v>
      </c>
      <c r="C70" s="123"/>
      <c r="D70" s="123"/>
      <c r="E70" s="130" t="str">
        <f>E66</f>
        <v>начисление ФОТ</v>
      </c>
      <c r="F70" s="130"/>
      <c r="G70" s="130" t="str">
        <f>IF($E70="","",INDEX(KPI!$G:$G,SUMIFS(KPI!$B:$B,KPI!$E:$E,$E70)))</f>
        <v>тыс.руб.</v>
      </c>
      <c r="H70" s="130"/>
      <c r="I70" s="134"/>
      <c r="J70" s="130"/>
      <c r="K70" s="134"/>
      <c r="L70" s="130"/>
      <c r="M70" s="135">
        <f>SUM($O70:$AB70)</f>
        <v>5460</v>
      </c>
      <c r="N70" s="123"/>
      <c r="O70" s="123"/>
      <c r="P70" s="136">
        <f>IF(P$1="",0,ФОТ!P$92)</f>
        <v>780</v>
      </c>
      <c r="Q70" s="136">
        <f>IF(Q$1="",0,ФОТ!Q$92)</f>
        <v>780</v>
      </c>
      <c r="R70" s="136">
        <f>IF(R$1="",0,ФОТ!R$92)</f>
        <v>780</v>
      </c>
      <c r="S70" s="136">
        <f>IF(S$1="",0,ФОТ!S$92)</f>
        <v>780</v>
      </c>
      <c r="T70" s="136">
        <f>IF(T$1="",0,ФОТ!T$92)</f>
        <v>780</v>
      </c>
      <c r="U70" s="136">
        <f>IF(U$1="",0,ФОТ!U$92)</f>
        <v>780</v>
      </c>
      <c r="V70" s="136">
        <f>IF(V$1="",0,ФОТ!V$92)</f>
        <v>780</v>
      </c>
      <c r="W70" s="136">
        <f>IF(W$1="",0,ФОТ!W$92)</f>
        <v>0</v>
      </c>
      <c r="X70" s="136">
        <f>IF(X$1="",0,ФОТ!X$92)</f>
        <v>0</v>
      </c>
      <c r="Y70" s="136">
        <f>IF(Y$1="",0,ФОТ!Y$92)</f>
        <v>0</v>
      </c>
      <c r="Z70" s="136">
        <f>IF(Z$1="",0,ФОТ!Z$92)</f>
        <v>0</v>
      </c>
      <c r="AA70" s="136">
        <f>IF(AA$1="",0,ФОТ!AA$92)</f>
        <v>0</v>
      </c>
      <c r="AB70" s="123"/>
    </row>
    <row r="71" spans="1:28" s="126" customFormat="1" ht="3.9" hidden="1" customHeight="1" x14ac:dyDescent="0.25">
      <c r="A71" s="149">
        <f>1</f>
        <v>1</v>
      </c>
      <c r="B71" s="131"/>
      <c r="C71" s="123"/>
      <c r="D71" s="123"/>
      <c r="E71" s="123"/>
      <c r="F71" s="123"/>
      <c r="G71" s="123"/>
      <c r="H71" s="123"/>
      <c r="I71" s="124"/>
      <c r="J71" s="123"/>
      <c r="K71" s="124"/>
      <c r="L71" s="123"/>
      <c r="M71" s="125"/>
      <c r="N71" s="123"/>
      <c r="O71" s="123"/>
      <c r="P71" s="137"/>
      <c r="Q71" s="137"/>
      <c r="R71" s="137"/>
      <c r="S71" s="137"/>
      <c r="T71" s="137"/>
      <c r="U71" s="137"/>
      <c r="V71" s="137"/>
      <c r="W71" s="137"/>
      <c r="X71" s="137"/>
      <c r="Y71" s="137"/>
      <c r="Z71" s="137"/>
      <c r="AA71" s="137"/>
      <c r="AB71" s="123"/>
    </row>
    <row r="72" spans="1:28" s="126" customFormat="1" x14ac:dyDescent="0.25">
      <c r="A72" s="149">
        <f>1</f>
        <v>1</v>
      </c>
      <c r="B72" s="132" t="str">
        <f>структура!$J$15</f>
        <v>УСН(6%)-ИП</v>
      </c>
      <c r="C72" s="123"/>
      <c r="D72" s="123"/>
      <c r="E72" s="130" t="str">
        <f>E66</f>
        <v>начисление ФОТ</v>
      </c>
      <c r="F72" s="130"/>
      <c r="G72" s="130" t="str">
        <f>IF($E72="","",INDEX(KPI!$G:$G,SUMIFS(KPI!$B:$B,KPI!$E:$E,$E72)))</f>
        <v>тыс.руб.</v>
      </c>
      <c r="H72" s="130"/>
      <c r="I72" s="134"/>
      <c r="J72" s="130"/>
      <c r="K72" s="134"/>
      <c r="L72" s="130"/>
      <c r="M72" s="135">
        <f>SUM($O72:$AB72)</f>
        <v>5460</v>
      </c>
      <c r="N72" s="123"/>
      <c r="O72" s="123"/>
      <c r="P72" s="136">
        <f>IF(P$1="",0,ФОТ!P$92)</f>
        <v>780</v>
      </c>
      <c r="Q72" s="136">
        <f>IF(Q$1="",0,ФОТ!Q$92)</f>
        <v>780</v>
      </c>
      <c r="R72" s="136">
        <f>IF(R$1="",0,ФОТ!R$92)</f>
        <v>780</v>
      </c>
      <c r="S72" s="136">
        <f>IF(S$1="",0,ФОТ!S$92)</f>
        <v>780</v>
      </c>
      <c r="T72" s="136">
        <f>IF(T$1="",0,ФОТ!T$92)</f>
        <v>780</v>
      </c>
      <c r="U72" s="136">
        <f>IF(U$1="",0,ФОТ!U$92)</f>
        <v>780</v>
      </c>
      <c r="V72" s="136">
        <f>IF(V$1="",0,ФОТ!V$92)</f>
        <v>780</v>
      </c>
      <c r="W72" s="136">
        <f>IF(W$1="",0,ФОТ!W$92)</f>
        <v>0</v>
      </c>
      <c r="X72" s="136">
        <f>IF(X$1="",0,ФОТ!X$92)</f>
        <v>0</v>
      </c>
      <c r="Y72" s="136">
        <f>IF(Y$1="",0,ФОТ!Y$92)</f>
        <v>0</v>
      </c>
      <c r="Z72" s="136">
        <f>IF(Z$1="",0,ФОТ!Z$92)</f>
        <v>0</v>
      </c>
      <c r="AA72" s="136">
        <f>IF(AA$1="",0,ФОТ!AA$92)</f>
        <v>0</v>
      </c>
      <c r="AB72" s="123"/>
    </row>
    <row r="73" spans="1:28" ht="3.9" hidden="1" customHeight="1" x14ac:dyDescent="0.25">
      <c r="A73" s="149">
        <f>1</f>
        <v>1</v>
      </c>
      <c r="B73" s="131"/>
      <c r="C73" s="2"/>
      <c r="D73" s="2"/>
      <c r="E73" s="2"/>
      <c r="F73" s="2"/>
      <c r="G73" s="2"/>
      <c r="H73" s="2"/>
      <c r="I73" s="28"/>
      <c r="J73" s="2"/>
      <c r="K73" s="28"/>
      <c r="L73" s="2"/>
      <c r="M73" s="52"/>
      <c r="N73" s="2"/>
      <c r="O73" s="2"/>
      <c r="P73" s="36"/>
      <c r="Q73" s="36"/>
      <c r="R73" s="36"/>
      <c r="S73" s="36"/>
      <c r="T73" s="36"/>
      <c r="U73" s="36"/>
      <c r="V73" s="36"/>
      <c r="W73" s="36"/>
      <c r="X73" s="36"/>
      <c r="Y73" s="36"/>
      <c r="Z73" s="36"/>
      <c r="AA73" s="36"/>
      <c r="AB73" s="2"/>
    </row>
    <row r="74" spans="1:28" ht="8.1" hidden="1" customHeight="1" x14ac:dyDescent="0.25">
      <c r="A74" s="149">
        <f>1</f>
        <v>1</v>
      </c>
      <c r="B74" s="131"/>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ht="3.9" hidden="1" customHeight="1" x14ac:dyDescent="0.25">
      <c r="A75" s="149">
        <f>1</f>
        <v>1</v>
      </c>
      <c r="B75" s="131"/>
      <c r="C75" s="2"/>
      <c r="D75" s="2"/>
      <c r="E75" s="2"/>
      <c r="F75" s="2"/>
      <c r="G75" s="2"/>
      <c r="H75" s="2"/>
      <c r="I75" s="28"/>
      <c r="J75" s="2"/>
      <c r="K75" s="28"/>
      <c r="L75" s="2"/>
      <c r="M75" s="52"/>
      <c r="N75" s="2"/>
      <c r="O75" s="2"/>
      <c r="P75" s="36"/>
      <c r="Q75" s="36"/>
      <c r="R75" s="36"/>
      <c r="S75" s="36"/>
      <c r="T75" s="36"/>
      <c r="U75" s="36"/>
      <c r="V75" s="36"/>
      <c r="W75" s="36"/>
      <c r="X75" s="36"/>
      <c r="Y75" s="36"/>
      <c r="Z75" s="36"/>
      <c r="AA75" s="36"/>
      <c r="AB75" s="2"/>
    </row>
    <row r="76" spans="1:28" s="126" customFormat="1" hidden="1" x14ac:dyDescent="0.25">
      <c r="A76" s="149">
        <f>1</f>
        <v>1</v>
      </c>
      <c r="B76" s="132" t="str">
        <f>структура!$J$12</f>
        <v>ОСНО</v>
      </c>
      <c r="C76" s="123"/>
      <c r="D76" s="123"/>
      <c r="E76" s="130" t="str">
        <f>KPI!$E$80</f>
        <v>начисления в соцфонды и НС</v>
      </c>
      <c r="F76" s="130"/>
      <c r="G76" s="130" t="str">
        <f>IF($E76="","",INDEX(KPI!$G:$G,SUMIFS(KPI!$B:$B,KPI!$E:$E,$E76)))</f>
        <v>тыс.руб.</v>
      </c>
      <c r="H76" s="130"/>
      <c r="I76" s="134"/>
      <c r="J76" s="130"/>
      <c r="K76" s="134"/>
      <c r="L76" s="130"/>
      <c r="M76" s="135">
        <f>SUM($O76:$AB76)</f>
        <v>1648.9199999999998</v>
      </c>
      <c r="N76" s="123"/>
      <c r="O76" s="123"/>
      <c r="P76" s="136">
        <f>IF(P$1="",0,ФОТ!P$110)</f>
        <v>235.55999999999997</v>
      </c>
      <c r="Q76" s="136">
        <f>IF(Q$1="",0,ФОТ!Q$110)</f>
        <v>235.55999999999997</v>
      </c>
      <c r="R76" s="136">
        <f>IF(R$1="",0,ФОТ!R$110)</f>
        <v>235.55999999999997</v>
      </c>
      <c r="S76" s="136">
        <f>IF(S$1="",0,ФОТ!S$110)</f>
        <v>235.55999999999997</v>
      </c>
      <c r="T76" s="136">
        <f>IF(T$1="",0,ФОТ!T$110)</f>
        <v>235.55999999999997</v>
      </c>
      <c r="U76" s="136">
        <f>IF(U$1="",0,ФОТ!U$110)</f>
        <v>235.55999999999997</v>
      </c>
      <c r="V76" s="136">
        <f>IF(V$1="",0,ФОТ!V$110)</f>
        <v>235.55999999999997</v>
      </c>
      <c r="W76" s="136">
        <f>IF(W$1="",0,ФОТ!W$110)</f>
        <v>0</v>
      </c>
      <c r="X76" s="136">
        <f>IF(X$1="",0,ФОТ!X$110)</f>
        <v>0</v>
      </c>
      <c r="Y76" s="136">
        <f>IF(Y$1="",0,ФОТ!Y$110)</f>
        <v>0</v>
      </c>
      <c r="Z76" s="136">
        <f>IF(Z$1="",0,ФОТ!Z$110)</f>
        <v>0</v>
      </c>
      <c r="AA76" s="136">
        <f>IF(AA$1="",0,ФОТ!AA$110)</f>
        <v>0</v>
      </c>
      <c r="AB76" s="123"/>
    </row>
    <row r="77" spans="1:28" s="126" customFormat="1" ht="3.9" hidden="1" customHeight="1" x14ac:dyDescent="0.25">
      <c r="A77" s="149">
        <f>1</f>
        <v>1</v>
      </c>
      <c r="B77" s="131"/>
      <c r="C77" s="123"/>
      <c r="D77" s="123"/>
      <c r="E77" s="123"/>
      <c r="F77" s="123"/>
      <c r="G77" s="123"/>
      <c r="H77" s="123"/>
      <c r="I77" s="124"/>
      <c r="J77" s="123"/>
      <c r="K77" s="124"/>
      <c r="L77" s="123"/>
      <c r="M77" s="125"/>
      <c r="N77" s="123"/>
      <c r="O77" s="123"/>
      <c r="P77" s="136">
        <f>IF(P$1="",0,операции!P$353)*IF(отчеты!P17=0,0,P17/отчеты!P17)</f>
        <v>0</v>
      </c>
      <c r="Q77" s="136">
        <f>IF(Q$1="",0,операции!Q$353)*IF(отчеты!Q17=0,0,Q17/отчеты!Q17)</f>
        <v>0</v>
      </c>
      <c r="R77" s="136">
        <f>IF(R$1="",0,операции!R$353)*IF(отчеты!R17=0,0,R17/отчеты!R17)</f>
        <v>0</v>
      </c>
      <c r="S77" s="136">
        <f>IF(S$1="",0,операции!S$353)*IF(отчеты!S17=0,0,S17/отчеты!S17)</f>
        <v>0</v>
      </c>
      <c r="T77" s="136">
        <f>IF(T$1="",0,операции!T$353)*IF(отчеты!T17=0,0,T17/отчеты!T17)</f>
        <v>0</v>
      </c>
      <c r="U77" s="136">
        <f>IF(U$1="",0,операции!U$353)*IF(отчеты!U17=0,0,U17/отчеты!U17)</f>
        <v>0</v>
      </c>
      <c r="V77" s="136">
        <f>IF(V$1="",0,операции!V$353)*IF(отчеты!V17=0,0,V17/отчеты!V17)</f>
        <v>0</v>
      </c>
      <c r="W77" s="136">
        <f>IF(W$1="",0,операции!W$353)*IF(отчеты!W17=0,0,W17/отчеты!W17)</f>
        <v>0</v>
      </c>
      <c r="X77" s="136">
        <f>IF(X$1="",0,операции!X$353)*IF(отчеты!X17=0,0,X17/отчеты!X17)</f>
        <v>0</v>
      </c>
      <c r="Y77" s="136">
        <f>IF(Y$1="",0,операции!Y$353)*IF(отчеты!Y17=0,0,Y17/отчеты!Y17)</f>
        <v>0</v>
      </c>
      <c r="Z77" s="136">
        <f>IF(Z$1="",0,операции!Z$353)*IF(отчеты!Z17=0,0,Z17/отчеты!Z17)</f>
        <v>0</v>
      </c>
      <c r="AA77" s="136">
        <f>IF(AA$1="",0,операции!AA$353)*IF(отчеты!AA17=0,0,AA17/отчеты!AA17)</f>
        <v>0</v>
      </c>
      <c r="AB77" s="123"/>
    </row>
    <row r="78" spans="1:28" s="126" customFormat="1" hidden="1" x14ac:dyDescent="0.25">
      <c r="A78" s="149">
        <f>1</f>
        <v>1</v>
      </c>
      <c r="B78" s="132" t="str">
        <f>структура!$J$13</f>
        <v>УСН(6%)</v>
      </c>
      <c r="C78" s="123"/>
      <c r="D78" s="123"/>
      <c r="E78" s="130" t="str">
        <f>E76</f>
        <v>начисления в соцфонды и НС</v>
      </c>
      <c r="F78" s="130"/>
      <c r="G78" s="130" t="str">
        <f>IF($E78="","",INDEX(KPI!$G:$G,SUMIFS(KPI!$B:$B,KPI!$E:$E,$E78)))</f>
        <v>тыс.руб.</v>
      </c>
      <c r="H78" s="130"/>
      <c r="I78" s="134"/>
      <c r="J78" s="130"/>
      <c r="K78" s="134"/>
      <c r="L78" s="130"/>
      <c r="M78" s="135">
        <f>SUM($O78:$AB78)</f>
        <v>1648.9199999999998</v>
      </c>
      <c r="N78" s="123"/>
      <c r="O78" s="123"/>
      <c r="P78" s="136">
        <f>IF(P$1="",0,ФОТ!P$110)</f>
        <v>235.55999999999997</v>
      </c>
      <c r="Q78" s="136">
        <f>IF(Q$1="",0,ФОТ!Q$110)</f>
        <v>235.55999999999997</v>
      </c>
      <c r="R78" s="136">
        <f>IF(R$1="",0,ФОТ!R$110)</f>
        <v>235.55999999999997</v>
      </c>
      <c r="S78" s="136">
        <f>IF(S$1="",0,ФОТ!S$110)</f>
        <v>235.55999999999997</v>
      </c>
      <c r="T78" s="136">
        <f>IF(T$1="",0,ФОТ!T$110)</f>
        <v>235.55999999999997</v>
      </c>
      <c r="U78" s="136">
        <f>IF(U$1="",0,ФОТ!U$110)</f>
        <v>235.55999999999997</v>
      </c>
      <c r="V78" s="136">
        <f>IF(V$1="",0,ФОТ!V$110)</f>
        <v>235.55999999999997</v>
      </c>
      <c r="W78" s="136">
        <f>IF(W$1="",0,ФОТ!W$110)</f>
        <v>0</v>
      </c>
      <c r="X78" s="136">
        <f>IF(X$1="",0,ФОТ!X$110)</f>
        <v>0</v>
      </c>
      <c r="Y78" s="136">
        <f>IF(Y$1="",0,ФОТ!Y$110)</f>
        <v>0</v>
      </c>
      <c r="Z78" s="136">
        <f>IF(Z$1="",0,ФОТ!Z$110)</f>
        <v>0</v>
      </c>
      <c r="AA78" s="136">
        <f>IF(AA$1="",0,ФОТ!AA$110)</f>
        <v>0</v>
      </c>
      <c r="AB78" s="123"/>
    </row>
    <row r="79" spans="1:28" s="126" customFormat="1" ht="3.9" hidden="1" customHeight="1" x14ac:dyDescent="0.25">
      <c r="A79" s="149">
        <f>1</f>
        <v>1</v>
      </c>
      <c r="B79" s="131"/>
      <c r="C79" s="123"/>
      <c r="D79" s="123"/>
      <c r="E79" s="123"/>
      <c r="F79" s="123"/>
      <c r="G79" s="123"/>
      <c r="H79" s="123"/>
      <c r="I79" s="124"/>
      <c r="J79" s="123"/>
      <c r="K79" s="124"/>
      <c r="L79" s="123"/>
      <c r="M79" s="125"/>
      <c r="N79" s="123"/>
      <c r="O79" s="123"/>
      <c r="P79" s="136">
        <f>IF(P$1="",0,операции!P$353)*IF(отчеты!P19=0,0,P19/отчеты!P19)</f>
        <v>0</v>
      </c>
      <c r="Q79" s="136">
        <f>IF(Q$1="",0,операции!Q$353)*IF(отчеты!Q19=0,0,Q19/отчеты!Q19)</f>
        <v>0</v>
      </c>
      <c r="R79" s="136">
        <f>IF(R$1="",0,операции!R$353)*IF(отчеты!R19=0,0,R19/отчеты!R19)</f>
        <v>0</v>
      </c>
      <c r="S79" s="136">
        <f>IF(S$1="",0,операции!S$353)*IF(отчеты!S19=0,0,S19/отчеты!S19)</f>
        <v>0</v>
      </c>
      <c r="T79" s="136">
        <f>IF(T$1="",0,операции!T$353)*IF(отчеты!T19=0,0,T19/отчеты!T19)</f>
        <v>0</v>
      </c>
      <c r="U79" s="136">
        <f>IF(U$1="",0,операции!U$353)*IF(отчеты!U19=0,0,U19/отчеты!U19)</f>
        <v>0</v>
      </c>
      <c r="V79" s="136">
        <f>IF(V$1="",0,операции!V$353)*IF(отчеты!V19=0,0,V19/отчеты!V19)</f>
        <v>0</v>
      </c>
      <c r="W79" s="136">
        <f>IF(W$1="",0,операции!W$353)*IF(отчеты!W19=0,0,W19/отчеты!W19)</f>
        <v>0</v>
      </c>
      <c r="X79" s="136">
        <f>IF(X$1="",0,операции!X$353)*IF(отчеты!X19=0,0,X19/отчеты!X19)</f>
        <v>0</v>
      </c>
      <c r="Y79" s="136">
        <f>IF(Y$1="",0,операции!Y$353)*IF(отчеты!Y19=0,0,Y19/отчеты!Y19)</f>
        <v>0</v>
      </c>
      <c r="Z79" s="136">
        <f>IF(Z$1="",0,операции!Z$353)*IF(отчеты!Z19=0,0,Z19/отчеты!Z19)</f>
        <v>0</v>
      </c>
      <c r="AA79" s="136">
        <f>IF(AA$1="",0,операции!AA$353)*IF(отчеты!AA19=0,0,AA19/отчеты!AA19)</f>
        <v>0</v>
      </c>
      <c r="AB79" s="123"/>
    </row>
    <row r="80" spans="1:28" s="126" customFormat="1" hidden="1" x14ac:dyDescent="0.25">
      <c r="A80" s="149">
        <f>1</f>
        <v>1</v>
      </c>
      <c r="B80" s="132" t="str">
        <f>структура!$J$14</f>
        <v>УСН(15%)</v>
      </c>
      <c r="C80" s="123"/>
      <c r="D80" s="123"/>
      <c r="E80" s="130" t="str">
        <f>E76</f>
        <v>начисления в соцфонды и НС</v>
      </c>
      <c r="F80" s="130"/>
      <c r="G80" s="130" t="str">
        <f>IF($E80="","",INDEX(KPI!$G:$G,SUMIFS(KPI!$B:$B,KPI!$E:$E,$E80)))</f>
        <v>тыс.руб.</v>
      </c>
      <c r="H80" s="130"/>
      <c r="I80" s="134"/>
      <c r="J80" s="130"/>
      <c r="K80" s="134"/>
      <c r="L80" s="130"/>
      <c r="M80" s="135">
        <f>SUM($O80:$AB80)</f>
        <v>1648.9199999999998</v>
      </c>
      <c r="N80" s="123"/>
      <c r="O80" s="123"/>
      <c r="P80" s="136">
        <f>IF(P$1="",0,ФОТ!P$110)</f>
        <v>235.55999999999997</v>
      </c>
      <c r="Q80" s="136">
        <f>IF(Q$1="",0,ФОТ!Q$110)</f>
        <v>235.55999999999997</v>
      </c>
      <c r="R80" s="136">
        <f>IF(R$1="",0,ФОТ!R$110)</f>
        <v>235.55999999999997</v>
      </c>
      <c r="S80" s="136">
        <f>IF(S$1="",0,ФОТ!S$110)</f>
        <v>235.55999999999997</v>
      </c>
      <c r="T80" s="136">
        <f>IF(T$1="",0,ФОТ!T$110)</f>
        <v>235.55999999999997</v>
      </c>
      <c r="U80" s="136">
        <f>IF(U$1="",0,ФОТ!U$110)</f>
        <v>235.55999999999997</v>
      </c>
      <c r="V80" s="136">
        <f>IF(V$1="",0,ФОТ!V$110)</f>
        <v>235.55999999999997</v>
      </c>
      <c r="W80" s="136">
        <f>IF(W$1="",0,ФОТ!W$110)</f>
        <v>0</v>
      </c>
      <c r="X80" s="136">
        <f>IF(X$1="",0,ФОТ!X$110)</f>
        <v>0</v>
      </c>
      <c r="Y80" s="136">
        <f>IF(Y$1="",0,ФОТ!Y$110)</f>
        <v>0</v>
      </c>
      <c r="Z80" s="136">
        <f>IF(Z$1="",0,ФОТ!Z$110)</f>
        <v>0</v>
      </c>
      <c r="AA80" s="136">
        <f>IF(AA$1="",0,ФОТ!AA$110)</f>
        <v>0</v>
      </c>
      <c r="AB80" s="123"/>
    </row>
    <row r="81" spans="1:28" s="126" customFormat="1" ht="3.9" hidden="1" customHeight="1" x14ac:dyDescent="0.25">
      <c r="A81" s="149">
        <f>1</f>
        <v>1</v>
      </c>
      <c r="B81" s="131"/>
      <c r="C81" s="123"/>
      <c r="D81" s="123"/>
      <c r="E81" s="123"/>
      <c r="F81" s="123"/>
      <c r="G81" s="123"/>
      <c r="H81" s="123"/>
      <c r="I81" s="124"/>
      <c r="J81" s="123"/>
      <c r="K81" s="124"/>
      <c r="L81" s="123"/>
      <c r="M81" s="125"/>
      <c r="N81" s="123"/>
      <c r="O81" s="123"/>
      <c r="P81" s="136">
        <f>IF(P$1="",0,операции!P$353)*IF(отчеты!P21=0,0,P21/отчеты!P21)</f>
        <v>0</v>
      </c>
      <c r="Q81" s="136">
        <f>IF(Q$1="",0,операции!Q$353)*IF(отчеты!Q21=0,0,Q21/отчеты!Q21)</f>
        <v>0</v>
      </c>
      <c r="R81" s="136">
        <f>IF(R$1="",0,операции!R$353)*IF(отчеты!R21=0,0,R21/отчеты!R21)</f>
        <v>0</v>
      </c>
      <c r="S81" s="136">
        <f>IF(S$1="",0,операции!S$353)*IF(отчеты!S21=0,0,S21/отчеты!S21)</f>
        <v>0</v>
      </c>
      <c r="T81" s="136">
        <f>IF(T$1="",0,операции!T$353)*IF(отчеты!T21=0,0,T21/отчеты!T21)</f>
        <v>0</v>
      </c>
      <c r="U81" s="136">
        <f>IF(U$1="",0,операции!U$353)*IF(отчеты!U21=0,0,U21/отчеты!U21)</f>
        <v>0</v>
      </c>
      <c r="V81" s="136">
        <f>IF(V$1="",0,операции!V$353)*IF(отчеты!V21=0,0,V21/отчеты!V21)</f>
        <v>0</v>
      </c>
      <c r="W81" s="136">
        <f>IF(W$1="",0,операции!W$353)*IF(отчеты!W21=0,0,W21/отчеты!W21)</f>
        <v>0</v>
      </c>
      <c r="X81" s="136">
        <f>IF(X$1="",0,операции!X$353)*IF(отчеты!X21=0,0,X21/отчеты!X21)</f>
        <v>0</v>
      </c>
      <c r="Y81" s="136">
        <f>IF(Y$1="",0,операции!Y$353)*IF(отчеты!Y21=0,0,Y21/отчеты!Y21)</f>
        <v>0</v>
      </c>
      <c r="Z81" s="136">
        <f>IF(Z$1="",0,операции!Z$353)*IF(отчеты!Z21=0,0,Z21/отчеты!Z21)</f>
        <v>0</v>
      </c>
      <c r="AA81" s="136">
        <f>IF(AA$1="",0,операции!AA$353)*IF(отчеты!AA21=0,0,AA21/отчеты!AA21)</f>
        <v>0</v>
      </c>
      <c r="AB81" s="123"/>
    </row>
    <row r="82" spans="1:28" s="126" customFormat="1" x14ac:dyDescent="0.25">
      <c r="A82" s="149">
        <f>1</f>
        <v>1</v>
      </c>
      <c r="B82" s="132" t="str">
        <f>структура!$J$15</f>
        <v>УСН(6%)-ИП</v>
      </c>
      <c r="C82" s="123"/>
      <c r="D82" s="123"/>
      <c r="E82" s="130" t="str">
        <f>E76</f>
        <v>начисления в соцфонды и НС</v>
      </c>
      <c r="F82" s="130"/>
      <c r="G82" s="130" t="str">
        <f>IF($E82="","",INDEX(KPI!$G:$G,SUMIFS(KPI!$B:$B,KPI!$E:$E,$E82)))</f>
        <v>тыс.руб.</v>
      </c>
      <c r="H82" s="130"/>
      <c r="I82" s="134"/>
      <c r="J82" s="130"/>
      <c r="K82" s="134"/>
      <c r="L82" s="130"/>
      <c r="M82" s="135">
        <f>SUM($O82:$AB82)</f>
        <v>1648.9199999999998</v>
      </c>
      <c r="N82" s="123"/>
      <c r="O82" s="123"/>
      <c r="P82" s="136">
        <f>IF(P$1="",0,ФОТ!P$110)</f>
        <v>235.55999999999997</v>
      </c>
      <c r="Q82" s="136">
        <f>IF(Q$1="",0,ФОТ!Q$110)</f>
        <v>235.55999999999997</v>
      </c>
      <c r="R82" s="136">
        <f>IF(R$1="",0,ФОТ!R$110)</f>
        <v>235.55999999999997</v>
      </c>
      <c r="S82" s="136">
        <f>IF(S$1="",0,ФОТ!S$110)</f>
        <v>235.55999999999997</v>
      </c>
      <c r="T82" s="136">
        <f>IF(T$1="",0,ФОТ!T$110)</f>
        <v>235.55999999999997</v>
      </c>
      <c r="U82" s="136">
        <f>IF(U$1="",0,ФОТ!U$110)</f>
        <v>235.55999999999997</v>
      </c>
      <c r="V82" s="136">
        <f>IF(V$1="",0,ФОТ!V$110)</f>
        <v>235.55999999999997</v>
      </c>
      <c r="W82" s="136">
        <f>IF(W$1="",0,ФОТ!W$110)</f>
        <v>0</v>
      </c>
      <c r="X82" s="136">
        <f>IF(X$1="",0,ФОТ!X$110)</f>
        <v>0</v>
      </c>
      <c r="Y82" s="136">
        <f>IF(Y$1="",0,ФОТ!Y$110)</f>
        <v>0</v>
      </c>
      <c r="Z82" s="136">
        <f>IF(Z$1="",0,ФОТ!Z$110)</f>
        <v>0</v>
      </c>
      <c r="AA82" s="136">
        <f>IF(AA$1="",0,ФОТ!AA$110)</f>
        <v>0</v>
      </c>
      <c r="AB82" s="123"/>
    </row>
    <row r="83" spans="1:28" ht="3.9" hidden="1" customHeight="1" x14ac:dyDescent="0.25">
      <c r="A83" s="149">
        <f>1</f>
        <v>1</v>
      </c>
      <c r="B83" s="131"/>
      <c r="C83" s="2"/>
      <c r="D83" s="2"/>
      <c r="E83" s="2"/>
      <c r="F83" s="2"/>
      <c r="G83" s="2"/>
      <c r="H83" s="2"/>
      <c r="I83" s="28"/>
      <c r="J83" s="2"/>
      <c r="K83" s="28"/>
      <c r="L83" s="2"/>
      <c r="M83" s="52"/>
      <c r="N83" s="2"/>
      <c r="O83" s="2"/>
      <c r="P83" s="36"/>
      <c r="Q83" s="36"/>
      <c r="R83" s="36"/>
      <c r="S83" s="36"/>
      <c r="T83" s="36"/>
      <c r="U83" s="36"/>
      <c r="V83" s="36"/>
      <c r="W83" s="36"/>
      <c r="X83" s="36"/>
      <c r="Y83" s="36"/>
      <c r="Z83" s="36"/>
      <c r="AA83" s="36"/>
      <c r="AB83" s="2"/>
    </row>
    <row r="84" spans="1:28" ht="8.1" hidden="1" customHeight="1" x14ac:dyDescent="0.25">
      <c r="A84" s="149">
        <f>1</f>
        <v>1</v>
      </c>
      <c r="B84" s="131"/>
      <c r="C84" s="2"/>
      <c r="D84" s="2"/>
      <c r="E84" s="2"/>
      <c r="F84" s="2"/>
      <c r="G84" s="2"/>
      <c r="H84" s="2"/>
      <c r="I84" s="28"/>
      <c r="J84" s="2"/>
      <c r="K84" s="28"/>
      <c r="L84" s="2"/>
      <c r="M84" s="52"/>
      <c r="N84" s="2"/>
      <c r="O84" s="2"/>
      <c r="P84" s="36"/>
      <c r="Q84" s="36"/>
      <c r="R84" s="36"/>
      <c r="S84" s="36"/>
      <c r="T84" s="36"/>
      <c r="U84" s="36"/>
      <c r="V84" s="36"/>
      <c r="W84" s="36"/>
      <c r="X84" s="36"/>
      <c r="Y84" s="36"/>
      <c r="Z84" s="36"/>
      <c r="AA84" s="36"/>
      <c r="AB84" s="2"/>
    </row>
    <row r="85" spans="1:28" s="126" customFormat="1" hidden="1" x14ac:dyDescent="0.25">
      <c r="A85" s="149">
        <f>1</f>
        <v>1</v>
      </c>
      <c r="B85" s="132" t="str">
        <f>структура!$J$12</f>
        <v>ОСНО</v>
      </c>
      <c r="C85" s="123"/>
      <c r="D85" s="123"/>
      <c r="E85" s="130" t="str">
        <f>KPI!$E$81</f>
        <v>общехозяйственные расходы</v>
      </c>
      <c r="F85" s="130"/>
      <c r="G85" s="130" t="str">
        <f>IF($E85="","",INDEX(KPI!$G:$G,SUMIFS(KPI!$B:$B,KPI!$E:$E,$E85)))</f>
        <v>тыс.руб.</v>
      </c>
      <c r="H85" s="130"/>
      <c r="I85" s="134"/>
      <c r="J85" s="130" t="str">
        <f>структура!$AL$21</f>
        <v>Без НДС</v>
      </c>
      <c r="K85" s="134"/>
      <c r="L85" s="130"/>
      <c r="M85" s="135">
        <f>SUM($O85:$AB85)</f>
        <v>2983.75</v>
      </c>
      <c r="N85" s="123"/>
      <c r="O85" s="123"/>
      <c r="P85" s="136">
        <f>IF(P$1="",0,IF(1+операции!P$421=0,0,(операции!P$386)/(1+операции!P$421)))*IF(отчеты!P16=0,0,P16/отчеты!P16)</f>
        <v>425.98769230769244</v>
      </c>
      <c r="Q85" s="136">
        <f>IF(Q$1="",0,IF(1+операции!Q$421=0,0,(операции!Q$386)/(1+операции!Q$421)))*IF(отчеты!Q16=0,0,Q16/отчеты!Q16)</f>
        <v>425.98769230769233</v>
      </c>
      <c r="R85" s="136">
        <f>IF(R$1="",0,IF(1+операции!R$421=0,0,(операции!R$386)/(1+операции!R$421)))*IF(отчеты!R16=0,0,R16/отчеты!R16)</f>
        <v>426.90576923076935</v>
      </c>
      <c r="S85" s="136">
        <f>IF(S$1="",0,IF(1+операции!S$421=0,0,(операции!S$386)/(1+операции!S$421)))*IF(отчеты!S16=0,0,S16/отчеты!S16)</f>
        <v>425.98769230769233</v>
      </c>
      <c r="T85" s="136">
        <f>IF(T$1="",0,IF(1+операции!T$421=0,0,(операции!T$386)/(1+операции!T$421)))*IF(отчеты!T16=0,0,T16/отчеты!T16)</f>
        <v>425.98769230769216</v>
      </c>
      <c r="U85" s="136">
        <f>IF(U$1="",0,IF(1+операции!U$421=0,0,(операции!U$386)/(1+операции!U$421)))*IF(отчеты!U16=0,0,U16/отчеты!U16)</f>
        <v>425.98769230769233</v>
      </c>
      <c r="V85" s="136">
        <f>IF(V$1="",0,IF(1+операции!V$421=0,0,(операции!V$386)/(1+операции!V$421)))*IF(отчеты!V16=0,0,V16/отчеты!V16)</f>
        <v>426.90576923076935</v>
      </c>
      <c r="W85" s="136">
        <f>IF(W$1="",0,IF(1+операции!W$421=0,0,(операции!W$386)/(1+операции!W$421)))*IF(отчеты!W16=0,0,W16/отчеты!W16)</f>
        <v>0</v>
      </c>
      <c r="X85" s="136">
        <f>IF(X$1="",0,IF(1+операции!X$421=0,0,(операции!X$386)/(1+операции!X$421)))*IF(отчеты!X16=0,0,X16/отчеты!X16)</f>
        <v>0</v>
      </c>
      <c r="Y85" s="136">
        <f>IF(Y$1="",0,IF(1+операции!Y$421=0,0,(операции!Y$386)/(1+операции!Y$421)))*IF(отчеты!Y16=0,0,Y16/отчеты!Y16)</f>
        <v>0</v>
      </c>
      <c r="Z85" s="136">
        <f>IF(Z$1="",0,IF(1+операции!Z$421=0,0,(операции!Z$386)/(1+операции!Z$421)))*IF(отчеты!Z16=0,0,Z16/отчеты!Z16)</f>
        <v>0</v>
      </c>
      <c r="AA85" s="136">
        <f>IF(AA$1="",0,IF(1+операции!AA$421=0,0,(операции!AA$386)/(1+операции!AA$421)))*IF(отчеты!AA16=0,0,AA16/отчеты!AA16)</f>
        <v>0</v>
      </c>
      <c r="AB85" s="123"/>
    </row>
    <row r="86" spans="1:28" s="126" customFormat="1" ht="3.9" hidden="1" customHeight="1" x14ac:dyDescent="0.25">
      <c r="A86" s="149">
        <f>1</f>
        <v>1</v>
      </c>
      <c r="B86" s="131"/>
      <c r="C86" s="123"/>
      <c r="D86" s="123"/>
      <c r="E86" s="123"/>
      <c r="F86" s="123"/>
      <c r="G86" s="123"/>
      <c r="H86" s="123"/>
      <c r="I86" s="124"/>
      <c r="J86" s="123"/>
      <c r="K86" s="124"/>
      <c r="L86" s="123"/>
      <c r="M86" s="125"/>
      <c r="N86" s="123"/>
      <c r="O86" s="123"/>
      <c r="P86" s="137"/>
      <c r="Q86" s="137"/>
      <c r="R86" s="137"/>
      <c r="S86" s="137"/>
      <c r="T86" s="137"/>
      <c r="U86" s="137"/>
      <c r="V86" s="137"/>
      <c r="W86" s="137"/>
      <c r="X86" s="137"/>
      <c r="Y86" s="137"/>
      <c r="Z86" s="137"/>
      <c r="AA86" s="137"/>
      <c r="AB86" s="123"/>
    </row>
    <row r="87" spans="1:28" s="126" customFormat="1" hidden="1" x14ac:dyDescent="0.25">
      <c r="A87" s="149">
        <f>1</f>
        <v>1</v>
      </c>
      <c r="B87" s="132" t="str">
        <f>структура!$J$13</f>
        <v>УСН(6%)</v>
      </c>
      <c r="C87" s="123"/>
      <c r="D87" s="123"/>
      <c r="E87" s="130" t="str">
        <f>E85</f>
        <v>общехозяйственные расходы</v>
      </c>
      <c r="F87" s="130"/>
      <c r="G87" s="130" t="str">
        <f>IF($E87="","",INDEX(KPI!$G:$G,SUMIFS(KPI!$B:$B,KPI!$E:$E,$E87)))</f>
        <v>тыс.руб.</v>
      </c>
      <c r="H87" s="130"/>
      <c r="I87" s="134"/>
      <c r="J87" s="130" t="str">
        <f>структура!$AL$21</f>
        <v>Без НДС</v>
      </c>
      <c r="K87" s="134"/>
      <c r="L87" s="130"/>
      <c r="M87" s="135">
        <f>SUM($O87:$AB87)</f>
        <v>2983.75</v>
      </c>
      <c r="N87" s="123"/>
      <c r="O87" s="123"/>
      <c r="P87" s="136">
        <f>IF(P$1="",0,IF(1+операции!P$421=0,0,(операции!P$386)/(1+операции!P$421)))*IF(отчеты!P18=0,0,P18/отчеты!P18)</f>
        <v>425.98769230769233</v>
      </c>
      <c r="Q87" s="136">
        <f>IF(Q$1="",0,IF(1+операции!Q$421=0,0,(операции!Q$386)/(1+операции!Q$421)))*IF(отчеты!Q18=0,0,Q18/отчеты!Q18)</f>
        <v>425.98769230769233</v>
      </c>
      <c r="R87" s="136">
        <f>IF(R$1="",0,IF(1+операции!R$421=0,0,(операции!R$386)/(1+операции!R$421)))*IF(отчеты!R18=0,0,R18/отчеты!R18)</f>
        <v>426.90576923076935</v>
      </c>
      <c r="S87" s="136">
        <f>IF(S$1="",0,IF(1+операции!S$421=0,0,(операции!S$386)/(1+операции!S$421)))*IF(отчеты!S18=0,0,S18/отчеты!S18)</f>
        <v>425.98769230769233</v>
      </c>
      <c r="T87" s="136">
        <f>IF(T$1="",0,IF(1+операции!T$421=0,0,(операции!T$386)/(1+операции!T$421)))*IF(отчеты!T18=0,0,T18/отчеты!T18)</f>
        <v>425.98769230769216</v>
      </c>
      <c r="U87" s="136">
        <f>IF(U$1="",0,IF(1+операции!U$421=0,0,(операции!U$386)/(1+операции!U$421)))*IF(отчеты!U18=0,0,U18/отчеты!U18)</f>
        <v>425.98769230769227</v>
      </c>
      <c r="V87" s="136">
        <f>IF(V$1="",0,IF(1+операции!V$421=0,0,(операции!V$386)/(1+операции!V$421)))*IF(отчеты!V18=0,0,V18/отчеты!V18)</f>
        <v>426.90576923076929</v>
      </c>
      <c r="W87" s="136">
        <f>IF(W$1="",0,IF(1+операции!W$421=0,0,(операции!W$386)/(1+операции!W$421)))*IF(отчеты!W18=0,0,W18/отчеты!W18)</f>
        <v>0</v>
      </c>
      <c r="X87" s="136">
        <f>IF(X$1="",0,IF(1+операции!X$421=0,0,(операции!X$386)/(1+операции!X$421)))*IF(отчеты!X18=0,0,X18/отчеты!X18)</f>
        <v>0</v>
      </c>
      <c r="Y87" s="136">
        <f>IF(Y$1="",0,IF(1+операции!Y$421=0,0,(операции!Y$386)/(1+операции!Y$421)))*IF(отчеты!Y18=0,0,Y18/отчеты!Y18)</f>
        <v>0</v>
      </c>
      <c r="Z87" s="136">
        <f>IF(Z$1="",0,IF(1+операции!Z$421=0,0,(операции!Z$386)/(1+операции!Z$421)))*IF(отчеты!Z18=0,0,Z18/отчеты!Z18)</f>
        <v>0</v>
      </c>
      <c r="AA87" s="136">
        <f>IF(AA$1="",0,IF(1+операции!AA$421=0,0,(операции!AA$386)/(1+операции!AA$421)))*IF(отчеты!AA18=0,0,AA18/отчеты!AA18)</f>
        <v>0</v>
      </c>
      <c r="AB87" s="123"/>
    </row>
    <row r="88" spans="1:28" s="126" customFormat="1" ht="3.9" hidden="1" customHeight="1" x14ac:dyDescent="0.25">
      <c r="A88" s="149">
        <f>1</f>
        <v>1</v>
      </c>
      <c r="B88" s="131"/>
      <c r="C88" s="123"/>
      <c r="D88" s="123"/>
      <c r="E88" s="123"/>
      <c r="F88" s="123"/>
      <c r="G88" s="123"/>
      <c r="H88" s="123"/>
      <c r="I88" s="124"/>
      <c r="J88" s="123"/>
      <c r="K88" s="124"/>
      <c r="L88" s="123"/>
      <c r="M88" s="125"/>
      <c r="N88" s="123"/>
      <c r="O88" s="123"/>
      <c r="P88" s="137"/>
      <c r="Q88" s="137"/>
      <c r="R88" s="137"/>
      <c r="S88" s="137"/>
      <c r="T88" s="137"/>
      <c r="U88" s="137"/>
      <c r="V88" s="137"/>
      <c r="W88" s="137"/>
      <c r="X88" s="137"/>
      <c r="Y88" s="137"/>
      <c r="Z88" s="137"/>
      <c r="AA88" s="137"/>
      <c r="AB88" s="123"/>
    </row>
    <row r="89" spans="1:28" s="126" customFormat="1" hidden="1" x14ac:dyDescent="0.25">
      <c r="A89" s="149">
        <f>1</f>
        <v>1</v>
      </c>
      <c r="B89" s="132" t="str">
        <f>структура!$J$14</f>
        <v>УСН(15%)</v>
      </c>
      <c r="C89" s="123"/>
      <c r="D89" s="123"/>
      <c r="E89" s="130" t="str">
        <f>E85</f>
        <v>общехозяйственные расходы</v>
      </c>
      <c r="F89" s="130"/>
      <c r="G89" s="130" t="str">
        <f>IF($E89="","",INDEX(KPI!$G:$G,SUMIFS(KPI!$B:$B,KPI!$E:$E,$E89)))</f>
        <v>тыс.руб.</v>
      </c>
      <c r="H89" s="130"/>
      <c r="I89" s="134"/>
      <c r="J89" s="130" t="str">
        <f>структура!$AL$21</f>
        <v>Без НДС</v>
      </c>
      <c r="K89" s="134"/>
      <c r="L89" s="130"/>
      <c r="M89" s="135">
        <f>SUM($O89:$AB89)</f>
        <v>2983.75</v>
      </c>
      <c r="N89" s="123"/>
      <c r="O89" s="123"/>
      <c r="P89" s="136">
        <f>IF(P$1="",0,IF(1+операции!P$421=0,0,(операции!P$386)/(1+операции!P$421)))*IF(отчеты!P20=0,0,P20/отчеты!P20)</f>
        <v>425.98769230769233</v>
      </c>
      <c r="Q89" s="136">
        <f>IF(Q$1="",0,IF(1+операции!Q$421=0,0,(операции!Q$386)/(1+операции!Q$421)))*IF(отчеты!Q20=0,0,Q20/отчеты!Q20)</f>
        <v>425.98769230769233</v>
      </c>
      <c r="R89" s="136">
        <f>IF(R$1="",0,IF(1+операции!R$421=0,0,(операции!R$386)/(1+операции!R$421)))*IF(отчеты!R20=0,0,R20/отчеты!R20)</f>
        <v>426.90576923076935</v>
      </c>
      <c r="S89" s="136">
        <f>IF(S$1="",0,IF(1+операции!S$421=0,0,(операции!S$386)/(1+операции!S$421)))*IF(отчеты!S20=0,0,S20/отчеты!S20)</f>
        <v>425.98769230769233</v>
      </c>
      <c r="T89" s="136">
        <f>IF(T$1="",0,IF(1+операции!T$421=0,0,(операции!T$386)/(1+операции!T$421)))*IF(отчеты!T20=0,0,T20/отчеты!T20)</f>
        <v>425.98769230769216</v>
      </c>
      <c r="U89" s="136">
        <f>IF(U$1="",0,IF(1+операции!U$421=0,0,(операции!U$386)/(1+операции!U$421)))*IF(отчеты!U20=0,0,U20/отчеты!U20)</f>
        <v>425.98769230769227</v>
      </c>
      <c r="V89" s="136">
        <f>IF(V$1="",0,IF(1+операции!V$421=0,0,(операции!V$386)/(1+операции!V$421)))*IF(отчеты!V20=0,0,V20/отчеты!V20)</f>
        <v>426.90576923076929</v>
      </c>
      <c r="W89" s="136">
        <f>IF(W$1="",0,IF(1+операции!W$421=0,0,(операции!W$386)/(1+операции!W$421)))*IF(отчеты!W20=0,0,W20/отчеты!W20)</f>
        <v>0</v>
      </c>
      <c r="X89" s="136">
        <f>IF(X$1="",0,IF(1+операции!X$421=0,0,(операции!X$386)/(1+операции!X$421)))*IF(отчеты!X20=0,0,X20/отчеты!X20)</f>
        <v>0</v>
      </c>
      <c r="Y89" s="136">
        <f>IF(Y$1="",0,IF(1+операции!Y$421=0,0,(операции!Y$386)/(1+операции!Y$421)))*IF(отчеты!Y20=0,0,Y20/отчеты!Y20)</f>
        <v>0</v>
      </c>
      <c r="Z89" s="136">
        <f>IF(Z$1="",0,IF(1+операции!Z$421=0,0,(операции!Z$386)/(1+операции!Z$421)))*IF(отчеты!Z20=0,0,Z20/отчеты!Z20)</f>
        <v>0</v>
      </c>
      <c r="AA89" s="136">
        <f>IF(AA$1="",0,IF(1+операции!AA$421=0,0,(операции!AA$386)/(1+операции!AA$421)))*IF(отчеты!AA20=0,0,AA20/отчеты!AA20)</f>
        <v>0</v>
      </c>
      <c r="AB89" s="123"/>
    </row>
    <row r="90" spans="1:28" s="126" customFormat="1" ht="3.9" hidden="1" customHeight="1" x14ac:dyDescent="0.25">
      <c r="A90" s="149">
        <f>1</f>
        <v>1</v>
      </c>
      <c r="B90" s="131"/>
      <c r="C90" s="123"/>
      <c r="D90" s="123"/>
      <c r="E90" s="123"/>
      <c r="F90" s="123"/>
      <c r="G90" s="123"/>
      <c r="H90" s="123"/>
      <c r="I90" s="124"/>
      <c r="J90" s="123"/>
      <c r="K90" s="124"/>
      <c r="L90" s="123"/>
      <c r="M90" s="125"/>
      <c r="N90" s="123"/>
      <c r="O90" s="123"/>
      <c r="P90" s="137"/>
      <c r="Q90" s="137"/>
      <c r="R90" s="137"/>
      <c r="S90" s="137"/>
      <c r="T90" s="137"/>
      <c r="U90" s="137"/>
      <c r="V90" s="137"/>
      <c r="W90" s="137"/>
      <c r="X90" s="137"/>
      <c r="Y90" s="137"/>
      <c r="Z90" s="137"/>
      <c r="AA90" s="137"/>
      <c r="AB90" s="123"/>
    </row>
    <row r="91" spans="1:28" s="126" customFormat="1" x14ac:dyDescent="0.25">
      <c r="A91" s="149">
        <f>1</f>
        <v>1</v>
      </c>
      <c r="B91" s="132" t="str">
        <f>структура!$J$15</f>
        <v>УСН(6%)-ИП</v>
      </c>
      <c r="C91" s="123"/>
      <c r="D91" s="123"/>
      <c r="E91" s="130" t="str">
        <f>E85</f>
        <v>общехозяйственные расходы</v>
      </c>
      <c r="F91" s="130"/>
      <c r="G91" s="130" t="str">
        <f>IF($E91="","",INDEX(KPI!$G:$G,SUMIFS(KPI!$B:$B,KPI!$E:$E,$E91)))</f>
        <v>тыс.руб.</v>
      </c>
      <c r="H91" s="130"/>
      <c r="I91" s="134"/>
      <c r="J91" s="130" t="str">
        <f>структура!$AL$21</f>
        <v>Без НДС</v>
      </c>
      <c r="K91" s="134"/>
      <c r="L91" s="130"/>
      <c r="M91" s="135">
        <f>SUM($O91:$AB91)</f>
        <v>2983.75</v>
      </c>
      <c r="N91" s="123"/>
      <c r="O91" s="123"/>
      <c r="P91" s="136">
        <f>IF(P$1="",0,IF(1+операции!P$421=0,0,(операции!P$386)/(1+операции!P$421)))*IF(отчеты!P22=0,0,P22/отчеты!P22)</f>
        <v>425.98769230769233</v>
      </c>
      <c r="Q91" s="136">
        <f>IF(Q$1="",0,IF(1+операции!Q$421=0,0,(операции!Q$386)/(1+операции!Q$421)))*IF(отчеты!Q22=0,0,Q22/отчеты!Q22)</f>
        <v>425.98769230769233</v>
      </c>
      <c r="R91" s="136">
        <f>IF(R$1="",0,IF(1+операции!R$421=0,0,(операции!R$386)/(1+операции!R$421)))*IF(отчеты!R22=0,0,R22/отчеты!R22)</f>
        <v>426.90576923076935</v>
      </c>
      <c r="S91" s="136">
        <f>IF(S$1="",0,IF(1+операции!S$421=0,0,(операции!S$386)/(1+операции!S$421)))*IF(отчеты!S22=0,0,S22/отчеты!S22)</f>
        <v>425.98769230769233</v>
      </c>
      <c r="T91" s="136">
        <f>IF(T$1="",0,IF(1+операции!T$421=0,0,(операции!T$386)/(1+операции!T$421)))*IF(отчеты!T22=0,0,T22/отчеты!T22)</f>
        <v>425.98769230769216</v>
      </c>
      <c r="U91" s="136">
        <f>IF(U$1="",0,IF(1+операции!U$421=0,0,(операции!U$386)/(1+операции!U$421)))*IF(отчеты!U22=0,0,U22/отчеты!U22)</f>
        <v>425.98769230769227</v>
      </c>
      <c r="V91" s="136">
        <f>IF(V$1="",0,IF(1+операции!V$421=0,0,(операции!V$386)/(1+операции!V$421)))*IF(отчеты!V22=0,0,V22/отчеты!V22)</f>
        <v>426.90576923076929</v>
      </c>
      <c r="W91" s="136">
        <f>IF(W$1="",0,IF(1+операции!W$421=0,0,(операции!W$386)/(1+операции!W$421)))*IF(отчеты!W22=0,0,W22/отчеты!W22)</f>
        <v>0</v>
      </c>
      <c r="X91" s="136">
        <f>IF(X$1="",0,IF(1+операции!X$421=0,0,(операции!X$386)/(1+операции!X$421)))*IF(отчеты!X22=0,0,X22/отчеты!X22)</f>
        <v>0</v>
      </c>
      <c r="Y91" s="136">
        <f>IF(Y$1="",0,IF(1+операции!Y$421=0,0,(операции!Y$386)/(1+операции!Y$421)))*IF(отчеты!Y22=0,0,Y22/отчеты!Y22)</f>
        <v>0</v>
      </c>
      <c r="Z91" s="136">
        <f>IF(Z$1="",0,IF(1+операции!Z$421=0,0,(операции!Z$386)/(1+операции!Z$421)))*IF(отчеты!Z22=0,0,Z22/отчеты!Z22)</f>
        <v>0</v>
      </c>
      <c r="AA91" s="136">
        <f>IF(AA$1="",0,IF(1+операции!AA$421=0,0,(операции!AA$386)/(1+операции!AA$421)))*IF(отчеты!AA22=0,0,AA22/отчеты!AA22)</f>
        <v>0</v>
      </c>
      <c r="AB91" s="123"/>
    </row>
    <row r="92" spans="1:28" ht="3.9" hidden="1" customHeight="1" x14ac:dyDescent="0.25">
      <c r="A92" s="149">
        <f>1</f>
        <v>1</v>
      </c>
      <c r="B92" s="131"/>
      <c r="C92" s="2"/>
      <c r="D92" s="2"/>
      <c r="E92" s="2"/>
      <c r="F92" s="2"/>
      <c r="G92" s="2"/>
      <c r="H92" s="2"/>
      <c r="I92" s="28"/>
      <c r="J92" s="2"/>
      <c r="K92" s="28"/>
      <c r="L92" s="2"/>
      <c r="M92" s="52"/>
      <c r="N92" s="2"/>
      <c r="O92" s="2"/>
      <c r="P92" s="36"/>
      <c r="Q92" s="36"/>
      <c r="R92" s="36"/>
      <c r="S92" s="36"/>
      <c r="T92" s="36"/>
      <c r="U92" s="36"/>
      <c r="V92" s="36"/>
      <c r="W92" s="36"/>
      <c r="X92" s="36"/>
      <c r="Y92" s="36"/>
      <c r="Z92" s="36"/>
      <c r="AA92" s="36"/>
      <c r="AB92" s="2"/>
    </row>
    <row r="93" spans="1:28" ht="8.1" hidden="1" customHeight="1" x14ac:dyDescent="0.25">
      <c r="A93" s="149">
        <f>1</f>
        <v>1</v>
      </c>
      <c r="B93" s="131"/>
      <c r="C93" s="2"/>
      <c r="D93" s="2"/>
      <c r="E93" s="2"/>
      <c r="F93" s="2"/>
      <c r="G93" s="2"/>
      <c r="H93" s="2"/>
      <c r="I93" s="28"/>
      <c r="J93" s="2"/>
      <c r="K93" s="28"/>
      <c r="L93" s="2"/>
      <c r="M93" s="52"/>
      <c r="N93" s="2"/>
      <c r="O93" s="2"/>
      <c r="P93" s="36"/>
      <c r="Q93" s="36"/>
      <c r="R93" s="36"/>
      <c r="S93" s="36"/>
      <c r="T93" s="36"/>
      <c r="U93" s="36"/>
      <c r="V93" s="36"/>
      <c r="W93" s="36"/>
      <c r="X93" s="36"/>
      <c r="Y93" s="36"/>
      <c r="Z93" s="36"/>
      <c r="AA93" s="36"/>
      <c r="AB93" s="2"/>
    </row>
    <row r="94" spans="1:28" ht="3.9" hidden="1" customHeight="1" x14ac:dyDescent="0.25">
      <c r="A94" s="149">
        <f>1</f>
        <v>1</v>
      </c>
      <c r="B94" s="131"/>
      <c r="C94" s="2"/>
      <c r="D94" s="2"/>
      <c r="E94" s="2"/>
      <c r="F94" s="2"/>
      <c r="G94" s="2"/>
      <c r="H94" s="2"/>
      <c r="I94" s="28"/>
      <c r="J94" s="2"/>
      <c r="K94" s="28"/>
      <c r="L94" s="2"/>
      <c r="M94" s="52"/>
      <c r="N94" s="2"/>
      <c r="O94" s="2"/>
      <c r="P94" s="36"/>
      <c r="Q94" s="36"/>
      <c r="R94" s="36"/>
      <c r="S94" s="36"/>
      <c r="T94" s="36"/>
      <c r="U94" s="36"/>
      <c r="V94" s="36"/>
      <c r="W94" s="36"/>
      <c r="X94" s="36"/>
      <c r="Y94" s="36"/>
      <c r="Z94" s="36"/>
      <c r="AA94" s="36"/>
      <c r="AB94" s="2"/>
    </row>
    <row r="95" spans="1:28" s="126" customFormat="1" hidden="1" x14ac:dyDescent="0.25">
      <c r="A95" s="149">
        <f>1</f>
        <v>1</v>
      </c>
      <c r="B95" s="132" t="str">
        <f>структура!$J$12</f>
        <v>ОСНО</v>
      </c>
      <c r="C95" s="123"/>
      <c r="D95" s="123"/>
      <c r="E95" s="130" t="str">
        <f>KPI!$E$82</f>
        <v>непредвиденные расходы</v>
      </c>
      <c r="F95" s="130"/>
      <c r="G95" s="130" t="str">
        <f>IF($E95="","",INDEX(KPI!$G:$G,SUMIFS(KPI!$B:$B,KPI!$E:$E,$E95)))</f>
        <v>тыс.руб.</v>
      </c>
      <c r="H95" s="130"/>
      <c r="I95" s="134"/>
      <c r="J95" s="130" t="str">
        <f>структура!$AL$21</f>
        <v>Без НДС</v>
      </c>
      <c r="K95" s="134"/>
      <c r="L95" s="130"/>
      <c r="M95" s="135">
        <f>SUM($O95:$AB95)</f>
        <v>1278.75</v>
      </c>
      <c r="N95" s="123"/>
      <c r="O95" s="123"/>
      <c r="P95" s="136">
        <f>IF(P$1="",0,IF(1+операции!P$421=0,0,(операции!P$404)/(1+операции!P$421)))*IF(отчеты!P16=0,0,P16/отчеты!P16)</f>
        <v>182.56615384615387</v>
      </c>
      <c r="Q95" s="136">
        <f>IF(Q$1="",0,IF(1+операции!Q$421=0,0,(операции!Q$404)/(1+операции!Q$421)))*IF(отчеты!Q16=0,0,Q16/отчеты!Q16)</f>
        <v>182.56615384615384</v>
      </c>
      <c r="R95" s="136">
        <f>IF(R$1="",0,IF(1+операции!R$421=0,0,(операции!R$404)/(1+операции!R$421)))*IF(отчеты!R16=0,0,R16/отчеты!R16)</f>
        <v>182.95961538461538</v>
      </c>
      <c r="S95" s="136">
        <f>IF(S$1="",0,IF(1+операции!S$421=0,0,(операции!S$404)/(1+операции!S$421)))*IF(отчеты!S16=0,0,S16/отчеты!S16)</f>
        <v>182.56615384615384</v>
      </c>
      <c r="T95" s="136">
        <f>IF(T$1="",0,IF(1+операции!T$421=0,0,(операции!T$404)/(1+операции!T$421)))*IF(отчеты!T16=0,0,T16/отчеты!T16)</f>
        <v>182.56615384615378</v>
      </c>
      <c r="U95" s="136">
        <f>IF(U$1="",0,IF(1+операции!U$421=0,0,(операции!U$404)/(1+операции!U$421)))*IF(отчеты!U16=0,0,U16/отчеты!U16)</f>
        <v>182.56615384615384</v>
      </c>
      <c r="V95" s="136">
        <f>IF(V$1="",0,IF(1+операции!V$421=0,0,(операции!V$404)/(1+операции!V$421)))*IF(отчеты!V16=0,0,V16/отчеты!V16)</f>
        <v>182.95961538461543</v>
      </c>
      <c r="W95" s="136">
        <f>IF(W$1="",0,IF(1+операции!W$421=0,0,(операции!W$404)/(1+операции!W$421)))*IF(отчеты!W16=0,0,W16/отчеты!W16)</f>
        <v>0</v>
      </c>
      <c r="X95" s="136">
        <f>IF(X$1="",0,IF(1+операции!X$421=0,0,(операции!X$404)/(1+операции!X$421)))*IF(отчеты!X16=0,0,X16/отчеты!X16)</f>
        <v>0</v>
      </c>
      <c r="Y95" s="136">
        <f>IF(Y$1="",0,IF(1+операции!Y$421=0,0,(операции!Y$404)/(1+операции!Y$421)))*IF(отчеты!Y16=0,0,Y16/отчеты!Y16)</f>
        <v>0</v>
      </c>
      <c r="Z95" s="136">
        <f>IF(Z$1="",0,IF(1+операции!Z$421=0,0,(операции!Z$404)/(1+операции!Z$421)))*IF(отчеты!Z16=0,0,Z16/отчеты!Z16)</f>
        <v>0</v>
      </c>
      <c r="AA95" s="136">
        <f>IF(AA$1="",0,IF(1+операции!AA$421=0,0,(операции!AA$404)/(1+операции!AA$421)))*IF(отчеты!AA16=0,0,AA16/отчеты!AA16)</f>
        <v>0</v>
      </c>
      <c r="AB95" s="123"/>
    </row>
    <row r="96" spans="1:28" s="126" customFormat="1" ht="3.9" hidden="1" customHeight="1" x14ac:dyDescent="0.25">
      <c r="A96" s="149">
        <f>1</f>
        <v>1</v>
      </c>
      <c r="B96" s="131"/>
      <c r="C96" s="123"/>
      <c r="D96" s="123"/>
      <c r="E96" s="123"/>
      <c r="F96" s="123"/>
      <c r="G96" s="123"/>
      <c r="H96" s="123"/>
      <c r="I96" s="124"/>
      <c r="J96" s="123"/>
      <c r="K96" s="124"/>
      <c r="L96" s="123"/>
      <c r="M96" s="125"/>
      <c r="N96" s="123"/>
      <c r="O96" s="123"/>
      <c r="P96" s="137"/>
      <c r="Q96" s="137"/>
      <c r="R96" s="137"/>
      <c r="S96" s="137"/>
      <c r="T96" s="137"/>
      <c r="U96" s="137"/>
      <c r="V96" s="137"/>
      <c r="W96" s="137"/>
      <c r="X96" s="137"/>
      <c r="Y96" s="137"/>
      <c r="Z96" s="137"/>
      <c r="AA96" s="137"/>
      <c r="AB96" s="123"/>
    </row>
    <row r="97" spans="1:28" s="126" customFormat="1" hidden="1" x14ac:dyDescent="0.25">
      <c r="A97" s="149">
        <f>1</f>
        <v>1</v>
      </c>
      <c r="B97" s="132" t="str">
        <f>структура!$J$13</f>
        <v>УСН(6%)</v>
      </c>
      <c r="C97" s="123"/>
      <c r="D97" s="123"/>
      <c r="E97" s="130" t="str">
        <f>E95</f>
        <v>непредвиденные расходы</v>
      </c>
      <c r="F97" s="130"/>
      <c r="G97" s="130" t="str">
        <f>IF($E97="","",INDEX(KPI!$G:$G,SUMIFS(KPI!$B:$B,KPI!$E:$E,$E97)))</f>
        <v>тыс.руб.</v>
      </c>
      <c r="H97" s="130"/>
      <c r="I97" s="134"/>
      <c r="J97" s="130" t="str">
        <f>структура!$AL$21</f>
        <v>Без НДС</v>
      </c>
      <c r="K97" s="134"/>
      <c r="L97" s="130"/>
      <c r="M97" s="135">
        <f>SUM($O97:$AB97)</f>
        <v>1278.75</v>
      </c>
      <c r="N97" s="123"/>
      <c r="O97" s="123"/>
      <c r="P97" s="136">
        <f>IF(P$1="",0,IF(1+операции!P$421=0,0,(операции!P$404)/(1+операции!P$421)))*IF(отчеты!P18=0,0,P18/отчеты!P18)</f>
        <v>182.56615384615384</v>
      </c>
      <c r="Q97" s="136">
        <f>IF(Q$1="",0,IF(1+операции!Q$421=0,0,(операции!Q$404)/(1+операции!Q$421)))*IF(отчеты!Q18=0,0,Q18/отчеты!Q18)</f>
        <v>182.56615384615384</v>
      </c>
      <c r="R97" s="136">
        <f>IF(R$1="",0,IF(1+операции!R$421=0,0,(операции!R$404)/(1+операции!R$421)))*IF(отчеты!R18=0,0,R18/отчеты!R18)</f>
        <v>182.95961538461538</v>
      </c>
      <c r="S97" s="136">
        <f>IF(S$1="",0,IF(1+операции!S$421=0,0,(операции!S$404)/(1+операции!S$421)))*IF(отчеты!S18=0,0,S18/отчеты!S18)</f>
        <v>182.56615384615384</v>
      </c>
      <c r="T97" s="136">
        <f>IF(T$1="",0,IF(1+операции!T$421=0,0,(операции!T$404)/(1+операции!T$421)))*IF(отчеты!T18=0,0,T18/отчеты!T18)</f>
        <v>182.56615384615378</v>
      </c>
      <c r="U97" s="136">
        <f>IF(U$1="",0,IF(1+операции!U$421=0,0,(операции!U$404)/(1+операции!U$421)))*IF(отчеты!U18=0,0,U18/отчеты!U18)</f>
        <v>182.56615384615381</v>
      </c>
      <c r="V97" s="136">
        <f>IF(V$1="",0,IF(1+операции!V$421=0,0,(операции!V$404)/(1+операции!V$421)))*IF(отчеты!V18=0,0,V18/отчеты!V18)</f>
        <v>182.9596153846154</v>
      </c>
      <c r="W97" s="136">
        <f>IF(W$1="",0,IF(1+операции!W$421=0,0,(операции!W$404)/(1+операции!W$421)))*IF(отчеты!W18=0,0,W18/отчеты!W18)</f>
        <v>0</v>
      </c>
      <c r="X97" s="136">
        <f>IF(X$1="",0,IF(1+операции!X$421=0,0,(операции!X$404)/(1+операции!X$421)))*IF(отчеты!X18=0,0,X18/отчеты!X18)</f>
        <v>0</v>
      </c>
      <c r="Y97" s="136">
        <f>IF(Y$1="",0,IF(1+операции!Y$421=0,0,(операции!Y$404)/(1+операции!Y$421)))*IF(отчеты!Y18=0,0,Y18/отчеты!Y18)</f>
        <v>0</v>
      </c>
      <c r="Z97" s="136">
        <f>IF(Z$1="",0,IF(1+операции!Z$421=0,0,(операции!Z$404)/(1+операции!Z$421)))*IF(отчеты!Z18=0,0,Z18/отчеты!Z18)</f>
        <v>0</v>
      </c>
      <c r="AA97" s="136">
        <f>IF(AA$1="",0,IF(1+операции!AA$421=0,0,(операции!AA$404)/(1+операции!AA$421)))*IF(отчеты!AA18=0,0,AA18/отчеты!AA18)</f>
        <v>0</v>
      </c>
      <c r="AB97" s="123"/>
    </row>
    <row r="98" spans="1:28" s="126" customFormat="1" ht="3.9" hidden="1" customHeight="1" x14ac:dyDescent="0.25">
      <c r="A98" s="149">
        <f>1</f>
        <v>1</v>
      </c>
      <c r="B98" s="131"/>
      <c r="C98" s="123"/>
      <c r="D98" s="123"/>
      <c r="E98" s="123"/>
      <c r="F98" s="123"/>
      <c r="G98" s="123"/>
      <c r="H98" s="123"/>
      <c r="I98" s="124"/>
      <c r="J98" s="123"/>
      <c r="K98" s="124"/>
      <c r="L98" s="123"/>
      <c r="M98" s="125"/>
      <c r="N98" s="123"/>
      <c r="O98" s="123"/>
      <c r="P98" s="137"/>
      <c r="Q98" s="137"/>
      <c r="R98" s="137"/>
      <c r="S98" s="137"/>
      <c r="T98" s="137"/>
      <c r="U98" s="137"/>
      <c r="V98" s="137"/>
      <c r="W98" s="137"/>
      <c r="X98" s="137"/>
      <c r="Y98" s="137"/>
      <c r="Z98" s="137"/>
      <c r="AA98" s="137"/>
      <c r="AB98" s="123"/>
    </row>
    <row r="99" spans="1:28" s="126" customFormat="1" hidden="1" x14ac:dyDescent="0.25">
      <c r="A99" s="149">
        <f>1</f>
        <v>1</v>
      </c>
      <c r="B99" s="132" t="str">
        <f>структура!$J$14</f>
        <v>УСН(15%)</v>
      </c>
      <c r="C99" s="123"/>
      <c r="D99" s="123"/>
      <c r="E99" s="130" t="str">
        <f>E95</f>
        <v>непредвиденные расходы</v>
      </c>
      <c r="F99" s="130"/>
      <c r="G99" s="130" t="str">
        <f>IF($E99="","",INDEX(KPI!$G:$G,SUMIFS(KPI!$B:$B,KPI!$E:$E,$E99)))</f>
        <v>тыс.руб.</v>
      </c>
      <c r="H99" s="130"/>
      <c r="I99" s="134"/>
      <c r="J99" s="130" t="str">
        <f>структура!$AL$21</f>
        <v>Без НДС</v>
      </c>
      <c r="K99" s="134"/>
      <c r="L99" s="130"/>
      <c r="M99" s="135">
        <f>SUM($O99:$AB99)</f>
        <v>1278.75</v>
      </c>
      <c r="N99" s="123"/>
      <c r="O99" s="123"/>
      <c r="P99" s="136">
        <f>IF(P$1="",0,IF(1+операции!P$421=0,0,(операции!P$404)/(1+операции!P$421)))*IF(отчеты!P20=0,0,P20/отчеты!P20)</f>
        <v>182.56615384615384</v>
      </c>
      <c r="Q99" s="136">
        <f>IF(Q$1="",0,IF(1+операции!Q$421=0,0,(операции!Q$404)/(1+операции!Q$421)))*IF(отчеты!Q20=0,0,Q20/отчеты!Q20)</f>
        <v>182.56615384615384</v>
      </c>
      <c r="R99" s="136">
        <f>IF(R$1="",0,IF(1+операции!R$421=0,0,(операции!R$404)/(1+операции!R$421)))*IF(отчеты!R20=0,0,R20/отчеты!R20)</f>
        <v>182.95961538461538</v>
      </c>
      <c r="S99" s="136">
        <f>IF(S$1="",0,IF(1+операции!S$421=0,0,(операции!S$404)/(1+операции!S$421)))*IF(отчеты!S20=0,0,S20/отчеты!S20)</f>
        <v>182.56615384615384</v>
      </c>
      <c r="T99" s="136">
        <f>IF(T$1="",0,IF(1+операции!T$421=0,0,(операции!T$404)/(1+операции!T$421)))*IF(отчеты!T20=0,0,T20/отчеты!T20)</f>
        <v>182.56615384615378</v>
      </c>
      <c r="U99" s="136">
        <f>IF(U$1="",0,IF(1+операции!U$421=0,0,(операции!U$404)/(1+операции!U$421)))*IF(отчеты!U20=0,0,U20/отчеты!U20)</f>
        <v>182.56615384615381</v>
      </c>
      <c r="V99" s="136">
        <f>IF(V$1="",0,IF(1+операции!V$421=0,0,(операции!V$404)/(1+операции!V$421)))*IF(отчеты!V20=0,0,V20/отчеты!V20)</f>
        <v>182.9596153846154</v>
      </c>
      <c r="W99" s="136">
        <f>IF(W$1="",0,IF(1+операции!W$421=0,0,(операции!W$404)/(1+операции!W$421)))*IF(отчеты!W20=0,0,W20/отчеты!W20)</f>
        <v>0</v>
      </c>
      <c r="X99" s="136">
        <f>IF(X$1="",0,IF(1+операции!X$421=0,0,(операции!X$404)/(1+операции!X$421)))*IF(отчеты!X20=0,0,X20/отчеты!X20)</f>
        <v>0</v>
      </c>
      <c r="Y99" s="136">
        <f>IF(Y$1="",0,IF(1+операции!Y$421=0,0,(операции!Y$404)/(1+операции!Y$421)))*IF(отчеты!Y20=0,0,Y20/отчеты!Y20)</f>
        <v>0</v>
      </c>
      <c r="Z99" s="136">
        <f>IF(Z$1="",0,IF(1+операции!Z$421=0,0,(операции!Z$404)/(1+операции!Z$421)))*IF(отчеты!Z20=0,0,Z20/отчеты!Z20)</f>
        <v>0</v>
      </c>
      <c r="AA99" s="136">
        <f>IF(AA$1="",0,IF(1+операции!AA$421=0,0,(операции!AA$404)/(1+операции!AA$421)))*IF(отчеты!AA20=0,0,AA20/отчеты!AA20)</f>
        <v>0</v>
      </c>
      <c r="AB99" s="123"/>
    </row>
    <row r="100" spans="1:28" s="126" customFormat="1" ht="3.9" hidden="1" customHeight="1" x14ac:dyDescent="0.25">
      <c r="A100" s="149">
        <f>1</f>
        <v>1</v>
      </c>
      <c r="B100" s="131"/>
      <c r="C100" s="123"/>
      <c r="D100" s="123"/>
      <c r="E100" s="123"/>
      <c r="F100" s="123"/>
      <c r="G100" s="123"/>
      <c r="H100" s="123"/>
      <c r="I100" s="124"/>
      <c r="J100" s="123"/>
      <c r="K100" s="124"/>
      <c r="L100" s="123"/>
      <c r="M100" s="125"/>
      <c r="N100" s="123"/>
      <c r="O100" s="123"/>
      <c r="P100" s="137"/>
      <c r="Q100" s="137"/>
      <c r="R100" s="137"/>
      <c r="S100" s="137"/>
      <c r="T100" s="137"/>
      <c r="U100" s="137"/>
      <c r="V100" s="137"/>
      <c r="W100" s="137"/>
      <c r="X100" s="137"/>
      <c r="Y100" s="137"/>
      <c r="Z100" s="137"/>
      <c r="AA100" s="137"/>
      <c r="AB100" s="123"/>
    </row>
    <row r="101" spans="1:28" s="126" customFormat="1" x14ac:dyDescent="0.25">
      <c r="A101" s="149">
        <f>1</f>
        <v>1</v>
      </c>
      <c r="B101" s="132" t="str">
        <f>структура!$J$15</f>
        <v>УСН(6%)-ИП</v>
      </c>
      <c r="C101" s="123"/>
      <c r="D101" s="123"/>
      <c r="E101" s="130" t="str">
        <f>E95</f>
        <v>непредвиденные расходы</v>
      </c>
      <c r="F101" s="130"/>
      <c r="G101" s="130" t="str">
        <f>IF($E101="","",INDEX(KPI!$G:$G,SUMIFS(KPI!$B:$B,KPI!$E:$E,$E101)))</f>
        <v>тыс.руб.</v>
      </c>
      <c r="H101" s="130"/>
      <c r="I101" s="134"/>
      <c r="J101" s="130" t="str">
        <f>структура!$AL$21</f>
        <v>Без НДС</v>
      </c>
      <c r="K101" s="134"/>
      <c r="L101" s="130"/>
      <c r="M101" s="135">
        <f>SUM($O101:$AB101)</f>
        <v>1278.75</v>
      </c>
      <c r="N101" s="123"/>
      <c r="O101" s="123"/>
      <c r="P101" s="136">
        <f>IF(P$1="",0,IF(1+операции!P$421=0,0,(операции!P$404)/(1+операции!P$421)))*IF(отчеты!P22=0,0,P22/отчеты!P22)</f>
        <v>182.56615384615384</v>
      </c>
      <c r="Q101" s="136">
        <f>IF(Q$1="",0,IF(1+операции!Q$421=0,0,(операции!Q$404)/(1+операции!Q$421)))*IF(отчеты!Q22=0,0,Q22/отчеты!Q22)</f>
        <v>182.56615384615384</v>
      </c>
      <c r="R101" s="136">
        <f>IF(R$1="",0,IF(1+операции!R$421=0,0,(операции!R$404)/(1+операции!R$421)))*IF(отчеты!R22=0,0,R22/отчеты!R22)</f>
        <v>182.95961538461538</v>
      </c>
      <c r="S101" s="136">
        <f>IF(S$1="",0,IF(1+операции!S$421=0,0,(операции!S$404)/(1+операции!S$421)))*IF(отчеты!S22=0,0,S22/отчеты!S22)</f>
        <v>182.56615384615384</v>
      </c>
      <c r="T101" s="136">
        <f>IF(T$1="",0,IF(1+операции!T$421=0,0,(операции!T$404)/(1+операции!T$421)))*IF(отчеты!T22=0,0,T22/отчеты!T22)</f>
        <v>182.56615384615378</v>
      </c>
      <c r="U101" s="136">
        <f>IF(U$1="",0,IF(1+операции!U$421=0,0,(операции!U$404)/(1+операции!U$421)))*IF(отчеты!U22=0,0,U22/отчеты!U22)</f>
        <v>182.56615384615381</v>
      </c>
      <c r="V101" s="136">
        <f>IF(V$1="",0,IF(1+операции!V$421=0,0,(операции!V$404)/(1+операции!V$421)))*IF(отчеты!V22=0,0,V22/отчеты!V22)</f>
        <v>182.9596153846154</v>
      </c>
      <c r="W101" s="136">
        <f>IF(W$1="",0,IF(1+операции!W$421=0,0,(операции!W$404)/(1+операции!W$421)))*IF(отчеты!W22=0,0,W22/отчеты!W22)</f>
        <v>0</v>
      </c>
      <c r="X101" s="136">
        <f>IF(X$1="",0,IF(1+операции!X$421=0,0,(операции!X$404)/(1+операции!X$421)))*IF(отчеты!X22=0,0,X22/отчеты!X22)</f>
        <v>0</v>
      </c>
      <c r="Y101" s="136">
        <f>IF(Y$1="",0,IF(1+операции!Y$421=0,0,(операции!Y$404)/(1+операции!Y$421)))*IF(отчеты!Y22=0,0,Y22/отчеты!Y22)</f>
        <v>0</v>
      </c>
      <c r="Z101" s="136">
        <f>IF(Z$1="",0,IF(1+операции!Z$421=0,0,(операции!Z$404)/(1+операции!Z$421)))*IF(отчеты!Z22=0,0,Z22/отчеты!Z22)</f>
        <v>0</v>
      </c>
      <c r="AA101" s="136">
        <f>IF(AA$1="",0,IF(1+операции!AA$421=0,0,(операции!AA$404)/(1+операции!AA$421)))*IF(отчеты!AA22=0,0,AA22/отчеты!AA22)</f>
        <v>0</v>
      </c>
      <c r="AB101" s="123"/>
    </row>
    <row r="102" spans="1:28" ht="3.9" hidden="1" customHeight="1" x14ac:dyDescent="0.25">
      <c r="A102" s="149">
        <f>1</f>
        <v>1</v>
      </c>
      <c r="B102" s="131"/>
      <c r="C102" s="2"/>
      <c r="D102" s="2"/>
      <c r="E102" s="2"/>
      <c r="F102" s="2"/>
      <c r="G102" s="2"/>
      <c r="H102" s="2"/>
      <c r="I102" s="28"/>
      <c r="J102" s="2"/>
      <c r="K102" s="28"/>
      <c r="L102" s="2"/>
      <c r="M102" s="52"/>
      <c r="N102" s="2"/>
      <c r="O102" s="2"/>
      <c r="P102" s="36"/>
      <c r="Q102" s="36"/>
      <c r="R102" s="36"/>
      <c r="S102" s="36"/>
      <c r="T102" s="36"/>
      <c r="U102" s="36"/>
      <c r="V102" s="36"/>
      <c r="W102" s="36"/>
      <c r="X102" s="36"/>
      <c r="Y102" s="36"/>
      <c r="Z102" s="36"/>
      <c r="AA102" s="36"/>
      <c r="AB102" s="2"/>
    </row>
    <row r="103" spans="1:28" ht="8.1" hidden="1" customHeight="1" x14ac:dyDescent="0.25">
      <c r="A103" s="149">
        <f>1</f>
        <v>1</v>
      </c>
      <c r="B103" s="131"/>
      <c r="C103" s="2"/>
      <c r="D103" s="2"/>
      <c r="E103" s="2"/>
      <c r="F103" s="2"/>
      <c r="G103" s="2"/>
      <c r="H103" s="2"/>
      <c r="I103" s="28"/>
      <c r="J103" s="2"/>
      <c r="K103" s="28"/>
      <c r="L103" s="2"/>
      <c r="M103" s="52"/>
      <c r="N103" s="2"/>
      <c r="O103" s="2"/>
      <c r="P103" s="36"/>
      <c r="Q103" s="36"/>
      <c r="R103" s="36"/>
      <c r="S103" s="36"/>
      <c r="T103" s="36"/>
      <c r="U103" s="36"/>
      <c r="V103" s="36"/>
      <c r="W103" s="36"/>
      <c r="X103" s="36"/>
      <c r="Y103" s="36"/>
      <c r="Z103" s="36"/>
      <c r="AA103" s="36"/>
      <c r="AB103" s="2"/>
    </row>
    <row r="104" spans="1:28" ht="3.9" hidden="1" customHeight="1" x14ac:dyDescent="0.25">
      <c r="A104" s="149">
        <f>1</f>
        <v>1</v>
      </c>
      <c r="B104" s="131"/>
      <c r="C104" s="2"/>
      <c r="D104" s="2"/>
      <c r="E104" s="2"/>
      <c r="F104" s="2"/>
      <c r="G104" s="2"/>
      <c r="H104" s="2"/>
      <c r="I104" s="28"/>
      <c r="J104" s="2"/>
      <c r="K104" s="28"/>
      <c r="L104" s="2"/>
      <c r="M104" s="52"/>
      <c r="N104" s="2"/>
      <c r="O104" s="2"/>
      <c r="P104" s="36"/>
      <c r="Q104" s="36"/>
      <c r="R104" s="36"/>
      <c r="S104" s="36"/>
      <c r="T104" s="36"/>
      <c r="U104" s="36"/>
      <c r="V104" s="36"/>
      <c r="W104" s="36"/>
      <c r="X104" s="36"/>
      <c r="Y104" s="36"/>
      <c r="Z104" s="36"/>
      <c r="AA104" s="36"/>
      <c r="AB104" s="2"/>
    </row>
    <row r="105" spans="1:28" s="126" customFormat="1" hidden="1" x14ac:dyDescent="0.25">
      <c r="A105" s="149">
        <f>1</f>
        <v>1</v>
      </c>
      <c r="B105" s="132" t="str">
        <f>структура!$J$12</f>
        <v>ОСНО</v>
      </c>
      <c r="C105" s="123"/>
      <c r="D105" s="123"/>
      <c r="E105" s="130" t="str">
        <f>KPI!$E$83</f>
        <v>расходный НДС</v>
      </c>
      <c r="F105" s="130"/>
      <c r="G105" s="130" t="str">
        <f>IF($E105="","",INDEX(KPI!$G:$G,SUMIFS(KPI!$B:$B,KPI!$E:$E,$E105)))</f>
        <v>тыс.руб.</v>
      </c>
      <c r="H105" s="130"/>
      <c r="I105" s="134"/>
      <c r="J105" s="145" t="str">
        <f>структура!$AL$21</f>
        <v>Без НДС</v>
      </c>
      <c r="K105" s="134"/>
      <c r="L105" s="130"/>
      <c r="M105" s="135">
        <f>SUM($O105:$AB105)</f>
        <v>0</v>
      </c>
      <c r="N105" s="123"/>
      <c r="O105" s="123"/>
      <c r="P105" s="136">
        <f>IF(P$1="",0,0)</f>
        <v>0</v>
      </c>
      <c r="Q105" s="136">
        <f t="shared" ref="Q105:AA105" si="1">IF(Q$1="",0,0)</f>
        <v>0</v>
      </c>
      <c r="R105" s="136">
        <f t="shared" si="1"/>
        <v>0</v>
      </c>
      <c r="S105" s="136">
        <f t="shared" si="1"/>
        <v>0</v>
      </c>
      <c r="T105" s="136">
        <f t="shared" si="1"/>
        <v>0</v>
      </c>
      <c r="U105" s="136">
        <f t="shared" si="1"/>
        <v>0</v>
      </c>
      <c r="V105" s="136">
        <f t="shared" si="1"/>
        <v>0</v>
      </c>
      <c r="W105" s="136">
        <f t="shared" si="1"/>
        <v>0</v>
      </c>
      <c r="X105" s="136">
        <f t="shared" si="1"/>
        <v>0</v>
      </c>
      <c r="Y105" s="136">
        <f t="shared" si="1"/>
        <v>0</v>
      </c>
      <c r="Z105" s="136">
        <f t="shared" si="1"/>
        <v>0</v>
      </c>
      <c r="AA105" s="136">
        <f t="shared" si="1"/>
        <v>0</v>
      </c>
      <c r="AB105" s="123"/>
    </row>
    <row r="106" spans="1:28" s="126" customFormat="1" ht="3.9" hidden="1" customHeight="1" x14ac:dyDescent="0.25">
      <c r="A106" s="149">
        <f>1</f>
        <v>1</v>
      </c>
      <c r="B106" s="131"/>
      <c r="C106" s="123"/>
      <c r="D106" s="123"/>
      <c r="E106" s="123"/>
      <c r="F106" s="123"/>
      <c r="G106" s="123"/>
      <c r="H106" s="123"/>
      <c r="I106" s="124"/>
      <c r="J106" s="123"/>
      <c r="K106" s="124"/>
      <c r="L106" s="123"/>
      <c r="M106" s="125"/>
      <c r="N106" s="123"/>
      <c r="O106" s="123"/>
      <c r="P106" s="137"/>
      <c r="Q106" s="137"/>
      <c r="R106" s="137"/>
      <c r="S106" s="137"/>
      <c r="T106" s="137"/>
      <c r="U106" s="137"/>
      <c r="V106" s="137"/>
      <c r="W106" s="137"/>
      <c r="X106" s="137"/>
      <c r="Y106" s="137"/>
      <c r="Z106" s="137"/>
      <c r="AA106" s="137"/>
      <c r="AB106" s="123"/>
    </row>
    <row r="107" spans="1:28" s="126" customFormat="1" hidden="1" x14ac:dyDescent="0.25">
      <c r="A107" s="149">
        <f>1</f>
        <v>1</v>
      </c>
      <c r="B107" s="132" t="str">
        <f>структура!$J$13</f>
        <v>УСН(6%)</v>
      </c>
      <c r="C107" s="123"/>
      <c r="D107" s="123"/>
      <c r="E107" s="130" t="str">
        <f>E105</f>
        <v>расходный НДС</v>
      </c>
      <c r="F107" s="130"/>
      <c r="G107" s="130" t="str">
        <f>IF($E107="","",INDEX(KPI!$G:$G,SUMIFS(KPI!$B:$B,KPI!$E:$E,$E107)))</f>
        <v>тыс.руб.</v>
      </c>
      <c r="H107" s="130"/>
      <c r="I107" s="134"/>
      <c r="J107" s="145" t="str">
        <f>структура!$AL$21</f>
        <v>Без НДС</v>
      </c>
      <c r="K107" s="134"/>
      <c r="L107" s="130"/>
      <c r="M107" s="135">
        <f>SUM($O107:$AB107)</f>
        <v>1295.7795283254172</v>
      </c>
      <c r="N107" s="123"/>
      <c r="O107" s="123"/>
      <c r="P107" s="136">
        <f>IF(P$1="",0,SUMIFS(P$34:P106,$J$34:$J106,$J107,$B$34:$B106,$B107)*операции!$P$421)</f>
        <v>205.43879827092397</v>
      </c>
      <c r="Q107" s="136">
        <f>IF(Q$1="",0,SUMIFS(Q$34:Q106,$J$34:$J106,$J107,$B$34:$B106,$B107)*операции!$P$421)</f>
        <v>204.45836637591873</v>
      </c>
      <c r="R107" s="136">
        <f>IF(R$1="",0,SUMIFS(R$34:R106,$J$34:$J106,$J107,$B$34:$B106,$B107)*операции!$P$421)</f>
        <v>191.41906711378488</v>
      </c>
      <c r="S107" s="136">
        <f>IF(S$1="",0,SUMIFS(S$34:S106,$J$34:$J106,$J107,$B$34:$B106,$B107)*операции!$P$421)</f>
        <v>177.99726832561987</v>
      </c>
      <c r="T107" s="136">
        <f>IF(T$1="",0,SUMIFS(T$34:T106,$J$34:$J106,$J107,$B$34:$B106,$B107)*операции!$P$421)</f>
        <v>176.91198390853398</v>
      </c>
      <c r="U107" s="136">
        <f>IF(U$1="",0,SUMIFS(U$34:U106,$J$34:$J106,$J107,$B$34:$B106,$B107)*операции!$P$421)</f>
        <v>171.69440912530132</v>
      </c>
      <c r="V107" s="136">
        <f>IF(V$1="",0,SUMIFS(V$34:V106,$J$34:$J106,$J107,$B$34:$B106,$B107)*операции!$P$421)</f>
        <v>167.85963520533448</v>
      </c>
      <c r="W107" s="136">
        <f>IF(W$1="",0,SUMIFS(W$34:W106,$J$34:$J106,$J107,$B$34:$B106,$B107)*операции!$P$421)</f>
        <v>0</v>
      </c>
      <c r="X107" s="136">
        <f>IF(X$1="",0,SUMIFS(X$34:X106,$J$34:$J106,$J107,$B$34:$B106,$B107)*операции!$P$421)</f>
        <v>0</v>
      </c>
      <c r="Y107" s="136">
        <f>IF(Y$1="",0,SUMIFS(Y$34:Y106,$J$34:$J106,$J107,$B$34:$B106,$B107)*операции!$P$421)</f>
        <v>0</v>
      </c>
      <c r="Z107" s="136">
        <f>IF(Z$1="",0,SUMIFS(Z$34:Z106,$J$34:$J106,$J107,$B$34:$B106,$B107)*операции!$P$421)</f>
        <v>0</v>
      </c>
      <c r="AA107" s="136">
        <f>IF(AA$1="",0,SUMIFS(AA$34:AA106,$J$34:$J106,$J107,$B$34:$B106,$B107)*операции!$P$421)</f>
        <v>0</v>
      </c>
      <c r="AB107" s="123"/>
    </row>
    <row r="108" spans="1:28" s="126" customFormat="1" ht="3.9" hidden="1" customHeight="1" x14ac:dyDescent="0.25">
      <c r="A108" s="149">
        <f>1</f>
        <v>1</v>
      </c>
      <c r="B108" s="131"/>
      <c r="C108" s="123"/>
      <c r="D108" s="123"/>
      <c r="E108" s="123"/>
      <c r="F108" s="123"/>
      <c r="G108" s="123"/>
      <c r="H108" s="123"/>
      <c r="I108" s="124"/>
      <c r="J108" s="123"/>
      <c r="K108" s="124"/>
      <c r="L108" s="123"/>
      <c r="M108" s="125"/>
      <c r="N108" s="123"/>
      <c r="O108" s="123"/>
      <c r="P108" s="137"/>
      <c r="Q108" s="137"/>
      <c r="R108" s="137"/>
      <c r="S108" s="137"/>
      <c r="T108" s="137"/>
      <c r="U108" s="137"/>
      <c r="V108" s="137"/>
      <c r="W108" s="137"/>
      <c r="X108" s="137"/>
      <c r="Y108" s="137"/>
      <c r="Z108" s="137"/>
      <c r="AA108" s="137"/>
      <c r="AB108" s="123"/>
    </row>
    <row r="109" spans="1:28" s="126" customFormat="1" hidden="1" x14ac:dyDescent="0.25">
      <c r="A109" s="149">
        <f>1</f>
        <v>1</v>
      </c>
      <c r="B109" s="132" t="str">
        <f>структура!$J$14</f>
        <v>УСН(15%)</v>
      </c>
      <c r="C109" s="123"/>
      <c r="D109" s="123"/>
      <c r="E109" s="130" t="str">
        <f>E105</f>
        <v>расходный НДС</v>
      </c>
      <c r="F109" s="130"/>
      <c r="G109" s="130" t="str">
        <f>IF($E109="","",INDEX(KPI!$G:$G,SUMIFS(KPI!$B:$B,KPI!$E:$E,$E109)))</f>
        <v>тыс.руб.</v>
      </c>
      <c r="H109" s="130"/>
      <c r="I109" s="134"/>
      <c r="J109" s="145" t="str">
        <f>структура!$AL$21</f>
        <v>Без НДС</v>
      </c>
      <c r="K109" s="134"/>
      <c r="L109" s="130"/>
      <c r="M109" s="135">
        <f>SUM($O109:$AB109)</f>
        <v>1295.7795283254172</v>
      </c>
      <c r="N109" s="123"/>
      <c r="O109" s="123"/>
      <c r="P109" s="136">
        <f>IF(P$1="",0,SUMIFS(P$34:P108,$J$34:$J108,$J109,$B$34:$B108,$B109)*операции!$P$421)</f>
        <v>205.43879827092397</v>
      </c>
      <c r="Q109" s="136">
        <f>IF(Q$1="",0,SUMIFS(Q$34:Q108,$J$34:$J108,$J109,$B$34:$B108,$B109)*операции!$P$421)</f>
        <v>204.45836637591873</v>
      </c>
      <c r="R109" s="136">
        <f>IF(R$1="",0,SUMIFS(R$34:R108,$J$34:$J108,$J109,$B$34:$B108,$B109)*операции!$P$421)</f>
        <v>191.41906711378488</v>
      </c>
      <c r="S109" s="136">
        <f>IF(S$1="",0,SUMIFS(S$34:S108,$J$34:$J108,$J109,$B$34:$B108,$B109)*операции!$P$421)</f>
        <v>177.99726832561987</v>
      </c>
      <c r="T109" s="136">
        <f>IF(T$1="",0,SUMIFS(T$34:T108,$J$34:$J108,$J109,$B$34:$B108,$B109)*операции!$P$421)</f>
        <v>176.91198390853398</v>
      </c>
      <c r="U109" s="136">
        <f>IF(U$1="",0,SUMIFS(U$34:U108,$J$34:$J108,$J109,$B$34:$B108,$B109)*операции!$P$421)</f>
        <v>171.69440912530132</v>
      </c>
      <c r="V109" s="136">
        <f>IF(V$1="",0,SUMIFS(V$34:V108,$J$34:$J108,$J109,$B$34:$B108,$B109)*операции!$P$421)</f>
        <v>167.85963520533448</v>
      </c>
      <c r="W109" s="136">
        <f>IF(W$1="",0,SUMIFS(W$34:W108,$J$34:$J108,$J109,$B$34:$B108,$B109)*операции!$P$421)</f>
        <v>0</v>
      </c>
      <c r="X109" s="136">
        <f>IF(X$1="",0,SUMIFS(X$34:X108,$J$34:$J108,$J109,$B$34:$B108,$B109)*операции!$P$421)</f>
        <v>0</v>
      </c>
      <c r="Y109" s="136">
        <f>IF(Y$1="",0,SUMIFS(Y$34:Y108,$J$34:$J108,$J109,$B$34:$B108,$B109)*операции!$P$421)</f>
        <v>0</v>
      </c>
      <c r="Z109" s="136">
        <f>IF(Z$1="",0,SUMIFS(Z$34:Z108,$J$34:$J108,$J109,$B$34:$B108,$B109)*операции!$P$421)</f>
        <v>0</v>
      </c>
      <c r="AA109" s="136">
        <f>IF(AA$1="",0,SUMIFS(AA$34:AA108,$J$34:$J108,$J109,$B$34:$B108,$B109)*операции!$P$421)</f>
        <v>0</v>
      </c>
      <c r="AB109" s="123"/>
    </row>
    <row r="110" spans="1:28" s="126" customFormat="1" ht="3.9" hidden="1" customHeight="1" x14ac:dyDescent="0.25">
      <c r="A110" s="149">
        <f>1</f>
        <v>1</v>
      </c>
      <c r="B110" s="131"/>
      <c r="C110" s="123"/>
      <c r="D110" s="123"/>
      <c r="E110" s="123"/>
      <c r="F110" s="123"/>
      <c r="G110" s="123"/>
      <c r="H110" s="123"/>
      <c r="I110" s="124"/>
      <c r="J110" s="123"/>
      <c r="K110" s="124"/>
      <c r="L110" s="123"/>
      <c r="M110" s="125"/>
      <c r="N110" s="123"/>
      <c r="O110" s="123"/>
      <c r="P110" s="137"/>
      <c r="Q110" s="137"/>
      <c r="R110" s="137"/>
      <c r="S110" s="137"/>
      <c r="T110" s="137"/>
      <c r="U110" s="137"/>
      <c r="V110" s="137"/>
      <c r="W110" s="137"/>
      <c r="X110" s="137"/>
      <c r="Y110" s="137"/>
      <c r="Z110" s="137"/>
      <c r="AA110" s="137"/>
      <c r="AB110" s="123"/>
    </row>
    <row r="111" spans="1:28" s="126" customFormat="1" x14ac:dyDescent="0.25">
      <c r="A111" s="149">
        <f>1</f>
        <v>1</v>
      </c>
      <c r="B111" s="132" t="str">
        <f>структура!$J$15</f>
        <v>УСН(6%)-ИП</v>
      </c>
      <c r="C111" s="123"/>
      <c r="D111" s="123"/>
      <c r="E111" s="130" t="str">
        <f>E105</f>
        <v>расходный НДС</v>
      </c>
      <c r="F111" s="130"/>
      <c r="G111" s="130" t="str">
        <f>IF($E111="","",INDEX(KPI!$G:$G,SUMIFS(KPI!$B:$B,KPI!$E:$E,$E111)))</f>
        <v>тыс.руб.</v>
      </c>
      <c r="H111" s="130"/>
      <c r="I111" s="134"/>
      <c r="J111" s="145" t="str">
        <f>структура!$AL$21</f>
        <v>Без НДС</v>
      </c>
      <c r="K111" s="134"/>
      <c r="L111" s="130"/>
      <c r="M111" s="135">
        <f>SUM($O111:$AB111)</f>
        <v>1295.7795283254172</v>
      </c>
      <c r="N111" s="123"/>
      <c r="O111" s="123"/>
      <c r="P111" s="136">
        <f>IF(P$1="",0,SUMIFS(P$34:P110,$J$34:$J110,$J111,$B$34:$B110,$B111)*операции!$P$421)</f>
        <v>205.43879827092397</v>
      </c>
      <c r="Q111" s="136">
        <f>IF(Q$1="",0,SUMIFS(Q$34:Q110,$J$34:$J110,$J111,$B$34:$B110,$B111)*операции!$P$421)</f>
        <v>204.45836637591873</v>
      </c>
      <c r="R111" s="136">
        <f>IF(R$1="",0,SUMIFS(R$34:R110,$J$34:$J110,$J111,$B$34:$B110,$B111)*операции!$P$421)</f>
        <v>191.41906711378488</v>
      </c>
      <c r="S111" s="136">
        <f>IF(S$1="",0,SUMIFS(S$34:S110,$J$34:$J110,$J111,$B$34:$B110,$B111)*операции!$P$421)</f>
        <v>177.99726832561987</v>
      </c>
      <c r="T111" s="136">
        <f>IF(T$1="",0,SUMIFS(T$34:T110,$J$34:$J110,$J111,$B$34:$B110,$B111)*операции!$P$421)</f>
        <v>176.91198390853398</v>
      </c>
      <c r="U111" s="136">
        <f>IF(U$1="",0,SUMIFS(U$34:U110,$J$34:$J110,$J111,$B$34:$B110,$B111)*операции!$P$421)</f>
        <v>171.69440912530132</v>
      </c>
      <c r="V111" s="136">
        <f>IF(V$1="",0,SUMIFS(V$34:V110,$J$34:$J110,$J111,$B$34:$B110,$B111)*операции!$P$421)</f>
        <v>167.85963520533448</v>
      </c>
      <c r="W111" s="136">
        <f>IF(W$1="",0,SUMIFS(W$34:W110,$J$34:$J110,$J111,$B$34:$B110,$B111)*операции!$P$421)</f>
        <v>0</v>
      </c>
      <c r="X111" s="136">
        <f>IF(X$1="",0,SUMIFS(X$34:X110,$J$34:$J110,$J111,$B$34:$B110,$B111)*операции!$P$421)</f>
        <v>0</v>
      </c>
      <c r="Y111" s="136">
        <f>IF(Y$1="",0,SUMIFS(Y$34:Y110,$J$34:$J110,$J111,$B$34:$B110,$B111)*операции!$P$421)</f>
        <v>0</v>
      </c>
      <c r="Z111" s="136">
        <f>IF(Z$1="",0,SUMIFS(Z$34:Z110,$J$34:$J110,$J111,$B$34:$B110,$B111)*операции!$P$421)</f>
        <v>0</v>
      </c>
      <c r="AA111" s="136">
        <f>IF(AA$1="",0,SUMIFS(AA$34:AA110,$J$34:$J110,$J111,$B$34:$B110,$B111)*операции!$P$421)</f>
        <v>0</v>
      </c>
      <c r="AB111" s="123"/>
    </row>
    <row r="112" spans="1:28" ht="3.9" hidden="1" customHeight="1" x14ac:dyDescent="0.25">
      <c r="A112" s="149">
        <f>1</f>
        <v>1</v>
      </c>
      <c r="B112" s="131"/>
      <c r="C112" s="2"/>
      <c r="D112" s="2"/>
      <c r="E112" s="2"/>
      <c r="F112" s="2"/>
      <c r="G112" s="2"/>
      <c r="H112" s="2"/>
      <c r="I112" s="28"/>
      <c r="J112" s="2"/>
      <c r="K112" s="28"/>
      <c r="L112" s="2"/>
      <c r="M112" s="52"/>
      <c r="N112" s="2"/>
      <c r="O112" s="2"/>
      <c r="P112" s="36"/>
      <c r="Q112" s="36"/>
      <c r="R112" s="36"/>
      <c r="S112" s="36"/>
      <c r="T112" s="36"/>
      <c r="U112" s="36"/>
      <c r="V112" s="36"/>
      <c r="W112" s="36"/>
      <c r="X112" s="36"/>
      <c r="Y112" s="36"/>
      <c r="Z112" s="36"/>
      <c r="AA112" s="36"/>
      <c r="AB112" s="2"/>
    </row>
    <row r="113" spans="1:28" ht="8.1" hidden="1" customHeight="1" x14ac:dyDescent="0.25">
      <c r="A113" s="149">
        <f>1</f>
        <v>1</v>
      </c>
      <c r="B113" s="131"/>
      <c r="C113" s="2"/>
      <c r="D113" s="2"/>
      <c r="E113" s="2"/>
      <c r="F113" s="2"/>
      <c r="G113" s="2"/>
      <c r="H113" s="2"/>
      <c r="I113" s="28"/>
      <c r="J113" s="2"/>
      <c r="K113" s="28"/>
      <c r="L113" s="2"/>
      <c r="M113" s="52"/>
      <c r="N113" s="2"/>
      <c r="O113" s="2"/>
      <c r="P113" s="36"/>
      <c r="Q113" s="36"/>
      <c r="R113" s="36"/>
      <c r="S113" s="36"/>
      <c r="T113" s="36"/>
      <c r="U113" s="36"/>
      <c r="V113" s="36"/>
      <c r="W113" s="36"/>
      <c r="X113" s="36"/>
      <c r="Y113" s="36"/>
      <c r="Z113" s="36"/>
      <c r="AA113" s="36"/>
      <c r="AB113" s="2"/>
    </row>
    <row r="114" spans="1:28" ht="3.9" hidden="1" customHeight="1" x14ac:dyDescent="0.25">
      <c r="A114" s="149">
        <f>1</f>
        <v>1</v>
      </c>
      <c r="B114" s="131"/>
      <c r="C114" s="2"/>
      <c r="D114" s="2"/>
      <c r="E114" s="118"/>
      <c r="F114" s="2"/>
      <c r="G114" s="118"/>
      <c r="H114" s="2"/>
      <c r="I114" s="28"/>
      <c r="J114" s="2"/>
      <c r="K114" s="28"/>
      <c r="L114" s="2"/>
      <c r="M114" s="139"/>
      <c r="N114" s="2"/>
      <c r="O114" s="2"/>
      <c r="P114" s="36"/>
      <c r="Q114" s="36"/>
      <c r="R114" s="36"/>
      <c r="S114" s="36"/>
      <c r="T114" s="36"/>
      <c r="U114" s="36"/>
      <c r="V114" s="36"/>
      <c r="W114" s="36"/>
      <c r="X114" s="36"/>
      <c r="Y114" s="36"/>
      <c r="Z114" s="36"/>
      <c r="AA114" s="36"/>
      <c r="AB114" s="2"/>
    </row>
    <row r="115" spans="1:28" ht="8.1" hidden="1" customHeight="1" x14ac:dyDescent="0.25">
      <c r="A115" s="149">
        <f>1</f>
        <v>1</v>
      </c>
      <c r="B115" s="131"/>
      <c r="C115" s="2"/>
      <c r="D115" s="2"/>
      <c r="E115" s="2"/>
      <c r="F115" s="2"/>
      <c r="G115" s="2"/>
      <c r="H115" s="2"/>
      <c r="I115" s="28"/>
      <c r="J115" s="2"/>
      <c r="K115" s="28"/>
      <c r="L115" s="2"/>
      <c r="M115" s="52"/>
      <c r="N115" s="2"/>
      <c r="O115" s="2"/>
      <c r="P115" s="36"/>
      <c r="Q115" s="36"/>
      <c r="R115" s="36"/>
      <c r="S115" s="36"/>
      <c r="T115" s="36"/>
      <c r="U115" s="36"/>
      <c r="V115" s="36"/>
      <c r="W115" s="36"/>
      <c r="X115" s="36"/>
      <c r="Y115" s="36"/>
      <c r="Z115" s="36"/>
      <c r="AA115" s="36"/>
      <c r="AB115" s="2"/>
    </row>
    <row r="116" spans="1:28" ht="3.9" hidden="1" customHeight="1" x14ac:dyDescent="0.25">
      <c r="A116" s="149">
        <f>1</f>
        <v>1</v>
      </c>
      <c r="B116" s="131"/>
      <c r="C116" s="2"/>
      <c r="D116" s="2"/>
      <c r="E116" s="2"/>
      <c r="F116" s="2"/>
      <c r="G116" s="2"/>
      <c r="H116" s="2"/>
      <c r="I116" s="28"/>
      <c r="J116" s="2"/>
      <c r="K116" s="28"/>
      <c r="L116" s="2"/>
      <c r="M116" s="52"/>
      <c r="N116" s="2"/>
      <c r="O116" s="2"/>
      <c r="P116" s="36"/>
      <c r="Q116" s="36"/>
      <c r="R116" s="36"/>
      <c r="S116" s="36"/>
      <c r="T116" s="36"/>
      <c r="U116" s="36"/>
      <c r="V116" s="36"/>
      <c r="W116" s="36"/>
      <c r="X116" s="36"/>
      <c r="Y116" s="36"/>
      <c r="Z116" s="36"/>
      <c r="AA116" s="36"/>
      <c r="AB116" s="2"/>
    </row>
    <row r="117" spans="1:28" s="5" customFormat="1" hidden="1" x14ac:dyDescent="0.25">
      <c r="A117" s="150">
        <f>1</f>
        <v>1</v>
      </c>
      <c r="B117" s="129" t="str">
        <f>структура!$J$12</f>
        <v>ОСНО</v>
      </c>
      <c r="C117" s="3"/>
      <c r="D117" s="3"/>
      <c r="E117" s="89" t="str">
        <f>KPI!$E$84</f>
        <v>амортизация кап/затрат</v>
      </c>
      <c r="F117" s="89"/>
      <c r="G117" s="89" t="str">
        <f>IF($E117="","",INDEX(KPI!$G:$G,SUMIFS(KPI!$B:$B,KPI!$E:$E,$E117)))</f>
        <v>тыс.руб.</v>
      </c>
      <c r="H117" s="89"/>
      <c r="I117" s="90"/>
      <c r="J117" s="89" t="str">
        <f>структура!$AL$21</f>
        <v>Без НДС</v>
      </c>
      <c r="K117" s="90"/>
      <c r="L117" s="89"/>
      <c r="M117" s="92">
        <f>SUM($O117:$AB117)</f>
        <v>9327.0798666666706</v>
      </c>
      <c r="N117" s="3"/>
      <c r="O117" s="3"/>
      <c r="P117" s="93">
        <f>IF(P$1="",0,IF(1+операции!P$421=0,0,(операции!P$449+операции!P$464)/(1+операции!P$421)))*IF(капитал!$M$26+капитал!$M$78+капитал!$M$109=0,0,(капитал!$M$26+капитал!$M$78-(капитал!$J$87+капитал!$J$50*капитал!$J$32+капитал!$J$84)/1000)/(капитал!$M$26+капитал!$M$78+капитал!$M$109))</f>
        <v>1362.0303772697998</v>
      </c>
      <c r="Q117" s="93">
        <f>IF(Q$1="",0,IF(1+операции!Q$421=0,0,(операции!Q$449+операции!Q$464)/(1+операции!Q$421)))*IF(капитал!$M$26+капитал!$M$78+капитал!$M$109=0,0,(капитал!$M$26+капитал!$M$78-(капитал!$J$87+капитал!$J$50*капитал!$J$32+капитал!$J$84)/1000)/(капитал!$M$26+капитал!$M$78+капитал!$M$109))</f>
        <v>1362.0303772697998</v>
      </c>
      <c r="R117" s="93">
        <f>IF(R$1="",0,IF(1+операции!R$421=0,0,(операции!R$449+операции!R$464)/(1+операции!R$421)))*IF(капитал!$M$26+капитал!$M$78+капитал!$M$109=0,0,(капитал!$M$26+капитал!$M$78-(капитал!$J$87+капитал!$J$50*капитал!$J$32+капитал!$J$84)/1000)/(капитал!$M$26+капитал!$M$78+капитал!$M$109))</f>
        <v>1362.0303772697998</v>
      </c>
      <c r="S117" s="93">
        <f>IF(S$1="",0,IF(1+операции!S$421=0,0,(операции!S$449+операции!S$464)/(1+операции!S$421)))*IF(капитал!$M$26+капитал!$M$78+капитал!$M$109=0,0,(капитал!$M$26+капитал!$M$78-(капитал!$J$87+капитал!$J$50*капитал!$J$32+капитал!$J$84)/1000)/(капитал!$M$26+капитал!$M$78+капитал!$M$109))</f>
        <v>1362.0303772697998</v>
      </c>
      <c r="T117" s="93">
        <f>IF(T$1="",0,IF(1+операции!T$421=0,0,(операции!T$449+операции!T$464)/(1+операции!T$421)))*IF(капитал!$M$26+капитал!$M$78+капитал!$M$109=0,0,(капитал!$M$26+капитал!$M$78-(капитал!$J$87+капитал!$J$50*капитал!$J$32+капитал!$J$84)/1000)/(капитал!$M$26+капитал!$M$78+капитал!$M$109))</f>
        <v>1362.0303772697998</v>
      </c>
      <c r="U117" s="93">
        <f>IF(U$1="",0,IF(1+операции!U$421=0,0,(операции!U$449+операции!U$464)/(1+операции!U$421)))*IF(капитал!$M$26+капитал!$M$78+капитал!$M$109=0,0,(капитал!$M$26+капитал!$M$78-(капитал!$J$87+капитал!$J$50*капитал!$J$32+капитал!$J$84)/1000)/(капитал!$M$26+капитал!$M$78+капитал!$M$109))</f>
        <v>1258.4639901588353</v>
      </c>
      <c r="V117" s="93">
        <f>IF(V$1="",0,IF(1+операции!V$421=0,0,(операции!V$449+операции!V$464)/(1+операции!V$421)))*IF(капитал!$M$26+капитал!$M$78+капитал!$M$109=0,0,(капитал!$M$26+капитал!$M$78-(капитал!$J$87+капитал!$J$50*капитал!$J$32+капитал!$J$84)/1000)/(капитал!$M$26+капитал!$M$78+капитал!$M$109))</f>
        <v>1258.4639901588353</v>
      </c>
      <c r="W117" s="93">
        <f>IF(W$1="",0,IF(1+операции!W$421=0,0,(операции!W$449+операции!W$464)/(1+операции!W$421)))*IF(капитал!$M$26+капитал!$M$78+капитал!$M$109=0,0,(капитал!$M$26+капитал!$M$78-(капитал!$J$87+капитал!$J$50*капитал!$J$32+капитал!$J$84)/1000)/(капитал!$M$26+капитал!$M$78+капитал!$M$109))</f>
        <v>0</v>
      </c>
      <c r="X117" s="93">
        <f>IF(X$1="",0,IF(1+операции!X$421=0,0,(операции!X$449+операции!X$464)/(1+операции!X$421)))*IF(капитал!$M$26+капитал!$M$78+капитал!$M$109=0,0,(капитал!$M$26+капитал!$M$78-(капитал!$J$87+капитал!$J$50*капитал!$J$32+капитал!$J$84)/1000)/(капитал!$M$26+капитал!$M$78+капитал!$M$109))</f>
        <v>0</v>
      </c>
      <c r="Y117" s="93">
        <f>IF(Y$1="",0,IF(1+операции!Y$421=0,0,(операции!Y$449+операции!Y$464)/(1+операции!Y$421)))*IF(капитал!$M$26+капитал!$M$78+капитал!$M$109=0,0,(капитал!$M$26+капитал!$M$78-(капитал!$J$87+капитал!$J$50*капитал!$J$32+капитал!$J$84)/1000)/(капитал!$M$26+капитал!$M$78+капитал!$M$109))</f>
        <v>0</v>
      </c>
      <c r="Z117" s="93">
        <f>IF(Z$1="",0,IF(1+операции!Z$421=0,0,(операции!Z$449+операции!Z$464)/(1+операции!Z$421)))*IF(капитал!$M$26+капитал!$M$78+капитал!$M$109=0,0,(капитал!$M$26+капитал!$M$78-(капитал!$J$87+капитал!$J$50*капитал!$J$32+капитал!$J$84)/1000)/(капитал!$M$26+капитал!$M$78+капитал!$M$109))</f>
        <v>0</v>
      </c>
      <c r="AA117" s="93">
        <f>IF(AA$1="",0,IF(1+операции!AA$421=0,0,(операции!AA$449+операции!AA$464)/(1+операции!AA$421)))*IF(капитал!$M$26+капитал!$M$78+капитал!$M$109=0,0,(капитал!$M$26+капитал!$M$78-(капитал!$J$87+капитал!$J$50*капитал!$J$32+капитал!$J$84)/1000)/(капитал!$M$26+капитал!$M$78+капитал!$M$109))</f>
        <v>0</v>
      </c>
      <c r="AB117" s="3"/>
    </row>
    <row r="118" spans="1:28" s="5" customFormat="1" ht="3.9" hidden="1" customHeight="1" x14ac:dyDescent="0.25">
      <c r="A118" s="150">
        <f>1</f>
        <v>1</v>
      </c>
      <c r="B118" s="128"/>
      <c r="C118" s="3"/>
      <c r="D118" s="3"/>
      <c r="E118" s="3"/>
      <c r="F118" s="3"/>
      <c r="G118" s="3"/>
      <c r="H118" s="3"/>
      <c r="I118" s="28"/>
      <c r="J118" s="3"/>
      <c r="K118" s="28"/>
      <c r="L118" s="3"/>
      <c r="M118" s="55"/>
      <c r="N118" s="3"/>
      <c r="O118" s="3"/>
      <c r="P118" s="46"/>
      <c r="Q118" s="46"/>
      <c r="R118" s="46"/>
      <c r="S118" s="46"/>
      <c r="T118" s="46"/>
      <c r="U118" s="46"/>
      <c r="V118" s="46"/>
      <c r="W118" s="46"/>
      <c r="X118" s="46"/>
      <c r="Y118" s="46"/>
      <c r="Z118" s="46"/>
      <c r="AA118" s="46"/>
      <c r="AB118" s="3"/>
    </row>
    <row r="119" spans="1:28" s="5" customFormat="1" hidden="1" x14ac:dyDescent="0.25">
      <c r="A119" s="150">
        <f>1</f>
        <v>1</v>
      </c>
      <c r="B119" s="129" t="str">
        <f>структура!$J$13</f>
        <v>УСН(6%)</v>
      </c>
      <c r="C119" s="3"/>
      <c r="D119" s="3"/>
      <c r="E119" s="89" t="str">
        <f>E117</f>
        <v>амортизация кап/затрат</v>
      </c>
      <c r="F119" s="89"/>
      <c r="G119" s="89" t="str">
        <f>IF($E119="","",INDEX(KPI!$G:$G,SUMIFS(KPI!$B:$B,KPI!$E:$E,$E119)))</f>
        <v>тыс.руб.</v>
      </c>
      <c r="H119" s="89"/>
      <c r="I119" s="90"/>
      <c r="J119" s="89"/>
      <c r="K119" s="90"/>
      <c r="L119" s="89"/>
      <c r="M119" s="92">
        <f>SUM($O119:$AB119)</f>
        <v>11192.495840000003</v>
      </c>
      <c r="N119" s="3"/>
      <c r="O119" s="3"/>
      <c r="P119" s="93">
        <f>IF(P$1="",0,операции!P$449+операции!P$464)*IF(капитал!$M$26+капитал!$M$78+капитал!$M$109=0,0,(капитал!$M$26+капитал!$M$78-(капитал!$J$87+капитал!$J$50*капитал!$J$32+капитал!$J$84)/1000)/(капитал!$M$26+капитал!$M$78+капитал!$M$109))</f>
        <v>1634.4364527237597</v>
      </c>
      <c r="Q119" s="93">
        <f>IF(Q$1="",0,операции!Q$449+операции!Q$464)*IF(капитал!$M$26+капитал!$M$78+капитал!$M$109=0,0,(капитал!$M$26+капитал!$M$78-(капитал!$J$87+капитал!$J$50*капитал!$J$32+капитал!$J$84)/1000)/(капитал!$M$26+капитал!$M$78+капитал!$M$109))</f>
        <v>1634.4364527237597</v>
      </c>
      <c r="R119" s="93">
        <f>IF(R$1="",0,операции!R$449+операции!R$464)*IF(капитал!$M$26+капитал!$M$78+капитал!$M$109=0,0,(капитал!$M$26+капитал!$M$78-(капитал!$J$87+капитал!$J$50*капитал!$J$32+капитал!$J$84)/1000)/(капитал!$M$26+капитал!$M$78+капитал!$M$109))</f>
        <v>1634.4364527237597</v>
      </c>
      <c r="S119" s="93">
        <f>IF(S$1="",0,операции!S$449+операции!S$464)*IF(капитал!$M$26+капитал!$M$78+капитал!$M$109=0,0,(капитал!$M$26+капитал!$M$78-(капитал!$J$87+капитал!$J$50*капитал!$J$32+капитал!$J$84)/1000)/(капитал!$M$26+капитал!$M$78+капитал!$M$109))</f>
        <v>1634.4364527237597</v>
      </c>
      <c r="T119" s="93">
        <f>IF(T$1="",0,операции!T$449+операции!T$464)*IF(капитал!$M$26+капитал!$M$78+капитал!$M$109=0,0,(капитал!$M$26+капитал!$M$78-(капитал!$J$87+капитал!$J$50*капитал!$J$32+капитал!$J$84)/1000)/(капитал!$M$26+капитал!$M$78+капитал!$M$109))</f>
        <v>1634.4364527237597</v>
      </c>
      <c r="U119" s="93">
        <f>IF(U$1="",0,операции!U$449+операции!U$464)*IF(капитал!$M$26+капитал!$M$78+капитал!$M$109=0,0,(капитал!$M$26+капитал!$M$78-(капитал!$J$87+капитал!$J$50*капитал!$J$32+капитал!$J$84)/1000)/(капитал!$M$26+капитал!$M$78+капитал!$M$109))</f>
        <v>1510.1567881906021</v>
      </c>
      <c r="V119" s="93">
        <f>IF(V$1="",0,операции!V$449+операции!V$464)*IF(капитал!$M$26+капитал!$M$78+капитал!$M$109=0,0,(капитал!$M$26+капитал!$M$78-(капитал!$J$87+капитал!$J$50*капитал!$J$32+капитал!$J$84)/1000)/(капитал!$M$26+капитал!$M$78+капитал!$M$109))</f>
        <v>1510.1567881906021</v>
      </c>
      <c r="W119" s="93">
        <f>IF(W$1="",0,операции!W$449+операции!W$464)*IF(капитал!$M$26+капитал!$M$78+капитал!$M$109=0,0,(капитал!$M$26+капитал!$M$78-(капитал!$J$87+капитал!$J$50*капитал!$J$32+капитал!$J$84)/1000)/(капитал!$M$26+капитал!$M$78+капитал!$M$109))</f>
        <v>0</v>
      </c>
      <c r="X119" s="93">
        <f>IF(X$1="",0,операции!X$449+операции!X$464)*IF(капитал!$M$26+капитал!$M$78+капитал!$M$109=0,0,(капитал!$M$26+капитал!$M$78-(капитал!$J$87+капитал!$J$50*капитал!$J$32+капитал!$J$84)/1000)/(капитал!$M$26+капитал!$M$78+капитал!$M$109))</f>
        <v>0</v>
      </c>
      <c r="Y119" s="93">
        <f>IF(Y$1="",0,операции!Y$449+операции!Y$464)*IF(капитал!$M$26+капитал!$M$78+капитал!$M$109=0,0,(капитал!$M$26+капитал!$M$78-(капитал!$J$87+капитал!$J$50*капитал!$J$32+капитал!$J$84)/1000)/(капитал!$M$26+капитал!$M$78+капитал!$M$109))</f>
        <v>0</v>
      </c>
      <c r="Z119" s="93">
        <f>IF(Z$1="",0,операции!Z$449+операции!Z$464)*IF(капитал!$M$26+капитал!$M$78+капитал!$M$109=0,0,(капитал!$M$26+капитал!$M$78-(капитал!$J$87+капитал!$J$50*капитал!$J$32+капитал!$J$84)/1000)/(капитал!$M$26+капитал!$M$78+капитал!$M$109))</f>
        <v>0</v>
      </c>
      <c r="AA119" s="93">
        <f>IF(AA$1="",0,операции!AA$449+операции!AA$464)*IF(капитал!$M$26+капитал!$M$78+капитал!$M$109=0,0,(капитал!$M$26+капитал!$M$78-(капитал!$J$87+капитал!$J$50*капитал!$J$32+капитал!$J$84)/1000)/(капитал!$M$26+капитал!$M$78+капитал!$M$109))</f>
        <v>0</v>
      </c>
      <c r="AB119" s="3"/>
    </row>
    <row r="120" spans="1:28" s="5" customFormat="1" ht="3.9" hidden="1" customHeight="1" x14ac:dyDescent="0.25">
      <c r="A120" s="150">
        <f>1</f>
        <v>1</v>
      </c>
      <c r="B120" s="128"/>
      <c r="C120" s="3"/>
      <c r="D120" s="3"/>
      <c r="E120" s="3"/>
      <c r="F120" s="3"/>
      <c r="G120" s="3"/>
      <c r="H120" s="3"/>
      <c r="I120" s="28"/>
      <c r="J120" s="3"/>
      <c r="K120" s="28"/>
      <c r="L120" s="3"/>
      <c r="M120" s="55"/>
      <c r="N120" s="3"/>
      <c r="O120" s="3"/>
      <c r="P120" s="46"/>
      <c r="Q120" s="46"/>
      <c r="R120" s="46"/>
      <c r="S120" s="46"/>
      <c r="T120" s="46"/>
      <c r="U120" s="46"/>
      <c r="V120" s="46"/>
      <c r="W120" s="46"/>
      <c r="X120" s="46"/>
      <c r="Y120" s="46"/>
      <c r="Z120" s="46"/>
      <c r="AA120" s="46"/>
      <c r="AB120" s="3"/>
    </row>
    <row r="121" spans="1:28" s="5" customFormat="1" hidden="1" x14ac:dyDescent="0.25">
      <c r="A121" s="150">
        <f>1</f>
        <v>1</v>
      </c>
      <c r="B121" s="129" t="str">
        <f>структура!$J$14</f>
        <v>УСН(15%)</v>
      </c>
      <c r="C121" s="3"/>
      <c r="D121" s="3"/>
      <c r="E121" s="89" t="str">
        <f>E117</f>
        <v>амортизация кап/затрат</v>
      </c>
      <c r="F121" s="89"/>
      <c r="G121" s="89" t="str">
        <f>IF($E121="","",INDEX(KPI!$G:$G,SUMIFS(KPI!$B:$B,KPI!$E:$E,$E121)))</f>
        <v>тыс.руб.</v>
      </c>
      <c r="H121" s="89"/>
      <c r="I121" s="90"/>
      <c r="J121" s="89"/>
      <c r="K121" s="90"/>
      <c r="L121" s="89"/>
      <c r="M121" s="92">
        <f>SUM($O121:$AB121)</f>
        <v>11192.495840000003</v>
      </c>
      <c r="N121" s="3"/>
      <c r="O121" s="3"/>
      <c r="P121" s="93">
        <f>IF(P$1="",0,операции!P$449+операции!P$464)*IF(капитал!$M$26+капитал!$M$78+капитал!$M$109=0,0,(капитал!$M$26+капитал!$M$78-(капитал!$J$87+капитал!$J$50*капитал!$J$32+капитал!$J$84)/1000)/(капитал!$M$26+капитал!$M$78+капитал!$M$109))</f>
        <v>1634.4364527237597</v>
      </c>
      <c r="Q121" s="93">
        <f>IF(Q$1="",0,операции!Q$449+операции!Q$464)*IF(капитал!$M$26+капитал!$M$78+капитал!$M$109=0,0,(капитал!$M$26+капитал!$M$78-(капитал!$J$87+капитал!$J$50*капитал!$J$32+капитал!$J$84)/1000)/(капитал!$M$26+капитал!$M$78+капитал!$M$109))</f>
        <v>1634.4364527237597</v>
      </c>
      <c r="R121" s="93">
        <f>IF(R$1="",0,операции!R$449+операции!R$464)*IF(капитал!$M$26+капитал!$M$78+капитал!$M$109=0,0,(капитал!$M$26+капитал!$M$78-(капитал!$J$87+капитал!$J$50*капитал!$J$32+капитал!$J$84)/1000)/(капитал!$M$26+капитал!$M$78+капитал!$M$109))</f>
        <v>1634.4364527237597</v>
      </c>
      <c r="S121" s="93">
        <f>IF(S$1="",0,операции!S$449+операции!S$464)*IF(капитал!$M$26+капитал!$M$78+капитал!$M$109=0,0,(капитал!$M$26+капитал!$M$78-(капитал!$J$87+капитал!$J$50*капитал!$J$32+капитал!$J$84)/1000)/(капитал!$M$26+капитал!$M$78+капитал!$M$109))</f>
        <v>1634.4364527237597</v>
      </c>
      <c r="T121" s="93">
        <f>IF(T$1="",0,операции!T$449+операции!T$464)*IF(капитал!$M$26+капитал!$M$78+капитал!$M$109=0,0,(капитал!$M$26+капитал!$M$78-(капитал!$J$87+капитал!$J$50*капитал!$J$32+капитал!$J$84)/1000)/(капитал!$M$26+капитал!$M$78+капитал!$M$109))</f>
        <v>1634.4364527237597</v>
      </c>
      <c r="U121" s="93">
        <f>IF(U$1="",0,операции!U$449+операции!U$464)*IF(капитал!$M$26+капитал!$M$78+капитал!$M$109=0,0,(капитал!$M$26+капитал!$M$78-(капитал!$J$87+капитал!$J$50*капитал!$J$32+капитал!$J$84)/1000)/(капитал!$M$26+капитал!$M$78+капитал!$M$109))</f>
        <v>1510.1567881906021</v>
      </c>
      <c r="V121" s="93">
        <f>IF(V$1="",0,операции!V$449+операции!V$464)*IF(капитал!$M$26+капитал!$M$78+капитал!$M$109=0,0,(капитал!$M$26+капитал!$M$78-(капитал!$J$87+капитал!$J$50*капитал!$J$32+капитал!$J$84)/1000)/(капитал!$M$26+капитал!$M$78+капитал!$M$109))</f>
        <v>1510.1567881906021</v>
      </c>
      <c r="W121" s="93">
        <f>IF(W$1="",0,операции!W$449+операции!W$464)*IF(капитал!$M$26+капитал!$M$78+капитал!$M$109=0,0,(капитал!$M$26+капитал!$M$78-(капитал!$J$87+капитал!$J$50*капитал!$J$32+капитал!$J$84)/1000)/(капитал!$M$26+капитал!$M$78+капитал!$M$109))</f>
        <v>0</v>
      </c>
      <c r="X121" s="93">
        <f>IF(X$1="",0,операции!X$449+операции!X$464)*IF(капитал!$M$26+капитал!$M$78+капитал!$M$109=0,0,(капитал!$M$26+капитал!$M$78-(капитал!$J$87+капитал!$J$50*капитал!$J$32+капитал!$J$84)/1000)/(капитал!$M$26+капитал!$M$78+капитал!$M$109))</f>
        <v>0</v>
      </c>
      <c r="Y121" s="93">
        <f>IF(Y$1="",0,операции!Y$449+операции!Y$464)*IF(капитал!$M$26+капитал!$M$78+капитал!$M$109=0,0,(капитал!$M$26+капитал!$M$78-(капитал!$J$87+капитал!$J$50*капитал!$J$32+капитал!$J$84)/1000)/(капитал!$M$26+капитал!$M$78+капитал!$M$109))</f>
        <v>0</v>
      </c>
      <c r="Z121" s="93">
        <f>IF(Z$1="",0,операции!Z$449+операции!Z$464)*IF(капитал!$M$26+капитал!$M$78+капитал!$M$109=0,0,(капитал!$M$26+капитал!$M$78-(капитал!$J$87+капитал!$J$50*капитал!$J$32+капитал!$J$84)/1000)/(капитал!$M$26+капитал!$M$78+капитал!$M$109))</f>
        <v>0</v>
      </c>
      <c r="AA121" s="93">
        <f>IF(AA$1="",0,операции!AA$449+операции!AA$464)*IF(капитал!$M$26+капитал!$M$78+капитал!$M$109=0,0,(капитал!$M$26+капитал!$M$78-(капитал!$J$87+капитал!$J$50*капитал!$J$32+капитал!$J$84)/1000)/(капитал!$M$26+капитал!$M$78+капитал!$M$109))</f>
        <v>0</v>
      </c>
      <c r="AB121" s="3"/>
    </row>
    <row r="122" spans="1:28" s="5" customFormat="1" ht="3.9" hidden="1" customHeight="1" x14ac:dyDescent="0.25">
      <c r="A122" s="150">
        <f>1</f>
        <v>1</v>
      </c>
      <c r="B122" s="128"/>
      <c r="C122" s="3"/>
      <c r="D122" s="3"/>
      <c r="E122" s="3"/>
      <c r="F122" s="3"/>
      <c r="G122" s="3"/>
      <c r="H122" s="3"/>
      <c r="I122" s="28"/>
      <c r="J122" s="3"/>
      <c r="K122" s="28"/>
      <c r="L122" s="3"/>
      <c r="M122" s="55"/>
      <c r="N122" s="3"/>
      <c r="O122" s="3"/>
      <c r="P122" s="46"/>
      <c r="Q122" s="46"/>
      <c r="R122" s="46"/>
      <c r="S122" s="46"/>
      <c r="T122" s="46"/>
      <c r="U122" s="46"/>
      <c r="V122" s="46"/>
      <c r="W122" s="46"/>
      <c r="X122" s="46"/>
      <c r="Y122" s="46"/>
      <c r="Z122" s="46"/>
      <c r="AA122" s="46"/>
      <c r="AB122" s="3"/>
    </row>
    <row r="123" spans="1:28" s="5" customFormat="1" x14ac:dyDescent="0.25">
      <c r="A123" s="150">
        <f>1</f>
        <v>1</v>
      </c>
      <c r="B123" s="129" t="str">
        <f>структура!$J$15</f>
        <v>УСН(6%)-ИП</v>
      </c>
      <c r="C123" s="3"/>
      <c r="D123" s="3"/>
      <c r="E123" s="89" t="str">
        <f>E117</f>
        <v>амортизация кап/затрат</v>
      </c>
      <c r="F123" s="89"/>
      <c r="G123" s="89" t="str">
        <f>IF($E123="","",INDEX(KPI!$G:$G,SUMIFS(KPI!$B:$B,KPI!$E:$E,$E123)))</f>
        <v>тыс.руб.</v>
      </c>
      <c r="H123" s="89"/>
      <c r="I123" s="90"/>
      <c r="J123" s="89"/>
      <c r="K123" s="90"/>
      <c r="L123" s="89"/>
      <c r="M123" s="92">
        <f>SUM($O123:$AB123)</f>
        <v>11192.495840000003</v>
      </c>
      <c r="N123" s="3"/>
      <c r="O123" s="3"/>
      <c r="P123" s="93">
        <f>IF(P$1="",0,операции!P$449+операции!P$464)*IF(капитал!$M$26+капитал!$M$78+капитал!$M$109=0,0,(капитал!$M$26+капитал!$M$78-(капитал!$J$87+капитал!$J$50*капитал!$J$32+капитал!$J$84)/1000)/(капитал!$M$26+капитал!$M$78+капитал!$M$109))</f>
        <v>1634.4364527237597</v>
      </c>
      <c r="Q123" s="93">
        <f>IF(Q$1="",0,операции!Q$449+операции!Q$464)*IF(капитал!$M$26+капитал!$M$78+капитал!$M$109=0,0,(капитал!$M$26+капитал!$M$78-(капитал!$J$87+капитал!$J$50*капитал!$J$32+капитал!$J$84)/1000)/(капитал!$M$26+капитал!$M$78+капитал!$M$109))</f>
        <v>1634.4364527237597</v>
      </c>
      <c r="R123" s="93">
        <f>IF(R$1="",0,операции!R$449+операции!R$464)*IF(капитал!$M$26+капитал!$M$78+капитал!$M$109=0,0,(капитал!$M$26+капитал!$M$78-(капитал!$J$87+капитал!$J$50*капитал!$J$32+капитал!$J$84)/1000)/(капитал!$M$26+капитал!$M$78+капитал!$M$109))</f>
        <v>1634.4364527237597</v>
      </c>
      <c r="S123" s="93">
        <f>IF(S$1="",0,операции!S$449+операции!S$464)*IF(капитал!$M$26+капитал!$M$78+капитал!$M$109=0,0,(капитал!$M$26+капитал!$M$78-(капитал!$J$87+капитал!$J$50*капитал!$J$32+капитал!$J$84)/1000)/(капитал!$M$26+капитал!$M$78+капитал!$M$109))</f>
        <v>1634.4364527237597</v>
      </c>
      <c r="T123" s="93">
        <f>IF(T$1="",0,операции!T$449+операции!T$464)*IF(капитал!$M$26+капитал!$M$78+капитал!$M$109=0,0,(капитал!$M$26+капитал!$M$78-(капитал!$J$87+капитал!$J$50*капитал!$J$32+капитал!$J$84)/1000)/(капитал!$M$26+капитал!$M$78+капитал!$M$109))</f>
        <v>1634.4364527237597</v>
      </c>
      <c r="U123" s="93">
        <f>IF(U$1="",0,операции!U$449+операции!U$464)*IF(капитал!$M$26+капитал!$M$78+капитал!$M$109=0,0,(капитал!$M$26+капитал!$M$78-(капитал!$J$87+капитал!$J$50*капитал!$J$32+капитал!$J$84)/1000)/(капитал!$M$26+капитал!$M$78+капитал!$M$109))</f>
        <v>1510.1567881906021</v>
      </c>
      <c r="V123" s="93">
        <f>IF(V$1="",0,операции!V$449+операции!V$464)*IF(капитал!$M$26+капитал!$M$78+капитал!$M$109=0,0,(капитал!$M$26+капитал!$M$78-(капитал!$J$87+капитал!$J$50*капитал!$J$32+капитал!$J$84)/1000)/(капитал!$M$26+капитал!$M$78+капитал!$M$109))</f>
        <v>1510.1567881906021</v>
      </c>
      <c r="W123" s="93">
        <f>IF(W$1="",0,операции!W$449+операции!W$464)*IF(капитал!$M$26+капитал!$M$78+капитал!$M$109=0,0,(капитал!$M$26+капитал!$M$78-(капитал!$J$87+капитал!$J$50*капитал!$J$32+капитал!$J$84)/1000)/(капитал!$M$26+капитал!$M$78+капитал!$M$109))</f>
        <v>0</v>
      </c>
      <c r="X123" s="93">
        <f>IF(X$1="",0,операции!X$449+операции!X$464)*IF(капитал!$M$26+капитал!$M$78+капитал!$M$109=0,0,(капитал!$M$26+капитал!$M$78-(капитал!$J$87+капитал!$J$50*капитал!$J$32+капитал!$J$84)/1000)/(капитал!$M$26+капитал!$M$78+капитал!$M$109))</f>
        <v>0</v>
      </c>
      <c r="Y123" s="93">
        <f>IF(Y$1="",0,операции!Y$449+операции!Y$464)*IF(капитал!$M$26+капитал!$M$78+капитал!$M$109=0,0,(капитал!$M$26+капитал!$M$78-(капитал!$J$87+капитал!$J$50*капитал!$J$32+капитал!$J$84)/1000)/(капитал!$M$26+капитал!$M$78+капитал!$M$109))</f>
        <v>0</v>
      </c>
      <c r="Z123" s="93">
        <f>IF(Z$1="",0,операции!Z$449+операции!Z$464)*IF(капитал!$M$26+капитал!$M$78+капитал!$M$109=0,0,(капитал!$M$26+капитал!$M$78-(капитал!$J$87+капитал!$J$50*капитал!$J$32+капитал!$J$84)/1000)/(капитал!$M$26+капитал!$M$78+капитал!$M$109))</f>
        <v>0</v>
      </c>
      <c r="AA123" s="93">
        <f>IF(AA$1="",0,операции!AA$449+операции!AA$464)*IF(капитал!$M$26+капитал!$M$78+капитал!$M$109=0,0,(капитал!$M$26+капитал!$M$78-(капитал!$J$87+капитал!$J$50*капитал!$J$32+капитал!$J$84)/1000)/(капитал!$M$26+капитал!$M$78+капитал!$M$109))</f>
        <v>0</v>
      </c>
      <c r="AB123" s="3"/>
    </row>
    <row r="124" spans="1:28" ht="3.9" hidden="1" customHeight="1" x14ac:dyDescent="0.25">
      <c r="A124" s="149">
        <f>1</f>
        <v>1</v>
      </c>
      <c r="B124" s="131"/>
      <c r="C124" s="2"/>
      <c r="D124" s="2"/>
      <c r="E124" s="143"/>
      <c r="F124" s="2"/>
      <c r="G124" s="143"/>
      <c r="H124" s="2"/>
      <c r="I124" s="28"/>
      <c r="J124" s="2"/>
      <c r="K124" s="28"/>
      <c r="L124" s="2"/>
      <c r="M124" s="144"/>
      <c r="N124" s="2"/>
      <c r="O124" s="2"/>
      <c r="P124" s="36"/>
      <c r="Q124" s="36"/>
      <c r="R124" s="36"/>
      <c r="S124" s="36"/>
      <c r="T124" s="36"/>
      <c r="U124" s="36"/>
      <c r="V124" s="36"/>
      <c r="W124" s="36"/>
      <c r="X124" s="36"/>
      <c r="Y124" s="36"/>
      <c r="Z124" s="36"/>
      <c r="AA124" s="36"/>
      <c r="AB124" s="2"/>
    </row>
    <row r="125" spans="1:28" ht="8.1" hidden="1" customHeight="1" x14ac:dyDescent="0.25">
      <c r="A125" s="149">
        <f>1</f>
        <v>1</v>
      </c>
      <c r="B125" s="131"/>
      <c r="C125" s="2"/>
      <c r="D125" s="2"/>
      <c r="E125" s="2"/>
      <c r="F125" s="2"/>
      <c r="G125" s="2"/>
      <c r="H125" s="2"/>
      <c r="I125" s="28"/>
      <c r="J125" s="2"/>
      <c r="K125" s="28"/>
      <c r="L125" s="2"/>
      <c r="M125" s="52"/>
      <c r="N125" s="2"/>
      <c r="O125" s="2"/>
      <c r="P125" s="36"/>
      <c r="Q125" s="36"/>
      <c r="R125" s="36"/>
      <c r="S125" s="36"/>
      <c r="T125" s="36"/>
      <c r="U125" s="36"/>
      <c r="V125" s="36"/>
      <c r="W125" s="36"/>
      <c r="X125" s="36"/>
      <c r="Y125" s="36"/>
      <c r="Z125" s="36"/>
      <c r="AA125" s="36"/>
      <c r="AB125" s="2"/>
    </row>
    <row r="126" spans="1:28" ht="3.9" hidden="1" customHeight="1" x14ac:dyDescent="0.25">
      <c r="A126" s="149">
        <f>1</f>
        <v>1</v>
      </c>
      <c r="B126" s="131"/>
      <c r="C126" s="2"/>
      <c r="D126" s="2"/>
      <c r="E126" s="2"/>
      <c r="F126" s="2"/>
      <c r="G126" s="2"/>
      <c r="H126" s="2"/>
      <c r="I126" s="28"/>
      <c r="J126" s="2"/>
      <c r="K126" s="28"/>
      <c r="L126" s="2"/>
      <c r="M126" s="52"/>
      <c r="N126" s="2"/>
      <c r="O126" s="2"/>
      <c r="P126" s="36"/>
      <c r="Q126" s="36"/>
      <c r="R126" s="36"/>
      <c r="S126" s="36"/>
      <c r="T126" s="36"/>
      <c r="U126" s="36"/>
      <c r="V126" s="36"/>
      <c r="W126" s="36"/>
      <c r="X126" s="36"/>
      <c r="Y126" s="36"/>
      <c r="Z126" s="36"/>
      <c r="AA126" s="36"/>
      <c r="AB126" s="2"/>
    </row>
    <row r="127" spans="1:28" s="5" customFormat="1" hidden="1" x14ac:dyDescent="0.25">
      <c r="A127" s="150">
        <f>1</f>
        <v>1</v>
      </c>
      <c r="B127" s="129" t="str">
        <f>структура!$J$12</f>
        <v>ОСНО</v>
      </c>
      <c r="C127" s="3"/>
      <c r="D127" s="3"/>
      <c r="E127" s="89" t="str">
        <f>KPI!$E$86</f>
        <v>налог на прибыль</v>
      </c>
      <c r="F127" s="89"/>
      <c r="G127" s="89" t="str">
        <f>IF($E127="","",INDEX(KPI!$G:$G,SUMIFS(KPI!$B:$B,KPI!$E:$E,$E127)))</f>
        <v>тыс.руб.</v>
      </c>
      <c r="H127" s="89"/>
      <c r="I127" s="90"/>
      <c r="J127" s="89"/>
      <c r="K127" s="90"/>
      <c r="L127" s="89"/>
      <c r="M127" s="92">
        <f>SUM($O127:$AB127)</f>
        <v>2115.9656060029552</v>
      </c>
      <c r="N127" s="3"/>
      <c r="O127" s="3"/>
      <c r="P127" s="93">
        <f>IF(P$1="",0,(P$16-P$26-P$117)*операции!P$424)</f>
        <v>275.28583396305214</v>
      </c>
      <c r="Q127" s="93">
        <f>IF(Q$1="",0,(Q$16-Q$26-Q$117)*операции!Q$424)</f>
        <v>276.26626585805735</v>
      </c>
      <c r="R127" s="93">
        <f>IF(R$1="",0,(R$16-R$26-R$117)*операции!R$424)</f>
        <v>291.9286420432681</v>
      </c>
      <c r="S127" s="93">
        <f>IF(S$1="",0,(S$16-S$26-S$117)*операции!S$424)</f>
        <v>302.72736390835615</v>
      </c>
      <c r="T127" s="93">
        <f>IF(T$1="",0,(T$16-T$26-T$117)*операции!T$424)</f>
        <v>303.81264832544213</v>
      </c>
      <c r="U127" s="93">
        <f>IF(U$1="",0,(U$16-U$26-U$117)*операции!U$424)</f>
        <v>329.74350053086766</v>
      </c>
      <c r="V127" s="93">
        <f>IF(V$1="",0,(V$16-V$26-V$117)*операции!V$424)</f>
        <v>336.20135137391145</v>
      </c>
      <c r="W127" s="93">
        <f>IF(W$1="",0,(W$16-W$26-W$117)*операции!W$424)</f>
        <v>0</v>
      </c>
      <c r="X127" s="93">
        <f>IF(X$1="",0,(X$16-X$26-X$117)*операции!X$424)</f>
        <v>0</v>
      </c>
      <c r="Y127" s="93">
        <f>IF(Y$1="",0,(Y$16-Y$26-Y$117)*операции!Y$424)</f>
        <v>0</v>
      </c>
      <c r="Z127" s="93">
        <f>IF(Z$1="",0,(Z$16-Z$26-Z$117)*операции!Z$424)</f>
        <v>0</v>
      </c>
      <c r="AA127" s="93">
        <f>IF(AA$1="",0,(AA$16-AA$26-AA$117)*операции!AA$424)</f>
        <v>0</v>
      </c>
      <c r="AB127" s="3"/>
    </row>
    <row r="128" spans="1:28" s="5" customFormat="1" ht="3.9" hidden="1" customHeight="1" x14ac:dyDescent="0.25">
      <c r="A128" s="150">
        <f>1</f>
        <v>1</v>
      </c>
      <c r="B128" s="128"/>
      <c r="C128" s="3"/>
      <c r="D128" s="3"/>
      <c r="E128" s="3"/>
      <c r="F128" s="3"/>
      <c r="G128" s="3"/>
      <c r="H128" s="3"/>
      <c r="I128" s="28"/>
      <c r="J128" s="3"/>
      <c r="K128" s="28"/>
      <c r="L128" s="3"/>
      <c r="M128" s="55"/>
      <c r="N128" s="3"/>
      <c r="O128" s="3"/>
      <c r="P128" s="46"/>
      <c r="Q128" s="46"/>
      <c r="R128" s="46"/>
      <c r="S128" s="46"/>
      <c r="T128" s="46"/>
      <c r="U128" s="46"/>
      <c r="V128" s="46"/>
      <c r="W128" s="46"/>
      <c r="X128" s="46"/>
      <c r="Y128" s="46"/>
      <c r="Z128" s="46"/>
      <c r="AA128" s="46"/>
      <c r="AB128" s="3"/>
    </row>
    <row r="129" spans="1:28" s="5" customFormat="1" hidden="1" x14ac:dyDescent="0.25">
      <c r="A129" s="150">
        <f>1</f>
        <v>1</v>
      </c>
      <c r="B129" s="129" t="str">
        <f>структура!$J$13</f>
        <v>УСН(6%)</v>
      </c>
      <c r="C129" s="3"/>
      <c r="D129" s="3"/>
      <c r="E129" s="89" t="str">
        <f>KPI!$E$87</f>
        <v>налог УСН</v>
      </c>
      <c r="F129" s="89"/>
      <c r="G129" s="89" t="str">
        <f>IF($E129="","",INDEX(KPI!$G:$G,SUMIFS(KPI!$B:$B,KPI!$E:$E,$E129)))</f>
        <v>тыс.руб.</v>
      </c>
      <c r="H129" s="89"/>
      <c r="I129" s="90"/>
      <c r="J129" s="89"/>
      <c r="K129" s="90"/>
      <c r="L129" s="89"/>
      <c r="M129" s="92">
        <f>SUM($O129:$AB129)</f>
        <v>1534.5</v>
      </c>
      <c r="N129" s="3"/>
      <c r="O129" s="3"/>
      <c r="P129" s="93">
        <f>IF(P$1="",0,IF(P$78&gt;операции!P$436*операции!P$427*P$18,операции!P$436*операции!P$427*P$18,(P$18-P$78)*операции!P$427))</f>
        <v>219.07938461538461</v>
      </c>
      <c r="Q129" s="93">
        <f>IF(Q$1="",0,IF(Q$78&gt;операции!Q$436*операции!Q$427*Q$18,операции!Q$436*операции!Q$427*Q$18,(Q$18-Q$78)*операции!Q$427))</f>
        <v>219.07938461538461</v>
      </c>
      <c r="R129" s="93">
        <f>IF(R$1="",0,IF(R$78&gt;операции!R$436*операции!R$427*R$18,операции!R$436*операции!R$427*R$18,(R$18-R$78)*операции!R$427))</f>
        <v>219.55153846153846</v>
      </c>
      <c r="S129" s="93">
        <f>IF(S$1="",0,IF(S$78&gt;операции!S$436*операции!S$427*S$18,операции!S$436*операции!S$427*S$18,(S$18-S$78)*операции!S$427))</f>
        <v>219.07938461538461</v>
      </c>
      <c r="T129" s="93">
        <f>IF(T$1="",0,IF(T$78&gt;операции!T$436*операции!T$427*T$18,операции!T$436*операции!T$427*T$18,(T$18-T$78)*операции!T$427))</f>
        <v>219.07938461538461</v>
      </c>
      <c r="U129" s="93">
        <f>IF(U$1="",0,IF(U$78&gt;операции!U$436*операции!U$427*U$18,операции!U$436*операции!U$427*U$18,(U$18-U$78)*операции!U$427))</f>
        <v>219.07938461538461</v>
      </c>
      <c r="V129" s="93">
        <f>IF(V$1="",0,IF(V$78&gt;операции!V$436*операции!V$427*V$18,операции!V$436*операции!V$427*V$18,(V$18-V$78)*операции!V$427))</f>
        <v>219.55153846153846</v>
      </c>
      <c r="W129" s="93">
        <f>IF(W$1="",0,IF(W$78&gt;операции!W$436*операции!W$427*W$18,операции!W$436*операции!W$427*W$18,(W$18-W$78)*операции!W$427))</f>
        <v>0</v>
      </c>
      <c r="X129" s="93">
        <f>IF(X$1="",0,IF(X$78&gt;операции!X$436*операции!X$427*X$18,операции!X$436*операции!X$427*X$18,(X$18-X$78)*операции!X$427))</f>
        <v>0</v>
      </c>
      <c r="Y129" s="93">
        <f>IF(Y$1="",0,IF(Y$78&gt;операции!Y$436*операции!Y$427*Y$18,операции!Y$436*операции!Y$427*Y$18,(Y$18-Y$78)*операции!Y$427))</f>
        <v>0</v>
      </c>
      <c r="Z129" s="93">
        <f>IF(Z$1="",0,IF(Z$78&gt;операции!Z$436*операции!Z$427*Z$18,операции!Z$436*операции!Z$427*Z$18,(Z$18-Z$78)*операции!Z$427))</f>
        <v>0</v>
      </c>
      <c r="AA129" s="93">
        <f>IF(AA$1="",0,IF(AA$78&gt;операции!AA$436*операции!AA$427*AA$18,операции!AA$436*операции!AA$427*AA$18,(AA$18-AA$78)*операции!AA$427))</f>
        <v>0</v>
      </c>
      <c r="AB129" s="3"/>
    </row>
    <row r="130" spans="1:28" s="5" customFormat="1" ht="3.9" hidden="1" customHeight="1" x14ac:dyDescent="0.25">
      <c r="A130" s="150">
        <f>1</f>
        <v>1</v>
      </c>
      <c r="B130" s="128"/>
      <c r="C130" s="3"/>
      <c r="D130" s="3"/>
      <c r="E130" s="3"/>
      <c r="F130" s="3"/>
      <c r="G130" s="3"/>
      <c r="H130" s="3"/>
      <c r="I130" s="28"/>
      <c r="J130" s="3"/>
      <c r="K130" s="28"/>
      <c r="L130" s="3"/>
      <c r="M130" s="55"/>
      <c r="N130" s="3"/>
      <c r="O130" s="3"/>
      <c r="P130" s="46"/>
      <c r="Q130" s="46"/>
      <c r="R130" s="46"/>
      <c r="S130" s="46"/>
      <c r="T130" s="46"/>
      <c r="U130" s="46"/>
      <c r="V130" s="46"/>
      <c r="W130" s="46"/>
      <c r="X130" s="46"/>
      <c r="Y130" s="46"/>
      <c r="Z130" s="46"/>
      <c r="AA130" s="46"/>
      <c r="AB130" s="3"/>
    </row>
    <row r="131" spans="1:28" s="5" customFormat="1" hidden="1" x14ac:dyDescent="0.25">
      <c r="A131" s="150">
        <f>1</f>
        <v>1</v>
      </c>
      <c r="B131" s="129" t="str">
        <f>структура!$J$14</f>
        <v>УСН(15%)</v>
      </c>
      <c r="C131" s="3"/>
      <c r="D131" s="3"/>
      <c r="E131" s="89" t="str">
        <f>KPI!$E$87</f>
        <v>налог УСН</v>
      </c>
      <c r="F131" s="89"/>
      <c r="G131" s="89" t="str">
        <f>IF($E131="","",INDEX(KPI!$G:$G,SUMIFS(KPI!$B:$B,KPI!$E:$E,$E131)))</f>
        <v>тыс.руб.</v>
      </c>
      <c r="H131" s="89"/>
      <c r="I131" s="90"/>
      <c r="J131" s="89"/>
      <c r="K131" s="90"/>
      <c r="L131" s="89"/>
      <c r="M131" s="92">
        <f>SUM($O131:$AB131)</f>
        <v>4070.4192552534032</v>
      </c>
      <c r="N131" s="3"/>
      <c r="O131" s="3"/>
      <c r="P131" s="93">
        <f>IF(P$1="",0,IF((P$20-P$30)*операции!P$430&lt;операции!P$439*P$20,операции!P$439*P$20,(P$20-P$30)*операции!P$430))</f>
        <v>562.51926616827427</v>
      </c>
      <c r="Q131" s="93">
        <f>IF(Q$1="",0,IF((Q$20-Q$30)*операции!Q$430&lt;операции!Q$439*Q$20,операции!Q$439*Q$20,(Q$20-Q$30)*операции!Q$430))</f>
        <v>563.40165487377897</v>
      </c>
      <c r="R131" s="93">
        <f>IF(R$1="",0,IF((R$20-R$30)*операции!R$430&lt;операции!R$439*R$20,операции!R$439*R$20,(R$20-R$30)*операции!R$430))</f>
        <v>577.49779344046851</v>
      </c>
      <c r="S131" s="93">
        <f>IF(S$1="",0,IF((S$20-S$30)*операции!S$430&lt;операции!S$439*S$20,операции!S$439*S$20,(S$20-S$30)*операции!S$430))</f>
        <v>587.21664311904783</v>
      </c>
      <c r="T131" s="93">
        <f>IF(T$1="",0,IF((T$20-T$30)*операции!T$430&lt;операции!T$439*T$20,операции!T$439*T$20,(T$20-T$30)*операции!T$430))</f>
        <v>588.19339909442522</v>
      </c>
      <c r="U131" s="93">
        <f>IF(U$1="",0,IF((U$20-U$30)*операции!U$430&lt;операции!U$439*U$20,операции!U$439*U$20,(U$20-U$30)*операции!U$430))</f>
        <v>592.8892163993346</v>
      </c>
      <c r="V131" s="93">
        <f>IF(V$1="",0,IF((V$20-V$30)*операции!V$430&lt;операции!V$439*V$20,операции!V$439*V$20,(V$20-V$30)*операции!V$430))</f>
        <v>598.70128215807392</v>
      </c>
      <c r="W131" s="93">
        <f>IF(W$1="",0,IF((W$20-W$30)*операции!W$430&lt;операции!W$439*W$20,операции!W$439*W$20,(W$20-W$30)*операции!W$430))</f>
        <v>0</v>
      </c>
      <c r="X131" s="93">
        <f>IF(X$1="",0,IF((X$20-X$30)*операции!X$430&lt;операции!X$439*X$20,операции!X$439*X$20,(X$20-X$30)*операции!X$430))</f>
        <v>0</v>
      </c>
      <c r="Y131" s="93">
        <f>IF(Y$1="",0,IF((Y$20-Y$30)*операции!Y$430&lt;операции!Y$439*Y$20,операции!Y$439*Y$20,(Y$20-Y$30)*операции!Y$430))</f>
        <v>0</v>
      </c>
      <c r="Z131" s="93">
        <f>IF(Z$1="",0,IF((Z$20-Z$30)*операции!Z$430&lt;операции!Z$439*Z$20,операции!Z$439*Z$20,(Z$20-Z$30)*операции!Z$430))</f>
        <v>0</v>
      </c>
      <c r="AA131" s="93">
        <f>IF(AA$1="",0,IF((AA$20-AA$30)*операции!AA$430&lt;операции!AA$439*AA$20,операции!AA$439*AA$20,(AA$20-AA$30)*операции!AA$430))</f>
        <v>0</v>
      </c>
      <c r="AB131" s="3"/>
    </row>
    <row r="132" spans="1:28" s="5" customFormat="1" ht="3.9" hidden="1" customHeight="1" x14ac:dyDescent="0.25">
      <c r="A132" s="150">
        <f>1</f>
        <v>1</v>
      </c>
      <c r="B132" s="128"/>
      <c r="C132" s="3"/>
      <c r="D132" s="3"/>
      <c r="E132" s="3"/>
      <c r="F132" s="3"/>
      <c r="G132" s="3"/>
      <c r="H132" s="3"/>
      <c r="I132" s="28"/>
      <c r="J132" s="3"/>
      <c r="K132" s="28"/>
      <c r="L132" s="3"/>
      <c r="M132" s="55"/>
      <c r="N132" s="3"/>
      <c r="O132" s="3"/>
      <c r="P132" s="46"/>
      <c r="Q132" s="46"/>
      <c r="R132" s="46"/>
      <c r="S132" s="46"/>
      <c r="T132" s="46"/>
      <c r="U132" s="46"/>
      <c r="V132" s="46"/>
      <c r="W132" s="46"/>
      <c r="X132" s="46"/>
      <c r="Y132" s="46"/>
      <c r="Z132" s="46"/>
      <c r="AA132" s="46"/>
      <c r="AB132" s="3"/>
    </row>
    <row r="133" spans="1:28" s="5" customFormat="1" x14ac:dyDescent="0.25">
      <c r="A133" s="150">
        <f>1</f>
        <v>1</v>
      </c>
      <c r="B133" s="129" t="str">
        <f>структура!$J$15</f>
        <v>УСН(6%)-ИП</v>
      </c>
      <c r="C133" s="3"/>
      <c r="D133" s="3"/>
      <c r="E133" s="89" t="str">
        <f>KPI!$E$87</f>
        <v>налог УСН</v>
      </c>
      <c r="F133" s="89"/>
      <c r="G133" s="89" t="str">
        <f>IF($E133="","",INDEX(KPI!$G:$G,SUMIFS(KPI!$B:$B,KPI!$E:$E,$E133)))</f>
        <v>тыс.руб.</v>
      </c>
      <c r="H133" s="89"/>
      <c r="I133" s="90"/>
      <c r="J133" s="89"/>
      <c r="K133" s="90"/>
      <c r="L133" s="89"/>
      <c r="M133" s="92">
        <f>SUM($O133:$AB133)</f>
        <v>657.71030769230765</v>
      </c>
      <c r="N133" s="3"/>
      <c r="O133" s="3"/>
      <c r="P133" s="93">
        <f>IF(P$1="",0,IF(P$78&gt;операции!P$436*операции!P$433*P$18,операции!P$436*операции!P$433*P$18,(P$18-P$78)*операции!P$433))</f>
        <v>0</v>
      </c>
      <c r="Q133" s="93">
        <f>IF(Q$1="",0,IF(Q$78&gt;операции!Q$436*операции!Q$433*Q$18,операции!Q$436*операции!Q$433*Q$18,(Q$18-Q$78)*операции!Q$433))</f>
        <v>0</v>
      </c>
      <c r="R133" s="93">
        <f>IF(R$1="",0,IF(R$78&gt;операции!R$436*операции!R$433*R$18,операции!R$436*операции!R$433*R$18,(R$18-R$78)*операции!R$433))</f>
        <v>0</v>
      </c>
      <c r="S133" s="93">
        <f>IF(S$1="",0,IF(S$78&gt;операции!S$436*операции!S$433*S$18,операции!S$436*операции!S$433*S$18,(S$18-S$78)*операции!S$433))</f>
        <v>0</v>
      </c>
      <c r="T133" s="93">
        <f>IF(T$1="",0,IF(T$78&gt;операции!T$436*операции!T$433*T$18,операции!T$436*операции!T$433*T$18,(T$18-T$78)*операции!T$433))</f>
        <v>219.07938461538461</v>
      </c>
      <c r="U133" s="93">
        <f>IF(U$1="",0,IF(U$78&gt;операции!U$436*операции!U$433*U$18,операции!U$436*операции!U$433*U$18,(U$18-U$78)*операции!U$433))</f>
        <v>219.07938461538461</v>
      </c>
      <c r="V133" s="93">
        <f>IF(V$1="",0,IF(V$78&gt;операции!V$436*операции!V$433*V$18,операции!V$436*операции!V$433*V$18,(V$18-V$78)*операции!V$433))</f>
        <v>219.55153846153846</v>
      </c>
      <c r="W133" s="93">
        <f>IF(W$1="",0,IF(W$78&gt;операции!W$436*операции!W$433*W$18,операции!W$436*операции!W$433*W$18,(W$18-W$78)*операции!W$433))</f>
        <v>0</v>
      </c>
      <c r="X133" s="93">
        <f>IF(X$1="",0,IF(X$78&gt;операции!X$436*операции!X$433*X$18,операции!X$436*операции!X$433*X$18,(X$18-X$78)*операции!X$433))</f>
        <v>0</v>
      </c>
      <c r="Y133" s="93">
        <f>IF(Y$1="",0,IF(Y$78&gt;операции!Y$436*операции!Y$433*Y$18,операции!Y$436*операции!Y$433*Y$18,(Y$18-Y$78)*операции!Y$433))</f>
        <v>0</v>
      </c>
      <c r="Z133" s="93">
        <f>IF(Z$1="",0,IF(Z$78&gt;операции!Z$436*операции!Z$433*Z$18,операции!Z$436*операции!Z$433*Z$18,(Z$18-Z$78)*операции!Z$433))</f>
        <v>0</v>
      </c>
      <c r="AA133" s="93">
        <f>IF(AA$1="",0,IF(AA$78&gt;операции!AA$436*операции!AA$433*AA$18,операции!AA$436*операции!AA$433*AA$18,(AA$18-AA$78)*операции!AA$433))</f>
        <v>0</v>
      </c>
      <c r="AB133" s="3"/>
    </row>
    <row r="134" spans="1:28" ht="3.9" hidden="1" customHeight="1" x14ac:dyDescent="0.25">
      <c r="A134" s="149">
        <f>1</f>
        <v>1</v>
      </c>
      <c r="B134" s="131"/>
      <c r="C134" s="2"/>
      <c r="D134" s="2"/>
      <c r="E134" s="119"/>
      <c r="F134" s="2"/>
      <c r="G134" s="119"/>
      <c r="H134" s="2"/>
      <c r="I134" s="28"/>
      <c r="J134" s="2"/>
      <c r="K134" s="28"/>
      <c r="L134" s="2"/>
      <c r="M134" s="142"/>
      <c r="N134" s="2"/>
      <c r="O134" s="2"/>
      <c r="P134" s="36"/>
      <c r="Q134" s="36"/>
      <c r="R134" s="36"/>
      <c r="S134" s="36"/>
      <c r="T134" s="36"/>
      <c r="U134" s="36"/>
      <c r="V134" s="36"/>
      <c r="W134" s="36"/>
      <c r="X134" s="36"/>
      <c r="Y134" s="36"/>
      <c r="Z134" s="36"/>
      <c r="AA134" s="36"/>
      <c r="AB134" s="2"/>
    </row>
    <row r="135" spans="1:28" ht="8.1" hidden="1" customHeight="1" x14ac:dyDescent="0.25">
      <c r="A135" s="149">
        <f>1</f>
        <v>1</v>
      </c>
      <c r="B135" s="131"/>
      <c r="C135" s="2"/>
      <c r="D135" s="2"/>
      <c r="E135" s="2"/>
      <c r="F135" s="2"/>
      <c r="G135" s="2"/>
      <c r="H135" s="2"/>
      <c r="I135" s="28"/>
      <c r="J135" s="2"/>
      <c r="K135" s="28"/>
      <c r="L135" s="2"/>
      <c r="M135" s="52"/>
      <c r="N135" s="2"/>
      <c r="O135" s="2"/>
      <c r="P135" s="36"/>
      <c r="Q135" s="36"/>
      <c r="R135" s="36"/>
      <c r="S135" s="36"/>
      <c r="T135" s="36"/>
      <c r="U135" s="36"/>
      <c r="V135" s="36"/>
      <c r="W135" s="36"/>
      <c r="X135" s="36"/>
      <c r="Y135" s="36"/>
      <c r="Z135" s="36"/>
      <c r="AA135" s="36"/>
      <c r="AB135" s="2"/>
    </row>
    <row r="136" spans="1:28" ht="3.9" hidden="1" customHeight="1" x14ac:dyDescent="0.25">
      <c r="A136" s="149">
        <f>1</f>
        <v>1</v>
      </c>
      <c r="B136" s="131"/>
      <c r="C136" s="2"/>
      <c r="D136" s="2"/>
      <c r="E136" s="2"/>
      <c r="F136" s="2"/>
      <c r="G136" s="2"/>
      <c r="H136" s="2"/>
      <c r="I136" s="28"/>
      <c r="J136" s="2"/>
      <c r="K136" s="28"/>
      <c r="L136" s="2"/>
      <c r="M136" s="52"/>
      <c r="N136" s="2"/>
      <c r="O136" s="2"/>
      <c r="P136" s="36"/>
      <c r="Q136" s="36"/>
      <c r="R136" s="36"/>
      <c r="S136" s="36"/>
      <c r="T136" s="36"/>
      <c r="U136" s="36"/>
      <c r="V136" s="36"/>
      <c r="W136" s="36"/>
      <c r="X136" s="36"/>
      <c r="Y136" s="36"/>
      <c r="Z136" s="36"/>
      <c r="AA136" s="36"/>
      <c r="AB136" s="2"/>
    </row>
    <row r="137" spans="1:28" s="5" customFormat="1" hidden="1" x14ac:dyDescent="0.25">
      <c r="A137" s="150">
        <f>1</f>
        <v>1</v>
      </c>
      <c r="B137" s="129" t="str">
        <f>структура!$J$12</f>
        <v>ОСНО</v>
      </c>
      <c r="C137" s="3"/>
      <c r="D137" s="3"/>
      <c r="E137" s="89" t="str">
        <f>KPI!$E$88</f>
        <v>прибыль</v>
      </c>
      <c r="F137" s="89"/>
      <c r="G137" s="89" t="str">
        <f>IF($E137="","",INDEX(KPI!$G:$G,SUMIFS(KPI!$B:$B,KPI!$E:$E,$E137)))</f>
        <v>тыс.руб.</v>
      </c>
      <c r="H137" s="89"/>
      <c r="I137" s="90"/>
      <c r="J137" s="89"/>
      <c r="K137" s="90"/>
      <c r="L137" s="89"/>
      <c r="M137" s="92">
        <f>SUM($O137:$AB137)</f>
        <v>8463.8624240118206</v>
      </c>
      <c r="N137" s="3"/>
      <c r="O137" s="3"/>
      <c r="P137" s="93">
        <f>IF(P$1="",0,P16-P26-P117-P127)</f>
        <v>1101.1433358522086</v>
      </c>
      <c r="Q137" s="93">
        <f t="shared" ref="Q137:AA137" si="2">IF(Q$1="",0,Q16-Q26-Q117-Q127)</f>
        <v>1105.0650634322294</v>
      </c>
      <c r="R137" s="93">
        <f t="shared" si="2"/>
        <v>1167.7145681730722</v>
      </c>
      <c r="S137" s="93">
        <f t="shared" si="2"/>
        <v>1210.9094556334246</v>
      </c>
      <c r="T137" s="93">
        <f t="shared" si="2"/>
        <v>1215.2505933017685</v>
      </c>
      <c r="U137" s="93">
        <f t="shared" si="2"/>
        <v>1318.9740021234707</v>
      </c>
      <c r="V137" s="93">
        <f t="shared" si="2"/>
        <v>1344.8054054956458</v>
      </c>
      <c r="W137" s="93">
        <f t="shared" si="2"/>
        <v>0</v>
      </c>
      <c r="X137" s="93">
        <f t="shared" si="2"/>
        <v>0</v>
      </c>
      <c r="Y137" s="93">
        <f t="shared" si="2"/>
        <v>0</v>
      </c>
      <c r="Z137" s="93">
        <f t="shared" si="2"/>
        <v>0</v>
      </c>
      <c r="AA137" s="93">
        <f t="shared" si="2"/>
        <v>0</v>
      </c>
      <c r="AB137" s="3"/>
    </row>
    <row r="138" spans="1:28" s="5" customFormat="1" ht="3.9" hidden="1" customHeight="1" x14ac:dyDescent="0.25">
      <c r="A138" s="150">
        <f>1</f>
        <v>1</v>
      </c>
      <c r="B138" s="128"/>
      <c r="C138" s="3"/>
      <c r="D138" s="3"/>
      <c r="E138" s="3"/>
      <c r="F138" s="3"/>
      <c r="G138" s="3"/>
      <c r="H138" s="3"/>
      <c r="I138" s="28"/>
      <c r="J138" s="3"/>
      <c r="K138" s="28"/>
      <c r="L138" s="3"/>
      <c r="M138" s="55"/>
      <c r="N138" s="3"/>
      <c r="O138" s="3"/>
      <c r="P138" s="46"/>
      <c r="Q138" s="46"/>
      <c r="R138" s="46"/>
      <c r="S138" s="46"/>
      <c r="T138" s="46"/>
      <c r="U138" s="46"/>
      <c r="V138" s="46"/>
      <c r="W138" s="46"/>
      <c r="X138" s="46"/>
      <c r="Y138" s="46"/>
      <c r="Z138" s="46"/>
      <c r="AA138" s="46"/>
      <c r="AB138" s="3"/>
    </row>
    <row r="139" spans="1:28" s="5" customFormat="1" hidden="1" x14ac:dyDescent="0.25">
      <c r="A139" s="150">
        <f>1</f>
        <v>1</v>
      </c>
      <c r="B139" s="129" t="str">
        <f>структура!$J$13</f>
        <v>УСН(6%)</v>
      </c>
      <c r="C139" s="3"/>
      <c r="D139" s="3"/>
      <c r="E139" s="89" t="str">
        <f>E137</f>
        <v>прибыль</v>
      </c>
      <c r="F139" s="89"/>
      <c r="G139" s="89" t="str">
        <f>IF($E139="","",INDEX(KPI!$G:$G,SUMIFS(KPI!$B:$B,KPI!$E:$E,$E139)))</f>
        <v>тыс.руб.</v>
      </c>
      <c r="H139" s="89"/>
      <c r="I139" s="90"/>
      <c r="J139" s="89"/>
      <c r="K139" s="90"/>
      <c r="L139" s="89"/>
      <c r="M139" s="92">
        <f>SUM($O139:$AB139)</f>
        <v>14409.132528356022</v>
      </c>
      <c r="N139" s="3"/>
      <c r="O139" s="3"/>
      <c r="P139" s="93">
        <f>IF(P$1="",0,P18-P28-P119-P129)</f>
        <v>1896.6126037826843</v>
      </c>
      <c r="Q139" s="93">
        <f t="shared" ref="Q139:AA139" si="3">IF(Q$1="",0,Q18-Q28-Q119-Q129)</f>
        <v>1902.4951951527155</v>
      </c>
      <c r="R139" s="93">
        <f t="shared" si="3"/>
        <v>1995.9972984178255</v>
      </c>
      <c r="S139" s="93">
        <f t="shared" si="3"/>
        <v>2061.2617834545081</v>
      </c>
      <c r="T139" s="93">
        <f t="shared" si="3"/>
        <v>2067.7734899570241</v>
      </c>
      <c r="U139" s="93">
        <f t="shared" si="3"/>
        <v>2223.3586031895775</v>
      </c>
      <c r="V139" s="93">
        <f t="shared" si="3"/>
        <v>2261.6335544016861</v>
      </c>
      <c r="W139" s="93">
        <f t="shared" si="3"/>
        <v>0</v>
      </c>
      <c r="X139" s="93">
        <f t="shared" si="3"/>
        <v>0</v>
      </c>
      <c r="Y139" s="93">
        <f t="shared" si="3"/>
        <v>0</v>
      </c>
      <c r="Z139" s="93">
        <f t="shared" si="3"/>
        <v>0</v>
      </c>
      <c r="AA139" s="93">
        <f t="shared" si="3"/>
        <v>0</v>
      </c>
      <c r="AB139" s="3"/>
    </row>
    <row r="140" spans="1:28" s="5" customFormat="1" ht="3.9" hidden="1" customHeight="1" x14ac:dyDescent="0.25">
      <c r="A140" s="150">
        <f>1</f>
        <v>1</v>
      </c>
      <c r="B140" s="128"/>
      <c r="C140" s="3"/>
      <c r="D140" s="3"/>
      <c r="E140" s="3"/>
      <c r="F140" s="3"/>
      <c r="G140" s="3"/>
      <c r="H140" s="3"/>
      <c r="I140" s="28"/>
      <c r="J140" s="3"/>
      <c r="K140" s="28"/>
      <c r="L140" s="3"/>
      <c r="M140" s="55"/>
      <c r="N140" s="3"/>
      <c r="O140" s="3"/>
      <c r="P140" s="46"/>
      <c r="Q140" s="46"/>
      <c r="R140" s="46"/>
      <c r="S140" s="46"/>
      <c r="T140" s="46"/>
      <c r="U140" s="46"/>
      <c r="V140" s="46"/>
      <c r="W140" s="46"/>
      <c r="X140" s="46"/>
      <c r="Y140" s="46"/>
      <c r="Z140" s="46"/>
      <c r="AA140" s="46"/>
      <c r="AB140" s="3"/>
    </row>
    <row r="141" spans="1:28" s="5" customFormat="1" hidden="1" x14ac:dyDescent="0.25">
      <c r="A141" s="150">
        <f>1</f>
        <v>1</v>
      </c>
      <c r="B141" s="129" t="str">
        <f>структура!$J$14</f>
        <v>УСН(15%)</v>
      </c>
      <c r="C141" s="3"/>
      <c r="D141" s="3"/>
      <c r="E141" s="89" t="str">
        <f>E137</f>
        <v>прибыль</v>
      </c>
      <c r="F141" s="89"/>
      <c r="G141" s="89" t="str">
        <f>IF($E141="","",INDEX(KPI!$G:$G,SUMIFS(KPI!$B:$B,KPI!$E:$E,$E141)))</f>
        <v>тыс.руб.</v>
      </c>
      <c r="H141" s="89"/>
      <c r="I141" s="90"/>
      <c r="J141" s="89"/>
      <c r="K141" s="90"/>
      <c r="L141" s="89"/>
      <c r="M141" s="92">
        <f>SUM($O141:$AB141)</f>
        <v>11873.213273102618</v>
      </c>
      <c r="N141" s="3"/>
      <c r="O141" s="3"/>
      <c r="P141" s="93">
        <f>IF(P$1="",0,P20-P30-P121-P131)</f>
        <v>1553.1727222297948</v>
      </c>
      <c r="Q141" s="93">
        <f t="shared" ref="Q141:AA141" si="4">IF(Q$1="",0,Q20-Q30-Q121-Q131)</f>
        <v>1558.1729248943211</v>
      </c>
      <c r="R141" s="93">
        <f t="shared" si="4"/>
        <v>1638.0510434388955</v>
      </c>
      <c r="S141" s="93">
        <f t="shared" si="4"/>
        <v>1693.1245249508449</v>
      </c>
      <c r="T141" s="93">
        <f t="shared" si="4"/>
        <v>1698.6594754779835</v>
      </c>
      <c r="U141" s="93">
        <f t="shared" si="4"/>
        <v>1849.5487714056276</v>
      </c>
      <c r="V141" s="93">
        <f t="shared" si="4"/>
        <v>1882.4838107051505</v>
      </c>
      <c r="W141" s="93">
        <f t="shared" si="4"/>
        <v>0</v>
      </c>
      <c r="X141" s="93">
        <f t="shared" si="4"/>
        <v>0</v>
      </c>
      <c r="Y141" s="93">
        <f t="shared" si="4"/>
        <v>0</v>
      </c>
      <c r="Z141" s="93">
        <f t="shared" si="4"/>
        <v>0</v>
      </c>
      <c r="AA141" s="93">
        <f t="shared" si="4"/>
        <v>0</v>
      </c>
      <c r="AB141" s="3"/>
    </row>
    <row r="142" spans="1:28" s="5" customFormat="1" ht="3.9" hidden="1" customHeight="1" x14ac:dyDescent="0.25">
      <c r="A142" s="150">
        <f>1</f>
        <v>1</v>
      </c>
      <c r="B142" s="128"/>
      <c r="C142" s="3"/>
      <c r="D142" s="3"/>
      <c r="E142" s="3"/>
      <c r="F142" s="3"/>
      <c r="G142" s="3"/>
      <c r="H142" s="3"/>
      <c r="I142" s="28"/>
      <c r="J142" s="3"/>
      <c r="K142" s="28"/>
      <c r="L142" s="3"/>
      <c r="M142" s="55"/>
      <c r="N142" s="3"/>
      <c r="O142" s="3"/>
      <c r="P142" s="46"/>
      <c r="Q142" s="46"/>
      <c r="R142" s="46"/>
      <c r="S142" s="46"/>
      <c r="T142" s="46"/>
      <c r="U142" s="46"/>
      <c r="V142" s="46"/>
      <c r="W142" s="46"/>
      <c r="X142" s="46"/>
      <c r="Y142" s="46"/>
      <c r="Z142" s="46"/>
      <c r="AA142" s="46"/>
      <c r="AB142" s="3"/>
    </row>
    <row r="143" spans="1:28" s="5" customFormat="1" x14ac:dyDescent="0.25">
      <c r="A143" s="150">
        <f>1</f>
        <v>1</v>
      </c>
      <c r="B143" s="129" t="str">
        <f>структура!$J$15</f>
        <v>УСН(6%)-ИП</v>
      </c>
      <c r="C143" s="3"/>
      <c r="D143" s="3"/>
      <c r="E143" s="89" t="str">
        <f>E137</f>
        <v>прибыль</v>
      </c>
      <c r="F143" s="89"/>
      <c r="G143" s="89" t="str">
        <f>IF($E143="","",INDEX(KPI!$G:$G,SUMIFS(KPI!$B:$B,KPI!$E:$E,$E143)))</f>
        <v>тыс.руб.</v>
      </c>
      <c r="H143" s="89"/>
      <c r="I143" s="90"/>
      <c r="J143" s="89"/>
      <c r="K143" s="90"/>
      <c r="L143" s="89"/>
      <c r="M143" s="92">
        <f>SUM($O143:$AB143)</f>
        <v>15285.922220663713</v>
      </c>
      <c r="N143" s="3"/>
      <c r="O143" s="3"/>
      <c r="P143" s="93">
        <f>IF(P$1="",0,P22-P32-P123-P133)</f>
        <v>2115.691988398069</v>
      </c>
      <c r="Q143" s="93">
        <f t="shared" ref="Q143:AA143" si="5">IF(Q$1="",0,Q22-Q32-Q123-Q133)</f>
        <v>2121.5745797681002</v>
      </c>
      <c r="R143" s="93">
        <f t="shared" si="5"/>
        <v>2215.548836879364</v>
      </c>
      <c r="S143" s="93">
        <f t="shared" si="5"/>
        <v>2280.3411680698928</v>
      </c>
      <c r="T143" s="93">
        <f t="shared" si="5"/>
        <v>2067.7734899570241</v>
      </c>
      <c r="U143" s="93">
        <f t="shared" si="5"/>
        <v>2223.3586031895775</v>
      </c>
      <c r="V143" s="93">
        <f t="shared" si="5"/>
        <v>2261.6335544016861</v>
      </c>
      <c r="W143" s="93">
        <f t="shared" si="5"/>
        <v>0</v>
      </c>
      <c r="X143" s="93">
        <f t="shared" si="5"/>
        <v>0</v>
      </c>
      <c r="Y143" s="93">
        <f t="shared" si="5"/>
        <v>0</v>
      </c>
      <c r="Z143" s="93">
        <f t="shared" si="5"/>
        <v>0</v>
      </c>
      <c r="AA143" s="93">
        <f t="shared" si="5"/>
        <v>0</v>
      </c>
      <c r="AB143" s="3"/>
    </row>
    <row r="144" spans="1:28" ht="3.9" hidden="1" customHeight="1" x14ac:dyDescent="0.25">
      <c r="A144" s="149">
        <f>1</f>
        <v>1</v>
      </c>
      <c r="B144" s="131"/>
      <c r="C144" s="2"/>
      <c r="D144" s="2"/>
      <c r="E144" s="117"/>
      <c r="F144" s="2"/>
      <c r="G144" s="117"/>
      <c r="H144" s="2"/>
      <c r="I144" s="28"/>
      <c r="J144" s="2"/>
      <c r="K144" s="28"/>
      <c r="L144" s="2"/>
      <c r="M144" s="138"/>
      <c r="N144" s="2"/>
      <c r="O144" s="2"/>
      <c r="P144" s="36"/>
      <c r="Q144" s="36"/>
      <c r="R144" s="36"/>
      <c r="S144" s="36"/>
      <c r="T144" s="36"/>
      <c r="U144" s="36"/>
      <c r="V144" s="36"/>
      <c r="W144" s="36"/>
      <c r="X144" s="36"/>
      <c r="Y144" s="36"/>
      <c r="Z144" s="36"/>
      <c r="AA144" s="36"/>
      <c r="AB144" s="2"/>
    </row>
    <row r="145" spans="1:28" ht="8.1" hidden="1" customHeight="1" x14ac:dyDescent="0.25">
      <c r="A145" s="149">
        <f>1</f>
        <v>1</v>
      </c>
      <c r="B145" s="131"/>
      <c r="C145" s="2"/>
      <c r="D145" s="2"/>
      <c r="E145" s="2"/>
      <c r="F145" s="2"/>
      <c r="G145" s="2"/>
      <c r="H145" s="2"/>
      <c r="I145" s="28"/>
      <c r="J145" s="2"/>
      <c r="K145" s="28"/>
      <c r="L145" s="2"/>
      <c r="M145" s="52"/>
      <c r="N145" s="2"/>
      <c r="O145" s="2"/>
      <c r="P145" s="36"/>
      <c r="Q145" s="36"/>
      <c r="R145" s="36"/>
      <c r="S145" s="36"/>
      <c r="T145" s="36"/>
      <c r="U145" s="36"/>
      <c r="V145" s="36"/>
      <c r="W145" s="36"/>
      <c r="X145" s="36"/>
      <c r="Y145" s="36"/>
      <c r="Z145" s="36"/>
      <c r="AA145" s="36"/>
      <c r="AB145" s="2"/>
    </row>
    <row r="146" spans="1:28" s="5" customFormat="1" hidden="1" x14ac:dyDescent="0.25">
      <c r="A146" s="150">
        <f>1</f>
        <v>1</v>
      </c>
      <c r="B146" s="131"/>
      <c r="C146" s="3"/>
      <c r="D146" s="3"/>
      <c r="E146" s="3"/>
      <c r="F146" s="3"/>
      <c r="G146" s="3"/>
      <c r="H146" s="3"/>
      <c r="I146" s="28"/>
      <c r="J146" s="3"/>
      <c r="K146" s="28"/>
      <c r="L146" s="3"/>
      <c r="M146" s="55"/>
      <c r="N146" s="3"/>
      <c r="O146" s="3"/>
      <c r="P146" s="46"/>
      <c r="Q146" s="46"/>
      <c r="R146" s="46"/>
      <c r="S146" s="46"/>
      <c r="T146" s="46"/>
      <c r="U146" s="46"/>
      <c r="V146" s="46"/>
      <c r="W146" s="46"/>
      <c r="X146" s="46"/>
      <c r="Y146" s="46"/>
      <c r="Z146" s="46"/>
      <c r="AA146" s="46"/>
      <c r="AB146" s="3"/>
    </row>
    <row r="147" spans="1:28" ht="3.9" hidden="1" customHeight="1" x14ac:dyDescent="0.25">
      <c r="A147" s="149">
        <f>1</f>
        <v>1</v>
      </c>
      <c r="B147" s="131"/>
      <c r="C147" s="2"/>
      <c r="D147" s="2"/>
      <c r="E147" s="2"/>
      <c r="F147" s="2"/>
      <c r="G147" s="2"/>
      <c r="H147" s="2"/>
      <c r="I147" s="28"/>
      <c r="J147" s="2"/>
      <c r="K147" s="28"/>
      <c r="L147" s="2"/>
      <c r="M147" s="52"/>
      <c r="N147" s="2"/>
      <c r="O147" s="2"/>
      <c r="P147" s="36"/>
      <c r="Q147" s="36"/>
      <c r="R147" s="36"/>
      <c r="S147" s="36"/>
      <c r="T147" s="36"/>
      <c r="U147" s="36"/>
      <c r="V147" s="36"/>
      <c r="W147" s="36"/>
      <c r="X147" s="36"/>
      <c r="Y147" s="36"/>
      <c r="Z147" s="36"/>
      <c r="AA147" s="36"/>
      <c r="AB147" s="2"/>
    </row>
    <row r="148" spans="1:28" s="5" customFormat="1" hidden="1" x14ac:dyDescent="0.25">
      <c r="A148" s="150">
        <f>1</f>
        <v>1</v>
      </c>
      <c r="B148" s="131"/>
      <c r="C148" s="3"/>
      <c r="D148" s="3"/>
      <c r="E148" s="181" t="s">
        <v>275</v>
      </c>
      <c r="F148" s="3"/>
      <c r="G148" s="3"/>
      <c r="H148" s="3"/>
      <c r="I148" s="28"/>
      <c r="J148" s="3"/>
      <c r="K148" s="28"/>
      <c r="L148" s="3"/>
      <c r="M148" s="55"/>
      <c r="N148" s="3"/>
      <c r="O148" s="3"/>
      <c r="P148" s="46"/>
      <c r="Q148" s="46"/>
      <c r="R148" s="46"/>
      <c r="S148" s="46"/>
      <c r="T148" s="46"/>
      <c r="U148" s="46"/>
      <c r="V148" s="46"/>
      <c r="W148" s="46"/>
      <c r="X148" s="46"/>
      <c r="Y148" s="46"/>
      <c r="Z148" s="46"/>
      <c r="AA148" s="46"/>
      <c r="AB148" s="3"/>
    </row>
    <row r="149" spans="1:28" ht="3.9" hidden="1" customHeight="1" x14ac:dyDescent="0.25">
      <c r="A149" s="149">
        <f>1</f>
        <v>1</v>
      </c>
      <c r="B149" s="131"/>
      <c r="C149" s="2"/>
      <c r="D149" s="2"/>
      <c r="E149" s="2"/>
      <c r="F149" s="2"/>
      <c r="G149" s="2"/>
      <c r="H149" s="2"/>
      <c r="I149" s="28"/>
      <c r="J149" s="2"/>
      <c r="K149" s="28"/>
      <c r="L149" s="2"/>
      <c r="M149" s="52"/>
      <c r="N149" s="2"/>
      <c r="O149" s="2"/>
      <c r="P149" s="36"/>
      <c r="Q149" s="36"/>
      <c r="R149" s="36"/>
      <c r="S149" s="36"/>
      <c r="T149" s="36"/>
      <c r="U149" s="36"/>
      <c r="V149" s="36"/>
      <c r="W149" s="36"/>
      <c r="X149" s="36"/>
      <c r="Y149" s="36"/>
      <c r="Z149" s="36"/>
      <c r="AA149" s="36"/>
      <c r="AB149" s="2"/>
    </row>
    <row r="150" spans="1:28" ht="8.1" hidden="1" customHeight="1" x14ac:dyDescent="0.25">
      <c r="A150" s="149">
        <f>1</f>
        <v>1</v>
      </c>
      <c r="B150" s="131"/>
      <c r="C150" s="2"/>
      <c r="D150" s="2"/>
      <c r="E150" s="2"/>
      <c r="F150" s="2"/>
      <c r="G150" s="2"/>
      <c r="H150" s="2"/>
      <c r="I150" s="28"/>
      <c r="J150" s="2"/>
      <c r="K150" s="28"/>
      <c r="L150" s="2"/>
      <c r="M150" s="52"/>
      <c r="N150" s="2"/>
      <c r="O150" s="2"/>
      <c r="P150" s="36"/>
      <c r="Q150" s="36"/>
      <c r="R150" s="36"/>
      <c r="S150" s="36"/>
      <c r="T150" s="36"/>
      <c r="U150" s="36"/>
      <c r="V150" s="36"/>
      <c r="W150" s="36"/>
      <c r="X150" s="36"/>
      <c r="Y150" s="36"/>
      <c r="Z150" s="36"/>
      <c r="AA150" s="36"/>
      <c r="AB150" s="2"/>
    </row>
    <row r="151" spans="1:28" ht="3.9" hidden="1" customHeight="1" x14ac:dyDescent="0.25">
      <c r="A151" s="149">
        <f>1</f>
        <v>1</v>
      </c>
      <c r="B151" s="131"/>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2"/>
    </row>
    <row r="152" spans="1:28" s="157" customFormat="1" hidden="1" x14ac:dyDescent="0.25">
      <c r="A152" s="150">
        <f>1</f>
        <v>1</v>
      </c>
      <c r="B152" s="156" t="str">
        <f>структура!$J$12</f>
        <v>ОСНО</v>
      </c>
      <c r="C152" s="155"/>
      <c r="D152" s="155"/>
      <c r="E152" s="220" t="str">
        <f>KPI!$E$97</f>
        <v>Возмещение НДС по кап/затратам</v>
      </c>
      <c r="F152" s="220"/>
      <c r="G152" s="220" t="str">
        <f>IF($E152="","",INDEX(KPI!$G:$G,SUMIFS(KPI!$B:$B,KPI!$E:$E,$E152)))</f>
        <v>тыс.руб.</v>
      </c>
      <c r="H152" s="220"/>
      <c r="I152" s="221"/>
      <c r="J152" s="220"/>
      <c r="K152" s="221"/>
      <c r="L152" s="220"/>
      <c r="M152" s="222">
        <f>SUM($O152:$AB152)</f>
        <v>1865.4159733333333</v>
      </c>
      <c r="N152" s="155"/>
      <c r="O152" s="155"/>
      <c r="P152" s="223">
        <f>IF(P$1="",0,IF(1+операции!$P$421=0,0,операции!$P$421*(капитал!$M$102+капитал!$M$109)/(1+операции!$P$421)))*IF(капитал!$M$26+капитал!$M$78+капитал!$M$109=0,0,(капитал!$M$26+капитал!$M$78-(капитал!$J$87+капитал!$J$50*капитал!$J$32+капитал!$J$84)/1000)/(капитал!$M$26+капитал!$M$78+капитал!$M$109))</f>
        <v>1865.4159733333333</v>
      </c>
      <c r="Q152" s="223"/>
      <c r="R152" s="223"/>
      <c r="S152" s="223"/>
      <c r="T152" s="223"/>
      <c r="U152" s="223"/>
      <c r="V152" s="223"/>
      <c r="W152" s="223"/>
      <c r="X152" s="223"/>
      <c r="Y152" s="223"/>
      <c r="Z152" s="223"/>
      <c r="AA152" s="223"/>
      <c r="AB152" s="155"/>
    </row>
    <row r="153" spans="1:28" ht="3.9" hidden="1" customHeight="1" x14ac:dyDescent="0.25">
      <c r="A153" s="149">
        <f>1</f>
        <v>1</v>
      </c>
      <c r="B153" s="131"/>
      <c r="C153" s="2"/>
      <c r="D153" s="2"/>
      <c r="E153" s="117"/>
      <c r="F153" s="2"/>
      <c r="G153" s="117"/>
      <c r="H153" s="2"/>
      <c r="I153" s="28"/>
      <c r="J153" s="2"/>
      <c r="K153" s="28"/>
      <c r="L153" s="2"/>
      <c r="M153" s="138"/>
      <c r="N153" s="2"/>
      <c r="O153" s="2"/>
      <c r="P153" s="36"/>
      <c r="Q153" s="36"/>
      <c r="R153" s="36"/>
      <c r="S153" s="36"/>
      <c r="T153" s="36"/>
      <c r="U153" s="36"/>
      <c r="V153" s="36"/>
      <c r="W153" s="36"/>
      <c r="X153" s="36"/>
      <c r="Y153" s="36"/>
      <c r="Z153" s="36"/>
      <c r="AA153" s="36"/>
      <c r="AB153" s="2"/>
    </row>
    <row r="154" spans="1:28" ht="3.9" hidden="1" customHeight="1" x14ac:dyDescent="0.25">
      <c r="A154" s="149">
        <f>1</f>
        <v>1</v>
      </c>
      <c r="B154" s="131"/>
      <c r="C154" s="2"/>
      <c r="D154" s="2"/>
      <c r="E154" s="2"/>
      <c r="F154" s="2"/>
      <c r="G154" s="2"/>
      <c r="H154" s="2"/>
      <c r="I154" s="28"/>
      <c r="J154" s="2"/>
      <c r="K154" s="28"/>
      <c r="L154" s="2"/>
      <c r="M154" s="52"/>
      <c r="N154" s="2"/>
      <c r="O154" s="2"/>
      <c r="P154" s="36"/>
      <c r="Q154" s="36"/>
      <c r="R154" s="36"/>
      <c r="S154" s="36"/>
      <c r="T154" s="36"/>
      <c r="U154" s="36"/>
      <c r="V154" s="36"/>
      <c r="W154" s="36"/>
      <c r="X154" s="36"/>
      <c r="Y154" s="36"/>
      <c r="Z154" s="36"/>
      <c r="AA154" s="36"/>
      <c r="AB154" s="2"/>
    </row>
    <row r="155" spans="1:28" s="5" customFormat="1" hidden="1" x14ac:dyDescent="0.25">
      <c r="A155" s="150">
        <f>1</f>
        <v>1</v>
      </c>
      <c r="B155" s="129" t="str">
        <f>структура!$J$12</f>
        <v>ОСНО</v>
      </c>
      <c r="C155" s="3"/>
      <c r="D155" s="3"/>
      <c r="E155" s="147" t="str">
        <f>KPI!$E$89</f>
        <v>приток денежных средств</v>
      </c>
      <c r="F155" s="147"/>
      <c r="G155" s="147" t="str">
        <f>IF($E155="","",INDEX(KPI!$G:$G,SUMIFS(KPI!$B:$B,KPI!$E:$E,$E155)))</f>
        <v>тыс.руб.</v>
      </c>
      <c r="H155" s="147"/>
      <c r="I155" s="170"/>
      <c r="J155" s="147"/>
      <c r="K155" s="170"/>
      <c r="L155" s="147"/>
      <c r="M155" s="171">
        <f>SUM($O155:$AB155)</f>
        <v>53015.415973333336</v>
      </c>
      <c r="N155" s="3"/>
      <c r="O155" s="3"/>
      <c r="P155" s="172">
        <f>IF(P$1="",0,P$16*(1+операции!P$421)+P152)</f>
        <v>9168.062127179488</v>
      </c>
      <c r="Q155" s="172">
        <f>IF(Q$1="",0,Q$16*(1+операции!Q$421))</f>
        <v>7302.6461538461544</v>
      </c>
      <c r="R155" s="172">
        <f>IF(R$1="",0,R$16*(1+операции!R$421))</f>
        <v>7318.3846153846162</v>
      </c>
      <c r="S155" s="172">
        <f>IF(S$1="",0,S$16*(1+операции!S$421))</f>
        <v>7302.6461538461544</v>
      </c>
      <c r="T155" s="172">
        <f>IF(T$1="",0,T$16*(1+операции!T$421))</f>
        <v>7302.6461538461544</v>
      </c>
      <c r="U155" s="172">
        <f>IF(U$1="",0,U$16*(1+операции!U$421))</f>
        <v>7302.6461538461544</v>
      </c>
      <c r="V155" s="172">
        <f>IF(V$1="",0,V$16*(1+операции!V$421))</f>
        <v>7318.3846153846162</v>
      </c>
      <c r="W155" s="172">
        <f>IF(W$1="",0,W$16*(1+операции!W$421))</f>
        <v>0</v>
      </c>
      <c r="X155" s="172">
        <f>IF(X$1="",0,X$16*(1+операции!X$421))</f>
        <v>0</v>
      </c>
      <c r="Y155" s="172">
        <f>IF(Y$1="",0,Y$16*(1+операции!Y$421))</f>
        <v>0</v>
      </c>
      <c r="Z155" s="172">
        <f>IF(Z$1="",0,Z$16*(1+операции!Z$421))</f>
        <v>0</v>
      </c>
      <c r="AA155" s="172">
        <f>IF(AA$1="",0,AA$16*(1+операции!AA$421))</f>
        <v>0</v>
      </c>
      <c r="AB155" s="3"/>
    </row>
    <row r="156" spans="1:28" s="5" customFormat="1" ht="3.9" hidden="1" customHeight="1" x14ac:dyDescent="0.25">
      <c r="A156" s="150">
        <f>1</f>
        <v>1</v>
      </c>
      <c r="B156" s="128"/>
      <c r="C156" s="3"/>
      <c r="D156" s="3"/>
      <c r="E156" s="3"/>
      <c r="F156" s="3"/>
      <c r="G156" s="3"/>
      <c r="H156" s="3"/>
      <c r="I156" s="28"/>
      <c r="J156" s="3"/>
      <c r="K156" s="28"/>
      <c r="L156" s="3"/>
      <c r="M156" s="55"/>
      <c r="N156" s="3"/>
      <c r="O156" s="3"/>
      <c r="P156" s="46"/>
      <c r="Q156" s="46"/>
      <c r="R156" s="46"/>
      <c r="S156" s="46"/>
      <c r="T156" s="46"/>
      <c r="U156" s="46"/>
      <c r="V156" s="46"/>
      <c r="W156" s="46"/>
      <c r="X156" s="46"/>
      <c r="Y156" s="46"/>
      <c r="Z156" s="46"/>
      <c r="AA156" s="46"/>
      <c r="AB156" s="3"/>
    </row>
    <row r="157" spans="1:28" s="5" customFormat="1" hidden="1" x14ac:dyDescent="0.25">
      <c r="A157" s="150">
        <f>1</f>
        <v>1</v>
      </c>
      <c r="B157" s="129" t="str">
        <f>структура!$J$13</f>
        <v>УСН(6%)</v>
      </c>
      <c r="C157" s="3"/>
      <c r="D157" s="3"/>
      <c r="E157" s="147" t="str">
        <f>E155</f>
        <v>приток денежных средств</v>
      </c>
      <c r="F157" s="147"/>
      <c r="G157" s="147" t="str">
        <f>IF($E157="","",INDEX(KPI!$G:$G,SUMIFS(KPI!$B:$B,KPI!$E:$E,$E157)))</f>
        <v>тыс.руб.</v>
      </c>
      <c r="H157" s="147"/>
      <c r="I157" s="170"/>
      <c r="J157" s="147"/>
      <c r="K157" s="170"/>
      <c r="L157" s="147"/>
      <c r="M157" s="171">
        <f>SUM($O157:$AB157)</f>
        <v>51149.999999999993</v>
      </c>
      <c r="N157" s="3"/>
      <c r="O157" s="3"/>
      <c r="P157" s="172">
        <f>IF(P$1="",0,P18)</f>
        <v>7302.6461538461535</v>
      </c>
      <c r="Q157" s="172">
        <f t="shared" ref="Q157:AA157" si="6">IF(Q$1="",0,Q18)</f>
        <v>7302.6461538461535</v>
      </c>
      <c r="R157" s="172">
        <f t="shared" si="6"/>
        <v>7318.3846153846152</v>
      </c>
      <c r="S157" s="172">
        <f t="shared" si="6"/>
        <v>7302.6461538461535</v>
      </c>
      <c r="T157" s="172">
        <f t="shared" si="6"/>
        <v>7302.6461538461535</v>
      </c>
      <c r="U157" s="172">
        <f t="shared" si="6"/>
        <v>7302.6461538461535</v>
      </c>
      <c r="V157" s="172">
        <f t="shared" si="6"/>
        <v>7318.3846153846152</v>
      </c>
      <c r="W157" s="172">
        <f t="shared" si="6"/>
        <v>0</v>
      </c>
      <c r="X157" s="172">
        <f t="shared" si="6"/>
        <v>0</v>
      </c>
      <c r="Y157" s="172">
        <f t="shared" si="6"/>
        <v>0</v>
      </c>
      <c r="Z157" s="172">
        <f t="shared" si="6"/>
        <v>0</v>
      </c>
      <c r="AA157" s="172">
        <f t="shared" si="6"/>
        <v>0</v>
      </c>
      <c r="AB157" s="3"/>
    </row>
    <row r="158" spans="1:28" s="5" customFormat="1" ht="3.9" hidden="1" customHeight="1" x14ac:dyDescent="0.25">
      <c r="A158" s="150">
        <f>1</f>
        <v>1</v>
      </c>
      <c r="B158" s="128"/>
      <c r="C158" s="3"/>
      <c r="D158" s="3"/>
      <c r="E158" s="3"/>
      <c r="F158" s="3"/>
      <c r="G158" s="3"/>
      <c r="H158" s="3"/>
      <c r="I158" s="28"/>
      <c r="J158" s="3"/>
      <c r="K158" s="28"/>
      <c r="L158" s="3"/>
      <c r="M158" s="55"/>
      <c r="N158" s="3"/>
      <c r="O158" s="3"/>
      <c r="P158" s="46"/>
      <c r="Q158" s="46"/>
      <c r="R158" s="46"/>
      <c r="S158" s="46"/>
      <c r="T158" s="46"/>
      <c r="U158" s="46"/>
      <c r="V158" s="46"/>
      <c r="W158" s="46"/>
      <c r="X158" s="46"/>
      <c r="Y158" s="46"/>
      <c r="Z158" s="46"/>
      <c r="AA158" s="46"/>
      <c r="AB158" s="3"/>
    </row>
    <row r="159" spans="1:28" s="5" customFormat="1" hidden="1" x14ac:dyDescent="0.25">
      <c r="A159" s="150">
        <f>1</f>
        <v>1</v>
      </c>
      <c r="B159" s="129" t="str">
        <f>структура!$J$14</f>
        <v>УСН(15%)</v>
      </c>
      <c r="C159" s="3"/>
      <c r="D159" s="3"/>
      <c r="E159" s="147" t="str">
        <f>E155</f>
        <v>приток денежных средств</v>
      </c>
      <c r="F159" s="147"/>
      <c r="G159" s="147" t="str">
        <f>IF($E159="","",INDEX(KPI!$G:$G,SUMIFS(KPI!$B:$B,KPI!$E:$E,$E159)))</f>
        <v>тыс.руб.</v>
      </c>
      <c r="H159" s="147"/>
      <c r="I159" s="170"/>
      <c r="J159" s="147"/>
      <c r="K159" s="170"/>
      <c r="L159" s="147"/>
      <c r="M159" s="171">
        <f>SUM($O159:$AB159)</f>
        <v>51149.999999999993</v>
      </c>
      <c r="N159" s="3"/>
      <c r="O159" s="3"/>
      <c r="P159" s="172">
        <f>IF(P$1="",0,P20)</f>
        <v>7302.6461538461535</v>
      </c>
      <c r="Q159" s="172">
        <f t="shared" ref="Q159:AA159" si="7">IF(Q$1="",0,Q20)</f>
        <v>7302.6461538461535</v>
      </c>
      <c r="R159" s="172">
        <f t="shared" si="7"/>
        <v>7318.3846153846152</v>
      </c>
      <c r="S159" s="172">
        <f t="shared" si="7"/>
        <v>7302.6461538461535</v>
      </c>
      <c r="T159" s="172">
        <f t="shared" si="7"/>
        <v>7302.6461538461535</v>
      </c>
      <c r="U159" s="172">
        <f t="shared" si="7"/>
        <v>7302.6461538461535</v>
      </c>
      <c r="V159" s="172">
        <f t="shared" si="7"/>
        <v>7318.3846153846152</v>
      </c>
      <c r="W159" s="172">
        <f t="shared" si="7"/>
        <v>0</v>
      </c>
      <c r="X159" s="172">
        <f t="shared" si="7"/>
        <v>0</v>
      </c>
      <c r="Y159" s="172">
        <f t="shared" si="7"/>
        <v>0</v>
      </c>
      <c r="Z159" s="172">
        <f t="shared" si="7"/>
        <v>0</v>
      </c>
      <c r="AA159" s="172">
        <f t="shared" si="7"/>
        <v>0</v>
      </c>
      <c r="AB159" s="3"/>
    </row>
    <row r="160" spans="1:28" s="5" customFormat="1" ht="3.9" hidden="1" customHeight="1" x14ac:dyDescent="0.25">
      <c r="A160" s="150">
        <f>1</f>
        <v>1</v>
      </c>
      <c r="B160" s="128"/>
      <c r="C160" s="3"/>
      <c r="D160" s="3"/>
      <c r="E160" s="3"/>
      <c r="F160" s="3"/>
      <c r="G160" s="3"/>
      <c r="H160" s="3"/>
      <c r="I160" s="28"/>
      <c r="J160" s="3"/>
      <c r="K160" s="28"/>
      <c r="L160" s="3"/>
      <c r="M160" s="55"/>
      <c r="N160" s="3"/>
      <c r="O160" s="3"/>
      <c r="P160" s="46"/>
      <c r="Q160" s="46"/>
      <c r="R160" s="46"/>
      <c r="S160" s="46"/>
      <c r="T160" s="46"/>
      <c r="U160" s="46"/>
      <c r="V160" s="46"/>
      <c r="W160" s="46"/>
      <c r="X160" s="46"/>
      <c r="Y160" s="46"/>
      <c r="Z160" s="46"/>
      <c r="AA160" s="46"/>
      <c r="AB160" s="3"/>
    </row>
    <row r="161" spans="1:28" s="5" customFormat="1" x14ac:dyDescent="0.25">
      <c r="A161" s="150">
        <f>1</f>
        <v>1</v>
      </c>
      <c r="B161" s="129" t="str">
        <f>структура!$J$15</f>
        <v>УСН(6%)-ИП</v>
      </c>
      <c r="C161" s="3"/>
      <c r="D161" s="3"/>
      <c r="E161" s="147" t="str">
        <f>E155</f>
        <v>приток денежных средств</v>
      </c>
      <c r="F161" s="147"/>
      <c r="G161" s="147" t="str">
        <f>IF($E161="","",INDEX(KPI!$G:$G,SUMIFS(KPI!$B:$B,KPI!$E:$E,$E161)))</f>
        <v>тыс.руб.</v>
      </c>
      <c r="H161" s="147"/>
      <c r="I161" s="170"/>
      <c r="J161" s="147"/>
      <c r="K161" s="170"/>
      <c r="L161" s="147"/>
      <c r="M161" s="171">
        <f>SUM($O161:$AB161)</f>
        <v>51149.999999999993</v>
      </c>
      <c r="N161" s="3"/>
      <c r="O161" s="3"/>
      <c r="P161" s="172">
        <f>IF(P$1="",0,P22)</f>
        <v>7302.6461538461535</v>
      </c>
      <c r="Q161" s="172">
        <f t="shared" ref="Q161:AA161" si="8">IF(Q$1="",0,Q22)</f>
        <v>7302.6461538461535</v>
      </c>
      <c r="R161" s="172">
        <f t="shared" si="8"/>
        <v>7318.3846153846152</v>
      </c>
      <c r="S161" s="172">
        <f t="shared" si="8"/>
        <v>7302.6461538461535</v>
      </c>
      <c r="T161" s="172">
        <f t="shared" si="8"/>
        <v>7302.6461538461535</v>
      </c>
      <c r="U161" s="172">
        <f t="shared" si="8"/>
        <v>7302.6461538461535</v>
      </c>
      <c r="V161" s="172">
        <f t="shared" si="8"/>
        <v>7318.3846153846152</v>
      </c>
      <c r="W161" s="172">
        <f t="shared" si="8"/>
        <v>0</v>
      </c>
      <c r="X161" s="172">
        <f t="shared" si="8"/>
        <v>0</v>
      </c>
      <c r="Y161" s="172">
        <f t="shared" si="8"/>
        <v>0</v>
      </c>
      <c r="Z161" s="172">
        <f t="shared" si="8"/>
        <v>0</v>
      </c>
      <c r="AA161" s="172">
        <f t="shared" si="8"/>
        <v>0</v>
      </c>
      <c r="AB161" s="3"/>
    </row>
    <row r="162" spans="1:28" ht="3.9" hidden="1" customHeight="1" x14ac:dyDescent="0.25">
      <c r="A162" s="149">
        <f>1</f>
        <v>1</v>
      </c>
      <c r="B162" s="131"/>
      <c r="C162" s="2"/>
      <c r="D162" s="2"/>
      <c r="E162" s="117"/>
      <c r="F162" s="2"/>
      <c r="G162" s="117"/>
      <c r="H162" s="2"/>
      <c r="I162" s="28"/>
      <c r="J162" s="2"/>
      <c r="K162" s="28"/>
      <c r="L162" s="2"/>
      <c r="M162" s="138"/>
      <c r="N162" s="2"/>
      <c r="O162" s="2"/>
      <c r="P162" s="36"/>
      <c r="Q162" s="36"/>
      <c r="R162" s="36"/>
      <c r="S162" s="36"/>
      <c r="T162" s="36"/>
      <c r="U162" s="36"/>
      <c r="V162" s="36"/>
      <c r="W162" s="36"/>
      <c r="X162" s="36"/>
      <c r="Y162" s="36"/>
      <c r="Z162" s="36"/>
      <c r="AA162" s="36"/>
      <c r="AB162" s="2"/>
    </row>
    <row r="163" spans="1:28" ht="8.1" hidden="1" customHeight="1" x14ac:dyDescent="0.25">
      <c r="A163" s="149">
        <f>1</f>
        <v>1</v>
      </c>
      <c r="B163" s="131"/>
      <c r="C163" s="2"/>
      <c r="D163" s="2"/>
      <c r="E163" s="2"/>
      <c r="F163" s="2"/>
      <c r="G163" s="2"/>
      <c r="H163" s="2"/>
      <c r="I163" s="28"/>
      <c r="J163" s="2"/>
      <c r="K163" s="28"/>
      <c r="L163" s="2"/>
      <c r="M163" s="52"/>
      <c r="N163" s="2"/>
      <c r="O163" s="2"/>
      <c r="P163" s="36"/>
      <c r="Q163" s="36"/>
      <c r="R163" s="36"/>
      <c r="S163" s="36"/>
      <c r="T163" s="36"/>
      <c r="U163" s="36"/>
      <c r="V163" s="36"/>
      <c r="W163" s="36"/>
      <c r="X163" s="36"/>
      <c r="Y163" s="36"/>
      <c r="Z163" s="36"/>
      <c r="AA163" s="36"/>
      <c r="AB163" s="2"/>
    </row>
    <row r="164" spans="1:28" ht="3.9" hidden="1" customHeight="1" x14ac:dyDescent="0.25">
      <c r="A164" s="149">
        <f>1</f>
        <v>1</v>
      </c>
      <c r="B164" s="131"/>
      <c r="C164" s="2"/>
      <c r="D164" s="2"/>
      <c r="E164" s="2"/>
      <c r="F164" s="2"/>
      <c r="G164" s="2"/>
      <c r="H164" s="2"/>
      <c r="I164" s="28"/>
      <c r="J164" s="2"/>
      <c r="K164" s="28"/>
      <c r="L164" s="2"/>
      <c r="M164" s="52"/>
      <c r="N164" s="2"/>
      <c r="O164" s="2"/>
      <c r="P164" s="36"/>
      <c r="Q164" s="36"/>
      <c r="R164" s="36"/>
      <c r="S164" s="36"/>
      <c r="T164" s="36"/>
      <c r="U164" s="36"/>
      <c r="V164" s="36"/>
      <c r="W164" s="36"/>
      <c r="X164" s="36"/>
      <c r="Y164" s="36"/>
      <c r="Z164" s="36"/>
      <c r="AA164" s="36"/>
      <c r="AB164" s="2"/>
    </row>
    <row r="165" spans="1:28" s="5" customFormat="1" hidden="1" x14ac:dyDescent="0.25">
      <c r="A165" s="150">
        <f>1</f>
        <v>1</v>
      </c>
      <c r="B165" s="129" t="str">
        <f>структура!$J$12</f>
        <v>ОСНО</v>
      </c>
      <c r="C165" s="3"/>
      <c r="D165" s="3"/>
      <c r="E165" s="173" t="str">
        <f>KPI!$E$90</f>
        <v>отток денежных средств</v>
      </c>
      <c r="F165" s="173"/>
      <c r="G165" s="173" t="str">
        <f>IF($E165="","",INDEX(KPI!$G:$G,SUMIFS(KPI!$B:$B,KPI!$E:$E,$E165)))</f>
        <v>тыс.руб.</v>
      </c>
      <c r="H165" s="173"/>
      <c r="I165" s="174"/>
      <c r="J165" s="173"/>
      <c r="K165" s="174"/>
      <c r="L165" s="173"/>
      <c r="M165" s="175">
        <f>SUM($O165:$AB165)</f>
        <v>31937.453866451724</v>
      </c>
      <c r="N165" s="3"/>
      <c r="O165" s="3"/>
      <c r="P165" s="176">
        <f>IF(P$1="",0,ФОТ!P$92+ФОТ!P$125+операции!P$265*IF(аренда!$M$41+аренда!$M$43=0,0,P$11/(аренда!$M$41+аренда!$M$43))+(операции!P$232+операции!P$315+операции!P$386+операции!P$404)*IF(отчеты!P16=0,0,P16/отчеты!P16))</f>
        <v>3518.9863552538854</v>
      </c>
      <c r="Q165" s="176">
        <f>IF(Q$1="",0,ФОТ!Q$92+ФОТ!Q$125+операции!Q$265*IF(аренда!$M$41+аренда!$M$43=0,0,Q$11/(аренда!$M$41+аренда!$M$43))+(операции!Q$232+операции!Q$315+операции!Q$386+операции!Q$404)*IF(отчеты!Q16=0,0,Q16/отчеты!Q16)+P$16*операции!P$421-P$107+P$127)</f>
        <v>4833.5898493541144</v>
      </c>
      <c r="R165" s="176">
        <f>IF(R$1="",0,ФОТ!R$92+ФОТ!R$125+операции!R$265*IF(аренда!$M$41+аренда!$M$43=0,0,R$11/(аренда!$M$41+аренда!$M$43))+(операции!R$232+операции!R$315+операции!R$386+операции!R$404)*IF(отчеты!R16=0,0,R16/отчеты!R16)+Q$16*операции!Q$421-Q$107+Q$127)</f>
        <v>4757.3149175713224</v>
      </c>
      <c r="S165" s="176">
        <f>IF(S$1="",0,ФОТ!S$92+ФОТ!S$125+операции!S$265*IF(аренда!$M$41+аренда!$M$43=0,0,S$11/(аренда!$M$41+аренда!$M$43))+(операции!S$232+операции!S$315+операции!S$386+операции!S$404)*IF(отчеты!S16=0,0,S16/отчеты!S16)+R$16*операции!R$421-R$107+R$127)</f>
        <v>4708.1088772127532</v>
      </c>
      <c r="T165" s="176">
        <f>IF(T$1="",0,ФОТ!T$92+ФОТ!T$125+операции!T$265*IF(аренда!$M$41+аренда!$M$43=0,0,T$11/(аренда!$M$41+аренда!$M$43))+(операции!T$232+операции!T$315+операции!T$386+операции!T$404)*IF(отчеты!T16=0,0,T16/отчеты!T16)+S$16*операции!S$421-S$107+S$127)</f>
        <v>4723.1946144404137</v>
      </c>
      <c r="U165" s="176">
        <f>IF(U$1="",0,ФОТ!U$92+ФОТ!U$125+операции!U$265*IF(аренда!$M$41+аренда!$M$43=0,0,U$11/(аренда!$M$41+аренда!$M$43))+(операции!U$232+операции!U$315+операции!U$386+операции!U$404)*IF(отчеты!U16=0,0,U16/отчеты!U16)+T$16*операции!T$421-T$107+T$127)</f>
        <v>4694.0597345751894</v>
      </c>
      <c r="V165" s="176">
        <f>IF(V$1="",0,ФОТ!V$92+ФОТ!V$125+операции!V$265*IF(аренда!$M$41+аренда!$M$43=0,0,V$11/(аренда!$M$41+аренда!$M$43))+(операции!V$232+операции!V$315+операции!V$386+операции!V$404)*IF(отчеты!V16=0,0,V16/отчеты!V16)+U$16*операции!U$421-U$107+U$127)</f>
        <v>4702.1995180440472</v>
      </c>
      <c r="W165" s="176">
        <f>IF(W$1="",0,ФОТ!W$92+ФОТ!W$125+операции!W$265*IF(аренда!$M$41+аренда!$M$43=0,0,W$11/(аренда!$M$41+аренда!$M$43))+(операции!W$232+операции!W$315+операции!W$386+операции!W$404)*IF(отчеты!W16=0,0,W16/отчеты!W16)+V$16*операции!V$421-V$107+V$127)</f>
        <v>0</v>
      </c>
      <c r="X165" s="176">
        <f>IF(X$1="",0,ФОТ!X$92+ФОТ!X$125+операции!X$265*IF(аренда!$M$41+аренда!$M$43=0,0,X$11/(аренда!$M$41+аренда!$M$43))+(операции!X$232+операции!X$315+операции!X$386+операции!X$404)*IF(отчеты!X16=0,0,X16/отчеты!X16)+W$16*операции!W$421-W$107+W$127)</f>
        <v>0</v>
      </c>
      <c r="Y165" s="176">
        <f>IF(Y$1="",0,ФОТ!Y$92+ФОТ!Y$125+операции!Y$265*IF(аренда!$M$41+аренда!$M$43=0,0,Y$11/(аренда!$M$41+аренда!$M$43))+(операции!Y$232+операции!Y$315+операции!Y$386+операции!Y$404)*IF(отчеты!Y16=0,0,Y16/отчеты!Y16)+X$16*операции!X$421-X$107+X$127)</f>
        <v>0</v>
      </c>
      <c r="Z165" s="176">
        <f>IF(Z$1="",0,ФОТ!Z$92+ФОТ!Z$125+операции!Z$265*IF(аренда!$M$41+аренда!$M$43=0,0,Z$11/(аренда!$M$41+аренда!$M$43))+(операции!Z$232+операции!Z$315+операции!Z$386+операции!Z$404)*IF(отчеты!Z16=0,0,Z16/отчеты!Z16)+Y$16*операции!Y$421-Y$107+Y$127)</f>
        <v>0</v>
      </c>
      <c r="AA165" s="176">
        <f>IF(AA$1="",0,ФОТ!AA$92+ФОТ!AA$125+операции!AA$265*IF(аренда!$M$41+аренда!$M$43=0,0,AA$11/(аренда!$M$41+аренда!$M$43))+(операции!AA$232+операции!AA$315+операции!AA$386+операции!AA$404)*IF(отчеты!AA16=0,0,AA16/отчеты!AA16)+Z$16*операции!Z$421-Z$107+Z$127)</f>
        <v>0</v>
      </c>
      <c r="AB165" s="3"/>
    </row>
    <row r="166" spans="1:28" s="5" customFormat="1" ht="3.9" hidden="1" customHeight="1" x14ac:dyDescent="0.25">
      <c r="A166" s="150">
        <f>1</f>
        <v>1</v>
      </c>
      <c r="B166" s="128"/>
      <c r="C166" s="3"/>
      <c r="D166" s="3"/>
      <c r="E166" s="3"/>
      <c r="F166" s="3"/>
      <c r="G166" s="3"/>
      <c r="H166" s="3"/>
      <c r="I166" s="28"/>
      <c r="J166" s="3"/>
      <c r="K166" s="28"/>
      <c r="L166" s="3"/>
      <c r="M166" s="55"/>
      <c r="N166" s="3"/>
      <c r="O166" s="3"/>
      <c r="P166" s="46"/>
      <c r="Q166" s="46"/>
      <c r="R166" s="46"/>
      <c r="S166" s="46"/>
      <c r="T166" s="46"/>
      <c r="U166" s="46"/>
      <c r="V166" s="46"/>
      <c r="W166" s="46"/>
      <c r="X166" s="46"/>
      <c r="Y166" s="46"/>
      <c r="Z166" s="46"/>
      <c r="AA166" s="46"/>
      <c r="AB166" s="3"/>
    </row>
    <row r="167" spans="1:28" s="5" customFormat="1" hidden="1" x14ac:dyDescent="0.25">
      <c r="A167" s="150">
        <f>1</f>
        <v>1</v>
      </c>
      <c r="B167" s="129" t="str">
        <f>структура!$J$13</f>
        <v>УСН(6%)</v>
      </c>
      <c r="C167" s="3"/>
      <c r="D167" s="3"/>
      <c r="E167" s="173" t="str">
        <f>E165</f>
        <v>отток денежных средств</v>
      </c>
      <c r="F167" s="173"/>
      <c r="G167" s="173" t="str">
        <f>IF($E167="","",INDEX(KPI!$G:$G,SUMIFS(KPI!$B:$B,KPI!$E:$E,$E167)))</f>
        <v>тыс.руб.</v>
      </c>
      <c r="H167" s="173"/>
      <c r="I167" s="174"/>
      <c r="J167" s="173"/>
      <c r="K167" s="174"/>
      <c r="L167" s="173"/>
      <c r="M167" s="175">
        <f>SUM($O167:$AB167)</f>
        <v>25295.288735711998</v>
      </c>
      <c r="N167" s="3"/>
      <c r="O167" s="3"/>
      <c r="P167" s="176">
        <f>IF(P$1="",0,ФОТ!P$92+ФОТ!P$125+операции!P$265*IF(аренда!$M$41+аренда!$M$43=0,0,P$11/(аренда!$M$41+аренда!$M$43))+(операции!P$232+операции!P$315+операции!P$386+операции!P$404)*IF(отчеты!P18=0,0,P18/отчеты!P18))</f>
        <v>3518.9863552538845</v>
      </c>
      <c r="Q167" s="176">
        <f>IF(Q$1="",0,ФОТ!Q$92+ФОТ!Q$125+операции!Q$265*IF(аренда!$M$41+аренда!$M$43=0,0,Q$11/(аренда!$M$41+аренда!$M$43))+(операции!Q$232+операции!Q$315+операции!Q$386+операции!Q$404)*IF(отчеты!Q18=0,0,Q18/отчеты!Q18)+P$129)</f>
        <v>3765.7145059696786</v>
      </c>
      <c r="R167" s="176">
        <f>IF(R$1="",0,ФОТ!R$92+ФОТ!R$125+операции!R$265*IF(аренда!$M$41+аренда!$M$43=0,0,R$11/(аренда!$M$41+аренда!$M$43))+(операции!R$232+операции!R$315+операции!R$386+операции!R$404)*IF(отчеты!R18=0,0,R18/отчеты!R18)+Q$129)</f>
        <v>3687.4787103968756</v>
      </c>
      <c r="S167" s="176">
        <f>IF(S$1="",0,ФОТ!S$92+ФОТ!S$125+операции!S$265*IF(аренда!$M$41+аренда!$M$43=0,0,S$11/(аренда!$M$41+аренда!$M$43))+(операции!S$232+операции!S$315+операции!S$386+операции!S$404)*IF(отчеты!S18=0,0,S18/отчеты!S18)+R$129)</f>
        <v>3607.4200715140387</v>
      </c>
      <c r="T167" s="176">
        <f>IF(T$1="",0,ФОТ!T$92+ФОТ!T$125+операции!T$265*IF(аренда!$M$41+аренда!$M$43=0,0,T$11/(аренда!$M$41+аренда!$M$43))+(операции!T$232+операции!T$315+операции!T$386+операции!T$404)*IF(отчеты!T18=0,0,T18/отчеты!T18)+S$129)</f>
        <v>3600.43621116537</v>
      </c>
      <c r="U167" s="176">
        <f>IF(U$1="",0,ФОТ!U$92+ФОТ!U$125+операции!U$265*IF(аренда!$M$41+аренда!$M$43=0,0,U$11/(аренда!$M$41+аренда!$M$43))+(операции!U$232+операции!U$315+операции!U$386+операции!U$404)*IF(отчеты!U18=0,0,U18/отчеты!U18)+T$129)</f>
        <v>3569.1307624659739</v>
      </c>
      <c r="V167" s="176">
        <f>IF(V$1="",0,ФОТ!V$92+ФОТ!V$125+операции!V$265*IF(аренда!$M$41+аренда!$M$43=0,0,V$11/(аренда!$M$41+аренда!$M$43))+(операции!V$232+операции!V$315+операции!V$386+операции!V$404)*IF(отчеты!V18=0,0,V18/отчеты!V18)+U$129)</f>
        <v>3546.122118946173</v>
      </c>
      <c r="W167" s="176">
        <f>IF(W$1="",0,ФОТ!W$92+ФОТ!W$125+операции!W$265*IF(аренда!$M$41+аренда!$M$43=0,0,W$11/(аренда!$M$41+аренда!$M$43))+(операции!W$232+операции!W$315+операции!W$386+операции!W$404)*IF(отчеты!W18=0,0,W18/отчеты!W18)+V$129)</f>
        <v>0</v>
      </c>
      <c r="X167" s="176">
        <f>IF(X$1="",0,ФОТ!X$92+ФОТ!X$125+операции!X$265*IF(аренда!$M$41+аренда!$M$43=0,0,X$11/(аренда!$M$41+аренда!$M$43))+(операции!X$232+операции!X$315+операции!X$386+операции!X$404)*IF(отчеты!X18=0,0,X18/отчеты!X18)+W$129)</f>
        <v>0</v>
      </c>
      <c r="Y167" s="176">
        <f>IF(Y$1="",0,ФОТ!Y$92+ФОТ!Y$125+операции!Y$265*IF(аренда!$M$41+аренда!$M$43=0,0,Y$11/(аренда!$M$41+аренда!$M$43))+(операции!Y$232+операции!Y$315+операции!Y$386+операции!Y$404)*IF(отчеты!Y18=0,0,Y18/отчеты!Y18)+X$129)</f>
        <v>0</v>
      </c>
      <c r="Z167" s="176">
        <f>IF(Z$1="",0,ФОТ!Z$92+ФОТ!Z$125+операции!Z$265*IF(аренда!$M$41+аренда!$M$43=0,0,Z$11/(аренда!$M$41+аренда!$M$43))+(операции!Z$232+операции!Z$315+операции!Z$386+операции!Z$404)*IF(отчеты!Z18=0,0,Z18/отчеты!Z18)+Y$129)</f>
        <v>0</v>
      </c>
      <c r="AA167" s="176">
        <f>IF(AA$1="",0,ФОТ!AA$92+ФОТ!AA$125+операции!AA$265*IF(аренда!$M$41+аренда!$M$43=0,0,AA$11/(аренда!$M$41+аренда!$M$43))+(операции!AA$232+операции!AA$315+операции!AA$386+операции!AA$404)*IF(отчеты!AA18=0,0,AA18/отчеты!AA18)+Z$129)</f>
        <v>0</v>
      </c>
      <c r="AB167" s="3"/>
    </row>
    <row r="168" spans="1:28" s="5" customFormat="1" ht="3.9" hidden="1" customHeight="1" x14ac:dyDescent="0.25">
      <c r="A168" s="150">
        <f>1</f>
        <v>1</v>
      </c>
      <c r="B168" s="128"/>
      <c r="C168" s="3"/>
      <c r="D168" s="3"/>
      <c r="E168" s="3"/>
      <c r="F168" s="3"/>
      <c r="G168" s="3"/>
      <c r="H168" s="3"/>
      <c r="I168" s="28"/>
      <c r="J168" s="3"/>
      <c r="K168" s="28"/>
      <c r="L168" s="3"/>
      <c r="M168" s="55"/>
      <c r="N168" s="3"/>
      <c r="O168" s="3"/>
      <c r="P168" s="46"/>
      <c r="Q168" s="46"/>
      <c r="R168" s="46"/>
      <c r="S168" s="46"/>
      <c r="T168" s="46"/>
      <c r="U168" s="46"/>
      <c r="V168" s="46"/>
      <c r="W168" s="46"/>
      <c r="X168" s="46"/>
      <c r="Y168" s="46"/>
      <c r="Z168" s="46"/>
      <c r="AA168" s="46"/>
      <c r="AB168" s="3"/>
    </row>
    <row r="169" spans="1:28" s="5" customFormat="1" hidden="1" x14ac:dyDescent="0.25">
      <c r="A169" s="150">
        <f>1</f>
        <v>1</v>
      </c>
      <c r="B169" s="129" t="str">
        <f>структура!$J$14</f>
        <v>УСН(15%)</v>
      </c>
      <c r="C169" s="3"/>
      <c r="D169" s="3"/>
      <c r="E169" s="173" t="str">
        <f>E165</f>
        <v>отток денежных средств</v>
      </c>
      <c r="F169" s="173"/>
      <c r="G169" s="173" t="str">
        <f>IF($E169="","",INDEX(KPI!$G:$G,SUMIFS(KPI!$B:$B,KPI!$E:$E,$E169)))</f>
        <v>тыс.руб.</v>
      </c>
      <c r="H169" s="173"/>
      <c r="I169" s="174"/>
      <c r="J169" s="173"/>
      <c r="K169" s="174"/>
      <c r="L169" s="173"/>
      <c r="M169" s="175">
        <f>SUM($O169:$AB169)</f>
        <v>27452.058247268862</v>
      </c>
      <c r="N169" s="3"/>
      <c r="O169" s="3"/>
      <c r="P169" s="176">
        <f>IF(P$1="",0,ФОТ!P$92+ФОТ!P$125+операции!P$265*IF(аренда!$M$41+аренда!$M$43=0,0,P$11/(аренда!$M$41+аренда!$M$43))+(операции!P$232+операции!P$315+операции!P$386+операции!P$404)*IF(отчеты!P20=0,0,P20/отчеты!P20))</f>
        <v>3518.9863552538845</v>
      </c>
      <c r="Q169" s="176">
        <f>IF(Q$1="",0,ФОТ!Q$92+ФОТ!Q$125+операции!Q$265*IF(аренда!$M$41+аренда!$M$43=0,0,Q$11/(аренда!$M$41+аренда!$M$43))+(операции!Q$232+операции!Q$315+операции!Q$386+операции!Q$404)*IF(отчеты!Q20=0,0,Q20/отчеты!Q20)+P$131)</f>
        <v>4109.154387522568</v>
      </c>
      <c r="R169" s="176">
        <f>IF(R$1="",0,ФОТ!R$92+ФОТ!R$125+операции!R$265*IF(аренда!$M$41+аренда!$M$43=0,0,R$11/(аренда!$M$41+аренда!$M$43))+(операции!R$232+операции!R$315+операции!R$386+операции!R$404)*IF(отчеты!R20=0,0,R20/отчеты!R20)+Q$131)</f>
        <v>4031.80098065527</v>
      </c>
      <c r="S169" s="176">
        <f>IF(S$1="",0,ФОТ!S$92+ФОТ!S$125+операции!S$265*IF(аренда!$M$41+аренда!$M$43=0,0,S$11/(аренда!$M$41+аренда!$M$43))+(операции!S$232+операции!S$315+операции!S$386+операции!S$404)*IF(отчеты!S20=0,0,S20/отчеты!S20)+R$131)</f>
        <v>3965.3663264929692</v>
      </c>
      <c r="T169" s="176">
        <f>IF(T$1="",0,ФОТ!T$92+ФОТ!T$125+операции!T$265*IF(аренда!$M$41+аренда!$M$43=0,0,T$11/(аренда!$M$41+аренда!$M$43))+(операции!T$232+операции!T$315+операции!T$386+операции!T$404)*IF(отчеты!T20=0,0,T20/отчеты!T20)+S$131)</f>
        <v>3968.5734696690333</v>
      </c>
      <c r="U169" s="176">
        <f>IF(U$1="",0,ФОТ!U$92+ФОТ!U$125+операции!U$265*IF(аренда!$M$41+аренда!$M$43=0,0,U$11/(аренда!$M$41+аренда!$M$43))+(операции!U$232+операции!U$315+операции!U$386+операции!U$404)*IF(отчеты!U20=0,0,U20/отчеты!U20)+T$131)</f>
        <v>3938.2447769450146</v>
      </c>
      <c r="V169" s="176">
        <f>IF(V$1="",0,ФОТ!V$92+ФОТ!V$125+операции!V$265*IF(аренда!$M$41+аренда!$M$43=0,0,V$11/(аренда!$M$41+аренда!$M$43))+(операции!V$232+операции!V$315+операции!V$386+операции!V$404)*IF(отчеты!V20=0,0,V20/отчеты!V20)+U$131)</f>
        <v>3919.9319507301229</v>
      </c>
      <c r="W169" s="176">
        <f>IF(W$1="",0,ФОТ!W$92+ФОТ!W$125+операции!W$265*IF(аренда!$M$41+аренда!$M$43=0,0,W$11/(аренда!$M$41+аренда!$M$43))+(операции!W$232+операции!W$315+операции!W$386+операции!W$404)*IF(отчеты!W20=0,0,W20/отчеты!W20)+V$131)</f>
        <v>0</v>
      </c>
      <c r="X169" s="176">
        <f>IF(X$1="",0,ФОТ!X$92+ФОТ!X$125+операции!X$265*IF(аренда!$M$41+аренда!$M$43=0,0,X$11/(аренда!$M$41+аренда!$M$43))+(операции!X$232+операции!X$315+операции!X$386+операции!X$404)*IF(отчеты!X20=0,0,X20/отчеты!X20)+W$131)</f>
        <v>0</v>
      </c>
      <c r="Y169" s="176">
        <f>IF(Y$1="",0,ФОТ!Y$92+ФОТ!Y$125+операции!Y$265*IF(аренда!$M$41+аренда!$M$43=0,0,Y$11/(аренда!$M$41+аренда!$M$43))+(операции!Y$232+операции!Y$315+операции!Y$386+операции!Y$404)*IF(отчеты!Y20=0,0,Y20/отчеты!Y20)+X$131)</f>
        <v>0</v>
      </c>
      <c r="Z169" s="176">
        <f>IF(Z$1="",0,ФОТ!Z$92+ФОТ!Z$125+операции!Z$265*IF(аренда!$M$41+аренда!$M$43=0,0,Z$11/(аренда!$M$41+аренда!$M$43))+(операции!Z$232+операции!Z$315+операции!Z$386+операции!Z$404)*IF(отчеты!Z20=0,0,Z20/отчеты!Z20)+Y$131)</f>
        <v>0</v>
      </c>
      <c r="AA169" s="176">
        <f>IF(AA$1="",0,ФОТ!AA$92+ФОТ!AA$125+операции!AA$265*IF(аренда!$M$41+аренда!$M$43=0,0,AA$11/(аренда!$M$41+аренда!$M$43))+(операции!AA$232+операции!AA$315+операции!AA$386+операции!AA$404)*IF(отчеты!AA20=0,0,AA20/отчеты!AA20)+Z$131)</f>
        <v>0</v>
      </c>
      <c r="AB169" s="3"/>
    </row>
    <row r="170" spans="1:28" s="5" customFormat="1" ht="3.9" hidden="1" customHeight="1" x14ac:dyDescent="0.25">
      <c r="A170" s="150">
        <f>1</f>
        <v>1</v>
      </c>
      <c r="B170" s="128"/>
      <c r="C170" s="3"/>
      <c r="D170" s="3"/>
      <c r="E170" s="3"/>
      <c r="F170" s="3"/>
      <c r="G170" s="3"/>
      <c r="H170" s="3"/>
      <c r="I170" s="28"/>
      <c r="J170" s="3"/>
      <c r="K170" s="28"/>
      <c r="L170" s="3"/>
      <c r="M170" s="55"/>
      <c r="N170" s="3"/>
      <c r="O170" s="3"/>
      <c r="P170" s="46"/>
      <c r="Q170" s="46"/>
      <c r="R170" s="46"/>
      <c r="S170" s="46"/>
      <c r="T170" s="46"/>
      <c r="U170" s="46"/>
      <c r="V170" s="46"/>
      <c r="W170" s="46"/>
      <c r="X170" s="46"/>
      <c r="Y170" s="46"/>
      <c r="Z170" s="46"/>
      <c r="AA170" s="46"/>
      <c r="AB170" s="3"/>
    </row>
    <row r="171" spans="1:28" s="5" customFormat="1" x14ac:dyDescent="0.25">
      <c r="A171" s="150">
        <f>1</f>
        <v>1</v>
      </c>
      <c r="B171" s="129" t="str">
        <f>структура!$J$15</f>
        <v>УСН(6%)-ИП</v>
      </c>
      <c r="C171" s="3"/>
      <c r="D171" s="3"/>
      <c r="E171" s="173" t="str">
        <f>E165</f>
        <v>отток денежных средств</v>
      </c>
      <c r="F171" s="173"/>
      <c r="G171" s="173" t="str">
        <f>IF($E171="","",INDEX(KPI!$G:$G,SUMIFS(KPI!$B:$B,KPI!$E:$E,$E171)))</f>
        <v>тыс.руб.</v>
      </c>
      <c r="H171" s="173"/>
      <c r="I171" s="174"/>
      <c r="J171" s="173"/>
      <c r="K171" s="174"/>
      <c r="L171" s="173"/>
      <c r="M171" s="175">
        <f>SUM($O171:$AB171)</f>
        <v>24418.499043404303</v>
      </c>
      <c r="N171" s="3"/>
      <c r="O171" s="3"/>
      <c r="P171" s="176">
        <f>IF(P$1="",0,ФОТ!P$92+ФОТ!P$125+операции!P$265*IF(аренда!$M$41+аренда!$M$43=0,0,P$11/(аренда!$M$41+аренда!$M$43))+(операции!P$232+операции!P$315+операции!P$386+операции!P$404)*IF(отчеты!P22=0,0,P22/отчеты!P22))</f>
        <v>3518.9863552538845</v>
      </c>
      <c r="Q171" s="176">
        <f>IF(Q$1="",0,ФОТ!Q$92+ФОТ!Q$125+операции!Q$265*IF(аренда!$M$41+аренда!$M$43=0,0,Q$11/(аренда!$M$41+аренда!$M$43))+(операции!Q$232+операции!Q$315+операции!Q$386+операции!Q$404)*IF(отчеты!Q22=0,0,Q22/отчеты!Q22)+P$133)</f>
        <v>3546.6351213542939</v>
      </c>
      <c r="R171" s="176">
        <f>IF(R$1="",0,ФОТ!R$92+ФОТ!R$125+операции!R$265*IF(аренда!$M$41+аренда!$M$43=0,0,R$11/(аренда!$M$41+аренда!$M$43))+(операции!R$232+операции!R$315+операции!R$386+операции!R$404)*IF(отчеты!R22=0,0,R22/отчеты!R22)+Q$133)</f>
        <v>3468.3993257814909</v>
      </c>
      <c r="S171" s="176">
        <f>IF(S$1="",0,ФОТ!S$92+ФОТ!S$125+операции!S$265*IF(аренда!$M$41+аренда!$M$43=0,0,S$11/(аренда!$M$41+аренда!$M$43))+(операции!S$232+операции!S$315+операции!S$386+операции!S$404)*IF(отчеты!S22=0,0,S22/отчеты!S22)+R$133)</f>
        <v>3387.8685330525004</v>
      </c>
      <c r="T171" s="176">
        <f>IF(T$1="",0,ФОТ!T$92+ФОТ!T$125+операции!T$265*IF(аренда!$M$41+аренда!$M$43=0,0,T$11/(аренда!$M$41+аренда!$M$43))+(операции!T$232+операции!T$315+операции!T$386+операции!T$404)*IF(отчеты!T22=0,0,T22/отчеты!T22)+S$133)</f>
        <v>3381.3568265499853</v>
      </c>
      <c r="U171" s="176">
        <f>IF(U$1="",0,ФОТ!U$92+ФОТ!U$125+операции!U$265*IF(аренда!$M$41+аренда!$M$43=0,0,U$11/(аренда!$M$41+аренда!$M$43))+(операции!U$232+операции!U$315+операции!U$386+операции!U$404)*IF(отчеты!U22=0,0,U22/отчеты!U22)+T$133)</f>
        <v>3569.1307624659739</v>
      </c>
      <c r="V171" s="176">
        <f>IF(V$1="",0,ФОТ!V$92+ФОТ!V$125+операции!V$265*IF(аренда!$M$41+аренда!$M$43=0,0,V$11/(аренда!$M$41+аренда!$M$43))+(операции!V$232+операции!V$315+операции!V$386+операции!V$404)*IF(отчеты!V22=0,0,V22/отчеты!V22)+U$133)</f>
        <v>3546.122118946173</v>
      </c>
      <c r="W171" s="176">
        <f>IF(W$1="",0,ФОТ!W$92+ФОТ!W$125+операции!W$265*IF(аренда!$M$41+аренда!$M$43=0,0,W$11/(аренда!$M$41+аренда!$M$43))+(операции!W$232+операции!W$315+операции!W$386+операции!W$404)*IF(отчеты!W22=0,0,W22/отчеты!W22)+V$133)</f>
        <v>0</v>
      </c>
      <c r="X171" s="176">
        <f>IF(X$1="",0,ФОТ!X$92+ФОТ!X$125+операции!X$265*IF(аренда!$M$41+аренда!$M$43=0,0,X$11/(аренда!$M$41+аренда!$M$43))+(операции!X$232+операции!X$315+операции!X$386+операции!X$404)*IF(отчеты!X22=0,0,X22/отчеты!X22)+W$133)</f>
        <v>0</v>
      </c>
      <c r="Y171" s="176">
        <f>IF(Y$1="",0,ФОТ!Y$92+ФОТ!Y$125+операции!Y$265*IF(аренда!$M$41+аренда!$M$43=0,0,Y$11/(аренда!$M$41+аренда!$M$43))+(операции!Y$232+операции!Y$315+операции!Y$386+операции!Y$404)*IF(отчеты!Y22=0,0,Y22/отчеты!Y22)+X$133)</f>
        <v>0</v>
      </c>
      <c r="Z171" s="176">
        <f>IF(Z$1="",0,ФОТ!Z$92+ФОТ!Z$125+операции!Z$265*IF(аренда!$M$41+аренда!$M$43=0,0,Z$11/(аренда!$M$41+аренда!$M$43))+(операции!Z$232+операции!Z$315+операции!Z$386+операции!Z$404)*IF(отчеты!Z22=0,0,Z22/отчеты!Z22)+Y$133)</f>
        <v>0</v>
      </c>
      <c r="AA171" s="176">
        <f>IF(AA$1="",0,ФОТ!AA$92+ФОТ!AA$125+операции!AA$265*IF(аренда!$M$41+аренда!$M$43=0,0,AA$11/(аренда!$M$41+аренда!$M$43))+(операции!AA$232+операции!AA$315+операции!AA$386+операции!AA$404)*IF(отчеты!AA22=0,0,AA22/отчеты!AA22)+Z$133)</f>
        <v>0</v>
      </c>
      <c r="AB171" s="3"/>
    </row>
    <row r="172" spans="1:28" ht="3.9" hidden="1" customHeight="1" x14ac:dyDescent="0.25">
      <c r="A172" s="149">
        <f>1</f>
        <v>1</v>
      </c>
      <c r="B172" s="131"/>
      <c r="C172" s="2"/>
      <c r="D172" s="2"/>
      <c r="E172" s="118"/>
      <c r="F172" s="2"/>
      <c r="G172" s="118"/>
      <c r="H172" s="2"/>
      <c r="I172" s="28"/>
      <c r="J172" s="2"/>
      <c r="K172" s="28"/>
      <c r="L172" s="2"/>
      <c r="M172" s="139"/>
      <c r="N172" s="2"/>
      <c r="O172" s="2"/>
      <c r="P172" s="36"/>
      <c r="Q172" s="36"/>
      <c r="R172" s="36"/>
      <c r="S172" s="36"/>
      <c r="T172" s="36"/>
      <c r="U172" s="36"/>
      <c r="V172" s="36"/>
      <c r="W172" s="36"/>
      <c r="X172" s="36"/>
      <c r="Y172" s="36"/>
      <c r="Z172" s="36"/>
      <c r="AA172" s="36"/>
      <c r="AB172" s="2"/>
    </row>
    <row r="173" spans="1:28" ht="8.1" hidden="1" customHeight="1" x14ac:dyDescent="0.25">
      <c r="A173" s="149">
        <f>1</f>
        <v>1</v>
      </c>
      <c r="B173" s="131"/>
      <c r="C173" s="2"/>
      <c r="D173" s="2"/>
      <c r="E173" s="2"/>
      <c r="F173" s="2"/>
      <c r="G173" s="2"/>
      <c r="H173" s="2"/>
      <c r="I173" s="28"/>
      <c r="J173" s="2"/>
      <c r="K173" s="28"/>
      <c r="L173" s="2"/>
      <c r="M173" s="52"/>
      <c r="N173" s="2"/>
      <c r="O173" s="2"/>
      <c r="P173" s="36"/>
      <c r="Q173" s="36"/>
      <c r="R173" s="36"/>
      <c r="S173" s="36"/>
      <c r="T173" s="36"/>
      <c r="U173" s="36"/>
      <c r="V173" s="36"/>
      <c r="W173" s="36"/>
      <c r="X173" s="36"/>
      <c r="Y173" s="36"/>
      <c r="Z173" s="36"/>
      <c r="AA173" s="36"/>
      <c r="AB173" s="2"/>
    </row>
    <row r="174" spans="1:28" ht="3.9" hidden="1" customHeight="1" x14ac:dyDescent="0.25">
      <c r="A174" s="149">
        <f>1</f>
        <v>1</v>
      </c>
      <c r="B174" s="131"/>
      <c r="C174" s="2"/>
      <c r="D174" s="2"/>
      <c r="E174" s="2"/>
      <c r="F174" s="2"/>
      <c r="G174" s="2"/>
      <c r="H174" s="2"/>
      <c r="I174" s="28"/>
      <c r="J174" s="2"/>
      <c r="K174" s="28"/>
      <c r="L174" s="2"/>
      <c r="M174" s="52"/>
      <c r="N174" s="2"/>
      <c r="O174" s="2"/>
      <c r="P174" s="36"/>
      <c r="Q174" s="36"/>
      <c r="R174" s="36"/>
      <c r="S174" s="36"/>
      <c r="T174" s="36"/>
      <c r="U174" s="36"/>
      <c r="V174" s="36"/>
      <c r="W174" s="36"/>
      <c r="X174" s="36"/>
      <c r="Y174" s="36"/>
      <c r="Z174" s="36"/>
      <c r="AA174" s="36"/>
      <c r="AB174" s="2"/>
    </row>
    <row r="175" spans="1:28" s="5" customFormat="1" hidden="1" x14ac:dyDescent="0.25">
      <c r="A175" s="150">
        <f>1</f>
        <v>1</v>
      </c>
      <c r="B175" s="129" t="str">
        <f>структура!$J$12</f>
        <v>ОСНО</v>
      </c>
      <c r="C175" s="3"/>
      <c r="D175" s="3"/>
      <c r="E175" s="146" t="str">
        <f>KPI!$E$91</f>
        <v>финансовый поток (CF)</v>
      </c>
      <c r="F175" s="146"/>
      <c r="G175" s="146" t="str">
        <f>IF($E175="","",INDEX(KPI!$G:$G,SUMIFS(KPI!$B:$B,KPI!$E:$E,$E175)))</f>
        <v>тыс.руб.</v>
      </c>
      <c r="H175" s="146"/>
      <c r="I175" s="177"/>
      <c r="J175" s="146"/>
      <c r="K175" s="177"/>
      <c r="L175" s="146"/>
      <c r="M175" s="178">
        <f>SUM($O175:$AB175)</f>
        <v>21077.962106881612</v>
      </c>
      <c r="N175" s="3"/>
      <c r="O175" s="3"/>
      <c r="P175" s="179">
        <f>IF(P$1="",0,P155-P165)</f>
        <v>5649.0757719256026</v>
      </c>
      <c r="Q175" s="179">
        <f>IF(Q$1="",0,Q155-Q165)</f>
        <v>2469.05630449204</v>
      </c>
      <c r="R175" s="179">
        <f t="shared" ref="R175:AA175" si="9">IF(R$1="",0,R155-R165)</f>
        <v>2561.0696978132937</v>
      </c>
      <c r="S175" s="179">
        <f t="shared" si="9"/>
        <v>2594.5372766334012</v>
      </c>
      <c r="T175" s="179">
        <f t="shared" si="9"/>
        <v>2579.4515394057407</v>
      </c>
      <c r="U175" s="179">
        <f t="shared" si="9"/>
        <v>2608.5864192709651</v>
      </c>
      <c r="V175" s="179">
        <f t="shared" si="9"/>
        <v>2616.185097340569</v>
      </c>
      <c r="W175" s="179">
        <f t="shared" si="9"/>
        <v>0</v>
      </c>
      <c r="X175" s="179">
        <f t="shared" si="9"/>
        <v>0</v>
      </c>
      <c r="Y175" s="179">
        <f t="shared" si="9"/>
        <v>0</v>
      </c>
      <c r="Z175" s="179">
        <f t="shared" si="9"/>
        <v>0</v>
      </c>
      <c r="AA175" s="179">
        <f t="shared" si="9"/>
        <v>0</v>
      </c>
      <c r="AB175" s="3"/>
    </row>
    <row r="176" spans="1:28" s="5" customFormat="1" ht="3.9" hidden="1" customHeight="1" x14ac:dyDescent="0.25">
      <c r="A176" s="150">
        <f>1</f>
        <v>1</v>
      </c>
      <c r="B176" s="128"/>
      <c r="C176" s="3"/>
      <c r="D176" s="3"/>
      <c r="E176" s="3"/>
      <c r="F176" s="3"/>
      <c r="G176" s="3"/>
      <c r="H176" s="3"/>
      <c r="I176" s="28"/>
      <c r="J176" s="3"/>
      <c r="K176" s="28"/>
      <c r="L176" s="3"/>
      <c r="M176" s="55"/>
      <c r="N176" s="3"/>
      <c r="O176" s="3"/>
      <c r="P176" s="46"/>
      <c r="Q176" s="46"/>
      <c r="R176" s="46"/>
      <c r="S176" s="46"/>
      <c r="T176" s="46"/>
      <c r="U176" s="46"/>
      <c r="V176" s="46"/>
      <c r="W176" s="46"/>
      <c r="X176" s="46"/>
      <c r="Y176" s="46"/>
      <c r="Z176" s="46"/>
      <c r="AA176" s="46"/>
      <c r="AB176" s="3"/>
    </row>
    <row r="177" spans="1:28" s="5" customFormat="1" hidden="1" x14ac:dyDescent="0.25">
      <c r="A177" s="150">
        <f>1</f>
        <v>1</v>
      </c>
      <c r="B177" s="129" t="str">
        <f>структура!$J$13</f>
        <v>УСН(6%)</v>
      </c>
      <c r="C177" s="3"/>
      <c r="D177" s="3"/>
      <c r="E177" s="146" t="str">
        <f>E175</f>
        <v>финансовый поток (CF)</v>
      </c>
      <c r="F177" s="146"/>
      <c r="G177" s="146" t="str">
        <f>IF($E177="","",INDEX(KPI!$G:$G,SUMIFS(KPI!$B:$B,KPI!$E:$E,$E177)))</f>
        <v>тыс.руб.</v>
      </c>
      <c r="H177" s="146"/>
      <c r="I177" s="177"/>
      <c r="J177" s="146"/>
      <c r="K177" s="177"/>
      <c r="L177" s="146"/>
      <c r="M177" s="178">
        <f>SUM($O177:$AB177)</f>
        <v>25854.711264288006</v>
      </c>
      <c r="N177" s="3"/>
      <c r="O177" s="3"/>
      <c r="P177" s="179">
        <f>IF(P$1="",0,P157-P167)</f>
        <v>3783.659798592269</v>
      </c>
      <c r="Q177" s="179">
        <f>IF(Q$1="",0,Q157-Q167)</f>
        <v>3536.9316478764749</v>
      </c>
      <c r="R177" s="179">
        <f t="shared" ref="R177:AA177" si="10">IF(R$1="",0,R157-R167)</f>
        <v>3630.9059049877396</v>
      </c>
      <c r="S177" s="179">
        <f t="shared" si="10"/>
        <v>3695.2260823321149</v>
      </c>
      <c r="T177" s="179">
        <f t="shared" si="10"/>
        <v>3702.2099426807836</v>
      </c>
      <c r="U177" s="179">
        <f t="shared" si="10"/>
        <v>3733.5153913801796</v>
      </c>
      <c r="V177" s="179">
        <f t="shared" si="10"/>
        <v>3772.2624964384422</v>
      </c>
      <c r="W177" s="179">
        <f t="shared" si="10"/>
        <v>0</v>
      </c>
      <c r="X177" s="179">
        <f t="shared" si="10"/>
        <v>0</v>
      </c>
      <c r="Y177" s="179">
        <f t="shared" si="10"/>
        <v>0</v>
      </c>
      <c r="Z177" s="179">
        <f t="shared" si="10"/>
        <v>0</v>
      </c>
      <c r="AA177" s="179">
        <f t="shared" si="10"/>
        <v>0</v>
      </c>
      <c r="AB177" s="3"/>
    </row>
    <row r="178" spans="1:28" s="5" customFormat="1" ht="3.9" hidden="1" customHeight="1" x14ac:dyDescent="0.25">
      <c r="A178" s="150">
        <f>1</f>
        <v>1</v>
      </c>
      <c r="B178" s="128"/>
      <c r="C178" s="3"/>
      <c r="D178" s="3"/>
      <c r="E178" s="3"/>
      <c r="F178" s="3"/>
      <c r="G178" s="3"/>
      <c r="H178" s="3"/>
      <c r="I178" s="28"/>
      <c r="J178" s="3"/>
      <c r="K178" s="28"/>
      <c r="L178" s="3"/>
      <c r="M178" s="55"/>
      <c r="N178" s="3"/>
      <c r="O178" s="3"/>
      <c r="P178" s="46"/>
      <c r="Q178" s="46"/>
      <c r="R178" s="46"/>
      <c r="S178" s="46"/>
      <c r="T178" s="46"/>
      <c r="U178" s="46"/>
      <c r="V178" s="46"/>
      <c r="W178" s="46"/>
      <c r="X178" s="46"/>
      <c r="Y178" s="46"/>
      <c r="Z178" s="46"/>
      <c r="AA178" s="46"/>
      <c r="AB178" s="3"/>
    </row>
    <row r="179" spans="1:28" s="5" customFormat="1" hidden="1" x14ac:dyDescent="0.25">
      <c r="A179" s="150">
        <f>1</f>
        <v>1</v>
      </c>
      <c r="B179" s="129" t="str">
        <f>структура!$J$14</f>
        <v>УСН(15%)</v>
      </c>
      <c r="C179" s="3"/>
      <c r="D179" s="3"/>
      <c r="E179" s="146" t="str">
        <f>E175</f>
        <v>финансовый поток (CF)</v>
      </c>
      <c r="F179" s="146"/>
      <c r="G179" s="146" t="str">
        <f>IF($E179="","",INDEX(KPI!$G:$G,SUMIFS(KPI!$B:$B,KPI!$E:$E,$E179)))</f>
        <v>тыс.руб.</v>
      </c>
      <c r="H179" s="146"/>
      <c r="I179" s="177"/>
      <c r="J179" s="146"/>
      <c r="K179" s="177"/>
      <c r="L179" s="146"/>
      <c r="M179" s="178">
        <f>SUM($O179:$AB179)</f>
        <v>23697.941752731134</v>
      </c>
      <c r="N179" s="3"/>
      <c r="O179" s="3"/>
      <c r="P179" s="179">
        <f>IF(P$1="",0,P159-P169)</f>
        <v>3783.659798592269</v>
      </c>
      <c r="Q179" s="179">
        <f t="shared" ref="Q179:AA179" si="11">IF(Q$1="",0,Q159-Q169)</f>
        <v>3193.4917663235856</v>
      </c>
      <c r="R179" s="179">
        <f t="shared" si="11"/>
        <v>3286.5836347293452</v>
      </c>
      <c r="S179" s="179">
        <f t="shared" si="11"/>
        <v>3337.2798273531844</v>
      </c>
      <c r="T179" s="179">
        <f t="shared" si="11"/>
        <v>3334.0726841771202</v>
      </c>
      <c r="U179" s="179">
        <f t="shared" si="11"/>
        <v>3364.401376901139</v>
      </c>
      <c r="V179" s="179">
        <f t="shared" si="11"/>
        <v>3398.4526646544923</v>
      </c>
      <c r="W179" s="179">
        <f t="shared" si="11"/>
        <v>0</v>
      </c>
      <c r="X179" s="179">
        <f t="shared" si="11"/>
        <v>0</v>
      </c>
      <c r="Y179" s="179">
        <f t="shared" si="11"/>
        <v>0</v>
      </c>
      <c r="Z179" s="179">
        <f t="shared" si="11"/>
        <v>0</v>
      </c>
      <c r="AA179" s="179">
        <f t="shared" si="11"/>
        <v>0</v>
      </c>
      <c r="AB179" s="3"/>
    </row>
    <row r="180" spans="1:28" s="5" customFormat="1" ht="3.9" hidden="1" customHeight="1" x14ac:dyDescent="0.25">
      <c r="A180" s="150">
        <f>1</f>
        <v>1</v>
      </c>
      <c r="B180" s="128"/>
      <c r="C180" s="3"/>
      <c r="D180" s="3"/>
      <c r="E180" s="3"/>
      <c r="F180" s="3"/>
      <c r="G180" s="3"/>
      <c r="H180" s="3"/>
      <c r="I180" s="28"/>
      <c r="J180" s="3"/>
      <c r="K180" s="28"/>
      <c r="L180" s="3"/>
      <c r="M180" s="55"/>
      <c r="N180" s="3"/>
      <c r="O180" s="3"/>
      <c r="P180" s="46"/>
      <c r="Q180" s="46"/>
      <c r="R180" s="46"/>
      <c r="S180" s="46"/>
      <c r="T180" s="46"/>
      <c r="U180" s="46"/>
      <c r="V180" s="46"/>
      <c r="W180" s="46"/>
      <c r="X180" s="46"/>
      <c r="Y180" s="46"/>
      <c r="Z180" s="46"/>
      <c r="AA180" s="46"/>
      <c r="AB180" s="3"/>
    </row>
    <row r="181" spans="1:28" s="5" customFormat="1" x14ac:dyDescent="0.25">
      <c r="A181" s="150">
        <f>1</f>
        <v>1</v>
      </c>
      <c r="B181" s="129" t="str">
        <f>структура!$J$15</f>
        <v>УСН(6%)-ИП</v>
      </c>
      <c r="C181" s="3"/>
      <c r="D181" s="3"/>
      <c r="E181" s="146" t="str">
        <f>E175</f>
        <v>финансовый поток (CF)</v>
      </c>
      <c r="F181" s="146"/>
      <c r="G181" s="146" t="str">
        <f>IF($E181="","",INDEX(KPI!$G:$G,SUMIFS(KPI!$B:$B,KPI!$E:$E,$E181)))</f>
        <v>тыс.руб.</v>
      </c>
      <c r="H181" s="146"/>
      <c r="I181" s="177"/>
      <c r="J181" s="146"/>
      <c r="K181" s="177"/>
      <c r="L181" s="146"/>
      <c r="M181" s="178">
        <f>SUM($O181:$AB181)</f>
        <v>26731.500956595697</v>
      </c>
      <c r="N181" s="3"/>
      <c r="O181" s="3"/>
      <c r="P181" s="179">
        <f>IF(P$1="",0,P161-P171)</f>
        <v>3783.659798592269</v>
      </c>
      <c r="Q181" s="179">
        <f t="shared" ref="Q181:AA181" si="12">IF(Q$1="",0,Q161-Q171)</f>
        <v>3756.0110324918596</v>
      </c>
      <c r="R181" s="179">
        <f t="shared" si="12"/>
        <v>3849.9852896031243</v>
      </c>
      <c r="S181" s="179">
        <f t="shared" si="12"/>
        <v>3914.7776207936531</v>
      </c>
      <c r="T181" s="179">
        <f t="shared" si="12"/>
        <v>3921.2893272961683</v>
      </c>
      <c r="U181" s="179">
        <f t="shared" si="12"/>
        <v>3733.5153913801796</v>
      </c>
      <c r="V181" s="179">
        <f t="shared" si="12"/>
        <v>3772.2624964384422</v>
      </c>
      <c r="W181" s="179">
        <f t="shared" si="12"/>
        <v>0</v>
      </c>
      <c r="X181" s="179">
        <f t="shared" si="12"/>
        <v>0</v>
      </c>
      <c r="Y181" s="179">
        <f t="shared" si="12"/>
        <v>0</v>
      </c>
      <c r="Z181" s="179">
        <f t="shared" si="12"/>
        <v>0</v>
      </c>
      <c r="AA181" s="179">
        <f t="shared" si="12"/>
        <v>0</v>
      </c>
      <c r="AB181" s="3"/>
    </row>
    <row r="182" spans="1:28" ht="3.9" hidden="1" customHeight="1" x14ac:dyDescent="0.25">
      <c r="A182" s="149">
        <f>1</f>
        <v>1</v>
      </c>
      <c r="B182" s="131"/>
      <c r="C182" s="2"/>
      <c r="D182" s="2"/>
      <c r="E182" s="119"/>
      <c r="F182" s="2"/>
      <c r="G182" s="119"/>
      <c r="H182" s="2"/>
      <c r="I182" s="28"/>
      <c r="J182" s="2"/>
      <c r="K182" s="28"/>
      <c r="L182" s="2"/>
      <c r="M182" s="142"/>
      <c r="N182" s="2"/>
      <c r="O182" s="2"/>
      <c r="P182" s="36"/>
      <c r="Q182" s="36"/>
      <c r="R182" s="36"/>
      <c r="S182" s="36"/>
      <c r="T182" s="36"/>
      <c r="U182" s="36"/>
      <c r="V182" s="36"/>
      <c r="W182" s="36"/>
      <c r="X182" s="36"/>
      <c r="Y182" s="36"/>
      <c r="Z182" s="36"/>
      <c r="AA182" s="36"/>
      <c r="AB182" s="2"/>
    </row>
    <row r="183" spans="1:28" ht="8.1" hidden="1" customHeight="1" x14ac:dyDescent="0.25">
      <c r="A183" s="149">
        <f>1</f>
        <v>1</v>
      </c>
      <c r="B183" s="131"/>
      <c r="C183" s="2"/>
      <c r="D183" s="2"/>
      <c r="E183" s="2"/>
      <c r="F183" s="2"/>
      <c r="G183" s="2"/>
      <c r="H183" s="2"/>
      <c r="I183" s="28"/>
      <c r="J183" s="2"/>
      <c r="K183" s="28"/>
      <c r="L183" s="2"/>
      <c r="M183" s="52"/>
      <c r="N183" s="2"/>
      <c r="O183" s="2"/>
      <c r="P183" s="36"/>
      <c r="Q183" s="36"/>
      <c r="R183" s="36"/>
      <c r="S183" s="36"/>
      <c r="T183" s="36"/>
      <c r="U183" s="36"/>
      <c r="V183" s="36"/>
      <c r="W183" s="36"/>
      <c r="X183" s="36"/>
      <c r="Y183" s="36"/>
      <c r="Z183" s="36"/>
      <c r="AA183" s="36"/>
      <c r="AB183" s="2"/>
    </row>
    <row r="184" spans="1:28" s="5" customFormat="1" hidden="1" x14ac:dyDescent="0.25">
      <c r="A184" s="150">
        <f>1</f>
        <v>1</v>
      </c>
      <c r="B184" s="131"/>
      <c r="C184" s="3"/>
      <c r="D184" s="3"/>
      <c r="E184" s="3"/>
      <c r="F184" s="3"/>
      <c r="G184" s="3"/>
      <c r="H184" s="3"/>
      <c r="I184" s="28"/>
      <c r="J184" s="3"/>
      <c r="K184" s="28"/>
      <c r="L184" s="3"/>
      <c r="M184" s="55"/>
      <c r="N184" s="3"/>
      <c r="O184" s="3"/>
      <c r="P184" s="46"/>
      <c r="Q184" s="46"/>
      <c r="R184" s="46"/>
      <c r="S184" s="46"/>
      <c r="T184" s="46"/>
      <c r="U184" s="46"/>
      <c r="V184" s="46"/>
      <c r="W184" s="46"/>
      <c r="X184" s="46"/>
      <c r="Y184" s="46"/>
      <c r="Z184" s="46"/>
      <c r="AA184" s="46"/>
      <c r="AB184" s="3"/>
    </row>
    <row r="185" spans="1:28" ht="3.9" hidden="1" customHeight="1" x14ac:dyDescent="0.25">
      <c r="A185" s="149">
        <f>1</f>
        <v>1</v>
      </c>
      <c r="B185" s="131"/>
      <c r="C185" s="2"/>
      <c r="D185" s="2"/>
      <c r="E185" s="2"/>
      <c r="F185" s="2"/>
      <c r="G185" s="2"/>
      <c r="H185" s="2"/>
      <c r="I185" s="28"/>
      <c r="J185" s="2"/>
      <c r="K185" s="28"/>
      <c r="L185" s="2"/>
      <c r="M185" s="52"/>
      <c r="N185" s="2"/>
      <c r="O185" s="2"/>
      <c r="P185" s="36"/>
      <c r="Q185" s="36"/>
      <c r="R185" s="36"/>
      <c r="S185" s="36"/>
      <c r="T185" s="36"/>
      <c r="U185" s="36"/>
      <c r="V185" s="36"/>
      <c r="W185" s="36"/>
      <c r="X185" s="36"/>
      <c r="Y185" s="36"/>
      <c r="Z185" s="36"/>
      <c r="AA185" s="36"/>
      <c r="AB185" s="2"/>
    </row>
    <row r="186" spans="1:28" s="5" customFormat="1" hidden="1" x14ac:dyDescent="0.25">
      <c r="A186" s="150">
        <f>1</f>
        <v>1</v>
      </c>
      <c r="B186" s="131"/>
      <c r="C186" s="3"/>
      <c r="D186" s="3"/>
      <c r="E186" s="181" t="s">
        <v>286</v>
      </c>
      <c r="F186" s="3"/>
      <c r="G186" s="3"/>
      <c r="H186" s="3"/>
      <c r="I186" s="28"/>
      <c r="J186" s="3"/>
      <c r="K186" s="28"/>
      <c r="L186" s="3"/>
      <c r="M186" s="55"/>
      <c r="N186" s="3"/>
      <c r="O186" s="3"/>
      <c r="P186" s="46"/>
      <c r="Q186" s="46"/>
      <c r="R186" s="46"/>
      <c r="S186" s="46"/>
      <c r="T186" s="46"/>
      <c r="U186" s="46"/>
      <c r="V186" s="46"/>
      <c r="W186" s="46"/>
      <c r="X186" s="46"/>
      <c r="Y186" s="46"/>
      <c r="Z186" s="46"/>
      <c r="AA186" s="46"/>
      <c r="AB186" s="3"/>
    </row>
    <row r="187" spans="1:28" ht="3.9" hidden="1" customHeight="1" x14ac:dyDescent="0.25">
      <c r="A187" s="149">
        <f>1</f>
        <v>1</v>
      </c>
      <c r="B187" s="131"/>
      <c r="C187" s="2"/>
      <c r="D187" s="2"/>
      <c r="E187" s="2"/>
      <c r="F187" s="2"/>
      <c r="G187" s="2"/>
      <c r="H187" s="2"/>
      <c r="I187" s="28"/>
      <c r="J187" s="2"/>
      <c r="K187" s="28"/>
      <c r="L187" s="2"/>
      <c r="M187" s="52"/>
      <c r="N187" s="2"/>
      <c r="O187" s="2"/>
      <c r="P187" s="36"/>
      <c r="Q187" s="36"/>
      <c r="R187" s="36"/>
      <c r="S187" s="36"/>
      <c r="T187" s="36"/>
      <c r="U187" s="36"/>
      <c r="V187" s="36"/>
      <c r="W187" s="36"/>
      <c r="X187" s="36"/>
      <c r="Y187" s="36"/>
      <c r="Z187" s="36"/>
      <c r="AA187" s="36"/>
      <c r="AB187" s="2"/>
    </row>
    <row r="188" spans="1:28" ht="8.1" hidden="1" customHeight="1" x14ac:dyDescent="0.25">
      <c r="A188" s="149">
        <f>1</f>
        <v>1</v>
      </c>
      <c r="B188" s="131"/>
      <c r="C188" s="2"/>
      <c r="D188" s="2"/>
      <c r="E188" s="2"/>
      <c r="F188" s="2"/>
      <c r="G188" s="2"/>
      <c r="H188" s="2"/>
      <c r="I188" s="28"/>
      <c r="J188" s="2"/>
      <c r="K188" s="28"/>
      <c r="L188" s="2"/>
      <c r="M188" s="52"/>
      <c r="N188" s="2"/>
      <c r="O188" s="2"/>
      <c r="P188" s="36"/>
      <c r="Q188" s="36"/>
      <c r="R188" s="36"/>
      <c r="S188" s="36"/>
      <c r="T188" s="36"/>
      <c r="U188" s="36"/>
      <c r="V188" s="36"/>
      <c r="W188" s="36"/>
      <c r="X188" s="36"/>
      <c r="Y188" s="36"/>
      <c r="Z188" s="36"/>
      <c r="AA188" s="36"/>
      <c r="AB188" s="2"/>
    </row>
    <row r="189" spans="1:28" ht="3.9" hidden="1" customHeight="1" thickBot="1" x14ac:dyDescent="0.3">
      <c r="A189" s="149">
        <f>1</f>
        <v>1</v>
      </c>
      <c r="B189" s="131"/>
      <c r="C189" s="2"/>
      <c r="D189" s="2"/>
      <c r="E189" s="2"/>
      <c r="F189" s="2"/>
      <c r="G189" s="2"/>
      <c r="H189" s="2"/>
      <c r="I189" s="28"/>
      <c r="J189" s="2"/>
      <c r="K189" s="28"/>
      <c r="L189" s="2"/>
      <c r="M189" s="52"/>
      <c r="N189" s="2"/>
      <c r="O189" s="2"/>
      <c r="P189" s="36"/>
      <c r="Q189" s="36"/>
      <c r="R189" s="36"/>
      <c r="S189" s="36"/>
      <c r="T189" s="36"/>
      <c r="U189" s="36"/>
      <c r="V189" s="36"/>
      <c r="W189" s="36"/>
      <c r="X189" s="36"/>
      <c r="Y189" s="36"/>
      <c r="Z189" s="36"/>
      <c r="AA189" s="36"/>
      <c r="AB189" s="2"/>
    </row>
    <row r="190" spans="1:28" s="5" customFormat="1" ht="12.6" hidden="1" thickBot="1" x14ac:dyDescent="0.3">
      <c r="A190" s="150">
        <f>1</f>
        <v>1</v>
      </c>
      <c r="B190" s="129"/>
      <c r="C190" s="3"/>
      <c r="D190" s="3"/>
      <c r="E190" s="183" t="str">
        <f>KPI!$E$98</f>
        <v>Инвестиционные вложения</v>
      </c>
      <c r="F190" s="183"/>
      <c r="G190" s="183" t="str">
        <f>IF($E190="","",INDEX(KPI!$G:$G,SUMIFS(KPI!$B:$B,KPI!$E:$E,$E190)))</f>
        <v>тыс.руб.</v>
      </c>
      <c r="H190" s="183"/>
      <c r="I190" s="184"/>
      <c r="J190" s="183"/>
      <c r="K190" s="184"/>
      <c r="L190" s="183"/>
      <c r="M190" s="186">
        <f>капитал!$J$20*IF(аренда!$M$41+аренда!$M$43=0,0,P$11/(аренда!$M$41+аренда!$M$43))+(капитал!$M$26+капитал!$M$78-(капитал!$J$87+капитал!$J$50*капитал!$J$32+капитал!$J$84)/1000)</f>
        <v>17542.49584</v>
      </c>
      <c r="N190" s="3"/>
      <c r="O190" s="3"/>
      <c r="P190" s="46"/>
      <c r="Q190" s="46"/>
      <c r="R190" s="46"/>
      <c r="S190" s="46"/>
      <c r="T190" s="46"/>
      <c r="U190" s="46"/>
      <c r="V190" s="46"/>
      <c r="W190" s="46"/>
      <c r="X190" s="46"/>
      <c r="Y190" s="46"/>
      <c r="Z190" s="46"/>
      <c r="AA190" s="46"/>
      <c r="AB190" s="3"/>
    </row>
    <row r="191" spans="1:28" ht="3.9" hidden="1" customHeight="1" x14ac:dyDescent="0.25">
      <c r="A191" s="149">
        <f>1</f>
        <v>1</v>
      </c>
      <c r="B191" s="131"/>
      <c r="C191" s="2"/>
      <c r="D191" s="2"/>
      <c r="E191" s="140"/>
      <c r="F191" s="2"/>
      <c r="G191" s="140"/>
      <c r="H191" s="2"/>
      <c r="I191" s="28"/>
      <c r="J191" s="2"/>
      <c r="K191" s="28"/>
      <c r="L191" s="2"/>
      <c r="M191" s="141"/>
      <c r="N191" s="2"/>
      <c r="O191" s="2"/>
      <c r="P191" s="36"/>
      <c r="Q191" s="36"/>
      <c r="R191" s="36"/>
      <c r="S191" s="36"/>
      <c r="T191" s="36"/>
      <c r="U191" s="36"/>
      <c r="V191" s="36"/>
      <c r="W191" s="36"/>
      <c r="X191" s="36"/>
      <c r="Y191" s="36"/>
      <c r="Z191" s="36"/>
      <c r="AA191" s="36"/>
      <c r="AB191" s="2"/>
    </row>
    <row r="192" spans="1:28" ht="3.9" hidden="1" customHeight="1" x14ac:dyDescent="0.25">
      <c r="A192" s="149">
        <f>1</f>
        <v>1</v>
      </c>
      <c r="B192" s="131"/>
      <c r="C192" s="2"/>
      <c r="D192" s="2"/>
      <c r="E192" s="2"/>
      <c r="F192" s="2"/>
      <c r="G192" s="2"/>
      <c r="H192" s="2"/>
      <c r="I192" s="28"/>
      <c r="J192" s="2"/>
      <c r="K192" s="28"/>
      <c r="L192" s="2"/>
      <c r="M192" s="52"/>
      <c r="N192" s="2"/>
      <c r="O192" s="2"/>
      <c r="P192" s="36"/>
      <c r="Q192" s="36"/>
      <c r="R192" s="36"/>
      <c r="S192" s="36"/>
      <c r="T192" s="36"/>
      <c r="U192" s="36"/>
      <c r="V192" s="36"/>
      <c r="W192" s="36"/>
      <c r="X192" s="36"/>
      <c r="Y192" s="36"/>
      <c r="Z192" s="36"/>
      <c r="AA192" s="36"/>
      <c r="AB192" s="2"/>
    </row>
    <row r="193" spans="1:28" s="5" customFormat="1" hidden="1" x14ac:dyDescent="0.25">
      <c r="A193" s="150">
        <f>1</f>
        <v>1</v>
      </c>
      <c r="B193" s="129"/>
      <c r="C193" s="3"/>
      <c r="D193" s="3"/>
      <c r="E193" s="3" t="str">
        <f>KPI!$E$99</f>
        <v>Коэффициент дисконтиования</v>
      </c>
      <c r="F193" s="3"/>
      <c r="G193" s="3" t="str">
        <f>IF($E193="","",INDEX(KPI!$G:$G,SUMIFS(KPI!$B:$B,KPI!$E:$E,$E193)))</f>
        <v>%</v>
      </c>
      <c r="H193" s="3"/>
      <c r="I193" s="28"/>
      <c r="J193" s="3"/>
      <c r="K193" s="28"/>
      <c r="L193" s="3"/>
      <c r="M193" s="55"/>
      <c r="N193" s="3"/>
      <c r="O193" s="3"/>
      <c r="P193" s="185">
        <f>IF(P$1="",0,(1+операции!P$445))</f>
        <v>1.1000000000000001</v>
      </c>
      <c r="Q193" s="185">
        <f>IF(Q$1="",0,P193*(1+операции!Q$445))</f>
        <v>1.2100000000000002</v>
      </c>
      <c r="R193" s="185">
        <f>IF(R$1="",0,Q193*(1+операции!R$445))</f>
        <v>1.3310000000000004</v>
      </c>
      <c r="S193" s="185">
        <f>IF(S$1="",0,R193*(1+операции!S$445))</f>
        <v>1.4641000000000006</v>
      </c>
      <c r="T193" s="185">
        <f>IF(T$1="",0,S193*(1+операции!T$445))</f>
        <v>1.6105100000000008</v>
      </c>
      <c r="U193" s="185">
        <f>IF(U$1="",0,T193*(1+операции!U$445))</f>
        <v>1.7715610000000011</v>
      </c>
      <c r="V193" s="185">
        <f>IF(V$1="",0,U193*(1+операции!V$445))</f>
        <v>1.9487171000000014</v>
      </c>
      <c r="W193" s="185">
        <f>IF(W$1="",0,V193*(1+операции!W$445))</f>
        <v>0</v>
      </c>
      <c r="X193" s="185">
        <f>IF(X$1="",0,W193*(1+операции!X$445))</f>
        <v>0</v>
      </c>
      <c r="Y193" s="185">
        <f>IF(Y$1="",0,X193*(1+операции!Y$445))</f>
        <v>0</v>
      </c>
      <c r="Z193" s="185">
        <f>IF(Z$1="",0,Y193*(1+операции!Z$445))</f>
        <v>0</v>
      </c>
      <c r="AA193" s="185">
        <f>IF(AA$1="",0,Z193*(1+операции!AA$445))</f>
        <v>0</v>
      </c>
      <c r="AB193" s="3"/>
    </row>
    <row r="194" spans="1:28" s="5" customFormat="1" ht="3.9" hidden="1" customHeight="1" x14ac:dyDescent="0.25">
      <c r="A194" s="150">
        <f>1</f>
        <v>1</v>
      </c>
      <c r="B194" s="128"/>
      <c r="C194" s="3"/>
      <c r="D194" s="3"/>
      <c r="E194" s="3"/>
      <c r="F194" s="3"/>
      <c r="G194" s="3"/>
      <c r="H194" s="3"/>
      <c r="I194" s="28"/>
      <c r="J194" s="3"/>
      <c r="K194" s="28"/>
      <c r="L194" s="3"/>
      <c r="M194" s="55"/>
      <c r="N194" s="3"/>
      <c r="O194" s="3"/>
      <c r="P194" s="46"/>
      <c r="Q194" s="46"/>
      <c r="R194" s="46"/>
      <c r="S194" s="46"/>
      <c r="T194" s="46"/>
      <c r="U194" s="46"/>
      <c r="V194" s="46"/>
      <c r="W194" s="46"/>
      <c r="X194" s="46"/>
      <c r="Y194" s="46"/>
      <c r="Z194" s="46"/>
      <c r="AA194" s="46"/>
      <c r="AB194" s="3"/>
    </row>
    <row r="195" spans="1:28" ht="3.9" hidden="1" customHeight="1" x14ac:dyDescent="0.25">
      <c r="A195" s="149">
        <f>1</f>
        <v>1</v>
      </c>
      <c r="B195" s="131"/>
      <c r="C195" s="2"/>
      <c r="D195" s="2"/>
      <c r="E195" s="2"/>
      <c r="F195" s="2"/>
      <c r="G195" s="2"/>
      <c r="H195" s="2"/>
      <c r="I195" s="28"/>
      <c r="J195" s="2"/>
      <c r="K195" s="28"/>
      <c r="L195" s="2"/>
      <c r="M195" s="52"/>
      <c r="N195" s="2"/>
      <c r="O195" s="2"/>
      <c r="P195" s="36"/>
      <c r="Q195" s="36"/>
      <c r="R195" s="36"/>
      <c r="S195" s="36"/>
      <c r="T195" s="36"/>
      <c r="U195" s="36"/>
      <c r="V195" s="36"/>
      <c r="W195" s="36"/>
      <c r="X195" s="36"/>
      <c r="Y195" s="36"/>
      <c r="Z195" s="36"/>
      <c r="AA195" s="36"/>
      <c r="AB195" s="2"/>
    </row>
    <row r="196" spans="1:28" s="5" customFormat="1" hidden="1" x14ac:dyDescent="0.25">
      <c r="A196" s="150">
        <f>1</f>
        <v>1</v>
      </c>
      <c r="B196" s="129" t="str">
        <f>структура!$J$12</f>
        <v>ОСНО</v>
      </c>
      <c r="C196" s="3"/>
      <c r="D196" s="3"/>
      <c r="E196" s="146" t="str">
        <f>KPI!$E$100</f>
        <v>NPV(CF)</v>
      </c>
      <c r="F196" s="146"/>
      <c r="G196" s="146" t="str">
        <f>IF($E196="","",INDEX(KPI!$G:$G,SUMIFS(KPI!$B:$B,KPI!$E:$E,$E196)))</f>
        <v>тыс.руб.</v>
      </c>
      <c r="H196" s="146"/>
      <c r="I196" s="177"/>
      <c r="J196" s="146"/>
      <c r="K196" s="177"/>
      <c r="L196" s="146"/>
      <c r="M196" s="178">
        <f>SUM($O196:$AB196)</f>
        <v>15288.971382004518</v>
      </c>
      <c r="N196" s="3"/>
      <c r="O196" s="3"/>
      <c r="P196" s="179">
        <f>IF(P$1="",0,IF(P$193=0,0,P175/P$193))</f>
        <v>5135.5234290232747</v>
      </c>
      <c r="Q196" s="179">
        <f t="shared" ref="Q196:AA196" si="13">IF(Q$1="",0,IF(Q$193=0,0,Q175/Q$193))</f>
        <v>2040.5424004066442</v>
      </c>
      <c r="R196" s="179">
        <f t="shared" si="13"/>
        <v>1924.169570107658</v>
      </c>
      <c r="S196" s="179">
        <f t="shared" si="13"/>
        <v>1772.1038703868589</v>
      </c>
      <c r="T196" s="179">
        <f t="shared" si="13"/>
        <v>1601.6364626147863</v>
      </c>
      <c r="U196" s="179">
        <f t="shared" si="13"/>
        <v>1472.4790279707915</v>
      </c>
      <c r="V196" s="179">
        <f t="shared" si="13"/>
        <v>1342.5166214945039</v>
      </c>
      <c r="W196" s="179">
        <f t="shared" si="13"/>
        <v>0</v>
      </c>
      <c r="X196" s="179">
        <f t="shared" si="13"/>
        <v>0</v>
      </c>
      <c r="Y196" s="179">
        <f t="shared" si="13"/>
        <v>0</v>
      </c>
      <c r="Z196" s="179">
        <f t="shared" si="13"/>
        <v>0</v>
      </c>
      <c r="AA196" s="179">
        <f t="shared" si="13"/>
        <v>0</v>
      </c>
      <c r="AB196" s="3"/>
    </row>
    <row r="197" spans="1:28" s="5" customFormat="1" ht="3.9" hidden="1" customHeight="1" x14ac:dyDescent="0.25">
      <c r="A197" s="150">
        <f>1</f>
        <v>1</v>
      </c>
      <c r="B197" s="128"/>
      <c r="C197" s="3"/>
      <c r="D197" s="3"/>
      <c r="E197" s="3"/>
      <c r="F197" s="3"/>
      <c r="G197" s="3"/>
      <c r="H197" s="3"/>
      <c r="I197" s="28"/>
      <c r="J197" s="3"/>
      <c r="K197" s="28"/>
      <c r="L197" s="3"/>
      <c r="M197" s="55"/>
      <c r="N197" s="3"/>
      <c r="O197" s="3"/>
      <c r="P197" s="46"/>
      <c r="Q197" s="46"/>
      <c r="R197" s="46"/>
      <c r="S197" s="46"/>
      <c r="T197" s="46"/>
      <c r="U197" s="46"/>
      <c r="V197" s="46"/>
      <c r="W197" s="46"/>
      <c r="X197" s="46"/>
      <c r="Y197" s="46"/>
      <c r="Z197" s="46"/>
      <c r="AA197" s="46"/>
      <c r="AB197" s="3"/>
    </row>
    <row r="198" spans="1:28" s="5" customFormat="1" hidden="1" x14ac:dyDescent="0.25">
      <c r="A198" s="150">
        <f>1</f>
        <v>1</v>
      </c>
      <c r="B198" s="129" t="str">
        <f>структура!$J$13</f>
        <v>УСН(6%)</v>
      </c>
      <c r="C198" s="3"/>
      <c r="D198" s="3"/>
      <c r="E198" s="146" t="str">
        <f>E196</f>
        <v>NPV(CF)</v>
      </c>
      <c r="F198" s="146"/>
      <c r="G198" s="146" t="str">
        <f>IF($E198="","",INDEX(KPI!$G:$G,SUMIFS(KPI!$B:$B,KPI!$E:$E,$E198)))</f>
        <v>тыс.руб.</v>
      </c>
      <c r="H198" s="146"/>
      <c r="I198" s="177"/>
      <c r="J198" s="146"/>
      <c r="K198" s="177"/>
      <c r="L198" s="146"/>
      <c r="M198" s="178">
        <f>SUM($O198:$AB198)</f>
        <v>17956.637540334836</v>
      </c>
      <c r="N198" s="3"/>
      <c r="O198" s="3"/>
      <c r="P198" s="179">
        <f>IF(P$1="",0,IF(P$193=0,0,P177/P$193))</f>
        <v>3439.6907259929717</v>
      </c>
      <c r="Q198" s="179">
        <f t="shared" ref="Q198:AA198" si="14">IF(Q$1="",0,IF(Q$193=0,0,Q177/Q$193))</f>
        <v>2923.0840065094831</v>
      </c>
      <c r="R198" s="179">
        <f t="shared" si="14"/>
        <v>2727.953347098226</v>
      </c>
      <c r="S198" s="179">
        <f t="shared" si="14"/>
        <v>2523.88913484879</v>
      </c>
      <c r="T198" s="179">
        <f t="shared" si="14"/>
        <v>2298.78109585211</v>
      </c>
      <c r="U198" s="179">
        <f t="shared" si="14"/>
        <v>2107.4721058886357</v>
      </c>
      <c r="V198" s="179">
        <f t="shared" si="14"/>
        <v>1935.7671241446178</v>
      </c>
      <c r="W198" s="179">
        <f t="shared" si="14"/>
        <v>0</v>
      </c>
      <c r="X198" s="179">
        <f t="shared" si="14"/>
        <v>0</v>
      </c>
      <c r="Y198" s="179">
        <f t="shared" si="14"/>
        <v>0</v>
      </c>
      <c r="Z198" s="179">
        <f t="shared" si="14"/>
        <v>0</v>
      </c>
      <c r="AA198" s="179">
        <f t="shared" si="14"/>
        <v>0</v>
      </c>
      <c r="AB198" s="3"/>
    </row>
    <row r="199" spans="1:28" s="5" customFormat="1" ht="3.9" hidden="1" customHeight="1" x14ac:dyDescent="0.25">
      <c r="A199" s="150">
        <f>1</f>
        <v>1</v>
      </c>
      <c r="B199" s="128"/>
      <c r="C199" s="3"/>
      <c r="D199" s="3"/>
      <c r="E199" s="3"/>
      <c r="F199" s="3"/>
      <c r="G199" s="3"/>
      <c r="H199" s="3"/>
      <c r="I199" s="28"/>
      <c r="J199" s="3"/>
      <c r="K199" s="28"/>
      <c r="L199" s="3"/>
      <c r="M199" s="55"/>
      <c r="N199" s="3"/>
      <c r="O199" s="3"/>
      <c r="P199" s="46"/>
      <c r="Q199" s="46"/>
      <c r="R199" s="46"/>
      <c r="S199" s="46"/>
      <c r="T199" s="46"/>
      <c r="U199" s="46"/>
      <c r="V199" s="46"/>
      <c r="W199" s="46"/>
      <c r="X199" s="46"/>
      <c r="Y199" s="46"/>
      <c r="Z199" s="46"/>
      <c r="AA199" s="46"/>
      <c r="AB199" s="3"/>
    </row>
    <row r="200" spans="1:28" s="5" customFormat="1" hidden="1" x14ac:dyDescent="0.25">
      <c r="A200" s="150">
        <f>1</f>
        <v>1</v>
      </c>
      <c r="B200" s="129" t="str">
        <f>структура!$J$14</f>
        <v>УСН(15%)</v>
      </c>
      <c r="C200" s="3"/>
      <c r="D200" s="3"/>
      <c r="E200" s="146" t="str">
        <f>E196</f>
        <v>NPV(CF)</v>
      </c>
      <c r="F200" s="146"/>
      <c r="G200" s="146" t="str">
        <f>IF($E200="","",INDEX(KPI!$G:$G,SUMIFS(KPI!$B:$B,KPI!$E:$E,$E200)))</f>
        <v>тыс.руб.</v>
      </c>
      <c r="H200" s="146"/>
      <c r="I200" s="177"/>
      <c r="J200" s="146"/>
      <c r="K200" s="177"/>
      <c r="L200" s="146"/>
      <c r="M200" s="178">
        <f>SUM($O200:$AB200)</f>
        <v>16540.86333924513</v>
      </c>
      <c r="N200" s="3"/>
      <c r="O200" s="3"/>
      <c r="P200" s="179">
        <f>IF(P$1="",0,IF(P$193=0,0,P179/P$193))</f>
        <v>3439.6907259929717</v>
      </c>
      <c r="Q200" s="179">
        <f t="shared" ref="Q200:AA200" si="15">IF(Q$1="",0,IF(Q$193=0,0,Q179/Q$193))</f>
        <v>2639.2493936558553</v>
      </c>
      <c r="R200" s="179">
        <f t="shared" si="15"/>
        <v>2469.258929173061</v>
      </c>
      <c r="S200" s="179">
        <f t="shared" si="15"/>
        <v>2279.4070264006441</v>
      </c>
      <c r="T200" s="179">
        <f t="shared" si="15"/>
        <v>2070.1968222346454</v>
      </c>
      <c r="U200" s="179">
        <f t="shared" si="15"/>
        <v>1899.1168674977248</v>
      </c>
      <c r="V200" s="179">
        <f t="shared" si="15"/>
        <v>1743.9435742902292</v>
      </c>
      <c r="W200" s="179">
        <f t="shared" si="15"/>
        <v>0</v>
      </c>
      <c r="X200" s="179">
        <f t="shared" si="15"/>
        <v>0</v>
      </c>
      <c r="Y200" s="179">
        <f t="shared" si="15"/>
        <v>0</v>
      </c>
      <c r="Z200" s="179">
        <f t="shared" si="15"/>
        <v>0</v>
      </c>
      <c r="AA200" s="179">
        <f t="shared" si="15"/>
        <v>0</v>
      </c>
      <c r="AB200" s="3"/>
    </row>
    <row r="201" spans="1:28" s="5" customFormat="1" ht="3.9" hidden="1" customHeight="1" x14ac:dyDescent="0.25">
      <c r="A201" s="150">
        <f>1</f>
        <v>1</v>
      </c>
      <c r="B201" s="128"/>
      <c r="C201" s="3"/>
      <c r="D201" s="3"/>
      <c r="E201" s="3"/>
      <c r="F201" s="3"/>
      <c r="G201" s="3"/>
      <c r="H201" s="3"/>
      <c r="I201" s="28"/>
      <c r="J201" s="3"/>
      <c r="K201" s="28"/>
      <c r="L201" s="3"/>
      <c r="M201" s="55"/>
      <c r="N201" s="3"/>
      <c r="O201" s="3"/>
      <c r="P201" s="46"/>
      <c r="Q201" s="46"/>
      <c r="R201" s="46"/>
      <c r="S201" s="46"/>
      <c r="T201" s="46"/>
      <c r="U201" s="46"/>
      <c r="V201" s="46"/>
      <c r="W201" s="46"/>
      <c r="X201" s="46"/>
      <c r="Y201" s="46"/>
      <c r="Z201" s="46"/>
      <c r="AA201" s="46"/>
      <c r="AB201" s="3"/>
    </row>
    <row r="202" spans="1:28" s="5" customFormat="1" x14ac:dyDescent="0.25">
      <c r="A202" s="150">
        <f>1</f>
        <v>1</v>
      </c>
      <c r="B202" s="129" t="str">
        <f>структура!$J$15</f>
        <v>УСН(6%)-ИП</v>
      </c>
      <c r="C202" s="3"/>
      <c r="D202" s="3"/>
      <c r="E202" s="146" t="str">
        <f>E196</f>
        <v>NPV(CF)</v>
      </c>
      <c r="F202" s="146"/>
      <c r="G202" s="146" t="str">
        <f>IF($E202="","",INDEX(KPI!$G:$G,SUMIFS(KPI!$B:$B,KPI!$E:$E,$E202)))</f>
        <v>тыс.руб.</v>
      </c>
      <c r="H202" s="146"/>
      <c r="I202" s="177"/>
      <c r="J202" s="146"/>
      <c r="K202" s="177"/>
      <c r="L202" s="146"/>
      <c r="M202" s="178">
        <f>SUM($O202:$AB202)</f>
        <v>18588.280183491828</v>
      </c>
      <c r="N202" s="3"/>
      <c r="O202" s="3"/>
      <c r="P202" s="179">
        <f>IF(P$1="",0,IF(P$193=0,0,P181/P$193))</f>
        <v>3439.6907259929717</v>
      </c>
      <c r="Q202" s="179">
        <f t="shared" ref="Q202:AA202" si="16">IF(Q$1="",0,IF(Q$193=0,0,Q181/Q$193))</f>
        <v>3104.1413491668259</v>
      </c>
      <c r="R202" s="179">
        <f t="shared" si="16"/>
        <v>2892.5509313321736</v>
      </c>
      <c r="S202" s="179">
        <f t="shared" si="16"/>
        <v>2673.8457897641224</v>
      </c>
      <c r="T202" s="179">
        <f t="shared" si="16"/>
        <v>2434.8121572024802</v>
      </c>
      <c r="U202" s="179">
        <f t="shared" si="16"/>
        <v>2107.4721058886357</v>
      </c>
      <c r="V202" s="179">
        <f t="shared" si="16"/>
        <v>1935.7671241446178</v>
      </c>
      <c r="W202" s="179">
        <f t="shared" si="16"/>
        <v>0</v>
      </c>
      <c r="X202" s="179">
        <f t="shared" si="16"/>
        <v>0</v>
      </c>
      <c r="Y202" s="179">
        <f t="shared" si="16"/>
        <v>0</v>
      </c>
      <c r="Z202" s="179">
        <f t="shared" si="16"/>
        <v>0</v>
      </c>
      <c r="AA202" s="179">
        <f t="shared" si="16"/>
        <v>0</v>
      </c>
      <c r="AB202" s="3"/>
    </row>
    <row r="203" spans="1:28" ht="3.9" hidden="1" customHeight="1" x14ac:dyDescent="0.25">
      <c r="A203" s="149">
        <f>1</f>
        <v>1</v>
      </c>
      <c r="B203" s="131"/>
      <c r="C203" s="2"/>
      <c r="D203" s="2"/>
      <c r="E203" s="119"/>
      <c r="F203" s="2"/>
      <c r="G203" s="119"/>
      <c r="H203" s="2"/>
      <c r="I203" s="28"/>
      <c r="J203" s="2"/>
      <c r="K203" s="28"/>
      <c r="L203" s="2"/>
      <c r="M203" s="142"/>
      <c r="N203" s="2"/>
      <c r="O203" s="2"/>
      <c r="P203" s="36"/>
      <c r="Q203" s="36"/>
      <c r="R203" s="36"/>
      <c r="S203" s="36"/>
      <c r="T203" s="36"/>
      <c r="U203" s="36"/>
      <c r="V203" s="36"/>
      <c r="W203" s="36"/>
      <c r="X203" s="36"/>
      <c r="Y203" s="36"/>
      <c r="Z203" s="36"/>
      <c r="AA203" s="36"/>
      <c r="AB203" s="2"/>
    </row>
    <row r="204" spans="1:28" ht="8.1" hidden="1" customHeight="1" x14ac:dyDescent="0.25">
      <c r="A204" s="149">
        <f>1</f>
        <v>1</v>
      </c>
      <c r="B204" s="131"/>
      <c r="C204" s="2"/>
      <c r="D204" s="2"/>
      <c r="E204" s="2"/>
      <c r="F204" s="2"/>
      <c r="G204" s="2"/>
      <c r="H204" s="2"/>
      <c r="I204" s="28"/>
      <c r="J204" s="2"/>
      <c r="K204" s="28"/>
      <c r="L204" s="2"/>
      <c r="M204" s="52"/>
      <c r="N204" s="2"/>
      <c r="O204" s="2"/>
      <c r="P204" s="36"/>
      <c r="Q204" s="36"/>
      <c r="R204" s="36"/>
      <c r="S204" s="36"/>
      <c r="T204" s="36"/>
      <c r="U204" s="36"/>
      <c r="V204" s="36"/>
      <c r="W204" s="36"/>
      <c r="X204" s="36"/>
      <c r="Y204" s="36"/>
      <c r="Z204" s="36"/>
      <c r="AA204" s="36"/>
      <c r="AB204" s="2"/>
    </row>
    <row r="205" spans="1:28" ht="3.9" hidden="1" customHeight="1" x14ac:dyDescent="0.25">
      <c r="A205" s="149">
        <f>1</f>
        <v>1</v>
      </c>
      <c r="B205" s="131"/>
      <c r="C205" s="2"/>
      <c r="D205" s="2"/>
      <c r="E205" s="2"/>
      <c r="F205" s="2"/>
      <c r="G205" s="2"/>
      <c r="H205" s="2"/>
      <c r="I205" s="28"/>
      <c r="J205" s="2"/>
      <c r="K205" s="28"/>
      <c r="L205" s="2"/>
      <c r="M205" s="52"/>
      <c r="N205" s="2"/>
      <c r="O205" s="2"/>
      <c r="P205" s="36"/>
      <c r="Q205" s="36"/>
      <c r="R205" s="36"/>
      <c r="S205" s="36"/>
      <c r="T205" s="36"/>
      <c r="U205" s="36"/>
      <c r="V205" s="36"/>
      <c r="W205" s="36"/>
      <c r="X205" s="36"/>
      <c r="Y205" s="36"/>
      <c r="Z205" s="36"/>
      <c r="AA205" s="36"/>
      <c r="AB205" s="2"/>
    </row>
    <row r="206" spans="1:28" s="5" customFormat="1" hidden="1" x14ac:dyDescent="0.25">
      <c r="A206" s="150">
        <f>1</f>
        <v>1</v>
      </c>
      <c r="B206" s="129" t="str">
        <f>структура!$J$12</f>
        <v>ОСНО</v>
      </c>
      <c r="C206" s="3"/>
      <c r="D206" s="3"/>
      <c r="E206" s="147" t="str">
        <f>KPI!$E$101</f>
        <v>NPV(CF)-Inv</v>
      </c>
      <c r="F206" s="147"/>
      <c r="G206" s="147" t="str">
        <f>IF($E206="","",INDEX(KPI!$G:$G,SUMIFS(KPI!$B:$B,KPI!$E:$E,$E206)))</f>
        <v>тыс.руб.</v>
      </c>
      <c r="H206" s="147"/>
      <c r="I206" s="170"/>
      <c r="J206" s="147"/>
      <c r="K206" s="170"/>
      <c r="L206" s="147"/>
      <c r="M206" s="171">
        <f>M196-M$190</f>
        <v>-2253.5244579954815</v>
      </c>
      <c r="N206" s="3"/>
      <c r="O206" s="3"/>
      <c r="P206" s="46"/>
      <c r="Q206" s="46"/>
      <c r="R206" s="46"/>
      <c r="S206" s="46"/>
      <c r="T206" s="46"/>
      <c r="U206" s="46"/>
      <c r="V206" s="46"/>
      <c r="W206" s="46"/>
      <c r="X206" s="46"/>
      <c r="Y206" s="46"/>
      <c r="Z206" s="46"/>
      <c r="AA206" s="46"/>
      <c r="AB206" s="3"/>
    </row>
    <row r="207" spans="1:28" s="5" customFormat="1" ht="3.9" hidden="1" customHeight="1" x14ac:dyDescent="0.25">
      <c r="A207" s="150">
        <f>1</f>
        <v>1</v>
      </c>
      <c r="B207" s="128"/>
      <c r="C207" s="3"/>
      <c r="D207" s="3"/>
      <c r="E207" s="3"/>
      <c r="F207" s="3"/>
      <c r="G207" s="3"/>
      <c r="H207" s="3"/>
      <c r="I207" s="28"/>
      <c r="J207" s="3"/>
      <c r="K207" s="28"/>
      <c r="L207" s="3"/>
      <c r="M207" s="55"/>
      <c r="N207" s="3"/>
      <c r="O207" s="3"/>
      <c r="P207" s="46"/>
      <c r="Q207" s="46"/>
      <c r="R207" s="46"/>
      <c r="S207" s="46"/>
      <c r="T207" s="46"/>
      <c r="U207" s="46"/>
      <c r="V207" s="46"/>
      <c r="W207" s="46"/>
      <c r="X207" s="46"/>
      <c r="Y207" s="46"/>
      <c r="Z207" s="46"/>
      <c r="AA207" s="46"/>
      <c r="AB207" s="3"/>
    </row>
    <row r="208" spans="1:28" s="5" customFormat="1" hidden="1" x14ac:dyDescent="0.25">
      <c r="A208" s="150">
        <f>1</f>
        <v>1</v>
      </c>
      <c r="B208" s="129" t="str">
        <f>структура!$J$13</f>
        <v>УСН(6%)</v>
      </c>
      <c r="C208" s="3"/>
      <c r="D208" s="3"/>
      <c r="E208" s="147" t="str">
        <f>E206</f>
        <v>NPV(CF)-Inv</v>
      </c>
      <c r="F208" s="147"/>
      <c r="G208" s="147" t="str">
        <f>IF($E208="","",INDEX(KPI!$G:$G,SUMIFS(KPI!$B:$B,KPI!$E:$E,$E208)))</f>
        <v>тыс.руб.</v>
      </c>
      <c r="H208" s="147"/>
      <c r="I208" s="170"/>
      <c r="J208" s="147"/>
      <c r="K208" s="170"/>
      <c r="L208" s="147"/>
      <c r="M208" s="171">
        <f>M198-M$190</f>
        <v>414.14170033483606</v>
      </c>
      <c r="N208" s="3"/>
      <c r="O208" s="3"/>
      <c r="P208" s="46"/>
      <c r="Q208" s="46"/>
      <c r="R208" s="46"/>
      <c r="S208" s="46"/>
      <c r="T208" s="46"/>
      <c r="U208" s="46"/>
      <c r="V208" s="46"/>
      <c r="W208" s="46"/>
      <c r="X208" s="46"/>
      <c r="Y208" s="46"/>
      <c r="Z208" s="46"/>
      <c r="AA208" s="46"/>
      <c r="AB208" s="3"/>
    </row>
    <row r="209" spans="1:28" s="5" customFormat="1" ht="3.9" hidden="1" customHeight="1" x14ac:dyDescent="0.25">
      <c r="A209" s="150">
        <f>1</f>
        <v>1</v>
      </c>
      <c r="B209" s="128"/>
      <c r="C209" s="3"/>
      <c r="D209" s="3"/>
      <c r="E209" s="3"/>
      <c r="F209" s="3"/>
      <c r="G209" s="3"/>
      <c r="H209" s="3"/>
      <c r="I209" s="28"/>
      <c r="J209" s="3"/>
      <c r="K209" s="28"/>
      <c r="L209" s="3"/>
      <c r="M209" s="55"/>
      <c r="N209" s="3"/>
      <c r="O209" s="3"/>
      <c r="P209" s="46"/>
      <c r="Q209" s="46"/>
      <c r="R209" s="46"/>
      <c r="S209" s="46"/>
      <c r="T209" s="46"/>
      <c r="U209" s="46"/>
      <c r="V209" s="46"/>
      <c r="W209" s="46"/>
      <c r="X209" s="46"/>
      <c r="Y209" s="46"/>
      <c r="Z209" s="46"/>
      <c r="AA209" s="46"/>
      <c r="AB209" s="3"/>
    </row>
    <row r="210" spans="1:28" s="5" customFormat="1" hidden="1" x14ac:dyDescent="0.25">
      <c r="A210" s="150">
        <f>1</f>
        <v>1</v>
      </c>
      <c r="B210" s="129" t="str">
        <f>структура!$J$14</f>
        <v>УСН(15%)</v>
      </c>
      <c r="C210" s="3"/>
      <c r="D210" s="3"/>
      <c r="E210" s="147" t="str">
        <f>E206</f>
        <v>NPV(CF)-Inv</v>
      </c>
      <c r="F210" s="147"/>
      <c r="G210" s="147" t="str">
        <f>IF($E210="","",INDEX(KPI!$G:$G,SUMIFS(KPI!$B:$B,KPI!$E:$E,$E210)))</f>
        <v>тыс.руб.</v>
      </c>
      <c r="H210" s="147"/>
      <c r="I210" s="170"/>
      <c r="J210" s="147"/>
      <c r="K210" s="170"/>
      <c r="L210" s="147"/>
      <c r="M210" s="171">
        <f>M200-M$190</f>
        <v>-1001.6325007548694</v>
      </c>
      <c r="N210" s="3"/>
      <c r="O210" s="3"/>
      <c r="P210" s="46"/>
      <c r="Q210" s="46"/>
      <c r="R210" s="46"/>
      <c r="S210" s="46"/>
      <c r="T210" s="46"/>
      <c r="U210" s="46"/>
      <c r="V210" s="46"/>
      <c r="W210" s="46"/>
      <c r="X210" s="46"/>
      <c r="Y210" s="46"/>
      <c r="Z210" s="46"/>
      <c r="AA210" s="46"/>
      <c r="AB210" s="3"/>
    </row>
    <row r="211" spans="1:28" s="5" customFormat="1" ht="3.9" hidden="1" customHeight="1" x14ac:dyDescent="0.25">
      <c r="A211" s="150">
        <f>1</f>
        <v>1</v>
      </c>
      <c r="B211" s="128"/>
      <c r="C211" s="3"/>
      <c r="D211" s="3"/>
      <c r="E211" s="3"/>
      <c r="F211" s="3"/>
      <c r="G211" s="3"/>
      <c r="H211" s="3"/>
      <c r="I211" s="28"/>
      <c r="J211" s="3"/>
      <c r="K211" s="28"/>
      <c r="L211" s="3"/>
      <c r="M211" s="55"/>
      <c r="N211" s="3"/>
      <c r="O211" s="3"/>
      <c r="P211" s="46"/>
      <c r="Q211" s="46"/>
      <c r="R211" s="46"/>
      <c r="S211" s="46"/>
      <c r="T211" s="46"/>
      <c r="U211" s="46"/>
      <c r="V211" s="46"/>
      <c r="W211" s="46"/>
      <c r="X211" s="46"/>
      <c r="Y211" s="46"/>
      <c r="Z211" s="46"/>
      <c r="AA211" s="46"/>
      <c r="AB211" s="3"/>
    </row>
    <row r="212" spans="1:28" s="5" customFormat="1" x14ac:dyDescent="0.25">
      <c r="A212" s="150">
        <f>1</f>
        <v>1</v>
      </c>
      <c r="B212" s="129" t="str">
        <f>структура!$J$15</f>
        <v>УСН(6%)-ИП</v>
      </c>
      <c r="C212" s="3"/>
      <c r="D212" s="3"/>
      <c r="E212" s="147" t="str">
        <f>E206</f>
        <v>NPV(CF)-Inv</v>
      </c>
      <c r="F212" s="147"/>
      <c r="G212" s="147" t="str">
        <f>IF($E212="","",INDEX(KPI!$G:$G,SUMIFS(KPI!$B:$B,KPI!$E:$E,$E212)))</f>
        <v>тыс.руб.</v>
      </c>
      <c r="H212" s="147"/>
      <c r="I212" s="170"/>
      <c r="J212" s="147"/>
      <c r="K212" s="170"/>
      <c r="L212" s="147"/>
      <c r="M212" s="171">
        <f>M202-M$190</f>
        <v>1045.7843434918286</v>
      </c>
      <c r="N212" s="3"/>
      <c r="O212" s="3"/>
      <c r="P212" s="46"/>
      <c r="Q212" s="46"/>
      <c r="R212" s="46"/>
      <c r="S212" s="46"/>
      <c r="T212" s="46"/>
      <c r="U212" s="46"/>
      <c r="V212" s="46"/>
      <c r="W212" s="46"/>
      <c r="X212" s="46"/>
      <c r="Y212" s="46"/>
      <c r="Z212" s="46"/>
      <c r="AA212" s="46"/>
      <c r="AB212" s="3"/>
    </row>
    <row r="213" spans="1:28" ht="3.9" hidden="1" customHeight="1" x14ac:dyDescent="0.25">
      <c r="A213" s="149">
        <f>1</f>
        <v>1</v>
      </c>
      <c r="B213" s="131"/>
      <c r="C213" s="2"/>
      <c r="D213" s="2"/>
      <c r="E213" s="117"/>
      <c r="F213" s="2"/>
      <c r="G213" s="117"/>
      <c r="H213" s="2"/>
      <c r="I213" s="28"/>
      <c r="J213" s="2"/>
      <c r="K213" s="28"/>
      <c r="L213" s="2"/>
      <c r="M213" s="138"/>
      <c r="N213" s="2"/>
      <c r="O213" s="2"/>
      <c r="P213" s="36"/>
      <c r="Q213" s="36"/>
      <c r="R213" s="36"/>
      <c r="S213" s="36"/>
      <c r="T213" s="36"/>
      <c r="U213" s="36"/>
      <c r="V213" s="36"/>
      <c r="W213" s="36"/>
      <c r="X213" s="36"/>
      <c r="Y213" s="36"/>
      <c r="Z213" s="36"/>
      <c r="AA213" s="36"/>
      <c r="AB213" s="2"/>
    </row>
    <row r="214" spans="1:28" ht="8.1" hidden="1" customHeight="1" x14ac:dyDescent="0.25">
      <c r="A214" s="149">
        <f>1</f>
        <v>1</v>
      </c>
      <c r="B214" s="131"/>
      <c r="C214" s="2"/>
      <c r="D214" s="2"/>
      <c r="E214" s="2"/>
      <c r="F214" s="2"/>
      <c r="G214" s="2"/>
      <c r="H214" s="2"/>
      <c r="I214" s="28"/>
      <c r="J214" s="2"/>
      <c r="K214" s="28"/>
      <c r="L214" s="2"/>
      <c r="M214" s="52"/>
      <c r="N214" s="2"/>
      <c r="O214" s="2"/>
      <c r="P214" s="36"/>
      <c r="Q214" s="36"/>
      <c r="R214" s="36"/>
      <c r="S214" s="36"/>
      <c r="T214" s="36"/>
      <c r="U214" s="36"/>
      <c r="V214" s="36"/>
      <c r="W214" s="36"/>
      <c r="X214" s="36"/>
      <c r="Y214" s="36"/>
      <c r="Z214" s="36"/>
      <c r="AA214" s="36"/>
      <c r="AB214" s="2"/>
    </row>
    <row r="215" spans="1:28" ht="3.9" hidden="1" customHeight="1" x14ac:dyDescent="0.25">
      <c r="A215" s="149">
        <f>1</f>
        <v>1</v>
      </c>
      <c r="B215" s="131"/>
      <c r="C215" s="2"/>
      <c r="D215" s="2"/>
      <c r="E215" s="2"/>
      <c r="F215" s="2"/>
      <c r="G215" s="2"/>
      <c r="H215" s="2"/>
      <c r="I215" s="28"/>
      <c r="J215" s="2"/>
      <c r="K215" s="28"/>
      <c r="L215" s="2"/>
      <c r="M215" s="52"/>
      <c r="N215" s="2"/>
      <c r="O215" s="2"/>
      <c r="P215" s="36"/>
      <c r="Q215" s="36"/>
      <c r="R215" s="36"/>
      <c r="S215" s="36"/>
      <c r="T215" s="36"/>
      <c r="U215" s="36"/>
      <c r="V215" s="36"/>
      <c r="W215" s="36"/>
      <c r="X215" s="36"/>
      <c r="Y215" s="36"/>
      <c r="Z215" s="36"/>
      <c r="AA215" s="36"/>
      <c r="AB215" s="2"/>
    </row>
    <row r="216" spans="1:28" s="5" customFormat="1" hidden="1" x14ac:dyDescent="0.25">
      <c r="A216" s="150">
        <f>1</f>
        <v>1</v>
      </c>
      <c r="B216" s="129" t="str">
        <f>структура!$J$12</f>
        <v>ОСНО</v>
      </c>
      <c r="C216" s="3"/>
      <c r="D216" s="3"/>
      <c r="E216" s="147" t="str">
        <f>KPI!$E$102</f>
        <v>PI</v>
      </c>
      <c r="F216" s="147"/>
      <c r="G216" s="147" t="str">
        <f>IF($E216="","",INDEX(KPI!$G:$G,SUMIFS(KPI!$B:$B,KPI!$E:$E,$E216)))</f>
        <v>разы</v>
      </c>
      <c r="H216" s="147"/>
      <c r="I216" s="170"/>
      <c r="J216" s="147"/>
      <c r="K216" s="170"/>
      <c r="L216" s="147"/>
      <c r="M216" s="187">
        <f>IF(M$190=0,0,M196/M$190)</f>
        <v>0.87153911971539155</v>
      </c>
      <c r="N216" s="3"/>
      <c r="O216" s="3"/>
      <c r="P216" s="46"/>
      <c r="Q216" s="46"/>
      <c r="R216" s="46"/>
      <c r="S216" s="46"/>
      <c r="T216" s="46"/>
      <c r="U216" s="46"/>
      <c r="V216" s="46"/>
      <c r="W216" s="46"/>
      <c r="X216" s="46"/>
      <c r="Y216" s="46"/>
      <c r="Z216" s="46"/>
      <c r="AA216" s="46"/>
      <c r="AB216" s="3"/>
    </row>
    <row r="217" spans="1:28" s="5" customFormat="1" ht="3.9" hidden="1" customHeight="1" x14ac:dyDescent="0.25">
      <c r="A217" s="150">
        <f>1</f>
        <v>1</v>
      </c>
      <c r="B217" s="128"/>
      <c r="C217" s="3"/>
      <c r="D217" s="3"/>
      <c r="E217" s="3"/>
      <c r="F217" s="3"/>
      <c r="G217" s="3"/>
      <c r="H217" s="3"/>
      <c r="I217" s="28"/>
      <c r="J217" s="3"/>
      <c r="K217" s="28"/>
      <c r="L217" s="3"/>
      <c r="M217" s="55"/>
      <c r="N217" s="3"/>
      <c r="O217" s="3"/>
      <c r="P217" s="46"/>
      <c r="Q217" s="46"/>
      <c r="R217" s="46"/>
      <c r="S217" s="46"/>
      <c r="T217" s="46"/>
      <c r="U217" s="46"/>
      <c r="V217" s="46"/>
      <c r="W217" s="46"/>
      <c r="X217" s="46"/>
      <c r="Y217" s="46"/>
      <c r="Z217" s="46"/>
      <c r="AA217" s="46"/>
      <c r="AB217" s="3"/>
    </row>
    <row r="218" spans="1:28" s="5" customFormat="1" hidden="1" x14ac:dyDescent="0.25">
      <c r="A218" s="150">
        <f>1</f>
        <v>1</v>
      </c>
      <c r="B218" s="129" t="str">
        <f>структура!$J$13</f>
        <v>УСН(6%)</v>
      </c>
      <c r="C218" s="3"/>
      <c r="D218" s="3"/>
      <c r="E218" s="147" t="str">
        <f>E216</f>
        <v>PI</v>
      </c>
      <c r="F218" s="147"/>
      <c r="G218" s="147" t="str">
        <f>IF($E218="","",INDEX(KPI!$G:$G,SUMIFS(KPI!$B:$B,KPI!$E:$E,$E218)))</f>
        <v>разы</v>
      </c>
      <c r="H218" s="147"/>
      <c r="I218" s="170"/>
      <c r="J218" s="147"/>
      <c r="K218" s="170"/>
      <c r="L218" s="147"/>
      <c r="M218" s="187">
        <f>IF(M$190=0,0,M198/M$190)</f>
        <v>1.0236079121301838</v>
      </c>
      <c r="N218" s="3"/>
      <c r="O218" s="3"/>
      <c r="P218" s="46"/>
      <c r="Q218" s="46"/>
      <c r="R218" s="46"/>
      <c r="S218" s="46"/>
      <c r="T218" s="46"/>
      <c r="U218" s="46"/>
      <c r="V218" s="46"/>
      <c r="W218" s="46"/>
      <c r="X218" s="46"/>
      <c r="Y218" s="46"/>
      <c r="Z218" s="46"/>
      <c r="AA218" s="46"/>
      <c r="AB218" s="3"/>
    </row>
    <row r="219" spans="1:28" s="5" customFormat="1" ht="3.9" hidden="1" customHeight="1" x14ac:dyDescent="0.25">
      <c r="A219" s="150">
        <f>1</f>
        <v>1</v>
      </c>
      <c r="B219" s="128"/>
      <c r="C219" s="3"/>
      <c r="D219" s="3"/>
      <c r="E219" s="3"/>
      <c r="F219" s="3"/>
      <c r="G219" s="3"/>
      <c r="H219" s="3"/>
      <c r="I219" s="28"/>
      <c r="J219" s="3"/>
      <c r="K219" s="28"/>
      <c r="L219" s="3"/>
      <c r="M219" s="55"/>
      <c r="N219" s="3"/>
      <c r="O219" s="3"/>
      <c r="P219" s="46"/>
      <c r="Q219" s="46"/>
      <c r="R219" s="46"/>
      <c r="S219" s="46"/>
      <c r="T219" s="46"/>
      <c r="U219" s="46"/>
      <c r="V219" s="46"/>
      <c r="W219" s="46"/>
      <c r="X219" s="46"/>
      <c r="Y219" s="46"/>
      <c r="Z219" s="46"/>
      <c r="AA219" s="46"/>
      <c r="AB219" s="3"/>
    </row>
    <row r="220" spans="1:28" s="5" customFormat="1" hidden="1" x14ac:dyDescent="0.25">
      <c r="A220" s="150">
        <f>1</f>
        <v>1</v>
      </c>
      <c r="B220" s="129" t="str">
        <f>структура!$J$14</f>
        <v>УСН(15%)</v>
      </c>
      <c r="C220" s="3"/>
      <c r="D220" s="3"/>
      <c r="E220" s="147" t="str">
        <f>E216</f>
        <v>PI</v>
      </c>
      <c r="F220" s="147"/>
      <c r="G220" s="147" t="str">
        <f>IF($E220="","",INDEX(KPI!$G:$G,SUMIFS(KPI!$B:$B,KPI!$E:$E,$E220)))</f>
        <v>разы</v>
      </c>
      <c r="H220" s="147"/>
      <c r="I220" s="170"/>
      <c r="J220" s="147"/>
      <c r="K220" s="170"/>
      <c r="L220" s="147"/>
      <c r="M220" s="187">
        <f>IF(M$190=0,0,M200/M$190)</f>
        <v>0.94290250886245219</v>
      </c>
      <c r="N220" s="3"/>
      <c r="O220" s="3"/>
      <c r="P220" s="46"/>
      <c r="Q220" s="46"/>
      <c r="R220" s="46"/>
      <c r="S220" s="46"/>
      <c r="T220" s="46"/>
      <c r="U220" s="46"/>
      <c r="V220" s="46"/>
      <c r="W220" s="46"/>
      <c r="X220" s="46"/>
      <c r="Y220" s="46"/>
      <c r="Z220" s="46"/>
      <c r="AA220" s="46"/>
      <c r="AB220" s="3"/>
    </row>
    <row r="221" spans="1:28" s="5" customFormat="1" ht="3.9" hidden="1" customHeight="1" x14ac:dyDescent="0.25">
      <c r="A221" s="150">
        <f>1</f>
        <v>1</v>
      </c>
      <c r="B221" s="128"/>
      <c r="C221" s="3"/>
      <c r="D221" s="3"/>
      <c r="E221" s="3"/>
      <c r="F221" s="3"/>
      <c r="G221" s="3"/>
      <c r="H221" s="3"/>
      <c r="I221" s="28"/>
      <c r="J221" s="3"/>
      <c r="K221" s="28"/>
      <c r="L221" s="3"/>
      <c r="M221" s="55"/>
      <c r="N221" s="3"/>
      <c r="O221" s="3"/>
      <c r="P221" s="46"/>
      <c r="Q221" s="46"/>
      <c r="R221" s="46"/>
      <c r="S221" s="46"/>
      <c r="T221" s="46"/>
      <c r="U221" s="46"/>
      <c r="V221" s="46"/>
      <c r="W221" s="46"/>
      <c r="X221" s="46"/>
      <c r="Y221" s="46"/>
      <c r="Z221" s="46"/>
      <c r="AA221" s="46"/>
      <c r="AB221" s="3"/>
    </row>
    <row r="222" spans="1:28" s="5" customFormat="1" x14ac:dyDescent="0.25">
      <c r="A222" s="150">
        <f>1</f>
        <v>1</v>
      </c>
      <c r="B222" s="129" t="str">
        <f>структура!$J$15</f>
        <v>УСН(6%)-ИП</v>
      </c>
      <c r="C222" s="3"/>
      <c r="D222" s="3"/>
      <c r="E222" s="147" t="str">
        <f>E216</f>
        <v>PI</v>
      </c>
      <c r="F222" s="147"/>
      <c r="G222" s="147" t="str">
        <f>IF($E222="","",INDEX(KPI!$G:$G,SUMIFS(KPI!$B:$B,KPI!$E:$E,$E222)))</f>
        <v>разы</v>
      </c>
      <c r="H222" s="147"/>
      <c r="I222" s="170"/>
      <c r="J222" s="147"/>
      <c r="K222" s="170"/>
      <c r="L222" s="147"/>
      <c r="M222" s="187">
        <f>IF(M$190=0,0,M202/M$190)</f>
        <v>1.0596143418262784</v>
      </c>
      <c r="N222" s="3"/>
      <c r="O222" s="3"/>
      <c r="P222" s="46"/>
      <c r="Q222" s="46"/>
      <c r="R222" s="46"/>
      <c r="S222" s="46"/>
      <c r="T222" s="46"/>
      <c r="U222" s="46"/>
      <c r="V222" s="46"/>
      <c r="W222" s="46"/>
      <c r="X222" s="46"/>
      <c r="Y222" s="46"/>
      <c r="Z222" s="46"/>
      <c r="AA222" s="46"/>
      <c r="AB222" s="3"/>
    </row>
    <row r="223" spans="1:28" ht="3.9" hidden="1" customHeight="1" x14ac:dyDescent="0.25">
      <c r="A223" s="149">
        <f>1</f>
        <v>1</v>
      </c>
      <c r="B223" s="131"/>
      <c r="C223" s="2"/>
      <c r="D223" s="2"/>
      <c r="E223" s="117"/>
      <c r="F223" s="2"/>
      <c r="G223" s="117"/>
      <c r="H223" s="2"/>
      <c r="I223" s="28"/>
      <c r="J223" s="2"/>
      <c r="K223" s="28"/>
      <c r="L223" s="2"/>
      <c r="M223" s="138"/>
      <c r="N223" s="2"/>
      <c r="O223" s="2"/>
      <c r="P223" s="36"/>
      <c r="Q223" s="36"/>
      <c r="R223" s="36"/>
      <c r="S223" s="36"/>
      <c r="T223" s="36"/>
      <c r="U223" s="36"/>
      <c r="V223" s="36"/>
      <c r="W223" s="36"/>
      <c r="X223" s="36"/>
      <c r="Y223" s="36"/>
      <c r="Z223" s="36"/>
      <c r="AA223" s="36"/>
      <c r="AB223" s="2"/>
    </row>
    <row r="224" spans="1:28" ht="8.1" hidden="1" customHeight="1" x14ac:dyDescent="0.25">
      <c r="A224" s="149">
        <f>1</f>
        <v>1</v>
      </c>
      <c r="B224" s="131"/>
      <c r="C224" s="2"/>
      <c r="D224" s="2"/>
      <c r="E224" s="2"/>
      <c r="F224" s="2"/>
      <c r="G224" s="2"/>
      <c r="H224" s="2"/>
      <c r="I224" s="28"/>
      <c r="J224" s="2"/>
      <c r="K224" s="28"/>
      <c r="L224" s="2"/>
      <c r="M224" s="52"/>
      <c r="N224" s="2"/>
      <c r="O224" s="2"/>
      <c r="P224" s="36"/>
      <c r="Q224" s="36"/>
      <c r="R224" s="36"/>
      <c r="S224" s="36"/>
      <c r="T224" s="36"/>
      <c r="U224" s="36"/>
      <c r="V224" s="36"/>
      <c r="W224" s="36"/>
      <c r="X224" s="36"/>
      <c r="Y224" s="36"/>
      <c r="Z224" s="36"/>
      <c r="AA224" s="36"/>
      <c r="AB224" s="2"/>
    </row>
    <row r="225" spans="1:28" ht="3.9" hidden="1" customHeight="1" x14ac:dyDescent="0.25">
      <c r="A225" s="149">
        <f>1</f>
        <v>1</v>
      </c>
      <c r="B225" s="131"/>
      <c r="C225" s="2"/>
      <c r="D225" s="2"/>
      <c r="E225" s="2"/>
      <c r="F225" s="2"/>
      <c r="G225" s="2"/>
      <c r="H225" s="2"/>
      <c r="I225" s="28"/>
      <c r="J225" s="2"/>
      <c r="K225" s="28"/>
      <c r="L225" s="2"/>
      <c r="M225" s="52"/>
      <c r="N225" s="2"/>
      <c r="O225" s="2"/>
      <c r="P225" s="36"/>
      <c r="Q225" s="36"/>
      <c r="R225" s="36"/>
      <c r="S225" s="36"/>
      <c r="T225" s="36"/>
      <c r="U225" s="36"/>
      <c r="V225" s="36"/>
      <c r="W225" s="36"/>
      <c r="X225" s="36"/>
      <c r="Y225" s="36"/>
      <c r="Z225" s="36"/>
      <c r="AA225" s="36"/>
      <c r="AB225" s="2"/>
    </row>
    <row r="226" spans="1:28" s="5" customFormat="1" hidden="1" x14ac:dyDescent="0.25">
      <c r="A226" s="150">
        <f>1</f>
        <v>1</v>
      </c>
      <c r="B226" s="129" t="str">
        <f>структура!$J$12</f>
        <v>ОСНО</v>
      </c>
      <c r="C226" s="3"/>
      <c r="D226" s="3"/>
      <c r="E226" s="147" t="str">
        <f>KPI!$E$103</f>
        <v>ROI</v>
      </c>
      <c r="F226" s="147"/>
      <c r="G226" s="147" t="str">
        <f>IF($E226="","",INDEX(KPI!$G:$G,SUMIFS(KPI!$B:$B,KPI!$E:$E,$E226)))</f>
        <v>%</v>
      </c>
      <c r="H226" s="147"/>
      <c r="I226" s="170"/>
      <c r="J226" s="147"/>
      <c r="K226" s="170"/>
      <c r="L226" s="147"/>
      <c r="M226" s="188">
        <f>IF(M$190=0,0,M206/M$190)</f>
        <v>-0.12846088028460845</v>
      </c>
      <c r="N226" s="3"/>
      <c r="O226" s="3"/>
      <c r="P226" s="46"/>
      <c r="Q226" s="46"/>
      <c r="R226" s="46"/>
      <c r="S226" s="46"/>
      <c r="T226" s="46"/>
      <c r="U226" s="46"/>
      <c r="V226" s="46"/>
      <c r="W226" s="46"/>
      <c r="X226" s="46"/>
      <c r="Y226" s="46"/>
      <c r="Z226" s="46"/>
      <c r="AA226" s="46"/>
      <c r="AB226" s="3"/>
    </row>
    <row r="227" spans="1:28" s="5" customFormat="1" ht="3.9" hidden="1" customHeight="1" x14ac:dyDescent="0.25">
      <c r="A227" s="150">
        <f>1</f>
        <v>1</v>
      </c>
      <c r="B227" s="128"/>
      <c r="C227" s="3"/>
      <c r="D227" s="3"/>
      <c r="E227" s="3"/>
      <c r="F227" s="3"/>
      <c r="G227" s="3"/>
      <c r="H227" s="3"/>
      <c r="I227" s="28"/>
      <c r="J227" s="3"/>
      <c r="K227" s="28"/>
      <c r="L227" s="3"/>
      <c r="M227" s="55"/>
      <c r="N227" s="3"/>
      <c r="O227" s="3"/>
      <c r="P227" s="46"/>
      <c r="Q227" s="46"/>
      <c r="R227" s="46"/>
      <c r="S227" s="46"/>
      <c r="T227" s="46"/>
      <c r="U227" s="46"/>
      <c r="V227" s="46"/>
      <c r="W227" s="46"/>
      <c r="X227" s="46"/>
      <c r="Y227" s="46"/>
      <c r="Z227" s="46"/>
      <c r="AA227" s="46"/>
      <c r="AB227" s="3"/>
    </row>
    <row r="228" spans="1:28" s="5" customFormat="1" hidden="1" x14ac:dyDescent="0.25">
      <c r="A228" s="150">
        <f>1</f>
        <v>1</v>
      </c>
      <c r="B228" s="129" t="str">
        <f>структура!$J$13</f>
        <v>УСН(6%)</v>
      </c>
      <c r="C228" s="3"/>
      <c r="D228" s="3"/>
      <c r="E228" s="147" t="str">
        <f>E226</f>
        <v>ROI</v>
      </c>
      <c r="F228" s="147"/>
      <c r="G228" s="147" t="str">
        <f>IF($E228="","",INDEX(KPI!$G:$G,SUMIFS(KPI!$B:$B,KPI!$E:$E,$E228)))</f>
        <v>%</v>
      </c>
      <c r="H228" s="147"/>
      <c r="I228" s="170"/>
      <c r="J228" s="147"/>
      <c r="K228" s="170"/>
      <c r="L228" s="147"/>
      <c r="M228" s="188">
        <f>IF(M$190=0,0,M208/M$190)</f>
        <v>2.3607912130183869E-2</v>
      </c>
      <c r="N228" s="3"/>
      <c r="O228" s="3"/>
      <c r="P228" s="46"/>
      <c r="Q228" s="46"/>
      <c r="R228" s="46"/>
      <c r="S228" s="46"/>
      <c r="T228" s="46"/>
      <c r="U228" s="46"/>
      <c r="V228" s="46"/>
      <c r="W228" s="46"/>
      <c r="X228" s="46"/>
      <c r="Y228" s="46"/>
      <c r="Z228" s="46"/>
      <c r="AA228" s="46"/>
      <c r="AB228" s="3"/>
    </row>
    <row r="229" spans="1:28" s="5" customFormat="1" ht="3.9" hidden="1" customHeight="1" x14ac:dyDescent="0.25">
      <c r="A229" s="150">
        <f>1</f>
        <v>1</v>
      </c>
      <c r="B229" s="128"/>
      <c r="C229" s="3"/>
      <c r="D229" s="3"/>
      <c r="E229" s="3"/>
      <c r="F229" s="3"/>
      <c r="G229" s="3"/>
      <c r="H229" s="3"/>
      <c r="I229" s="28"/>
      <c r="J229" s="3"/>
      <c r="K229" s="28"/>
      <c r="L229" s="3"/>
      <c r="M229" s="55"/>
      <c r="N229" s="3"/>
      <c r="O229" s="3"/>
      <c r="P229" s="46"/>
      <c r="Q229" s="46"/>
      <c r="R229" s="46"/>
      <c r="S229" s="46"/>
      <c r="T229" s="46"/>
      <c r="U229" s="46"/>
      <c r="V229" s="46"/>
      <c r="W229" s="46"/>
      <c r="X229" s="46"/>
      <c r="Y229" s="46"/>
      <c r="Z229" s="46"/>
      <c r="AA229" s="46"/>
      <c r="AB229" s="3"/>
    </row>
    <row r="230" spans="1:28" s="5" customFormat="1" hidden="1" x14ac:dyDescent="0.25">
      <c r="A230" s="150">
        <f>1</f>
        <v>1</v>
      </c>
      <c r="B230" s="129" t="str">
        <f>структура!$J$14</f>
        <v>УСН(15%)</v>
      </c>
      <c r="C230" s="3"/>
      <c r="D230" s="3"/>
      <c r="E230" s="147" t="str">
        <f>E226</f>
        <v>ROI</v>
      </c>
      <c r="F230" s="147"/>
      <c r="G230" s="147" t="str">
        <f>IF($E230="","",INDEX(KPI!$G:$G,SUMIFS(KPI!$B:$B,KPI!$E:$E,$E230)))</f>
        <v>%</v>
      </c>
      <c r="H230" s="147"/>
      <c r="I230" s="170"/>
      <c r="J230" s="147"/>
      <c r="K230" s="170"/>
      <c r="L230" s="147"/>
      <c r="M230" s="188">
        <f>IF(M$190=0,0,M210/M$190)</f>
        <v>-5.7097491137547814E-2</v>
      </c>
      <c r="N230" s="3"/>
      <c r="O230" s="3"/>
      <c r="P230" s="46"/>
      <c r="Q230" s="46"/>
      <c r="R230" s="46"/>
      <c r="S230" s="46"/>
      <c r="T230" s="46"/>
      <c r="U230" s="46"/>
      <c r="V230" s="46"/>
      <c r="W230" s="46"/>
      <c r="X230" s="46"/>
      <c r="Y230" s="46"/>
      <c r="Z230" s="46"/>
      <c r="AA230" s="46"/>
      <c r="AB230" s="3"/>
    </row>
    <row r="231" spans="1:28" s="5" customFormat="1" ht="3.9" hidden="1" customHeight="1" x14ac:dyDescent="0.25">
      <c r="A231" s="150">
        <f>1</f>
        <v>1</v>
      </c>
      <c r="B231" s="128"/>
      <c r="C231" s="3"/>
      <c r="D231" s="3"/>
      <c r="E231" s="3"/>
      <c r="F231" s="3"/>
      <c r="G231" s="3"/>
      <c r="H231" s="3"/>
      <c r="I231" s="28"/>
      <c r="J231" s="3"/>
      <c r="K231" s="28"/>
      <c r="L231" s="3"/>
      <c r="M231" s="55"/>
      <c r="N231" s="3"/>
      <c r="O231" s="3"/>
      <c r="P231" s="46"/>
      <c r="Q231" s="46"/>
      <c r="R231" s="46"/>
      <c r="S231" s="46"/>
      <c r="T231" s="46"/>
      <c r="U231" s="46"/>
      <c r="V231" s="46"/>
      <c r="W231" s="46"/>
      <c r="X231" s="46"/>
      <c r="Y231" s="46"/>
      <c r="Z231" s="46"/>
      <c r="AA231" s="46"/>
      <c r="AB231" s="3"/>
    </row>
    <row r="232" spans="1:28" s="5" customFormat="1" x14ac:dyDescent="0.25">
      <c r="A232" s="150">
        <f>1</f>
        <v>1</v>
      </c>
      <c r="B232" s="129" t="str">
        <f>структура!$J$15</f>
        <v>УСН(6%)-ИП</v>
      </c>
      <c r="C232" s="3"/>
      <c r="D232" s="3"/>
      <c r="E232" s="147" t="str">
        <f>E226</f>
        <v>ROI</v>
      </c>
      <c r="F232" s="147"/>
      <c r="G232" s="147" t="str">
        <f>IF($E232="","",INDEX(KPI!$G:$G,SUMIFS(KPI!$B:$B,KPI!$E:$E,$E232)))</f>
        <v>%</v>
      </c>
      <c r="H232" s="147"/>
      <c r="I232" s="170"/>
      <c r="J232" s="147"/>
      <c r="K232" s="170"/>
      <c r="L232" s="147"/>
      <c r="M232" s="188">
        <f>IF(M$190=0,0,M212/M$190)</f>
        <v>5.9614341826278505E-2</v>
      </c>
      <c r="N232" s="3"/>
      <c r="O232" s="3"/>
      <c r="P232" s="46"/>
      <c r="Q232" s="46"/>
      <c r="R232" s="46"/>
      <c r="S232" s="46"/>
      <c r="T232" s="46"/>
      <c r="U232" s="46"/>
      <c r="V232" s="46"/>
      <c r="W232" s="46"/>
      <c r="X232" s="46"/>
      <c r="Y232" s="46"/>
      <c r="Z232" s="46"/>
      <c r="AA232" s="46"/>
      <c r="AB232" s="3"/>
    </row>
    <row r="233" spans="1:28" ht="3.9" hidden="1" customHeight="1" x14ac:dyDescent="0.25">
      <c r="A233" s="149">
        <f>1</f>
        <v>1</v>
      </c>
      <c r="B233" s="131"/>
      <c r="C233" s="2"/>
      <c r="D233" s="2"/>
      <c r="E233" s="117"/>
      <c r="F233" s="2"/>
      <c r="G233" s="117"/>
      <c r="H233" s="2"/>
      <c r="I233" s="28"/>
      <c r="J233" s="2"/>
      <c r="K233" s="28"/>
      <c r="L233" s="2"/>
      <c r="M233" s="138"/>
      <c r="N233" s="2"/>
      <c r="O233" s="2"/>
      <c r="P233" s="36"/>
      <c r="Q233" s="36"/>
      <c r="R233" s="36"/>
      <c r="S233" s="36"/>
      <c r="T233" s="36"/>
      <c r="U233" s="36"/>
      <c r="V233" s="36"/>
      <c r="W233" s="36"/>
      <c r="X233" s="36"/>
      <c r="Y233" s="36"/>
      <c r="Z233" s="36"/>
      <c r="AA233" s="36"/>
      <c r="AB233" s="2"/>
    </row>
    <row r="234" spans="1:28" ht="8.1" hidden="1" customHeight="1" x14ac:dyDescent="0.25">
      <c r="A234" s="149">
        <f>1</f>
        <v>1</v>
      </c>
      <c r="B234" s="131"/>
      <c r="C234" s="2"/>
      <c r="D234" s="2"/>
      <c r="E234" s="2"/>
      <c r="F234" s="2"/>
      <c r="G234" s="2"/>
      <c r="H234" s="2"/>
      <c r="I234" s="28"/>
      <c r="J234" s="2"/>
      <c r="K234" s="28"/>
      <c r="L234" s="2"/>
      <c r="M234" s="52"/>
      <c r="N234" s="2"/>
      <c r="O234" s="2"/>
      <c r="P234" s="36"/>
      <c r="Q234" s="36"/>
      <c r="R234" s="36"/>
      <c r="S234" s="36"/>
      <c r="T234" s="36"/>
      <c r="U234" s="36"/>
      <c r="V234" s="36"/>
      <c r="W234" s="36"/>
      <c r="X234" s="36"/>
      <c r="Y234" s="36"/>
      <c r="Z234" s="36"/>
      <c r="AA234" s="36"/>
      <c r="AB234" s="2"/>
    </row>
    <row r="235" spans="1:28" ht="3.9" hidden="1" customHeight="1" x14ac:dyDescent="0.25">
      <c r="A235" s="149">
        <f>1</f>
        <v>1</v>
      </c>
      <c r="B235" s="131"/>
      <c r="C235" s="2"/>
      <c r="D235" s="2"/>
      <c r="E235" s="2"/>
      <c r="F235" s="2"/>
      <c r="G235" s="2"/>
      <c r="H235" s="2"/>
      <c r="I235" s="28"/>
      <c r="J235" s="2"/>
      <c r="K235" s="28"/>
      <c r="L235" s="2"/>
      <c r="M235" s="52"/>
      <c r="N235" s="2"/>
      <c r="O235" s="2"/>
      <c r="P235" s="36"/>
      <c r="Q235" s="36"/>
      <c r="R235" s="36"/>
      <c r="S235" s="36"/>
      <c r="T235" s="36"/>
      <c r="U235" s="36"/>
      <c r="V235" s="36"/>
      <c r="W235" s="36"/>
      <c r="X235" s="36"/>
      <c r="Y235" s="36"/>
      <c r="Z235" s="36"/>
      <c r="AA235" s="36"/>
      <c r="AB235" s="2"/>
    </row>
    <row r="236" spans="1:28" s="157" customFormat="1" hidden="1" x14ac:dyDescent="0.25">
      <c r="A236" s="155">
        <f>1</f>
        <v>1</v>
      </c>
      <c r="B236" s="156" t="str">
        <f>структура!$J$12</f>
        <v>ОСНО</v>
      </c>
      <c r="C236" s="155"/>
      <c r="D236" s="155"/>
      <c r="E236" s="189" t="str">
        <f>KPI!$E$104</f>
        <v>График возврата инвестиций (приведенный)</v>
      </c>
      <c r="F236" s="189"/>
      <c r="G236" s="189" t="str">
        <f>IF($E236="","",INDEX(KPI!$G:$G,SUMIFS(KPI!$B:$B,KPI!$E:$E,$E236)))</f>
        <v>тыс.руб.</v>
      </c>
      <c r="H236" s="189"/>
      <c r="I236" s="190"/>
      <c r="J236" s="189"/>
      <c r="K236" s="190"/>
      <c r="L236" s="189"/>
      <c r="M236" s="191">
        <f>SUM($O236:$AB236)</f>
        <v>0</v>
      </c>
      <c r="N236" s="155"/>
      <c r="O236" s="155"/>
      <c r="P236" s="192">
        <f>IF(P$1="",0,IF($M206&lt;0,0,IF(SUM($O236:O236)=$M$190,0,IF(SUM($O196:P196)&lt;=$M$190,P196,$M$190-SUM($O196:O196)))))</f>
        <v>0</v>
      </c>
      <c r="Q236" s="192">
        <f>IF(Q$1="",0,IF($M206&lt;0,0,IF(SUM($O236:P236)=$M$190,0,IF(SUM($O196:Q196)&lt;=$M$190,Q196,$M$190-SUM($O196:P196)))))</f>
        <v>0</v>
      </c>
      <c r="R236" s="192">
        <f>IF(R$1="",0,IF($M206&lt;0,0,IF(SUM($O236:Q236)=$M$190,0,IF(SUM($O196:R196)&lt;=$M$190,R196,$M$190-SUM($O196:Q196)))))</f>
        <v>0</v>
      </c>
      <c r="S236" s="192">
        <f>IF(S$1="",0,IF($M206&lt;0,0,IF(SUM($O236:R236)=$M$190,0,IF(SUM($O196:S196)&lt;=$M$190,S196,$M$190-SUM($O196:R196)))))</f>
        <v>0</v>
      </c>
      <c r="T236" s="192">
        <f>IF(T$1="",0,IF($M206&lt;0,0,IF(SUM($O236:S236)=$M$190,0,IF(SUM($O196:T196)&lt;=$M$190,T196,$M$190-SUM($O196:S196)))))</f>
        <v>0</v>
      </c>
      <c r="U236" s="192">
        <f>IF(U$1="",0,IF($M206&lt;0,0,IF(SUM($O236:T236)=$M$190,0,IF(SUM($O196:U196)&lt;=$M$190,U196,$M$190-SUM($O196:T196)))))</f>
        <v>0</v>
      </c>
      <c r="V236" s="192">
        <f>IF(V$1="",0,IF($M206&lt;0,0,IF(SUM($O236:U236)=$M$190,0,IF(SUM($O196:V196)&lt;=$M$190,V196,$M$190-SUM($O196:U196)))))</f>
        <v>0</v>
      </c>
      <c r="W236" s="192">
        <f>IF(W$1="",0,IF($M206&lt;0,0,IF(SUM($O236:V236)=$M$190,0,IF(SUM($O196:W196)&lt;=$M$190,W196,$M$190-SUM($O196:V196)))))</f>
        <v>0</v>
      </c>
      <c r="X236" s="192">
        <f>IF(X$1="",0,IF($M206&lt;0,0,IF(SUM($O236:W236)=$M$190,0,IF(SUM($O196:X196)&lt;=$M$190,X196,$M$190-SUM($O196:W196)))))</f>
        <v>0</v>
      </c>
      <c r="Y236" s="192">
        <f>IF(Y$1="",0,IF($M206&lt;0,0,IF(SUM($O236:X236)=$M$190,0,IF(SUM($O196:Y196)&lt;=$M$190,Y196,$M$190-SUM($O196:X196)))))</f>
        <v>0</v>
      </c>
      <c r="Z236" s="192">
        <f>IF(Z$1="",0,IF($M206&lt;0,0,IF(SUM($O236:Y236)=$M$190,0,IF(SUM($O196:Z196)&lt;=$M$190,Z196,$M$190-SUM($O196:Y196)))))</f>
        <v>0</v>
      </c>
      <c r="AA236" s="192">
        <f>IF(AA$1="",0,IF($M206&lt;0,0,IF(SUM($O236:Z236)=$M$190,0,IF(SUM($O196:AA196)&lt;=$M$190,AA196,$M$190-SUM($O196:Z196)))))</f>
        <v>0</v>
      </c>
      <c r="AB236" s="155"/>
    </row>
    <row r="237" spans="1:28" s="5" customFormat="1" ht="3.9" hidden="1" customHeight="1" x14ac:dyDescent="0.25">
      <c r="A237" s="150">
        <f>1</f>
        <v>1</v>
      </c>
      <c r="B237" s="128"/>
      <c r="C237" s="3"/>
      <c r="D237" s="3"/>
      <c r="E237" s="3"/>
      <c r="F237" s="3"/>
      <c r="G237" s="3"/>
      <c r="H237" s="3"/>
      <c r="I237" s="28"/>
      <c r="J237" s="3"/>
      <c r="K237" s="28"/>
      <c r="L237" s="3"/>
      <c r="M237" s="55"/>
      <c r="N237" s="3"/>
      <c r="O237" s="3"/>
      <c r="P237" s="46"/>
      <c r="Q237" s="46"/>
      <c r="R237" s="46"/>
      <c r="S237" s="46"/>
      <c r="T237" s="46"/>
      <c r="U237" s="46"/>
      <c r="V237" s="46"/>
      <c r="W237" s="46"/>
      <c r="X237" s="46"/>
      <c r="Y237" s="46"/>
      <c r="Z237" s="46"/>
      <c r="AA237" s="46"/>
      <c r="AB237" s="3"/>
    </row>
    <row r="238" spans="1:28" s="157" customFormat="1" hidden="1" x14ac:dyDescent="0.25">
      <c r="A238" s="155">
        <f>1</f>
        <v>1</v>
      </c>
      <c r="B238" s="156" t="str">
        <f>структура!$J$13</f>
        <v>УСН(6%)</v>
      </c>
      <c r="C238" s="155"/>
      <c r="D238" s="155"/>
      <c r="E238" s="189" t="str">
        <f>E236</f>
        <v>График возврата инвестиций (приведенный)</v>
      </c>
      <c r="F238" s="189"/>
      <c r="G238" s="189" t="str">
        <f>IF($E238="","",INDEX(KPI!$G:$G,SUMIFS(KPI!$B:$B,KPI!$E:$E,$E238)))</f>
        <v>тыс.руб.</v>
      </c>
      <c r="H238" s="189"/>
      <c r="I238" s="190"/>
      <c r="J238" s="189"/>
      <c r="K238" s="190"/>
      <c r="L238" s="189"/>
      <c r="M238" s="191">
        <f>SUM($O238:$AB238)</f>
        <v>17542.49584</v>
      </c>
      <c r="N238" s="155"/>
      <c r="O238" s="155"/>
      <c r="P238" s="192">
        <f>IF(P$1="",0,IF($M208&lt;0,0,IF(SUM($O238:O238)=$M$190,0,IF(SUM($O198:P198)&lt;=$M$190,P198,$M$190-SUM($O198:O198)))))</f>
        <v>3439.6907259929717</v>
      </c>
      <c r="Q238" s="192">
        <f>IF(Q$1="",0,IF($M208&lt;0,0,IF(SUM($O238:P238)=$M$190,0,IF(SUM($O198:Q198)&lt;=$M$190,Q198,$M$190-SUM($O198:P198)))))</f>
        <v>2923.0840065094831</v>
      </c>
      <c r="R238" s="192">
        <f>IF(R$1="",0,IF($M208&lt;0,0,IF(SUM($O238:Q238)=$M$190,0,IF(SUM($O198:R198)&lt;=$M$190,R198,$M$190-SUM($O198:Q198)))))</f>
        <v>2727.953347098226</v>
      </c>
      <c r="S238" s="192">
        <f>IF(S$1="",0,IF($M208&lt;0,0,IF(SUM($O238:R238)=$M$190,0,IF(SUM($O198:S198)&lt;=$M$190,S198,$M$190-SUM($O198:R198)))))</f>
        <v>2523.88913484879</v>
      </c>
      <c r="T238" s="192">
        <f>IF(T$1="",0,IF($M208&lt;0,0,IF(SUM($O238:S238)=$M$190,0,IF(SUM($O198:T198)&lt;=$M$190,T198,$M$190-SUM($O198:S198)))))</f>
        <v>2298.78109585211</v>
      </c>
      <c r="U238" s="192">
        <f>IF(U$1="",0,IF($M208&lt;0,0,IF(SUM($O238:T238)=$M$190,0,IF(SUM($O198:U198)&lt;=$M$190,U198,$M$190-SUM($O198:T198)))))</f>
        <v>2107.4721058886357</v>
      </c>
      <c r="V238" s="192">
        <f>IF(V$1="",0,IF($M208&lt;0,0,IF(SUM($O238:U238)=$M$190,0,IF(SUM($O198:V198)&lt;=$M$190,V198,$M$190-SUM($O198:U198)))))</f>
        <v>1521.6254238097827</v>
      </c>
      <c r="W238" s="192">
        <f>IF(W$1="",0,IF($M208&lt;0,0,IF(SUM($O238:V238)=$M$190,0,IF(SUM($O198:W198)&lt;=$M$190,W198,$M$190-SUM($O198:V198)))))</f>
        <v>0</v>
      </c>
      <c r="X238" s="192">
        <f>IF(X$1="",0,IF($M208&lt;0,0,IF(SUM($O238:W238)=$M$190,0,IF(SUM($O198:X198)&lt;=$M$190,X198,$M$190-SUM($O198:W198)))))</f>
        <v>0</v>
      </c>
      <c r="Y238" s="192">
        <f>IF(Y$1="",0,IF($M208&lt;0,0,IF(SUM($O238:X238)=$M$190,0,IF(SUM($O198:Y198)&lt;=$M$190,Y198,$M$190-SUM($O198:X198)))))</f>
        <v>0</v>
      </c>
      <c r="Z238" s="192">
        <f>IF(Z$1="",0,IF($M208&lt;0,0,IF(SUM($O238:Y238)=$M$190,0,IF(SUM($O198:Z198)&lt;=$M$190,Z198,$M$190-SUM($O198:Y198)))))</f>
        <v>0</v>
      </c>
      <c r="AA238" s="192">
        <f>IF(AA$1="",0,IF($M208&lt;0,0,IF(SUM($O238:Z238)=$M$190,0,IF(SUM($O198:AA198)&lt;=$M$190,AA198,$M$190-SUM($O198:Z198)))))</f>
        <v>0</v>
      </c>
      <c r="AB238" s="155"/>
    </row>
    <row r="239" spans="1:28" s="5" customFormat="1" ht="3.9" hidden="1" customHeight="1" x14ac:dyDescent="0.25">
      <c r="A239" s="150">
        <f>1</f>
        <v>1</v>
      </c>
      <c r="B239" s="128"/>
      <c r="C239" s="3"/>
      <c r="D239" s="3"/>
      <c r="E239" s="3"/>
      <c r="F239" s="3"/>
      <c r="G239" s="3"/>
      <c r="H239" s="3"/>
      <c r="I239" s="28"/>
      <c r="J239" s="3"/>
      <c r="K239" s="28"/>
      <c r="L239" s="3"/>
      <c r="M239" s="55"/>
      <c r="N239" s="3"/>
      <c r="O239" s="3"/>
      <c r="P239" s="46"/>
      <c r="Q239" s="46"/>
      <c r="R239" s="46"/>
      <c r="S239" s="46"/>
      <c r="T239" s="46"/>
      <c r="U239" s="46"/>
      <c r="V239" s="46"/>
      <c r="W239" s="46"/>
      <c r="X239" s="46"/>
      <c r="Y239" s="46"/>
      <c r="Z239" s="46"/>
      <c r="AA239" s="46"/>
      <c r="AB239" s="3"/>
    </row>
    <row r="240" spans="1:28" s="157" customFormat="1" hidden="1" x14ac:dyDescent="0.25">
      <c r="A240" s="155">
        <f>1</f>
        <v>1</v>
      </c>
      <c r="B240" s="156" t="str">
        <f>структура!$J$14</f>
        <v>УСН(15%)</v>
      </c>
      <c r="C240" s="155"/>
      <c r="D240" s="155"/>
      <c r="E240" s="189" t="str">
        <f>E236</f>
        <v>График возврата инвестиций (приведенный)</v>
      </c>
      <c r="F240" s="189"/>
      <c r="G240" s="189" t="str">
        <f>IF($E240="","",INDEX(KPI!$G:$G,SUMIFS(KPI!$B:$B,KPI!$E:$E,$E240)))</f>
        <v>тыс.руб.</v>
      </c>
      <c r="H240" s="189"/>
      <c r="I240" s="190"/>
      <c r="J240" s="189"/>
      <c r="K240" s="190"/>
      <c r="L240" s="189"/>
      <c r="M240" s="191">
        <f>SUM($O240:$AB240)</f>
        <v>0</v>
      </c>
      <c r="N240" s="155"/>
      <c r="O240" s="155"/>
      <c r="P240" s="192">
        <f>IF(P$1="",0,IF($M210&lt;0,0,IF(SUM($O240:O240)=$M$190,0,IF(SUM($O200:P200)&lt;=$M$190,P200,$M$190-SUM($O200:O200)))))</f>
        <v>0</v>
      </c>
      <c r="Q240" s="192">
        <f>IF(Q$1="",0,IF($M210&lt;0,0,IF(SUM($O240:P240)=$M$190,0,IF(SUM($O200:Q200)&lt;=$M$190,Q200,$M$190-SUM($O200:P200)))))</f>
        <v>0</v>
      </c>
      <c r="R240" s="192">
        <f>IF(R$1="",0,IF($M210&lt;0,0,IF(SUM($O240:Q240)=$M$190,0,IF(SUM($O200:R200)&lt;=$M$190,R200,$M$190-SUM($O200:Q200)))))</f>
        <v>0</v>
      </c>
      <c r="S240" s="192">
        <f>IF(S$1="",0,IF($M210&lt;0,0,IF(SUM($O240:R240)=$M$190,0,IF(SUM($O200:S200)&lt;=$M$190,S200,$M$190-SUM($O200:R200)))))</f>
        <v>0</v>
      </c>
      <c r="T240" s="192">
        <f>IF(T$1="",0,IF($M210&lt;0,0,IF(SUM($O240:S240)=$M$190,0,IF(SUM($O200:T200)&lt;=$M$190,T200,$M$190-SUM($O200:S200)))))</f>
        <v>0</v>
      </c>
      <c r="U240" s="192">
        <f>IF(U$1="",0,IF($M210&lt;0,0,IF(SUM($O240:T240)=$M$190,0,IF(SUM($O200:U200)&lt;=$M$190,U200,$M$190-SUM($O200:T200)))))</f>
        <v>0</v>
      </c>
      <c r="V240" s="192">
        <f>IF(V$1="",0,IF($M210&lt;0,0,IF(SUM($O240:U240)=$M$190,0,IF(SUM($O200:V200)&lt;=$M$190,V200,$M$190-SUM($O200:U200)))))</f>
        <v>0</v>
      </c>
      <c r="W240" s="192">
        <f>IF(W$1="",0,IF($M210&lt;0,0,IF(SUM($O240:V240)=$M$190,0,IF(SUM($O200:W200)&lt;=$M$190,W200,$M$190-SUM($O200:V200)))))</f>
        <v>0</v>
      </c>
      <c r="X240" s="192">
        <f>IF(X$1="",0,IF($M210&lt;0,0,IF(SUM($O240:W240)=$M$190,0,IF(SUM($O200:X200)&lt;=$M$190,X200,$M$190-SUM($O200:W200)))))</f>
        <v>0</v>
      </c>
      <c r="Y240" s="192">
        <f>IF(Y$1="",0,IF($M210&lt;0,0,IF(SUM($O240:X240)=$M$190,0,IF(SUM($O200:Y200)&lt;=$M$190,Y200,$M$190-SUM($O200:X200)))))</f>
        <v>0</v>
      </c>
      <c r="Z240" s="192">
        <f>IF(Z$1="",0,IF($M210&lt;0,0,IF(SUM($O240:Y240)=$M$190,0,IF(SUM($O200:Z200)&lt;=$M$190,Z200,$M$190-SUM($O200:Y200)))))</f>
        <v>0</v>
      </c>
      <c r="AA240" s="192">
        <f>IF(AA$1="",0,IF($M210&lt;0,0,IF(SUM($O240:Z240)=$M$190,0,IF(SUM($O200:AA200)&lt;=$M$190,AA200,$M$190-SUM($O200:Z200)))))</f>
        <v>0</v>
      </c>
      <c r="AB240" s="155"/>
    </row>
    <row r="241" spans="1:28" s="5" customFormat="1" ht="3.9" hidden="1" customHeight="1" x14ac:dyDescent="0.25">
      <c r="A241" s="150">
        <f>1</f>
        <v>1</v>
      </c>
      <c r="B241" s="128"/>
      <c r="C241" s="3"/>
      <c r="D241" s="3"/>
      <c r="E241" s="3"/>
      <c r="F241" s="3"/>
      <c r="G241" s="3"/>
      <c r="H241" s="3"/>
      <c r="I241" s="28"/>
      <c r="J241" s="3"/>
      <c r="K241" s="28"/>
      <c r="L241" s="3"/>
      <c r="M241" s="55"/>
      <c r="N241" s="3"/>
      <c r="O241" s="3"/>
      <c r="P241" s="46"/>
      <c r="Q241" s="46"/>
      <c r="R241" s="46"/>
      <c r="S241" s="46"/>
      <c r="T241" s="46"/>
      <c r="U241" s="46"/>
      <c r="V241" s="46"/>
      <c r="W241" s="46"/>
      <c r="X241" s="46"/>
      <c r="Y241" s="46"/>
      <c r="Z241" s="46"/>
      <c r="AA241" s="46"/>
      <c r="AB241" s="3"/>
    </row>
    <row r="242" spans="1:28" s="157" customFormat="1" x14ac:dyDescent="0.25">
      <c r="A242" s="155">
        <f>1</f>
        <v>1</v>
      </c>
      <c r="B242" s="156" t="str">
        <f>структура!$J$15</f>
        <v>УСН(6%)-ИП</v>
      </c>
      <c r="C242" s="155"/>
      <c r="D242" s="155"/>
      <c r="E242" s="189" t="str">
        <f>E236</f>
        <v>График возврата инвестиций (приведенный)</v>
      </c>
      <c r="F242" s="189"/>
      <c r="G242" s="189" t="str">
        <f>IF($E242="","",INDEX(KPI!$G:$G,SUMIFS(KPI!$B:$B,KPI!$E:$E,$E242)))</f>
        <v>тыс.руб.</v>
      </c>
      <c r="H242" s="189"/>
      <c r="I242" s="190"/>
      <c r="J242" s="189"/>
      <c r="K242" s="190"/>
      <c r="L242" s="189"/>
      <c r="M242" s="191">
        <f>SUM($O242:$AB242)</f>
        <v>17542.49584</v>
      </c>
      <c r="N242" s="155"/>
      <c r="O242" s="155"/>
      <c r="P242" s="192">
        <f>IF(P$1="",0,IF($M212&lt;0,0,IF(SUM($O242:O242)=$M$190,0,IF(SUM($O202:P202)&lt;=$M$190,P202,$M$190-SUM($O202:O202)))))</f>
        <v>3439.6907259929717</v>
      </c>
      <c r="Q242" s="192">
        <f>IF(Q$1="",0,IF($M212&lt;0,0,IF(SUM($O242:P242)=$M$190,0,IF(SUM($O202:Q202)&lt;=$M$190,Q202,$M$190-SUM($O202:P202)))))</f>
        <v>3104.1413491668259</v>
      </c>
      <c r="R242" s="192">
        <f>IF(R$1="",0,IF($M212&lt;0,0,IF(SUM($O242:Q242)=$M$190,0,IF(SUM($O202:R202)&lt;=$M$190,R202,$M$190-SUM($O202:Q202)))))</f>
        <v>2892.5509313321736</v>
      </c>
      <c r="S242" s="192">
        <f>IF(S$1="",0,IF($M212&lt;0,0,IF(SUM($O242:R242)=$M$190,0,IF(SUM($O202:S202)&lt;=$M$190,S202,$M$190-SUM($O202:R202)))))</f>
        <v>2673.8457897641224</v>
      </c>
      <c r="T242" s="192">
        <f>IF(T$1="",0,IF($M212&lt;0,0,IF(SUM($O242:S242)=$M$190,0,IF(SUM($O202:T202)&lt;=$M$190,T202,$M$190-SUM($O202:S202)))))</f>
        <v>2434.8121572024802</v>
      </c>
      <c r="U242" s="192">
        <f>IF(U$1="",0,IF($M212&lt;0,0,IF(SUM($O242:T242)=$M$190,0,IF(SUM($O202:U202)&lt;=$M$190,U202,$M$190-SUM($O202:T202)))))</f>
        <v>2107.4721058886357</v>
      </c>
      <c r="V242" s="192">
        <f>IF(V$1="",0,IF($M212&lt;0,0,IF(SUM($O242:U242)=$M$190,0,IF(SUM($O202:V202)&lt;=$M$190,V202,$M$190-SUM($O202:U202)))))</f>
        <v>889.9827806527901</v>
      </c>
      <c r="W242" s="192">
        <f>IF(W$1="",0,IF($M212&lt;0,0,IF(SUM($O242:V242)=$M$190,0,IF(SUM($O202:W202)&lt;=$M$190,W202,$M$190-SUM($O202:V202)))))</f>
        <v>0</v>
      </c>
      <c r="X242" s="192">
        <f>IF(X$1="",0,IF($M212&lt;0,0,IF(SUM($O242:W242)=$M$190,0,IF(SUM($O202:X202)&lt;=$M$190,X202,$M$190-SUM($O202:W202)))))</f>
        <v>0</v>
      </c>
      <c r="Y242" s="192">
        <f>IF(Y$1="",0,IF($M212&lt;0,0,IF(SUM($O242:X242)=$M$190,0,IF(SUM($O202:Y202)&lt;=$M$190,Y202,$M$190-SUM($O202:X202)))))</f>
        <v>0</v>
      </c>
      <c r="Z242" s="192">
        <f>IF(Z$1="",0,IF($M212&lt;0,0,IF(SUM($O242:Y242)=$M$190,0,IF(SUM($O202:Z202)&lt;=$M$190,Z202,$M$190-SUM($O202:Y202)))))</f>
        <v>0</v>
      </c>
      <c r="AA242" s="192">
        <f>IF(AA$1="",0,IF($M212&lt;0,0,IF(SUM($O242:Z242)=$M$190,0,IF(SUM($O202:AA202)&lt;=$M$190,AA202,$M$190-SUM($O202:Z202)))))</f>
        <v>0</v>
      </c>
      <c r="AB242" s="155"/>
    </row>
    <row r="243" spans="1:28" ht="3.9" hidden="1" customHeight="1" x14ac:dyDescent="0.25">
      <c r="A243" s="149">
        <f>1</f>
        <v>1</v>
      </c>
      <c r="B243" s="131"/>
      <c r="C243" s="2"/>
      <c r="D243" s="2"/>
      <c r="E243" s="119"/>
      <c r="F243" s="2"/>
      <c r="G243" s="119"/>
      <c r="H243" s="2"/>
      <c r="I243" s="28"/>
      <c r="J243" s="2"/>
      <c r="K243" s="28"/>
      <c r="L243" s="2"/>
      <c r="M243" s="142"/>
      <c r="N243" s="2"/>
      <c r="O243" s="2"/>
      <c r="P243" s="36"/>
      <c r="Q243" s="36"/>
      <c r="R243" s="36"/>
      <c r="S243" s="36"/>
      <c r="T243" s="36"/>
      <c r="U243" s="36"/>
      <c r="V243" s="36"/>
      <c r="W243" s="36"/>
      <c r="X243" s="36"/>
      <c r="Y243" s="36"/>
      <c r="Z243" s="36"/>
      <c r="AA243" s="36"/>
      <c r="AB243" s="2"/>
    </row>
    <row r="244" spans="1:28" ht="8.1" hidden="1" customHeight="1" x14ac:dyDescent="0.25">
      <c r="A244" s="149">
        <f>1</f>
        <v>1</v>
      </c>
      <c r="B244" s="131"/>
      <c r="C244" s="2"/>
      <c r="D244" s="2"/>
      <c r="E244" s="2"/>
      <c r="F244" s="2"/>
      <c r="G244" s="2"/>
      <c r="H244" s="2"/>
      <c r="I244" s="28"/>
      <c r="J244" s="2"/>
      <c r="K244" s="28"/>
      <c r="L244" s="2"/>
      <c r="M244" s="52"/>
      <c r="N244" s="2"/>
      <c r="O244" s="2"/>
      <c r="P244" s="36"/>
      <c r="Q244" s="36"/>
      <c r="R244" s="36"/>
      <c r="S244" s="36"/>
      <c r="T244" s="36"/>
      <c r="U244" s="36"/>
      <c r="V244" s="36"/>
      <c r="W244" s="36"/>
      <c r="X244" s="36"/>
      <c r="Y244" s="36"/>
      <c r="Z244" s="36"/>
      <c r="AA244" s="36"/>
      <c r="AB244" s="2"/>
    </row>
    <row r="245" spans="1:28" ht="3.9" hidden="1" customHeight="1" x14ac:dyDescent="0.25">
      <c r="A245" s="149">
        <f>1</f>
        <v>1</v>
      </c>
      <c r="B245" s="131"/>
      <c r="C245" s="2"/>
      <c r="D245" s="2"/>
      <c r="E245" s="2"/>
      <c r="F245" s="2"/>
      <c r="G245" s="2"/>
      <c r="H245" s="2"/>
      <c r="I245" s="28"/>
      <c r="J245" s="2"/>
      <c r="K245" s="28"/>
      <c r="L245" s="2"/>
      <c r="M245" s="52"/>
      <c r="N245" s="2"/>
      <c r="O245" s="2"/>
      <c r="P245" s="36"/>
      <c r="Q245" s="36"/>
      <c r="R245" s="36"/>
      <c r="S245" s="36"/>
      <c r="T245" s="36"/>
      <c r="U245" s="36"/>
      <c r="V245" s="36"/>
      <c r="W245" s="36"/>
      <c r="X245" s="36"/>
      <c r="Y245" s="36"/>
      <c r="Z245" s="36"/>
      <c r="AA245" s="36"/>
      <c r="AB245" s="2"/>
    </row>
    <row r="246" spans="1:28" s="5" customFormat="1" hidden="1" x14ac:dyDescent="0.25">
      <c r="A246" s="150">
        <f>1</f>
        <v>1</v>
      </c>
      <c r="B246" s="129" t="str">
        <f>структура!$J$12</f>
        <v>ОСНО</v>
      </c>
      <c r="C246" s="3"/>
      <c r="D246" s="3"/>
      <c r="E246" s="147" t="str">
        <f>KPI!$E$105</f>
        <v>приведенный средневзвешенный срок окуп-ти</v>
      </c>
      <c r="F246" s="147"/>
      <c r="G246" s="147" t="str">
        <f>IF($E246="","",INDEX(KPI!$G:$G,SUMIFS(KPI!$B:$B,KPI!$E:$E,$E246)))</f>
        <v>лет</v>
      </c>
      <c r="H246" s="147"/>
      <c r="I246" s="170"/>
      <c r="J246" s="147"/>
      <c r="K246" s="170"/>
      <c r="L246" s="147"/>
      <c r="M246" s="187" t="str">
        <f>IF(OR($M206&lt;0,$M236=0),"&gt;"&amp;MAX($1:$1),SUMPRODUCT($O$2:$AB$2,$O236:$AB236)/$M236)</f>
        <v>&gt;7</v>
      </c>
      <c r="N246" s="3"/>
      <c r="O246" s="3"/>
      <c r="P246" s="46"/>
      <c r="Q246" s="46"/>
      <c r="R246" s="46"/>
      <c r="S246" s="46"/>
      <c r="T246" s="46"/>
      <c r="U246" s="46"/>
      <c r="V246" s="46"/>
      <c r="W246" s="46"/>
      <c r="X246" s="46"/>
      <c r="Y246" s="46"/>
      <c r="Z246" s="46"/>
      <c r="AA246" s="46"/>
      <c r="AB246" s="3"/>
    </row>
    <row r="247" spans="1:28" s="5" customFormat="1" ht="3.9" hidden="1" customHeight="1" x14ac:dyDescent="0.25">
      <c r="A247" s="150">
        <f>1</f>
        <v>1</v>
      </c>
      <c r="B247" s="128"/>
      <c r="C247" s="3"/>
      <c r="D247" s="3"/>
      <c r="E247" s="3"/>
      <c r="F247" s="3"/>
      <c r="G247" s="3"/>
      <c r="H247" s="3"/>
      <c r="I247" s="28"/>
      <c r="J247" s="3"/>
      <c r="K247" s="28"/>
      <c r="L247" s="3"/>
      <c r="M247" s="55"/>
      <c r="N247" s="3"/>
      <c r="O247" s="3"/>
      <c r="P247" s="46"/>
      <c r="Q247" s="46"/>
      <c r="R247" s="46"/>
      <c r="S247" s="46"/>
      <c r="T247" s="46"/>
      <c r="U247" s="46"/>
      <c r="V247" s="46"/>
      <c r="W247" s="46"/>
      <c r="X247" s="46"/>
      <c r="Y247" s="46"/>
      <c r="Z247" s="46"/>
      <c r="AA247" s="46"/>
      <c r="AB247" s="3"/>
    </row>
    <row r="248" spans="1:28" s="5" customFormat="1" hidden="1" x14ac:dyDescent="0.25">
      <c r="A248" s="150">
        <f>1</f>
        <v>1</v>
      </c>
      <c r="B248" s="129" t="str">
        <f>структура!$J$13</f>
        <v>УСН(6%)</v>
      </c>
      <c r="C248" s="3"/>
      <c r="D248" s="3"/>
      <c r="E248" s="147" t="str">
        <f>E246</f>
        <v>приведенный средневзвешенный срок окуп-ти</v>
      </c>
      <c r="F248" s="147"/>
      <c r="G248" s="147" t="str">
        <f>IF($E248="","",INDEX(KPI!$G:$G,SUMIFS(KPI!$B:$B,KPI!$E:$E,$E248)))</f>
        <v>лет</v>
      </c>
      <c r="H248" s="147"/>
      <c r="I248" s="170"/>
      <c r="J248" s="147"/>
      <c r="K248" s="170"/>
      <c r="L248" s="147"/>
      <c r="M248" s="187">
        <f>IF(OR($M208&lt;0,$M238=0),"&gt;"&amp;MAX($1:$1),SUMPRODUCT($O$2:$AB$2,$O238:$AB238)/$M238)</f>
        <v>3.5545336290621354</v>
      </c>
      <c r="N248" s="3"/>
      <c r="O248" s="3"/>
      <c r="P248" s="46"/>
      <c r="Q248" s="46"/>
      <c r="R248" s="46"/>
      <c r="S248" s="46"/>
      <c r="T248" s="46"/>
      <c r="U248" s="46"/>
      <c r="V248" s="46"/>
      <c r="W248" s="46"/>
      <c r="X248" s="46"/>
      <c r="Y248" s="46"/>
      <c r="Z248" s="46"/>
      <c r="AA248" s="46"/>
      <c r="AB248" s="3"/>
    </row>
    <row r="249" spans="1:28" s="5" customFormat="1" ht="3.9" hidden="1" customHeight="1" x14ac:dyDescent="0.25">
      <c r="A249" s="150">
        <f>1</f>
        <v>1</v>
      </c>
      <c r="B249" s="128"/>
      <c r="C249" s="3"/>
      <c r="D249" s="3"/>
      <c r="E249" s="3"/>
      <c r="F249" s="3"/>
      <c r="G249" s="3"/>
      <c r="H249" s="3"/>
      <c r="I249" s="28"/>
      <c r="J249" s="3"/>
      <c r="K249" s="28"/>
      <c r="L249" s="3"/>
      <c r="M249" s="55"/>
      <c r="N249" s="3"/>
      <c r="O249" s="3"/>
      <c r="P249" s="46"/>
      <c r="Q249" s="46"/>
      <c r="R249" s="46"/>
      <c r="S249" s="46"/>
      <c r="T249" s="46"/>
      <c r="U249" s="46"/>
      <c r="V249" s="46"/>
      <c r="W249" s="46"/>
      <c r="X249" s="46"/>
      <c r="Y249" s="46"/>
      <c r="Z249" s="46"/>
      <c r="AA249" s="46"/>
      <c r="AB249" s="3"/>
    </row>
    <row r="250" spans="1:28" s="5" customFormat="1" hidden="1" x14ac:dyDescent="0.25">
      <c r="A250" s="150">
        <f>1</f>
        <v>1</v>
      </c>
      <c r="B250" s="129" t="str">
        <f>структура!$J$14</f>
        <v>УСН(15%)</v>
      </c>
      <c r="C250" s="3"/>
      <c r="D250" s="3"/>
      <c r="E250" s="147" t="str">
        <f>E246</f>
        <v>приведенный средневзвешенный срок окуп-ти</v>
      </c>
      <c r="F250" s="147"/>
      <c r="G250" s="147" t="str">
        <f>IF($E250="","",INDEX(KPI!$G:$G,SUMIFS(KPI!$B:$B,KPI!$E:$E,$E250)))</f>
        <v>лет</v>
      </c>
      <c r="H250" s="147"/>
      <c r="I250" s="170"/>
      <c r="J250" s="147"/>
      <c r="K250" s="170"/>
      <c r="L250" s="147"/>
      <c r="M250" s="187" t="str">
        <f>IF(OR($M210&lt;0,$M240=0),"&gt;"&amp;MAX($1:$1),SUMPRODUCT($O$2:$AB$2,$O240:$AB240)/$M240)</f>
        <v>&gt;7</v>
      </c>
      <c r="N250" s="3"/>
      <c r="O250" s="3"/>
      <c r="P250" s="46"/>
      <c r="Q250" s="46"/>
      <c r="R250" s="46"/>
      <c r="S250" s="46"/>
      <c r="T250" s="46"/>
      <c r="U250" s="46"/>
      <c r="V250" s="46"/>
      <c r="W250" s="46"/>
      <c r="X250" s="46"/>
      <c r="Y250" s="46"/>
      <c r="Z250" s="46"/>
      <c r="AA250" s="46"/>
      <c r="AB250" s="3"/>
    </row>
    <row r="251" spans="1:28" s="5" customFormat="1" ht="3.9" hidden="1" customHeight="1" x14ac:dyDescent="0.25">
      <c r="A251" s="150">
        <f>1</f>
        <v>1</v>
      </c>
      <c r="B251" s="128"/>
      <c r="C251" s="3"/>
      <c r="D251" s="3"/>
      <c r="E251" s="3"/>
      <c r="F251" s="3"/>
      <c r="G251" s="3"/>
      <c r="H251" s="3"/>
      <c r="I251" s="28"/>
      <c r="J251" s="3"/>
      <c r="K251" s="28"/>
      <c r="L251" s="3"/>
      <c r="M251" s="55"/>
      <c r="N251" s="3"/>
      <c r="O251" s="3"/>
      <c r="P251" s="46"/>
      <c r="Q251" s="46"/>
      <c r="R251" s="46"/>
      <c r="S251" s="46"/>
      <c r="T251" s="46"/>
      <c r="U251" s="46"/>
      <c r="V251" s="46"/>
      <c r="W251" s="46"/>
      <c r="X251" s="46"/>
      <c r="Y251" s="46"/>
      <c r="Z251" s="46"/>
      <c r="AA251" s="46"/>
      <c r="AB251" s="3"/>
    </row>
    <row r="252" spans="1:28" s="5" customFormat="1" x14ac:dyDescent="0.25">
      <c r="A252" s="150">
        <f>1</f>
        <v>1</v>
      </c>
      <c r="B252" s="129" t="str">
        <f>структура!$J$15</f>
        <v>УСН(6%)-ИП</v>
      </c>
      <c r="C252" s="3"/>
      <c r="D252" s="3"/>
      <c r="E252" s="147" t="str">
        <f>E246</f>
        <v>приведенный средневзвешенный срок окуп-ти</v>
      </c>
      <c r="F252" s="147"/>
      <c r="G252" s="147" t="str">
        <f>IF($E252="","",INDEX(KPI!$G:$G,SUMIFS(KPI!$B:$B,KPI!$E:$E,$E252)))</f>
        <v>лет</v>
      </c>
      <c r="H252" s="147"/>
      <c r="I252" s="170"/>
      <c r="J252" s="147"/>
      <c r="K252" s="170"/>
      <c r="L252" s="147"/>
      <c r="M252" s="187">
        <f>IF(OR($M212&lt;0,$M242=0),"&gt;"&amp;MAX($1:$1),SUMPRODUCT($O$2:$AB$2,$O242:$AB242)/$M242)</f>
        <v>3.4242437798573468</v>
      </c>
      <c r="N252" s="3"/>
      <c r="O252" s="3"/>
      <c r="P252" s="46"/>
      <c r="Q252" s="46"/>
      <c r="R252" s="46"/>
      <c r="S252" s="46"/>
      <c r="T252" s="46"/>
      <c r="U252" s="46"/>
      <c r="V252" s="46"/>
      <c r="W252" s="46"/>
      <c r="X252" s="46"/>
      <c r="Y252" s="46"/>
      <c r="Z252" s="46"/>
      <c r="AA252" s="46"/>
      <c r="AB252" s="3"/>
    </row>
    <row r="253" spans="1:28" ht="3.9" hidden="1" customHeight="1" x14ac:dyDescent="0.25">
      <c r="A253" s="149">
        <f>1</f>
        <v>1</v>
      </c>
      <c r="B253" s="131"/>
      <c r="C253" s="2"/>
      <c r="D253" s="2"/>
      <c r="E253" s="117"/>
      <c r="F253" s="2"/>
      <c r="G253" s="117"/>
      <c r="H253" s="2"/>
      <c r="I253" s="28"/>
      <c r="J253" s="2"/>
      <c r="K253" s="28"/>
      <c r="L253" s="2"/>
      <c r="M253" s="138"/>
      <c r="N253" s="2"/>
      <c r="O253" s="2"/>
      <c r="P253" s="36"/>
      <c r="Q253" s="36"/>
      <c r="R253" s="36"/>
      <c r="S253" s="36"/>
      <c r="T253" s="36"/>
      <c r="U253" s="36"/>
      <c r="V253" s="36"/>
      <c r="W253" s="36"/>
      <c r="X253" s="36"/>
      <c r="Y253" s="36"/>
      <c r="Z253" s="36"/>
      <c r="AA253" s="36"/>
      <c r="AB253" s="2"/>
    </row>
    <row r="254" spans="1:28" ht="8.1" hidden="1" customHeight="1" x14ac:dyDescent="0.25">
      <c r="A254" s="149">
        <f>1</f>
        <v>1</v>
      </c>
      <c r="B254" s="131"/>
      <c r="C254" s="2"/>
      <c r="D254" s="2"/>
      <c r="E254" s="2"/>
      <c r="F254" s="2"/>
      <c r="G254" s="2"/>
      <c r="H254" s="2"/>
      <c r="I254" s="28"/>
      <c r="J254" s="2"/>
      <c r="K254" s="28"/>
      <c r="L254" s="2"/>
      <c r="M254" s="52"/>
      <c r="N254" s="2"/>
      <c r="O254" s="2"/>
      <c r="P254" s="36"/>
      <c r="Q254" s="36"/>
      <c r="R254" s="36"/>
      <c r="S254" s="36"/>
      <c r="T254" s="36"/>
      <c r="U254" s="36"/>
      <c r="V254" s="36"/>
      <c r="W254" s="36"/>
      <c r="X254" s="36"/>
      <c r="Y254" s="36"/>
      <c r="Z254" s="36"/>
      <c r="AA254" s="36"/>
      <c r="AB254" s="2"/>
    </row>
    <row r="255" spans="1:28" ht="3.9" hidden="1" customHeight="1" x14ac:dyDescent="0.25">
      <c r="A255" s="149">
        <f>1</f>
        <v>1</v>
      </c>
      <c r="B255" s="131"/>
      <c r="C255" s="2"/>
      <c r="D255" s="2"/>
      <c r="E255" s="2"/>
      <c r="F255" s="2"/>
      <c r="G255" s="2"/>
      <c r="H255" s="2"/>
      <c r="I255" s="28"/>
      <c r="J255" s="2"/>
      <c r="K255" s="28"/>
      <c r="L255" s="2"/>
      <c r="M255" s="52"/>
      <c r="N255" s="2"/>
      <c r="O255" s="2"/>
      <c r="P255" s="36"/>
      <c r="Q255" s="36"/>
      <c r="R255" s="36"/>
      <c r="S255" s="36"/>
      <c r="T255" s="36"/>
      <c r="U255" s="36"/>
      <c r="V255" s="36"/>
      <c r="W255" s="36"/>
      <c r="X255" s="36"/>
      <c r="Y255" s="36"/>
      <c r="Z255" s="36"/>
      <c r="AA255" s="36"/>
      <c r="AB255" s="2"/>
    </row>
    <row r="256" spans="1:28" s="5" customFormat="1" hidden="1" x14ac:dyDescent="0.25">
      <c r="A256" s="150">
        <f>1</f>
        <v>1</v>
      </c>
      <c r="B256" s="129" t="str">
        <f>структура!$J$12</f>
        <v>ОСНО</v>
      </c>
      <c r="C256" s="3"/>
      <c r="D256" s="3"/>
      <c r="E256" s="146" t="str">
        <f>KPI!$E$107</f>
        <v>IRR</v>
      </c>
      <c r="F256" s="146"/>
      <c r="G256" s="146" t="str">
        <f>IF($E256="","",INDEX(KPI!$G:$G,SUMIFS(KPI!$B:$B,KPI!$E:$E,$E256)))</f>
        <v>%</v>
      </c>
      <c r="H256" s="146"/>
      <c r="I256" s="177"/>
      <c r="J256" s="146"/>
      <c r="K256" s="177"/>
      <c r="L256" s="146"/>
      <c r="M256" s="292">
        <f>IRR(P256:AA256)</f>
        <v>5.4455617540422274E-2</v>
      </c>
      <c r="N256" s="3"/>
      <c r="O256" s="3"/>
      <c r="P256" s="179">
        <f>-$M$190</f>
        <v>-17542.49584</v>
      </c>
      <c r="Q256" s="179">
        <f>P175</f>
        <v>5649.0757719256026</v>
      </c>
      <c r="R256" s="179">
        <f t="shared" ref="R256:AA256" si="17">Q175</f>
        <v>2469.05630449204</v>
      </c>
      <c r="S256" s="179">
        <f t="shared" si="17"/>
        <v>2561.0696978132937</v>
      </c>
      <c r="T256" s="179">
        <f t="shared" si="17"/>
        <v>2594.5372766334012</v>
      </c>
      <c r="U256" s="179">
        <f t="shared" si="17"/>
        <v>2579.4515394057407</v>
      </c>
      <c r="V256" s="179">
        <f t="shared" si="17"/>
        <v>2608.5864192709651</v>
      </c>
      <c r="W256" s="179">
        <f t="shared" si="17"/>
        <v>2616.185097340569</v>
      </c>
      <c r="X256" s="179">
        <f t="shared" si="17"/>
        <v>0</v>
      </c>
      <c r="Y256" s="179">
        <f t="shared" si="17"/>
        <v>0</v>
      </c>
      <c r="Z256" s="179">
        <f t="shared" si="17"/>
        <v>0</v>
      </c>
      <c r="AA256" s="179">
        <f t="shared" si="17"/>
        <v>0</v>
      </c>
      <c r="AB256" s="3"/>
    </row>
    <row r="257" spans="1:28" s="5" customFormat="1" ht="3.9" hidden="1" customHeight="1" x14ac:dyDescent="0.25">
      <c r="A257" s="150">
        <f>1</f>
        <v>1</v>
      </c>
      <c r="B257" s="128"/>
      <c r="C257" s="3"/>
      <c r="D257" s="3"/>
      <c r="E257" s="3"/>
      <c r="F257" s="3"/>
      <c r="G257" s="3"/>
      <c r="H257" s="3"/>
      <c r="I257" s="28"/>
      <c r="J257" s="3"/>
      <c r="K257" s="28"/>
      <c r="L257" s="3"/>
      <c r="M257" s="55"/>
      <c r="N257" s="3"/>
      <c r="O257" s="3"/>
      <c r="P257" s="46"/>
      <c r="Q257" s="46"/>
      <c r="R257" s="46"/>
      <c r="S257" s="46"/>
      <c r="T257" s="46"/>
      <c r="U257" s="46"/>
      <c r="V257" s="46"/>
      <c r="W257" s="46"/>
      <c r="X257" s="46"/>
      <c r="Y257" s="46"/>
      <c r="Z257" s="46"/>
      <c r="AA257" s="46"/>
      <c r="AB257" s="3"/>
    </row>
    <row r="258" spans="1:28" s="5" customFormat="1" hidden="1" x14ac:dyDescent="0.25">
      <c r="A258" s="150">
        <f>1</f>
        <v>1</v>
      </c>
      <c r="B258" s="129" t="str">
        <f>структура!$J$13</f>
        <v>УСН(6%)</v>
      </c>
      <c r="C258" s="3"/>
      <c r="D258" s="3"/>
      <c r="E258" s="146" t="str">
        <f>E256</f>
        <v>IRR</v>
      </c>
      <c r="F258" s="146"/>
      <c r="G258" s="146" t="str">
        <f>IF($E258="","",INDEX(KPI!$G:$G,SUMIFS(KPI!$B:$B,KPI!$E:$E,$E258)))</f>
        <v>%</v>
      </c>
      <c r="H258" s="146"/>
      <c r="I258" s="177"/>
      <c r="J258" s="146"/>
      <c r="K258" s="177"/>
      <c r="L258" s="146"/>
      <c r="M258" s="292">
        <f>IRR(P258:AA258)</f>
        <v>0.10711074475353066</v>
      </c>
      <c r="N258" s="3"/>
      <c r="O258" s="3"/>
      <c r="P258" s="179">
        <f>-$M$190</f>
        <v>-17542.49584</v>
      </c>
      <c r="Q258" s="179">
        <f>P177</f>
        <v>3783.659798592269</v>
      </c>
      <c r="R258" s="179">
        <f t="shared" ref="R258:AA258" si="18">Q177</f>
        <v>3536.9316478764749</v>
      </c>
      <c r="S258" s="179">
        <f t="shared" si="18"/>
        <v>3630.9059049877396</v>
      </c>
      <c r="T258" s="179">
        <f t="shared" si="18"/>
        <v>3695.2260823321149</v>
      </c>
      <c r="U258" s="179">
        <f t="shared" si="18"/>
        <v>3702.2099426807836</v>
      </c>
      <c r="V258" s="179">
        <f t="shared" si="18"/>
        <v>3733.5153913801796</v>
      </c>
      <c r="W258" s="179">
        <f t="shared" si="18"/>
        <v>3772.2624964384422</v>
      </c>
      <c r="X258" s="179">
        <f t="shared" si="18"/>
        <v>0</v>
      </c>
      <c r="Y258" s="179">
        <f t="shared" si="18"/>
        <v>0</v>
      </c>
      <c r="Z258" s="179">
        <f t="shared" si="18"/>
        <v>0</v>
      </c>
      <c r="AA258" s="179">
        <f t="shared" si="18"/>
        <v>0</v>
      </c>
      <c r="AB258" s="3"/>
    </row>
    <row r="259" spans="1:28" s="5" customFormat="1" ht="3.9" hidden="1" customHeight="1" x14ac:dyDescent="0.25">
      <c r="A259" s="150">
        <f>1</f>
        <v>1</v>
      </c>
      <c r="B259" s="128"/>
      <c r="C259" s="3"/>
      <c r="D259" s="3"/>
      <c r="E259" s="3"/>
      <c r="F259" s="3"/>
      <c r="G259" s="3"/>
      <c r="H259" s="3"/>
      <c r="I259" s="28"/>
      <c r="J259" s="3"/>
      <c r="K259" s="28"/>
      <c r="L259" s="3"/>
      <c r="M259" s="55"/>
      <c r="N259" s="3"/>
      <c r="O259" s="3"/>
      <c r="P259" s="46"/>
      <c r="Q259" s="46"/>
      <c r="R259" s="46"/>
      <c r="S259" s="46"/>
      <c r="T259" s="46"/>
      <c r="U259" s="46"/>
      <c r="V259" s="46"/>
      <c r="W259" s="46"/>
      <c r="X259" s="46"/>
      <c r="Y259" s="46"/>
      <c r="Z259" s="46"/>
      <c r="AA259" s="46"/>
      <c r="AB259" s="3"/>
    </row>
    <row r="260" spans="1:28" s="5" customFormat="1" hidden="1" x14ac:dyDescent="0.25">
      <c r="A260" s="150">
        <f>1</f>
        <v>1</v>
      </c>
      <c r="B260" s="129" t="str">
        <f>структура!$J$14</f>
        <v>УСН(15%)</v>
      </c>
      <c r="C260" s="3"/>
      <c r="D260" s="3"/>
      <c r="E260" s="146" t="str">
        <f>E256</f>
        <v>IRR</v>
      </c>
      <c r="F260" s="146"/>
      <c r="G260" s="146" t="str">
        <f>IF($E260="","",INDEX(KPI!$G:$G,SUMIFS(KPI!$B:$B,KPI!$E:$E,$E260)))</f>
        <v>%</v>
      </c>
      <c r="H260" s="146"/>
      <c r="I260" s="177"/>
      <c r="J260" s="146"/>
      <c r="K260" s="177"/>
      <c r="L260" s="146"/>
      <c r="M260" s="292">
        <f>IRR(P260:AA260)</f>
        <v>8.2238277458174469E-2</v>
      </c>
      <c r="N260" s="3"/>
      <c r="O260" s="3"/>
      <c r="P260" s="179">
        <f>-$M$190</f>
        <v>-17542.49584</v>
      </c>
      <c r="Q260" s="179">
        <f>P179</f>
        <v>3783.659798592269</v>
      </c>
      <c r="R260" s="179">
        <f t="shared" ref="R260:AA260" si="19">Q179</f>
        <v>3193.4917663235856</v>
      </c>
      <c r="S260" s="179">
        <f t="shared" si="19"/>
        <v>3286.5836347293452</v>
      </c>
      <c r="T260" s="179">
        <f t="shared" si="19"/>
        <v>3337.2798273531844</v>
      </c>
      <c r="U260" s="179">
        <f t="shared" si="19"/>
        <v>3334.0726841771202</v>
      </c>
      <c r="V260" s="179">
        <f t="shared" si="19"/>
        <v>3364.401376901139</v>
      </c>
      <c r="W260" s="179">
        <f t="shared" si="19"/>
        <v>3398.4526646544923</v>
      </c>
      <c r="X260" s="179">
        <f t="shared" si="19"/>
        <v>0</v>
      </c>
      <c r="Y260" s="179">
        <f t="shared" si="19"/>
        <v>0</v>
      </c>
      <c r="Z260" s="179">
        <f t="shared" si="19"/>
        <v>0</v>
      </c>
      <c r="AA260" s="179">
        <f t="shared" si="19"/>
        <v>0</v>
      </c>
      <c r="AB260" s="3"/>
    </row>
    <row r="261" spans="1:28" s="5" customFormat="1" ht="3.9" hidden="1" customHeight="1" x14ac:dyDescent="0.25">
      <c r="A261" s="150">
        <f>1</f>
        <v>1</v>
      </c>
      <c r="B261" s="128"/>
      <c r="C261" s="3"/>
      <c r="D261" s="3"/>
      <c r="E261" s="3"/>
      <c r="F261" s="3"/>
      <c r="G261" s="3"/>
      <c r="H261" s="3"/>
      <c r="I261" s="28"/>
      <c r="J261" s="3"/>
      <c r="K261" s="28"/>
      <c r="L261" s="3"/>
      <c r="M261" s="55"/>
      <c r="N261" s="3"/>
      <c r="O261" s="3"/>
      <c r="P261" s="46"/>
      <c r="Q261" s="46"/>
      <c r="R261" s="46"/>
      <c r="S261" s="46"/>
      <c r="T261" s="46"/>
      <c r="U261" s="46"/>
      <c r="V261" s="46"/>
      <c r="W261" s="46"/>
      <c r="X261" s="46"/>
      <c r="Y261" s="46"/>
      <c r="Z261" s="46"/>
      <c r="AA261" s="46"/>
      <c r="AB261" s="3"/>
    </row>
    <row r="262" spans="1:28" s="5" customFormat="1" x14ac:dyDescent="0.25">
      <c r="A262" s="150">
        <f>1</f>
        <v>1</v>
      </c>
      <c r="B262" s="129" t="str">
        <f>структура!$J$15</f>
        <v>УСН(6%)-ИП</v>
      </c>
      <c r="C262" s="3"/>
      <c r="D262" s="3"/>
      <c r="E262" s="146" t="str">
        <f>E256</f>
        <v>IRR</v>
      </c>
      <c r="F262" s="146"/>
      <c r="G262" s="146" t="str">
        <f>IF($E262="","",INDEX(KPI!$G:$G,SUMIFS(KPI!$B:$B,KPI!$E:$E,$E262)))</f>
        <v>%</v>
      </c>
      <c r="H262" s="146"/>
      <c r="I262" s="177"/>
      <c r="J262" s="146"/>
      <c r="K262" s="177"/>
      <c r="L262" s="146"/>
      <c r="M262" s="292">
        <f>IRR(P262:AA262)</f>
        <v>0.11786467367173392</v>
      </c>
      <c r="N262" s="3"/>
      <c r="O262" s="3"/>
      <c r="P262" s="179">
        <f>-$M$190</f>
        <v>-17542.49584</v>
      </c>
      <c r="Q262" s="179">
        <f>P181</f>
        <v>3783.659798592269</v>
      </c>
      <c r="R262" s="179">
        <f t="shared" ref="R262:AA262" si="20">Q181</f>
        <v>3756.0110324918596</v>
      </c>
      <c r="S262" s="179">
        <f t="shared" si="20"/>
        <v>3849.9852896031243</v>
      </c>
      <c r="T262" s="179">
        <f t="shared" si="20"/>
        <v>3914.7776207936531</v>
      </c>
      <c r="U262" s="179">
        <f t="shared" si="20"/>
        <v>3921.2893272961683</v>
      </c>
      <c r="V262" s="179">
        <f t="shared" si="20"/>
        <v>3733.5153913801796</v>
      </c>
      <c r="W262" s="179">
        <f t="shared" si="20"/>
        <v>3772.2624964384422</v>
      </c>
      <c r="X262" s="179">
        <f t="shared" si="20"/>
        <v>0</v>
      </c>
      <c r="Y262" s="179">
        <f t="shared" si="20"/>
        <v>0</v>
      </c>
      <c r="Z262" s="179">
        <f t="shared" si="20"/>
        <v>0</v>
      </c>
      <c r="AA262" s="179">
        <f t="shared" si="20"/>
        <v>0</v>
      </c>
      <c r="AB262" s="3"/>
    </row>
    <row r="263" spans="1:28" ht="3.9" hidden="1" customHeight="1" x14ac:dyDescent="0.25">
      <c r="A263" s="149">
        <f>1</f>
        <v>1</v>
      </c>
      <c r="B263" s="131"/>
      <c r="C263" s="2"/>
      <c r="D263" s="2"/>
      <c r="E263" s="119"/>
      <c r="F263" s="2"/>
      <c r="G263" s="119"/>
      <c r="H263" s="2"/>
      <c r="I263" s="28"/>
      <c r="J263" s="2"/>
      <c r="K263" s="28"/>
      <c r="L263" s="2"/>
      <c r="M263" s="142"/>
      <c r="N263" s="2"/>
      <c r="O263" s="2"/>
      <c r="P263" s="36"/>
      <c r="Q263" s="36"/>
      <c r="R263" s="36"/>
      <c r="S263" s="36"/>
      <c r="T263" s="36"/>
      <c r="U263" s="36"/>
      <c r="V263" s="36"/>
      <c r="W263" s="36"/>
      <c r="X263" s="36"/>
      <c r="Y263" s="36"/>
      <c r="Z263" s="36"/>
      <c r="AA263" s="36"/>
      <c r="AB263" s="2"/>
    </row>
    <row r="264" spans="1:28" ht="8.1" hidden="1" customHeight="1" x14ac:dyDescent="0.25">
      <c r="A264" s="149">
        <f>1</f>
        <v>1</v>
      </c>
      <c r="B264" s="131"/>
      <c r="C264" s="2"/>
      <c r="D264" s="2"/>
      <c r="E264" s="2"/>
      <c r="F264" s="2"/>
      <c r="G264" s="2"/>
      <c r="H264" s="2"/>
      <c r="I264" s="28"/>
      <c r="J264" s="2"/>
      <c r="K264" s="28"/>
      <c r="L264" s="2"/>
      <c r="M264" s="52"/>
      <c r="N264" s="2"/>
      <c r="O264" s="2"/>
      <c r="P264" s="36"/>
      <c r="Q264" s="36"/>
      <c r="R264" s="36"/>
      <c r="S264" s="36"/>
      <c r="T264" s="36"/>
      <c r="U264" s="36"/>
      <c r="V264" s="36"/>
      <c r="W264" s="36"/>
      <c r="X264" s="36"/>
      <c r="Y264" s="36"/>
      <c r="Z264" s="36"/>
      <c r="AA264" s="36"/>
      <c r="AB264" s="2"/>
    </row>
    <row r="265" spans="1:28" s="5" customFormat="1" hidden="1" x14ac:dyDescent="0.25">
      <c r="A265" s="150">
        <f>1</f>
        <v>1</v>
      </c>
      <c r="B265" s="131"/>
      <c r="C265" s="3"/>
      <c r="D265" s="3"/>
      <c r="E265" s="3"/>
      <c r="F265" s="3"/>
      <c r="G265" s="3"/>
      <c r="H265" s="3"/>
      <c r="I265" s="28"/>
      <c r="J265" s="3"/>
      <c r="K265" s="28"/>
      <c r="L265" s="3"/>
      <c r="M265" s="55"/>
      <c r="N265" s="3"/>
      <c r="O265" s="3"/>
      <c r="P265" s="46"/>
      <c r="Q265" s="46"/>
      <c r="R265" s="46"/>
      <c r="S265" s="46"/>
      <c r="T265" s="46"/>
      <c r="U265" s="46"/>
      <c r="V265" s="46"/>
      <c r="W265" s="46"/>
      <c r="X265" s="46"/>
      <c r="Y265" s="46"/>
      <c r="Z265" s="46"/>
      <c r="AA265" s="46"/>
      <c r="AB265" s="3"/>
    </row>
    <row r="266" spans="1:28" ht="3.9" hidden="1" customHeight="1" x14ac:dyDescent="0.25">
      <c r="A266" s="149">
        <f>1</f>
        <v>1</v>
      </c>
      <c r="B266" s="131"/>
      <c r="C266" s="2"/>
      <c r="D266" s="2"/>
      <c r="E266" s="2"/>
      <c r="F266" s="2"/>
      <c r="G266" s="2"/>
      <c r="H266" s="2"/>
      <c r="I266" s="28"/>
      <c r="J266" s="2"/>
      <c r="K266" s="28"/>
      <c r="L266" s="2"/>
      <c r="M266" s="52"/>
      <c r="N266" s="2"/>
      <c r="O266" s="2"/>
      <c r="P266" s="36"/>
      <c r="Q266" s="36"/>
      <c r="R266" s="36"/>
      <c r="S266" s="36"/>
      <c r="T266" s="36"/>
      <c r="U266" s="36"/>
      <c r="V266" s="36"/>
      <c r="W266" s="36"/>
      <c r="X266" s="36"/>
      <c r="Y266" s="36"/>
      <c r="Z266" s="36"/>
      <c r="AA266" s="36"/>
      <c r="AB266" s="2"/>
    </row>
    <row r="267" spans="1:28" hidden="1" x14ac:dyDescent="0.25">
      <c r="A267" s="149">
        <f>1</f>
        <v>1</v>
      </c>
      <c r="B267" s="131"/>
      <c r="C267" s="2"/>
      <c r="D267" s="2"/>
      <c r="E267" s="2"/>
      <c r="F267" s="2"/>
      <c r="G267" s="2"/>
      <c r="H267" s="2"/>
      <c r="I267" s="28"/>
      <c r="J267" s="2"/>
      <c r="K267" s="28"/>
      <c r="L267" s="2"/>
      <c r="M267" s="52"/>
      <c r="N267" s="2"/>
      <c r="O267" s="2"/>
      <c r="P267" s="36"/>
      <c r="Q267" s="36"/>
      <c r="R267" s="36"/>
      <c r="S267" s="36"/>
      <c r="T267" s="36"/>
      <c r="U267" s="36"/>
      <c r="V267" s="36"/>
      <c r="W267" s="36"/>
      <c r="X267" s="36"/>
      <c r="Y267" s="36"/>
      <c r="Z267" s="36"/>
      <c r="AA267" s="36"/>
      <c r="AB267" s="2"/>
    </row>
    <row r="268" spans="1:28" hidden="1" x14ac:dyDescent="0.25">
      <c r="A268" s="149">
        <f>1</f>
        <v>1</v>
      </c>
      <c r="B268" s="131"/>
      <c r="C268" s="2"/>
      <c r="D268" s="2"/>
      <c r="E268" s="2"/>
      <c r="F268" s="2"/>
      <c r="G268" s="2"/>
      <c r="H268" s="2"/>
      <c r="I268" s="28"/>
      <c r="J268" s="2"/>
      <c r="K268" s="28"/>
      <c r="L268" s="2"/>
      <c r="M268" s="52"/>
      <c r="N268" s="2"/>
      <c r="O268" s="2"/>
      <c r="P268" s="36"/>
      <c r="Q268" s="36"/>
      <c r="R268" s="36"/>
      <c r="S268" s="36"/>
      <c r="T268" s="36"/>
      <c r="U268" s="36"/>
      <c r="V268" s="36"/>
      <c r="W268" s="36"/>
      <c r="X268" s="36"/>
      <c r="Y268" s="36"/>
      <c r="Z268" s="36"/>
      <c r="AA268" s="36"/>
      <c r="AB268" s="2"/>
    </row>
    <row r="269" spans="1:28" hidden="1" x14ac:dyDescent="0.25">
      <c r="A269" s="149">
        <f>1</f>
        <v>1</v>
      </c>
      <c r="B269" s="131"/>
      <c r="C269" s="2"/>
      <c r="D269" s="2"/>
      <c r="E269" s="2"/>
      <c r="F269" s="2"/>
      <c r="G269" s="2"/>
      <c r="H269" s="2"/>
      <c r="I269" s="28"/>
      <c r="J269" s="2"/>
      <c r="K269" s="28"/>
      <c r="L269" s="2"/>
      <c r="M269" s="52"/>
      <c r="N269" s="2"/>
      <c r="O269" s="2"/>
      <c r="P269" s="36"/>
      <c r="Q269" s="36"/>
      <c r="R269" s="36"/>
      <c r="S269" s="36"/>
      <c r="T269" s="36"/>
      <c r="U269" s="36"/>
      <c r="V269" s="36"/>
      <c r="W269" s="36"/>
      <c r="X269" s="36"/>
      <c r="Y269" s="36"/>
      <c r="Z269" s="36"/>
      <c r="AA269" s="36"/>
      <c r="AB269" s="2"/>
    </row>
    <row r="270" spans="1:28" hidden="1" x14ac:dyDescent="0.25">
      <c r="A270" s="149">
        <f>1</f>
        <v>1</v>
      </c>
      <c r="B270" s="131"/>
      <c r="C270" s="2"/>
      <c r="D270" s="2"/>
      <c r="E270" s="2"/>
      <c r="F270" s="2"/>
      <c r="G270" s="2"/>
      <c r="H270" s="2"/>
      <c r="I270" s="28"/>
      <c r="J270" s="2"/>
      <c r="K270" s="28"/>
      <c r="L270" s="2"/>
      <c r="M270" s="52"/>
      <c r="N270" s="2"/>
      <c r="O270" s="2"/>
      <c r="P270" s="36"/>
      <c r="Q270" s="36"/>
      <c r="R270" s="36"/>
      <c r="S270" s="36"/>
      <c r="T270" s="36"/>
      <c r="U270" s="36"/>
      <c r="V270" s="36"/>
      <c r="W270" s="36"/>
      <c r="X270" s="36"/>
      <c r="Y270" s="36"/>
      <c r="Z270" s="36"/>
      <c r="AA270" s="36"/>
      <c r="AB270" s="2"/>
    </row>
    <row r="271" spans="1:28" hidden="1" x14ac:dyDescent="0.25">
      <c r="A271" s="149">
        <f>1</f>
        <v>1</v>
      </c>
      <c r="B271" s="131"/>
      <c r="C271" s="2"/>
      <c r="D271" s="2"/>
      <c r="E271" s="2"/>
      <c r="F271" s="2"/>
      <c r="G271" s="2"/>
      <c r="H271" s="2"/>
      <c r="I271" s="28"/>
      <c r="J271" s="2"/>
      <c r="K271" s="28"/>
      <c r="L271" s="2"/>
      <c r="M271" s="52"/>
      <c r="N271" s="2"/>
      <c r="O271" s="2"/>
      <c r="P271" s="36"/>
      <c r="Q271" s="36"/>
      <c r="R271" s="36"/>
      <c r="S271" s="36"/>
      <c r="T271" s="36"/>
      <c r="U271" s="36"/>
      <c r="V271" s="36"/>
      <c r="W271" s="36"/>
      <c r="X271" s="36"/>
      <c r="Y271" s="36"/>
      <c r="Z271" s="36"/>
      <c r="AA271" s="36"/>
      <c r="AB271" s="2"/>
    </row>
    <row r="272" spans="1:28" hidden="1" x14ac:dyDescent="0.25">
      <c r="A272" s="149">
        <f>1</f>
        <v>1</v>
      </c>
      <c r="B272" s="131"/>
      <c r="C272" s="2"/>
      <c r="D272" s="2"/>
      <c r="E272" s="2"/>
      <c r="F272" s="2"/>
      <c r="G272" s="2"/>
      <c r="H272" s="2"/>
      <c r="I272" s="28"/>
      <c r="J272" s="2"/>
      <c r="K272" s="28"/>
      <c r="L272" s="2"/>
      <c r="M272" s="52"/>
      <c r="N272" s="2"/>
      <c r="O272" s="2"/>
      <c r="P272" s="36"/>
      <c r="Q272" s="36"/>
      <c r="R272" s="36"/>
      <c r="S272" s="36"/>
      <c r="T272" s="36"/>
      <c r="U272" s="36"/>
      <c r="V272" s="36"/>
      <c r="W272" s="36"/>
      <c r="X272" s="36"/>
      <c r="Y272" s="36"/>
      <c r="Z272" s="36"/>
      <c r="AA272" s="36"/>
      <c r="AB272" s="2"/>
    </row>
    <row r="273" spans="1:28" hidden="1" x14ac:dyDescent="0.25">
      <c r="A273" s="149">
        <f>1</f>
        <v>1</v>
      </c>
      <c r="B273" s="131"/>
      <c r="C273" s="2"/>
      <c r="D273" s="2"/>
      <c r="E273" s="2"/>
      <c r="F273" s="2"/>
      <c r="G273" s="2"/>
      <c r="H273" s="2"/>
      <c r="I273" s="28"/>
      <c r="J273" s="2"/>
      <c r="K273" s="28"/>
      <c r="L273" s="2"/>
      <c r="M273" s="52"/>
      <c r="N273" s="2"/>
      <c r="O273" s="2"/>
      <c r="P273" s="36"/>
      <c r="Q273" s="36"/>
      <c r="R273" s="36"/>
      <c r="S273" s="36"/>
      <c r="T273" s="36"/>
      <c r="U273" s="36"/>
      <c r="V273" s="36"/>
      <c r="W273" s="36"/>
      <c r="X273" s="36"/>
      <c r="Y273" s="36"/>
      <c r="Z273" s="36"/>
      <c r="AA273" s="36"/>
      <c r="AB273" s="2"/>
    </row>
    <row r="274" spans="1:28" hidden="1" x14ac:dyDescent="0.25">
      <c r="A274" s="149">
        <f>1</f>
        <v>1</v>
      </c>
      <c r="B274" s="131"/>
      <c r="C274" s="2"/>
      <c r="D274" s="2"/>
      <c r="E274" s="2"/>
      <c r="F274" s="2"/>
      <c r="G274" s="2"/>
      <c r="H274" s="2"/>
      <c r="I274" s="28"/>
      <c r="J274" s="2"/>
      <c r="K274" s="28"/>
      <c r="L274" s="2"/>
      <c r="M274" s="52"/>
      <c r="N274" s="2"/>
      <c r="O274" s="2"/>
      <c r="P274" s="36"/>
      <c r="Q274" s="36"/>
      <c r="R274" s="36"/>
      <c r="S274" s="36"/>
      <c r="T274" s="36"/>
      <c r="U274" s="36"/>
      <c r="V274" s="36"/>
      <c r="W274" s="36"/>
      <c r="X274" s="36"/>
      <c r="Y274" s="36"/>
      <c r="Z274" s="36"/>
      <c r="AA274" s="36"/>
      <c r="AB274" s="2"/>
    </row>
    <row r="275" spans="1:28" hidden="1" x14ac:dyDescent="0.25">
      <c r="A275" s="149">
        <f>1</f>
        <v>1</v>
      </c>
      <c r="B275" s="131"/>
      <c r="C275" s="2"/>
      <c r="D275" s="2"/>
      <c r="E275" s="2"/>
      <c r="F275" s="2"/>
      <c r="G275" s="2"/>
      <c r="H275" s="2"/>
      <c r="I275" s="28"/>
      <c r="J275" s="2"/>
      <c r="K275" s="28"/>
      <c r="L275" s="2"/>
      <c r="M275" s="52"/>
      <c r="N275" s="2"/>
      <c r="O275" s="2"/>
      <c r="P275" s="36"/>
      <c r="Q275" s="36"/>
      <c r="R275" s="36"/>
      <c r="S275" s="36"/>
      <c r="T275" s="36"/>
      <c r="U275" s="36"/>
      <c r="V275" s="36"/>
      <c r="W275" s="36"/>
      <c r="X275" s="36"/>
      <c r="Y275" s="36"/>
      <c r="Z275" s="36"/>
      <c r="AA275" s="36"/>
      <c r="AB275" s="2"/>
    </row>
    <row r="276" spans="1:28" hidden="1" x14ac:dyDescent="0.25">
      <c r="A276" s="149">
        <f>1</f>
        <v>1</v>
      </c>
      <c r="B276" s="131"/>
      <c r="C276" s="2"/>
      <c r="D276" s="2"/>
      <c r="E276" s="2"/>
      <c r="F276" s="2"/>
      <c r="G276" s="2"/>
      <c r="H276" s="2"/>
      <c r="I276" s="28"/>
      <c r="J276" s="2"/>
      <c r="K276" s="28"/>
      <c r="L276" s="2"/>
      <c r="M276" s="52"/>
      <c r="N276" s="2"/>
      <c r="O276" s="2"/>
      <c r="P276" s="36"/>
      <c r="Q276" s="36"/>
      <c r="R276" s="36"/>
      <c r="S276" s="36"/>
      <c r="T276" s="36"/>
      <c r="U276" s="36"/>
      <c r="V276" s="36"/>
      <c r="W276" s="36"/>
      <c r="X276" s="36"/>
      <c r="Y276" s="36"/>
      <c r="Z276" s="36"/>
      <c r="AA276" s="36"/>
      <c r="AB276" s="2"/>
    </row>
    <row r="277" spans="1:28" hidden="1" x14ac:dyDescent="0.25">
      <c r="A277" s="149">
        <f>1</f>
        <v>1</v>
      </c>
      <c r="B277" s="131"/>
      <c r="C277" s="2"/>
      <c r="D277" s="2"/>
      <c r="E277" s="2"/>
      <c r="F277" s="2"/>
      <c r="G277" s="2"/>
      <c r="H277" s="2"/>
      <c r="I277" s="28"/>
      <c r="J277" s="2"/>
      <c r="K277" s="28"/>
      <c r="L277" s="2"/>
      <c r="M277" s="52"/>
      <c r="N277" s="2"/>
      <c r="O277" s="2"/>
      <c r="P277" s="36"/>
      <c r="Q277" s="36"/>
      <c r="R277" s="36"/>
      <c r="S277" s="36"/>
      <c r="T277" s="36"/>
      <c r="U277" s="36"/>
      <c r="V277" s="36"/>
      <c r="W277" s="36"/>
      <c r="X277" s="36"/>
      <c r="Y277" s="36"/>
      <c r="Z277" s="36"/>
      <c r="AA277" s="36"/>
      <c r="AB277" s="2"/>
    </row>
    <row r="278" spans="1:28" x14ac:dyDescent="0.25">
      <c r="P278" s="57"/>
      <c r="Q278" s="57"/>
      <c r="R278" s="57"/>
      <c r="S278" s="57"/>
      <c r="T278" s="57"/>
      <c r="U278" s="57"/>
      <c r="V278" s="57"/>
      <c r="W278" s="57"/>
      <c r="X278" s="57"/>
      <c r="Y278" s="57"/>
      <c r="Z278" s="57"/>
      <c r="AA278" s="57"/>
    </row>
  </sheetData>
  <autoFilter ref="A8:B277">
    <filterColumn colId="1">
      <filters>
        <filter val="УСН(6%)-ИП"/>
      </filters>
    </filterColumn>
  </autoFilter>
  <conditionalFormatting sqref="A2:XFD2 A3:B6 F3:XFD4 F5:F6 H5:XFD6 E1:XFD1 A7:XFD10 A11:D11 H11:O11 AB11:XFD11 A12:XFD1048576">
    <cfRule type="cellIs" dxfId="8535" priority="1833" operator="equal">
      <formula>0</formula>
    </cfRule>
  </conditionalFormatting>
  <conditionalFormatting sqref="P16:AA16">
    <cfRule type="expression" dxfId="8534" priority="1832">
      <formula>P$1=""</formula>
    </cfRule>
  </conditionalFormatting>
  <conditionalFormatting sqref="P18:AA18">
    <cfRule type="expression" dxfId="8533" priority="1831">
      <formula>P$1=""</formula>
    </cfRule>
  </conditionalFormatting>
  <conditionalFormatting sqref="P20:AA20">
    <cfRule type="expression" dxfId="8532" priority="1830">
      <formula>P$1=""</formula>
    </cfRule>
  </conditionalFormatting>
  <conditionalFormatting sqref="P22:AA22">
    <cfRule type="expression" dxfId="8531" priority="1829">
      <formula>P$1=""</formula>
    </cfRule>
  </conditionalFormatting>
  <conditionalFormatting sqref="P26:AA26">
    <cfRule type="expression" dxfId="8530" priority="1828">
      <formula>P$1=""</formula>
    </cfRule>
  </conditionalFormatting>
  <conditionalFormatting sqref="P28:AA28">
    <cfRule type="expression" dxfId="8529" priority="1827">
      <formula>P$1=""</formula>
    </cfRule>
  </conditionalFormatting>
  <conditionalFormatting sqref="P30:AA30">
    <cfRule type="expression" dxfId="8528" priority="1826">
      <formula>P$1=""</formula>
    </cfRule>
  </conditionalFormatting>
  <conditionalFormatting sqref="P32:AA32">
    <cfRule type="expression" dxfId="8527" priority="1825">
      <formula>P$1=""</formula>
    </cfRule>
  </conditionalFormatting>
  <conditionalFormatting sqref="P36:AA36">
    <cfRule type="expression" dxfId="8526" priority="1824">
      <formula>P$1=""</formula>
    </cfRule>
  </conditionalFormatting>
  <conditionalFormatting sqref="P38:AA38">
    <cfRule type="expression" dxfId="8525" priority="1823">
      <formula>P$1=""</formula>
    </cfRule>
  </conditionalFormatting>
  <conditionalFormatting sqref="P40:AA40">
    <cfRule type="expression" dxfId="8524" priority="1822">
      <formula>P$1=""</formula>
    </cfRule>
  </conditionalFormatting>
  <conditionalFormatting sqref="P42:AA42">
    <cfRule type="expression" dxfId="8523" priority="1821">
      <formula>P$1=""</formula>
    </cfRule>
  </conditionalFormatting>
  <conditionalFormatting sqref="P42:AA42 P40:AA40 P38:AA38">
    <cfRule type="expression" dxfId="8522" priority="1820">
      <formula>P$1=""</formula>
    </cfRule>
  </conditionalFormatting>
  <conditionalFormatting sqref="P46:AA46">
    <cfRule type="expression" dxfId="8521" priority="1819">
      <formula>P$1=""</formula>
    </cfRule>
  </conditionalFormatting>
  <conditionalFormatting sqref="P48:AA48">
    <cfRule type="expression" dxfId="8520" priority="1818">
      <formula>P$1=""</formula>
    </cfRule>
  </conditionalFormatting>
  <conditionalFormatting sqref="P50:AA50">
    <cfRule type="expression" dxfId="8519" priority="1817">
      <formula>P$1=""</formula>
    </cfRule>
  </conditionalFormatting>
  <conditionalFormatting sqref="P52:AA52">
    <cfRule type="expression" dxfId="8518" priority="1816">
      <formula>P$1=""</formula>
    </cfRule>
  </conditionalFormatting>
  <conditionalFormatting sqref="P52:AA52 P50:AA50 P48:AA48">
    <cfRule type="expression" dxfId="8517" priority="1815">
      <formula>P$1=""</formula>
    </cfRule>
  </conditionalFormatting>
  <conditionalFormatting sqref="P52:AA52 P50:AA50 P48:AA48">
    <cfRule type="expression" dxfId="8516" priority="1814">
      <formula>P$1=""</formula>
    </cfRule>
  </conditionalFormatting>
  <conditionalFormatting sqref="P56:AA56">
    <cfRule type="expression" dxfId="8515" priority="1813">
      <formula>P$1=""</formula>
    </cfRule>
  </conditionalFormatting>
  <conditionalFormatting sqref="P58:AA58">
    <cfRule type="expression" dxfId="8514" priority="1812">
      <formula>P$1=""</formula>
    </cfRule>
  </conditionalFormatting>
  <conditionalFormatting sqref="P60:AA60">
    <cfRule type="expression" dxfId="8513" priority="1811">
      <formula>P$1=""</formula>
    </cfRule>
  </conditionalFormatting>
  <conditionalFormatting sqref="P62:AA62">
    <cfRule type="expression" dxfId="8512" priority="1810">
      <formula>P$1=""</formula>
    </cfRule>
  </conditionalFormatting>
  <conditionalFormatting sqref="P62:AA62 P60:AA60 P58:AA58">
    <cfRule type="expression" dxfId="8511" priority="1809">
      <formula>P$1=""</formula>
    </cfRule>
  </conditionalFormatting>
  <conditionalFormatting sqref="P62:AA62 P60:AA60 P58:AA58">
    <cfRule type="expression" dxfId="8510" priority="1808">
      <formula>P$1=""</formula>
    </cfRule>
  </conditionalFormatting>
  <conditionalFormatting sqref="P62:AA62 P60:AA60 P58:AA58">
    <cfRule type="expression" dxfId="8509" priority="1807">
      <formula>P$1=""</formula>
    </cfRule>
  </conditionalFormatting>
  <conditionalFormatting sqref="P66:AA66">
    <cfRule type="expression" dxfId="8508" priority="1806">
      <formula>P$1=""</formula>
    </cfRule>
  </conditionalFormatting>
  <conditionalFormatting sqref="P68:AA68">
    <cfRule type="expression" dxfId="8507" priority="1805">
      <formula>P$1=""</formula>
    </cfRule>
  </conditionalFormatting>
  <conditionalFormatting sqref="P70:AA70">
    <cfRule type="expression" dxfId="8506" priority="1804">
      <formula>P$1=""</formula>
    </cfRule>
  </conditionalFormatting>
  <conditionalFormatting sqref="P72:AA72">
    <cfRule type="expression" dxfId="8505" priority="1803">
      <formula>P$1=""</formula>
    </cfRule>
  </conditionalFormatting>
  <conditionalFormatting sqref="P72:AA72 P70:AA70 P68:AA68">
    <cfRule type="expression" dxfId="8504" priority="1802">
      <formula>P$1=""</formula>
    </cfRule>
  </conditionalFormatting>
  <conditionalFormatting sqref="P72:AA72 P70:AA70 P68:AA68">
    <cfRule type="expression" dxfId="8503" priority="1801">
      <formula>P$1=""</formula>
    </cfRule>
  </conditionalFormatting>
  <conditionalFormatting sqref="P72:AA72 P70:AA70 P68:AA68">
    <cfRule type="expression" dxfId="8502" priority="1800">
      <formula>P$1=""</formula>
    </cfRule>
  </conditionalFormatting>
  <conditionalFormatting sqref="P72:AA72 P70:AA70 P68:AA68">
    <cfRule type="expression" dxfId="8501" priority="1799">
      <formula>P$1=""</formula>
    </cfRule>
  </conditionalFormatting>
  <conditionalFormatting sqref="P76:AA82">
    <cfRule type="expression" dxfId="8500" priority="1798">
      <formula>P$1=""</formula>
    </cfRule>
  </conditionalFormatting>
  <conditionalFormatting sqref="P78:AA78">
    <cfRule type="expression" dxfId="8499" priority="1797">
      <formula>P$1=""</formula>
    </cfRule>
  </conditionalFormatting>
  <conditionalFormatting sqref="P80:AA80">
    <cfRule type="expression" dxfId="8498" priority="1796">
      <formula>P$1=""</formula>
    </cfRule>
  </conditionalFormatting>
  <conditionalFormatting sqref="P82:AA82">
    <cfRule type="expression" dxfId="8497" priority="1795">
      <formula>P$1=""</formula>
    </cfRule>
  </conditionalFormatting>
  <conditionalFormatting sqref="P82:AA82 P80:AA80 P78:AA78">
    <cfRule type="expression" dxfId="8496" priority="1794">
      <formula>P$1=""</formula>
    </cfRule>
  </conditionalFormatting>
  <conditionalFormatting sqref="P82:AA82 P80:AA80 P78:AA78">
    <cfRule type="expression" dxfId="8495" priority="1793">
      <formula>P$1=""</formula>
    </cfRule>
  </conditionalFormatting>
  <conditionalFormatting sqref="P82:AA82 P80:AA80 P78:AA78">
    <cfRule type="expression" dxfId="8494" priority="1792">
      <formula>P$1=""</formula>
    </cfRule>
  </conditionalFormatting>
  <conditionalFormatting sqref="P82:AA82 P80:AA80 P78:AA78">
    <cfRule type="expression" dxfId="8493" priority="1791">
      <formula>P$1=""</formula>
    </cfRule>
  </conditionalFormatting>
  <conditionalFormatting sqref="P82:AA82 P80:AA80 P78:AA78">
    <cfRule type="expression" dxfId="8492" priority="1790">
      <formula>P$1=""</formula>
    </cfRule>
  </conditionalFormatting>
  <conditionalFormatting sqref="P85:AA85">
    <cfRule type="expression" dxfId="8491" priority="1789">
      <formula>P$1=""</formula>
    </cfRule>
  </conditionalFormatting>
  <conditionalFormatting sqref="P87:AA87">
    <cfRule type="expression" dxfId="8490" priority="1788">
      <formula>P$1=""</formula>
    </cfRule>
  </conditionalFormatting>
  <conditionalFormatting sqref="P89:AA89">
    <cfRule type="expression" dxfId="8489" priority="1787">
      <formula>P$1=""</formula>
    </cfRule>
  </conditionalFormatting>
  <conditionalFormatting sqref="P91:AA91">
    <cfRule type="expression" dxfId="8488" priority="1786">
      <formula>P$1=""</formula>
    </cfRule>
  </conditionalFormatting>
  <conditionalFormatting sqref="P91:AA91 P89:AA89 P87:AA87">
    <cfRule type="expression" dxfId="8487" priority="1785">
      <formula>P$1=""</formula>
    </cfRule>
  </conditionalFormatting>
  <conditionalFormatting sqref="P91:AA91 P89:AA89 P87:AA87">
    <cfRule type="expression" dxfId="8486" priority="1784">
      <formula>P$1=""</formula>
    </cfRule>
  </conditionalFormatting>
  <conditionalFormatting sqref="P91:AA91 P89:AA89 P87:AA87">
    <cfRule type="expression" dxfId="8485" priority="1783">
      <formula>P$1=""</formula>
    </cfRule>
  </conditionalFormatting>
  <conditionalFormatting sqref="P91:AA91 P89:AA89 P87:AA87">
    <cfRule type="expression" dxfId="8484" priority="1782">
      <formula>P$1=""</formula>
    </cfRule>
  </conditionalFormatting>
  <conditionalFormatting sqref="P95:AA95">
    <cfRule type="expression" dxfId="8483" priority="1781">
      <formula>P$1=""</formula>
    </cfRule>
  </conditionalFormatting>
  <conditionalFormatting sqref="P97:AA97">
    <cfRule type="expression" dxfId="8482" priority="1780">
      <formula>P$1=""</formula>
    </cfRule>
  </conditionalFormatting>
  <conditionalFormatting sqref="P99:AA99">
    <cfRule type="expression" dxfId="8481" priority="1779">
      <formula>P$1=""</formula>
    </cfRule>
  </conditionalFormatting>
  <conditionalFormatting sqref="P101:AA101">
    <cfRule type="expression" dxfId="8480" priority="1778">
      <formula>P$1=""</formula>
    </cfRule>
  </conditionalFormatting>
  <conditionalFormatting sqref="P101:AA101 P99:AA99 P97:AA97">
    <cfRule type="expression" dxfId="8479" priority="1777">
      <formula>P$1=""</formula>
    </cfRule>
  </conditionalFormatting>
  <conditionalFormatting sqref="P101:AA101 P99:AA99 P97:AA97">
    <cfRule type="expression" dxfId="8478" priority="1776">
      <formula>P$1=""</formula>
    </cfRule>
  </conditionalFormatting>
  <conditionalFormatting sqref="P101:AA101 P99:AA99 P97:AA97">
    <cfRule type="expression" dxfId="8477" priority="1775">
      <formula>P$1=""</formula>
    </cfRule>
  </conditionalFormatting>
  <conditionalFormatting sqref="P101:AA101 P99:AA99 P97:AA97">
    <cfRule type="expression" dxfId="8476" priority="1774">
      <formula>P$1=""</formula>
    </cfRule>
  </conditionalFormatting>
  <conditionalFormatting sqref="P101:AA101 P99:AA99 P97:AA97">
    <cfRule type="expression" dxfId="8475" priority="1773">
      <formula>P$1=""</formula>
    </cfRule>
  </conditionalFormatting>
  <conditionalFormatting sqref="P105:AA105">
    <cfRule type="expression" dxfId="8474" priority="1772">
      <formula>P$1=""</formula>
    </cfRule>
  </conditionalFormatting>
  <conditionalFormatting sqref="P107:AA107">
    <cfRule type="expression" dxfId="8473" priority="1771">
      <formula>P$1=""</formula>
    </cfRule>
  </conditionalFormatting>
  <conditionalFormatting sqref="P109:AA109">
    <cfRule type="expression" dxfId="8472" priority="1770">
      <formula>P$1=""</formula>
    </cfRule>
  </conditionalFormatting>
  <conditionalFormatting sqref="P111:AA111">
    <cfRule type="expression" dxfId="8471" priority="1769">
      <formula>P$1=""</formula>
    </cfRule>
  </conditionalFormatting>
  <conditionalFormatting sqref="P107:AA107 P109:AA109 P111:AA111">
    <cfRule type="expression" dxfId="8470" priority="1768">
      <formula>P$1=""</formula>
    </cfRule>
  </conditionalFormatting>
  <conditionalFormatting sqref="P107:AA107 P109:AA109 P111:AA111">
    <cfRule type="expression" dxfId="8469" priority="1767">
      <formula>P$1=""</formula>
    </cfRule>
  </conditionalFormatting>
  <conditionalFormatting sqref="P107:AA107 P109:AA109 P111:AA111">
    <cfRule type="expression" dxfId="8468" priority="1766">
      <formula>P$1=""</formula>
    </cfRule>
  </conditionalFormatting>
  <conditionalFormatting sqref="P107:AA107 P109:AA109 P111:AA111">
    <cfRule type="expression" dxfId="8467" priority="1765">
      <formula>P$1=""</formula>
    </cfRule>
  </conditionalFormatting>
  <conditionalFormatting sqref="P107:AA107 P109:AA109 P111:AA111">
    <cfRule type="expression" dxfId="8466" priority="1764">
      <formula>P$1=""</formula>
    </cfRule>
  </conditionalFormatting>
  <conditionalFormatting sqref="P111:AA111 P109:AA109">
    <cfRule type="expression" dxfId="8465" priority="1763">
      <formula>P$1=""</formula>
    </cfRule>
  </conditionalFormatting>
  <conditionalFormatting sqref="P117:AA117">
    <cfRule type="expression" dxfId="8464" priority="1762">
      <formula>P$1=""</formula>
    </cfRule>
  </conditionalFormatting>
  <conditionalFormatting sqref="P119:AA119">
    <cfRule type="expression" dxfId="8463" priority="1761">
      <formula>P$1=""</formula>
    </cfRule>
  </conditionalFormatting>
  <conditionalFormatting sqref="P121:AA121">
    <cfRule type="expression" dxfId="8462" priority="1760">
      <formula>P$1=""</formula>
    </cfRule>
  </conditionalFormatting>
  <conditionalFormatting sqref="P123:AA123">
    <cfRule type="expression" dxfId="8461" priority="1759">
      <formula>P$1=""</formula>
    </cfRule>
  </conditionalFormatting>
  <conditionalFormatting sqref="P119:AA119 P121:AA121 P123:AA123">
    <cfRule type="expression" dxfId="8460" priority="1758">
      <formula>P$1=""</formula>
    </cfRule>
  </conditionalFormatting>
  <conditionalFormatting sqref="P119:AA119 P121:AA121 P123:AA123">
    <cfRule type="expression" dxfId="8459" priority="1757">
      <formula>P$1=""</formula>
    </cfRule>
  </conditionalFormatting>
  <conditionalFormatting sqref="P119:AA119 P121:AA121 P123:AA123">
    <cfRule type="expression" dxfId="8458" priority="1756">
      <formula>P$1=""</formula>
    </cfRule>
  </conditionalFormatting>
  <conditionalFormatting sqref="P119:AA119 P121:AA121 P123:AA123">
    <cfRule type="expression" dxfId="8457" priority="1755">
      <formula>P$1=""</formula>
    </cfRule>
  </conditionalFormatting>
  <conditionalFormatting sqref="P119:AA119 P121:AA121 P123:AA123">
    <cfRule type="expression" dxfId="8456" priority="1754">
      <formula>P$1=""</formula>
    </cfRule>
  </conditionalFormatting>
  <conditionalFormatting sqref="P123:AA123 P121:AA121">
    <cfRule type="expression" dxfId="8455" priority="1753">
      <formula>P$1=""</formula>
    </cfRule>
  </conditionalFormatting>
  <conditionalFormatting sqref="P32:AA32 P30:AA30 P28:AA28">
    <cfRule type="expression" dxfId="8454" priority="1752">
      <formula>P$1=""</formula>
    </cfRule>
  </conditionalFormatting>
  <conditionalFormatting sqref="P119:AA119">
    <cfRule type="expression" dxfId="8453" priority="1751">
      <formula>P$1=""</formula>
    </cfRule>
  </conditionalFormatting>
  <conditionalFormatting sqref="P123:AA123 P121:AA121">
    <cfRule type="expression" dxfId="8452" priority="1750">
      <formula>P$1=""</formula>
    </cfRule>
  </conditionalFormatting>
  <conditionalFormatting sqref="P123:AA123 P121:AA121">
    <cfRule type="expression" dxfId="8451" priority="1749">
      <formula>P$1=""</formula>
    </cfRule>
  </conditionalFormatting>
  <conditionalFormatting sqref="P127:AA127">
    <cfRule type="expression" dxfId="8450" priority="1748">
      <formula>P$1=""</formula>
    </cfRule>
  </conditionalFormatting>
  <conditionalFormatting sqref="P129:AA129">
    <cfRule type="expression" dxfId="8449" priority="1747">
      <formula>P$1=""</formula>
    </cfRule>
  </conditionalFormatting>
  <conditionalFormatting sqref="P131:AA131">
    <cfRule type="expression" dxfId="8448" priority="1746">
      <formula>P$1=""</formula>
    </cfRule>
  </conditionalFormatting>
  <conditionalFormatting sqref="P133:AA133">
    <cfRule type="expression" dxfId="8447" priority="1745">
      <formula>P$1=""</formula>
    </cfRule>
  </conditionalFormatting>
  <conditionalFormatting sqref="P131:AA131 P129:AA129 P133:AA133">
    <cfRule type="expression" dxfId="8446" priority="1744">
      <formula>P$1=""</formula>
    </cfRule>
  </conditionalFormatting>
  <conditionalFormatting sqref="P131:AA131 P129:AA129 P133:AA133">
    <cfRule type="expression" dxfId="8445" priority="1743">
      <formula>P$1=""</formula>
    </cfRule>
  </conditionalFormatting>
  <conditionalFormatting sqref="P131:AA131 P129:AA129 P133:AA133">
    <cfRule type="expression" dxfId="8444" priority="1742">
      <formula>P$1=""</formula>
    </cfRule>
  </conditionalFormatting>
  <conditionalFormatting sqref="P131:AA131 P129:AA129 P133:AA133">
    <cfRule type="expression" dxfId="8443" priority="1741">
      <formula>P$1=""</formula>
    </cfRule>
  </conditionalFormatting>
  <conditionalFormatting sqref="P131:AA131 P129:AA129 P133:AA133">
    <cfRule type="expression" dxfId="8442" priority="1740">
      <formula>P$1=""</formula>
    </cfRule>
  </conditionalFormatting>
  <conditionalFormatting sqref="P131:AA131 P133:AA133">
    <cfRule type="expression" dxfId="8441" priority="1739">
      <formula>P$1=""</formula>
    </cfRule>
  </conditionalFormatting>
  <conditionalFormatting sqref="P129:AA129">
    <cfRule type="expression" dxfId="8440" priority="1738">
      <formula>P$1=""</formula>
    </cfRule>
  </conditionalFormatting>
  <conditionalFormatting sqref="P131:AA131 P133:AA133">
    <cfRule type="expression" dxfId="8439" priority="1737">
      <formula>P$1=""</formula>
    </cfRule>
  </conditionalFormatting>
  <conditionalFormatting sqref="P131:AA131 P133:AA133">
    <cfRule type="expression" dxfId="8438" priority="1736">
      <formula>P$1=""</formula>
    </cfRule>
  </conditionalFormatting>
  <conditionalFormatting sqref="P133:AA133">
    <cfRule type="expression" dxfId="8437" priority="1735">
      <formula>P$1=""</formula>
    </cfRule>
  </conditionalFormatting>
  <conditionalFormatting sqref="P133:AA133">
    <cfRule type="expression" dxfId="8436" priority="1734">
      <formula>P$1=""</formula>
    </cfRule>
  </conditionalFormatting>
  <conditionalFormatting sqref="P133:AA133">
    <cfRule type="expression" dxfId="8435" priority="1733">
      <formula>P$1=""</formula>
    </cfRule>
  </conditionalFormatting>
  <conditionalFormatting sqref="P133:AA133">
    <cfRule type="expression" dxfId="8434" priority="1732">
      <formula>P$1=""</formula>
    </cfRule>
  </conditionalFormatting>
  <conditionalFormatting sqref="P137:AA137">
    <cfRule type="expression" dxfId="8433" priority="1731">
      <formula>P$1=""</formula>
    </cfRule>
  </conditionalFormatting>
  <conditionalFormatting sqref="P139:AA139">
    <cfRule type="expression" dxfId="8432" priority="1730">
      <formula>P$1=""</formula>
    </cfRule>
  </conditionalFormatting>
  <conditionalFormatting sqref="P141:AA141">
    <cfRule type="expression" dxfId="8431" priority="1729">
      <formula>P$1=""</formula>
    </cfRule>
  </conditionalFormatting>
  <conditionalFormatting sqref="P143:AA143">
    <cfRule type="expression" dxfId="8430" priority="1728">
      <formula>P$1=""</formula>
    </cfRule>
  </conditionalFormatting>
  <conditionalFormatting sqref="P139:AA139 P141:AA141 P143:AA143">
    <cfRule type="expression" dxfId="8429" priority="1727">
      <formula>P$1=""</formula>
    </cfRule>
  </conditionalFormatting>
  <conditionalFormatting sqref="P139:AA139 P141:AA141 P143:AA143">
    <cfRule type="expression" dxfId="8428" priority="1726">
      <formula>P$1=""</formula>
    </cfRule>
  </conditionalFormatting>
  <conditionalFormatting sqref="P139:AA139 P141:AA141 P143:AA143">
    <cfRule type="expression" dxfId="8427" priority="1725">
      <formula>P$1=""</formula>
    </cfRule>
  </conditionalFormatting>
  <conditionalFormatting sqref="P139:AA139 P141:AA141 P143:AA143">
    <cfRule type="expression" dxfId="8426" priority="1724">
      <formula>P$1=""</formula>
    </cfRule>
  </conditionalFormatting>
  <conditionalFormatting sqref="P139:AA139 P141:AA141 P143:AA143">
    <cfRule type="expression" dxfId="8425" priority="1723">
      <formula>P$1=""</formula>
    </cfRule>
  </conditionalFormatting>
  <conditionalFormatting sqref="P141:AA141 P143:AA143">
    <cfRule type="expression" dxfId="8424" priority="1722">
      <formula>P$1=""</formula>
    </cfRule>
  </conditionalFormatting>
  <conditionalFormatting sqref="P139:AA139">
    <cfRule type="expression" dxfId="8423" priority="1721">
      <formula>P$1=""</formula>
    </cfRule>
  </conditionalFormatting>
  <conditionalFormatting sqref="P141:AA141 P143:AA143">
    <cfRule type="expression" dxfId="8422" priority="1720">
      <formula>P$1=""</formula>
    </cfRule>
  </conditionalFormatting>
  <conditionalFormatting sqref="P141:AA141 P143:AA143">
    <cfRule type="expression" dxfId="8421" priority="1719">
      <formula>P$1=""</formula>
    </cfRule>
  </conditionalFormatting>
  <conditionalFormatting sqref="P143:AA143">
    <cfRule type="expression" dxfId="8420" priority="1718">
      <formula>P$1=""</formula>
    </cfRule>
  </conditionalFormatting>
  <conditionalFormatting sqref="P143:AA143">
    <cfRule type="expression" dxfId="8419" priority="1717">
      <formula>P$1=""</formula>
    </cfRule>
  </conditionalFormatting>
  <conditionalFormatting sqref="P143:AA143">
    <cfRule type="expression" dxfId="8418" priority="1716">
      <formula>P$1=""</formula>
    </cfRule>
  </conditionalFormatting>
  <conditionalFormatting sqref="P143:AA143">
    <cfRule type="expression" dxfId="8417" priority="1715">
      <formula>P$1=""</formula>
    </cfRule>
  </conditionalFormatting>
  <conditionalFormatting sqref="P137:AA137">
    <cfRule type="expression" dxfId="8416" priority="1714">
      <formula>P$1=""</formula>
    </cfRule>
  </conditionalFormatting>
  <conditionalFormatting sqref="P137:AA137">
    <cfRule type="expression" dxfId="8415" priority="1713">
      <formula>P$1=""</formula>
    </cfRule>
  </conditionalFormatting>
  <conditionalFormatting sqref="P137:AA137">
    <cfRule type="expression" dxfId="8414" priority="1712">
      <formula>P$1=""</formula>
    </cfRule>
  </conditionalFormatting>
  <conditionalFormatting sqref="P137:AA137">
    <cfRule type="expression" dxfId="8413" priority="1711">
      <formula>P$1=""</formula>
    </cfRule>
  </conditionalFormatting>
  <conditionalFormatting sqref="P137:AA137">
    <cfRule type="expression" dxfId="8412" priority="1710">
      <formula>P$1=""</formula>
    </cfRule>
  </conditionalFormatting>
  <conditionalFormatting sqref="P137:AA137">
    <cfRule type="expression" dxfId="8411" priority="1709">
      <formula>P$1=""</formula>
    </cfRule>
  </conditionalFormatting>
  <conditionalFormatting sqref="P137:AA137">
    <cfRule type="expression" dxfId="8410" priority="1708">
      <formula>P$1=""</formula>
    </cfRule>
  </conditionalFormatting>
  <conditionalFormatting sqref="P143:AA143 P141:AA141">
    <cfRule type="expression" dxfId="8409" priority="1707">
      <formula>P$1=""</formula>
    </cfRule>
  </conditionalFormatting>
  <conditionalFormatting sqref="P143:AA143 P141:AA141">
    <cfRule type="expression" dxfId="8408" priority="1706">
      <formula>P$1=""</formula>
    </cfRule>
  </conditionalFormatting>
  <conditionalFormatting sqref="P155:AA155">
    <cfRule type="expression" dxfId="8407" priority="1705">
      <formula>P$1=""</formula>
    </cfRule>
  </conditionalFormatting>
  <conditionalFormatting sqref="P157:AA157">
    <cfRule type="expression" dxfId="8406" priority="1704">
      <formula>P$1=""</formula>
    </cfRule>
  </conditionalFormatting>
  <conditionalFormatting sqref="P159:AA159">
    <cfRule type="expression" dxfId="8405" priority="1703">
      <formula>P$1=""</formula>
    </cfRule>
  </conditionalFormatting>
  <conditionalFormatting sqref="P161:AA161">
    <cfRule type="expression" dxfId="8404" priority="1702">
      <formula>P$1=""</formula>
    </cfRule>
  </conditionalFormatting>
  <conditionalFormatting sqref="P157:AA157 P159:AA159 P161:AA161">
    <cfRule type="expression" dxfId="8403" priority="1701">
      <formula>P$1=""</formula>
    </cfRule>
  </conditionalFormatting>
  <conditionalFormatting sqref="P157:AA157 P159:AA159 P161:AA161">
    <cfRule type="expression" dxfId="8402" priority="1700">
      <formula>P$1=""</formula>
    </cfRule>
  </conditionalFormatting>
  <conditionalFormatting sqref="P157:AA157 P159:AA159 P161:AA161">
    <cfRule type="expression" dxfId="8401" priority="1699">
      <formula>P$1=""</formula>
    </cfRule>
  </conditionalFormatting>
  <conditionalFormatting sqref="P157:AA157 P159:AA159 P161:AA161">
    <cfRule type="expression" dxfId="8400" priority="1698">
      <formula>P$1=""</formula>
    </cfRule>
  </conditionalFormatting>
  <conditionalFormatting sqref="P157:AA157 P159:AA159 P161:AA161">
    <cfRule type="expression" dxfId="8399" priority="1697">
      <formula>P$1=""</formula>
    </cfRule>
  </conditionalFormatting>
  <conditionalFormatting sqref="P159:AA159 P161:AA161">
    <cfRule type="expression" dxfId="8398" priority="1696">
      <formula>P$1=""</formula>
    </cfRule>
  </conditionalFormatting>
  <conditionalFormatting sqref="P157:AA157">
    <cfRule type="expression" dxfId="8397" priority="1695">
      <formula>P$1=""</formula>
    </cfRule>
  </conditionalFormatting>
  <conditionalFormatting sqref="P159:AA159 P161:AA161">
    <cfRule type="expression" dxfId="8396" priority="1694">
      <formula>P$1=""</formula>
    </cfRule>
  </conditionalFormatting>
  <conditionalFormatting sqref="P159:AA159 P161:AA161">
    <cfRule type="expression" dxfId="8395" priority="1693">
      <formula>P$1=""</formula>
    </cfRule>
  </conditionalFormatting>
  <conditionalFormatting sqref="P161:AA161">
    <cfRule type="expression" dxfId="8394" priority="1692">
      <formula>P$1=""</formula>
    </cfRule>
  </conditionalFormatting>
  <conditionalFormatting sqref="P161:AA161">
    <cfRule type="expression" dxfId="8393" priority="1691">
      <formula>P$1=""</formula>
    </cfRule>
  </conditionalFormatting>
  <conditionalFormatting sqref="P161:AA161">
    <cfRule type="expression" dxfId="8392" priority="1690">
      <formula>P$1=""</formula>
    </cfRule>
  </conditionalFormatting>
  <conditionalFormatting sqref="P161:AA161">
    <cfRule type="expression" dxfId="8391" priority="1689">
      <formula>P$1=""</formula>
    </cfRule>
  </conditionalFormatting>
  <conditionalFormatting sqref="P155:AA155">
    <cfRule type="expression" dxfId="8390" priority="1688">
      <formula>P$1=""</formula>
    </cfRule>
  </conditionalFormatting>
  <conditionalFormatting sqref="P155:AA155">
    <cfRule type="expression" dxfId="8389" priority="1687">
      <formula>P$1=""</formula>
    </cfRule>
  </conditionalFormatting>
  <conditionalFormatting sqref="P155:AA155">
    <cfRule type="expression" dxfId="8388" priority="1686">
      <formula>P$1=""</formula>
    </cfRule>
  </conditionalFormatting>
  <conditionalFormatting sqref="P155:AA155">
    <cfRule type="expression" dxfId="8387" priority="1685">
      <formula>P$1=""</formula>
    </cfRule>
  </conditionalFormatting>
  <conditionalFormatting sqref="P155:AA155">
    <cfRule type="expression" dxfId="8386" priority="1684">
      <formula>P$1=""</formula>
    </cfRule>
  </conditionalFormatting>
  <conditionalFormatting sqref="P155:AA155">
    <cfRule type="expression" dxfId="8385" priority="1683">
      <formula>P$1=""</formula>
    </cfRule>
  </conditionalFormatting>
  <conditionalFormatting sqref="P155:AA155">
    <cfRule type="expression" dxfId="8384" priority="1682">
      <formula>P$1=""</formula>
    </cfRule>
  </conditionalFormatting>
  <conditionalFormatting sqref="P161:AA161 P159:AA159">
    <cfRule type="expression" dxfId="8383" priority="1681">
      <formula>P$1=""</formula>
    </cfRule>
  </conditionalFormatting>
  <conditionalFormatting sqref="P161:AA161 P159:AA159">
    <cfRule type="expression" dxfId="8382" priority="1680">
      <formula>P$1=""</formula>
    </cfRule>
  </conditionalFormatting>
  <conditionalFormatting sqref="P161:AA161 P159:AA159">
    <cfRule type="expression" dxfId="8381" priority="1679">
      <formula>P$1=""</formula>
    </cfRule>
  </conditionalFormatting>
  <conditionalFormatting sqref="P161:AA161 P159:AA159">
    <cfRule type="expression" dxfId="8380" priority="1678">
      <formula>P$1=""</formula>
    </cfRule>
  </conditionalFormatting>
  <conditionalFormatting sqref="P165:AA165">
    <cfRule type="expression" dxfId="8379" priority="1677">
      <formula>P$1=""</formula>
    </cfRule>
  </conditionalFormatting>
  <conditionalFormatting sqref="P167:AA167">
    <cfRule type="expression" dxfId="8378" priority="1676">
      <formula>P$1=""</formula>
    </cfRule>
  </conditionalFormatting>
  <conditionalFormatting sqref="P169:AA169">
    <cfRule type="expression" dxfId="8377" priority="1675">
      <formula>P$1=""</formula>
    </cfRule>
  </conditionalFormatting>
  <conditionalFormatting sqref="P171:AA171">
    <cfRule type="expression" dxfId="8376" priority="1674">
      <formula>P$1=""</formula>
    </cfRule>
  </conditionalFormatting>
  <conditionalFormatting sqref="P167:AA167 P169:AA169 P171:AA171">
    <cfRule type="expression" dxfId="8375" priority="1673">
      <formula>P$1=""</formula>
    </cfRule>
  </conditionalFormatting>
  <conditionalFormatting sqref="P167:AA167 P169:AA169 P171:AA171">
    <cfRule type="expression" dxfId="8374" priority="1672">
      <formula>P$1=""</formula>
    </cfRule>
  </conditionalFormatting>
  <conditionalFormatting sqref="P167:AA167 P169:AA169 P171:AA171">
    <cfRule type="expression" dxfId="8373" priority="1671">
      <formula>P$1=""</formula>
    </cfRule>
  </conditionalFormatting>
  <conditionalFormatting sqref="P167:AA167 P169:AA169 P171:AA171">
    <cfRule type="expression" dxfId="8372" priority="1670">
      <formula>P$1=""</formula>
    </cfRule>
  </conditionalFormatting>
  <conditionalFormatting sqref="P167:AA167 P169:AA169 P171:AA171">
    <cfRule type="expression" dxfId="8371" priority="1669">
      <formula>P$1=""</formula>
    </cfRule>
  </conditionalFormatting>
  <conditionalFormatting sqref="P169:AA169 P171:AA171">
    <cfRule type="expression" dxfId="8370" priority="1668">
      <formula>P$1=""</formula>
    </cfRule>
  </conditionalFormatting>
  <conditionalFormatting sqref="P167:AA167">
    <cfRule type="expression" dxfId="8369" priority="1667">
      <formula>P$1=""</formula>
    </cfRule>
  </conditionalFormatting>
  <conditionalFormatting sqref="P169:AA169 P171:AA171">
    <cfRule type="expression" dxfId="8368" priority="1666">
      <formula>P$1=""</formula>
    </cfRule>
  </conditionalFormatting>
  <conditionalFormatting sqref="P169:AA169 P171:AA171">
    <cfRule type="expression" dxfId="8367" priority="1665">
      <formula>P$1=""</formula>
    </cfRule>
  </conditionalFormatting>
  <conditionalFormatting sqref="P171:AA171">
    <cfRule type="expression" dxfId="8366" priority="1664">
      <formula>P$1=""</formula>
    </cfRule>
  </conditionalFormatting>
  <conditionalFormatting sqref="P171:AA171">
    <cfRule type="expression" dxfId="8365" priority="1663">
      <formula>P$1=""</formula>
    </cfRule>
  </conditionalFormatting>
  <conditionalFormatting sqref="P171:AA171">
    <cfRule type="expression" dxfId="8364" priority="1662">
      <formula>P$1=""</formula>
    </cfRule>
  </conditionalFormatting>
  <conditionalFormatting sqref="P171:AA171">
    <cfRule type="expression" dxfId="8363" priority="1661">
      <formula>P$1=""</formula>
    </cfRule>
  </conditionalFormatting>
  <conditionalFormatting sqref="P165:AA165">
    <cfRule type="expression" dxfId="8362" priority="1660">
      <formula>P$1=""</formula>
    </cfRule>
  </conditionalFormatting>
  <conditionalFormatting sqref="P165:AA165">
    <cfRule type="expression" dxfId="8361" priority="1659">
      <formula>P$1=""</formula>
    </cfRule>
  </conditionalFormatting>
  <conditionalFormatting sqref="P165:AA165">
    <cfRule type="expression" dxfId="8360" priority="1658">
      <formula>P$1=""</formula>
    </cfRule>
  </conditionalFormatting>
  <conditionalFormatting sqref="P165:AA165">
    <cfRule type="expression" dxfId="8359" priority="1657">
      <formula>P$1=""</formula>
    </cfRule>
  </conditionalFormatting>
  <conditionalFormatting sqref="P165:AA165">
    <cfRule type="expression" dxfId="8358" priority="1656">
      <formula>P$1=""</formula>
    </cfRule>
  </conditionalFormatting>
  <conditionalFormatting sqref="P165:AA165">
    <cfRule type="expression" dxfId="8357" priority="1655">
      <formula>P$1=""</formula>
    </cfRule>
  </conditionalFormatting>
  <conditionalFormatting sqref="P165:AA165">
    <cfRule type="expression" dxfId="8356" priority="1654">
      <formula>P$1=""</formula>
    </cfRule>
  </conditionalFormatting>
  <conditionalFormatting sqref="P169:AA169 P171:AA171">
    <cfRule type="expression" dxfId="8355" priority="1653">
      <formula>P$1=""</formula>
    </cfRule>
  </conditionalFormatting>
  <conditionalFormatting sqref="P169:AA169 P171:AA171">
    <cfRule type="expression" dxfId="8354" priority="1652">
      <formula>P$1=""</formula>
    </cfRule>
  </conditionalFormatting>
  <conditionalFormatting sqref="P169:AA169 P171:AA171">
    <cfRule type="expression" dxfId="8353" priority="1651">
      <formula>P$1=""</formula>
    </cfRule>
  </conditionalFormatting>
  <conditionalFormatting sqref="P169:AA169 P171:AA171">
    <cfRule type="expression" dxfId="8352" priority="1650">
      <formula>P$1=""</formula>
    </cfRule>
  </conditionalFormatting>
  <conditionalFormatting sqref="P171:AA171 P169:AA169 P167:AA167">
    <cfRule type="expression" dxfId="8351" priority="1649">
      <formula>P$1=""</formula>
    </cfRule>
  </conditionalFormatting>
  <conditionalFormatting sqref="P171:AA171 P169:AA169 P167:AA167">
    <cfRule type="expression" dxfId="8350" priority="1648">
      <formula>P$1=""</formula>
    </cfRule>
  </conditionalFormatting>
  <conditionalFormatting sqref="P171:AA171 P169:AA169 P167:AA167">
    <cfRule type="expression" dxfId="8349" priority="1647">
      <formula>P$1=""</formula>
    </cfRule>
  </conditionalFormatting>
  <conditionalFormatting sqref="P171:AA171 P169:AA169 P167:AA167">
    <cfRule type="expression" dxfId="8348" priority="1646">
      <formula>P$1=""</formula>
    </cfRule>
  </conditionalFormatting>
  <conditionalFormatting sqref="P171:AA171 P169:AA169 P167:AA167">
    <cfRule type="expression" dxfId="8347" priority="1645">
      <formula>P$1=""</formula>
    </cfRule>
  </conditionalFormatting>
  <conditionalFormatting sqref="P171:AA171 P169:AA169 P167:AA167">
    <cfRule type="expression" dxfId="8346" priority="1644">
      <formula>P$1=""</formula>
    </cfRule>
  </conditionalFormatting>
  <conditionalFormatting sqref="P171:AA171 P169:AA169 P167:AA167">
    <cfRule type="expression" dxfId="8345" priority="1643">
      <formula>P$1=""</formula>
    </cfRule>
  </conditionalFormatting>
  <conditionalFormatting sqref="P171:AA171 P169:AA169 P167:AA167">
    <cfRule type="expression" dxfId="8344" priority="1642">
      <formula>P$1=""</formula>
    </cfRule>
  </conditionalFormatting>
  <conditionalFormatting sqref="Q167:AA167">
    <cfRule type="expression" dxfId="8343" priority="1641">
      <formula>Q$1=""</formula>
    </cfRule>
  </conditionalFormatting>
  <conditionalFormatting sqref="Q167:AA167">
    <cfRule type="expression" dxfId="8342" priority="1640">
      <formula>Q$1=""</formula>
    </cfRule>
  </conditionalFormatting>
  <conditionalFormatting sqref="Q167:AA167">
    <cfRule type="expression" dxfId="8341" priority="1639">
      <formula>Q$1=""</formula>
    </cfRule>
  </conditionalFormatting>
  <conditionalFormatting sqref="Q167:AA167">
    <cfRule type="expression" dxfId="8340" priority="1638">
      <formula>Q$1=""</formula>
    </cfRule>
  </conditionalFormatting>
  <conditionalFormatting sqref="Q167:AA167">
    <cfRule type="expression" dxfId="8339" priority="1637">
      <formula>Q$1=""</formula>
    </cfRule>
  </conditionalFormatting>
  <conditionalFormatting sqref="Q167:AA167">
    <cfRule type="expression" dxfId="8338" priority="1636">
      <formula>Q$1=""</formula>
    </cfRule>
  </conditionalFormatting>
  <conditionalFormatting sqref="Q167:AA167">
    <cfRule type="expression" dxfId="8337" priority="1635">
      <formula>Q$1=""</formula>
    </cfRule>
  </conditionalFormatting>
  <conditionalFormatting sqref="Q167:AA167">
    <cfRule type="expression" dxfId="8336" priority="1634">
      <formula>Q$1=""</formula>
    </cfRule>
  </conditionalFormatting>
  <conditionalFormatting sqref="Q169:AA169 Q171:AA171">
    <cfRule type="expression" dxfId="8335" priority="1633">
      <formula>Q$1=""</formula>
    </cfRule>
  </conditionalFormatting>
  <conditionalFormatting sqref="Q169:AA169 Q171:AA171">
    <cfRule type="expression" dxfId="8334" priority="1632">
      <formula>Q$1=""</formula>
    </cfRule>
  </conditionalFormatting>
  <conditionalFormatting sqref="Q169:AA169 Q171:AA171">
    <cfRule type="expression" dxfId="8333" priority="1631">
      <formula>Q$1=""</formula>
    </cfRule>
  </conditionalFormatting>
  <conditionalFormatting sqref="Q169:AA169 Q171:AA171">
    <cfRule type="expression" dxfId="8332" priority="1630">
      <formula>Q$1=""</formula>
    </cfRule>
  </conditionalFormatting>
  <conditionalFormatting sqref="Q169:AA169 Q171:AA171">
    <cfRule type="expression" dxfId="8331" priority="1629">
      <formula>Q$1=""</formula>
    </cfRule>
  </conditionalFormatting>
  <conditionalFormatting sqref="Q169:AA169 Q171:AA171">
    <cfRule type="expression" dxfId="8330" priority="1628">
      <formula>Q$1=""</formula>
    </cfRule>
  </conditionalFormatting>
  <conditionalFormatting sqref="Q169:AA169 Q171:AA171">
    <cfRule type="expression" dxfId="8329" priority="1627">
      <formula>Q$1=""</formula>
    </cfRule>
  </conditionalFormatting>
  <conditionalFormatting sqref="Q169:AA169 Q171:AA171">
    <cfRule type="expression" dxfId="8328" priority="1626">
      <formula>Q$1=""</formula>
    </cfRule>
  </conditionalFormatting>
  <conditionalFormatting sqref="Q169:AA169 Q171:AA171">
    <cfRule type="expression" dxfId="8327" priority="1625">
      <formula>Q$1=""</formula>
    </cfRule>
  </conditionalFormatting>
  <conditionalFormatting sqref="Q169:AA169 Q171:AA171">
    <cfRule type="expression" dxfId="8326" priority="1624">
      <formula>Q$1=""</formula>
    </cfRule>
  </conditionalFormatting>
  <conditionalFormatting sqref="P175:AA175">
    <cfRule type="expression" dxfId="8325" priority="1623">
      <formula>P$1=""</formula>
    </cfRule>
  </conditionalFormatting>
  <conditionalFormatting sqref="P177:AA177">
    <cfRule type="expression" dxfId="8324" priority="1622">
      <formula>P$1=""</formula>
    </cfRule>
  </conditionalFormatting>
  <conditionalFormatting sqref="P179:AA179">
    <cfRule type="expression" dxfId="8323" priority="1621">
      <formula>P$1=""</formula>
    </cfRule>
  </conditionalFormatting>
  <conditionalFormatting sqref="P181:AA181">
    <cfRule type="expression" dxfId="8322" priority="1620">
      <formula>P$1=""</formula>
    </cfRule>
  </conditionalFormatting>
  <conditionalFormatting sqref="P177:AA177 P179:AA179 P181:AA181">
    <cfRule type="expression" dxfId="8321" priority="1619">
      <formula>P$1=""</formula>
    </cfRule>
  </conditionalFormatting>
  <conditionalFormatting sqref="P177:AA177 P179:AA179 P181:AA181">
    <cfRule type="expression" dxfId="8320" priority="1618">
      <formula>P$1=""</formula>
    </cfRule>
  </conditionalFormatting>
  <conditionalFormatting sqref="P177:AA177 P179:AA179 P181:AA181">
    <cfRule type="expression" dxfId="8319" priority="1617">
      <formula>P$1=""</formula>
    </cfRule>
  </conditionalFormatting>
  <conditionalFormatting sqref="P177:AA177 P179:AA179 P181:AA181">
    <cfRule type="expression" dxfId="8318" priority="1616">
      <formula>P$1=""</formula>
    </cfRule>
  </conditionalFormatting>
  <conditionalFormatting sqref="P177:AA177 P179:AA179 P181:AA181">
    <cfRule type="expression" dxfId="8317" priority="1615">
      <formula>P$1=""</formula>
    </cfRule>
  </conditionalFormatting>
  <conditionalFormatting sqref="P179:AA179 P181:AA181">
    <cfRule type="expression" dxfId="8316" priority="1614">
      <formula>P$1=""</formula>
    </cfRule>
  </conditionalFormatting>
  <conditionalFormatting sqref="P177:AA177">
    <cfRule type="expression" dxfId="8315" priority="1613">
      <formula>P$1=""</formula>
    </cfRule>
  </conditionalFormatting>
  <conditionalFormatting sqref="P179:AA179 P181:AA181">
    <cfRule type="expression" dxfId="8314" priority="1612">
      <formula>P$1=""</formula>
    </cfRule>
  </conditionalFormatting>
  <conditionalFormatting sqref="P179:AA179 P181:AA181">
    <cfRule type="expression" dxfId="8313" priority="1611">
      <formula>P$1=""</formula>
    </cfRule>
  </conditionalFormatting>
  <conditionalFormatting sqref="P181:AA181">
    <cfRule type="expression" dxfId="8312" priority="1610">
      <formula>P$1=""</formula>
    </cfRule>
  </conditionalFormatting>
  <conditionalFormatting sqref="P181:AA181">
    <cfRule type="expression" dxfId="8311" priority="1609">
      <formula>P$1=""</formula>
    </cfRule>
  </conditionalFormatting>
  <conditionalFormatting sqref="P181:AA181">
    <cfRule type="expression" dxfId="8310" priority="1608">
      <formula>P$1=""</formula>
    </cfRule>
  </conditionalFormatting>
  <conditionalFormatting sqref="P181:AA181">
    <cfRule type="expression" dxfId="8309" priority="1607">
      <formula>P$1=""</formula>
    </cfRule>
  </conditionalFormatting>
  <conditionalFormatting sqref="P175:AA175">
    <cfRule type="expression" dxfId="8308" priority="1606">
      <formula>P$1=""</formula>
    </cfRule>
  </conditionalFormatting>
  <conditionalFormatting sqref="P175:AA175">
    <cfRule type="expression" dxfId="8307" priority="1605">
      <formula>P$1=""</formula>
    </cfRule>
  </conditionalFormatting>
  <conditionalFormatting sqref="P175:AA175">
    <cfRule type="expression" dxfId="8306" priority="1604">
      <formula>P$1=""</formula>
    </cfRule>
  </conditionalFormatting>
  <conditionalFormatting sqref="P175:AA175">
    <cfRule type="expression" dxfId="8305" priority="1603">
      <formula>P$1=""</formula>
    </cfRule>
  </conditionalFormatting>
  <conditionalFormatting sqref="P175:AA175">
    <cfRule type="expression" dxfId="8304" priority="1602">
      <formula>P$1=""</formula>
    </cfRule>
  </conditionalFormatting>
  <conditionalFormatting sqref="P175:AA175">
    <cfRule type="expression" dxfId="8303" priority="1601">
      <formula>P$1=""</formula>
    </cfRule>
  </conditionalFormatting>
  <conditionalFormatting sqref="P175:AA175">
    <cfRule type="expression" dxfId="8302" priority="1600">
      <formula>P$1=""</formula>
    </cfRule>
  </conditionalFormatting>
  <conditionalFormatting sqref="P179:AA179 P181:AA181">
    <cfRule type="expression" dxfId="8301" priority="1599">
      <formula>P$1=""</formula>
    </cfRule>
  </conditionalFormatting>
  <conditionalFormatting sqref="P179:AA179 P181:AA181">
    <cfRule type="expression" dxfId="8300" priority="1598">
      <formula>P$1=""</formula>
    </cfRule>
  </conditionalFormatting>
  <conditionalFormatting sqref="P179:AA179 P181:AA181">
    <cfRule type="expression" dxfId="8299" priority="1597">
      <formula>P$1=""</formula>
    </cfRule>
  </conditionalFormatting>
  <conditionalFormatting sqref="P179:AA179 P181:AA181">
    <cfRule type="expression" dxfId="8298" priority="1596">
      <formula>P$1=""</formula>
    </cfRule>
  </conditionalFormatting>
  <conditionalFormatting sqref="P177:AA177 P179:AA179 P181:AA181">
    <cfRule type="expression" dxfId="8297" priority="1595">
      <formula>P$1=""</formula>
    </cfRule>
  </conditionalFormatting>
  <conditionalFormatting sqref="P177:AA177 P179:AA179 P181:AA181">
    <cfRule type="expression" dxfId="8296" priority="1594">
      <formula>P$1=""</formula>
    </cfRule>
  </conditionalFormatting>
  <conditionalFormatting sqref="P177:AA177 P179:AA179 P181:AA181">
    <cfRule type="expression" dxfId="8295" priority="1593">
      <formula>P$1=""</formula>
    </cfRule>
  </conditionalFormatting>
  <conditionalFormatting sqref="P177:AA177 P179:AA179 P181:AA181">
    <cfRule type="expression" dxfId="8294" priority="1592">
      <formula>P$1=""</formula>
    </cfRule>
  </conditionalFormatting>
  <conditionalFormatting sqref="P177:AA177 P179:AA179 P181:AA181">
    <cfRule type="expression" dxfId="8293" priority="1591">
      <formula>P$1=""</formula>
    </cfRule>
  </conditionalFormatting>
  <conditionalFormatting sqref="P177:AA177 P179:AA179 P181:AA181">
    <cfRule type="expression" dxfId="8292" priority="1590">
      <formula>P$1=""</formula>
    </cfRule>
  </conditionalFormatting>
  <conditionalFormatting sqref="P177:AA177 P179:AA179 P181:AA181">
    <cfRule type="expression" dxfId="8291" priority="1589">
      <formula>P$1=""</formula>
    </cfRule>
  </conditionalFormatting>
  <conditionalFormatting sqref="P177:AA177 P179:AA179 P181:AA181">
    <cfRule type="expression" dxfId="8290" priority="1588">
      <formula>P$1=""</formula>
    </cfRule>
  </conditionalFormatting>
  <conditionalFormatting sqref="Q177:AA177">
    <cfRule type="expression" dxfId="8289" priority="1587">
      <formula>Q$1=""</formula>
    </cfRule>
  </conditionalFormatting>
  <conditionalFormatting sqref="Q177:AA177">
    <cfRule type="expression" dxfId="8288" priority="1586">
      <formula>Q$1=""</formula>
    </cfRule>
  </conditionalFormatting>
  <conditionalFormatting sqref="Q177:AA177">
    <cfRule type="expression" dxfId="8287" priority="1585">
      <formula>Q$1=""</formula>
    </cfRule>
  </conditionalFormatting>
  <conditionalFormatting sqref="Q177:AA177">
    <cfRule type="expression" dxfId="8286" priority="1584">
      <formula>Q$1=""</formula>
    </cfRule>
  </conditionalFormatting>
  <conditionalFormatting sqref="Q177:AA177">
    <cfRule type="expression" dxfId="8285" priority="1583">
      <formula>Q$1=""</formula>
    </cfRule>
  </conditionalFormatting>
  <conditionalFormatting sqref="Q177:AA177">
    <cfRule type="expression" dxfId="8284" priority="1582">
      <formula>Q$1=""</formula>
    </cfRule>
  </conditionalFormatting>
  <conditionalFormatting sqref="Q177:AA177">
    <cfRule type="expression" dxfId="8283" priority="1581">
      <formula>Q$1=""</formula>
    </cfRule>
  </conditionalFormatting>
  <conditionalFormatting sqref="Q177:AA177">
    <cfRule type="expression" dxfId="8282" priority="1580">
      <formula>Q$1=""</formula>
    </cfRule>
  </conditionalFormatting>
  <conditionalFormatting sqref="Q179:AA179 Q181:AA181">
    <cfRule type="expression" dxfId="8281" priority="1579">
      <formula>Q$1=""</formula>
    </cfRule>
  </conditionalFormatting>
  <conditionalFormatting sqref="Q179:AA179 Q181:AA181">
    <cfRule type="expression" dxfId="8280" priority="1578">
      <formula>Q$1=""</formula>
    </cfRule>
  </conditionalFormatting>
  <conditionalFormatting sqref="Q179:AA179 Q181:AA181">
    <cfRule type="expression" dxfId="8279" priority="1577">
      <formula>Q$1=""</formula>
    </cfRule>
  </conditionalFormatting>
  <conditionalFormatting sqref="Q179:AA179 Q181:AA181">
    <cfRule type="expression" dxfId="8278" priority="1576">
      <formula>Q$1=""</formula>
    </cfRule>
  </conditionalFormatting>
  <conditionalFormatting sqref="Q179:AA179 Q181:AA181">
    <cfRule type="expression" dxfId="8277" priority="1575">
      <formula>Q$1=""</formula>
    </cfRule>
  </conditionalFormatting>
  <conditionalFormatting sqref="Q179:AA179 Q181:AA181">
    <cfRule type="expression" dxfId="8276" priority="1574">
      <formula>Q$1=""</formula>
    </cfRule>
  </conditionalFormatting>
  <conditionalFormatting sqref="Q179:AA179 Q181:AA181">
    <cfRule type="expression" dxfId="8275" priority="1573">
      <formula>Q$1=""</formula>
    </cfRule>
  </conditionalFormatting>
  <conditionalFormatting sqref="Q179:AA179 Q181:AA181">
    <cfRule type="expression" dxfId="8274" priority="1572">
      <formula>Q$1=""</formula>
    </cfRule>
  </conditionalFormatting>
  <conditionalFormatting sqref="Q179:AA179 Q181:AA181">
    <cfRule type="expression" dxfId="8273" priority="1571">
      <formula>Q$1=""</formula>
    </cfRule>
  </conditionalFormatting>
  <conditionalFormatting sqref="Q179:AA179 Q181:AA181">
    <cfRule type="expression" dxfId="8272" priority="1570">
      <formula>Q$1=""</formula>
    </cfRule>
  </conditionalFormatting>
  <conditionalFormatting sqref="P175:AA175 P179:AA179 P181:AA181">
    <cfRule type="expression" dxfId="8271" priority="1569">
      <formula>P$1=""</formula>
    </cfRule>
  </conditionalFormatting>
  <conditionalFormatting sqref="P175:AA175">
    <cfRule type="expression" dxfId="8270" priority="1568">
      <formula>P$1=""</formula>
    </cfRule>
  </conditionalFormatting>
  <conditionalFormatting sqref="P175:AA175">
    <cfRule type="expression" dxfId="8269" priority="1567">
      <formula>P$1=""</formula>
    </cfRule>
  </conditionalFormatting>
  <conditionalFormatting sqref="P175:AA175">
    <cfRule type="expression" dxfId="8268" priority="1566">
      <formula>P$1=""</formula>
    </cfRule>
  </conditionalFormatting>
  <conditionalFormatting sqref="P175:AA175">
    <cfRule type="expression" dxfId="8267" priority="1565">
      <formula>P$1=""</formula>
    </cfRule>
  </conditionalFormatting>
  <conditionalFormatting sqref="P175:AA175">
    <cfRule type="expression" dxfId="8266" priority="1564">
      <formula>P$1=""</formula>
    </cfRule>
  </conditionalFormatting>
  <conditionalFormatting sqref="P175:AA175 P179:AA179 P181:AA181">
    <cfRule type="expression" dxfId="8265" priority="1563">
      <formula>P$1=""</formula>
    </cfRule>
  </conditionalFormatting>
  <conditionalFormatting sqref="P175:AA175">
    <cfRule type="expression" dxfId="8264" priority="1562">
      <formula>P$1=""</formula>
    </cfRule>
  </conditionalFormatting>
  <conditionalFormatting sqref="P175:AA175">
    <cfRule type="expression" dxfId="8263" priority="1561">
      <formula>P$1=""</formula>
    </cfRule>
  </conditionalFormatting>
  <conditionalFormatting sqref="P175:AA175">
    <cfRule type="expression" dxfId="8262" priority="1560">
      <formula>P$1=""</formula>
    </cfRule>
  </conditionalFormatting>
  <conditionalFormatting sqref="P175:AA175">
    <cfRule type="expression" dxfId="8261" priority="1559">
      <formula>P$1=""</formula>
    </cfRule>
  </conditionalFormatting>
  <conditionalFormatting sqref="P175:AA175">
    <cfRule type="expression" dxfId="8260" priority="1558">
      <formula>P$1=""</formula>
    </cfRule>
  </conditionalFormatting>
  <conditionalFormatting sqref="P175:AA175">
    <cfRule type="expression" dxfId="8259" priority="1557">
      <formula>P$1=""</formula>
    </cfRule>
  </conditionalFormatting>
  <conditionalFormatting sqref="P175:AA175">
    <cfRule type="expression" dxfId="8258" priority="1556">
      <formula>P$1=""</formula>
    </cfRule>
  </conditionalFormatting>
  <conditionalFormatting sqref="P175:AA175">
    <cfRule type="expression" dxfId="8257" priority="1555">
      <formula>P$1=""</formula>
    </cfRule>
  </conditionalFormatting>
  <conditionalFormatting sqref="P152:AA152">
    <cfRule type="expression" dxfId="8256" priority="1403">
      <formula>P$1=""</formula>
    </cfRule>
  </conditionalFormatting>
  <conditionalFormatting sqref="P152:AA152">
    <cfRule type="expression" dxfId="8255" priority="1402">
      <formula>P$1=""</formula>
    </cfRule>
  </conditionalFormatting>
  <conditionalFormatting sqref="P152:AA152">
    <cfRule type="expression" dxfId="8254" priority="1401">
      <formula>P$1=""</formula>
    </cfRule>
  </conditionalFormatting>
  <conditionalFormatting sqref="P152:AA152">
    <cfRule type="expression" dxfId="8253" priority="1400">
      <formula>P$1=""</formula>
    </cfRule>
  </conditionalFormatting>
  <conditionalFormatting sqref="P152:AA152">
    <cfRule type="expression" dxfId="8252" priority="1399">
      <formula>P$1=""</formula>
    </cfRule>
  </conditionalFormatting>
  <conditionalFormatting sqref="P152:AA152">
    <cfRule type="expression" dxfId="8251" priority="1398">
      <formula>P$1=""</formula>
    </cfRule>
  </conditionalFormatting>
  <conditionalFormatting sqref="P152:AA152">
    <cfRule type="expression" dxfId="8250" priority="1397">
      <formula>P$1=""</formula>
    </cfRule>
  </conditionalFormatting>
  <conditionalFormatting sqref="P152:AA152">
    <cfRule type="expression" dxfId="8249" priority="1396">
      <formula>P$1=""</formula>
    </cfRule>
  </conditionalFormatting>
  <conditionalFormatting sqref="P161:AA161 P159:AA159 P157:AA157">
    <cfRule type="expression" dxfId="8248" priority="677">
      <formula>P$1=""</formula>
    </cfRule>
  </conditionalFormatting>
  <conditionalFormatting sqref="P161:AA161 P159:AA159 P157:AA157">
    <cfRule type="expression" dxfId="8247" priority="676">
      <formula>P$1=""</formula>
    </cfRule>
  </conditionalFormatting>
  <conditionalFormatting sqref="P161:AA161 P159:AA159 P157:AA157">
    <cfRule type="expression" dxfId="8246" priority="675">
      <formula>P$1=""</formula>
    </cfRule>
  </conditionalFormatting>
  <conditionalFormatting sqref="P161:AA161 P159:AA159 P157:AA157">
    <cfRule type="expression" dxfId="8245" priority="674">
      <formula>P$1=""</formula>
    </cfRule>
  </conditionalFormatting>
  <conditionalFormatting sqref="P161:AA161 P159:AA159 P157:AA157">
    <cfRule type="expression" dxfId="8244" priority="673">
      <formula>P$1=""</formula>
    </cfRule>
  </conditionalFormatting>
  <conditionalFormatting sqref="P161:AA161 P159:AA159 P157:AA157">
    <cfRule type="expression" dxfId="8243" priority="672">
      <formula>P$1=""</formula>
    </cfRule>
  </conditionalFormatting>
  <conditionalFormatting sqref="P161:AA161 P159:AA159 P157:AA157">
    <cfRule type="expression" dxfId="8242" priority="671">
      <formula>P$1=""</formula>
    </cfRule>
  </conditionalFormatting>
  <conditionalFormatting sqref="P161:AA161 P159:AA159 P157:AA157">
    <cfRule type="expression" dxfId="8241" priority="670">
      <formula>P$1=""</formula>
    </cfRule>
  </conditionalFormatting>
  <conditionalFormatting sqref="P171:AA171 P169:AA169 P167:AA167">
    <cfRule type="expression" dxfId="8240" priority="669">
      <formula>P$1=""</formula>
    </cfRule>
  </conditionalFormatting>
  <conditionalFormatting sqref="P171:AA171 P169:AA169 P167:AA167">
    <cfRule type="expression" dxfId="8239" priority="668">
      <formula>P$1=""</formula>
    </cfRule>
  </conditionalFormatting>
  <conditionalFormatting sqref="P171:AA171 P169:AA169 P167:AA167">
    <cfRule type="expression" dxfId="8238" priority="667">
      <formula>P$1=""</formula>
    </cfRule>
  </conditionalFormatting>
  <conditionalFormatting sqref="P171:AA171 P169:AA169 P167:AA167">
    <cfRule type="expression" dxfId="8237" priority="666">
      <formula>P$1=""</formula>
    </cfRule>
  </conditionalFormatting>
  <conditionalFormatting sqref="P171:AA171 P169:AA169 P167:AA167">
    <cfRule type="expression" dxfId="8236" priority="665">
      <formula>P$1=""</formula>
    </cfRule>
  </conditionalFormatting>
  <conditionalFormatting sqref="P171:AA171 P169:AA169 P167:AA167">
    <cfRule type="expression" dxfId="8235" priority="664">
      <formula>P$1=""</formula>
    </cfRule>
  </conditionalFormatting>
  <conditionalFormatting sqref="P171:AA171 P169:AA169 P167:AA167">
    <cfRule type="expression" dxfId="8234" priority="663">
      <formula>P$1=""</formula>
    </cfRule>
  </conditionalFormatting>
  <conditionalFormatting sqref="P171:AA171 P169:AA169 P167:AA167">
    <cfRule type="expression" dxfId="8233" priority="662">
      <formula>P$1=""</formula>
    </cfRule>
  </conditionalFormatting>
  <conditionalFormatting sqref="P177:AA177 P179:AA179 P181:AA181">
    <cfRule type="expression" dxfId="8232" priority="661">
      <formula>P$1=""</formula>
    </cfRule>
  </conditionalFormatting>
  <conditionalFormatting sqref="P177:AA177 P179:AA179 P181:AA181">
    <cfRule type="expression" dxfId="8231" priority="660">
      <formula>P$1=""</formula>
    </cfRule>
  </conditionalFormatting>
  <conditionalFormatting sqref="P177:AA177 P179:AA179 P181:AA181">
    <cfRule type="expression" dxfId="8230" priority="659">
      <formula>P$1=""</formula>
    </cfRule>
  </conditionalFormatting>
  <conditionalFormatting sqref="P177:AA177 P179:AA179 P181:AA181">
    <cfRule type="expression" dxfId="8229" priority="658">
      <formula>P$1=""</formula>
    </cfRule>
  </conditionalFormatting>
  <conditionalFormatting sqref="P177:AA177 P179:AA179 P181:AA181">
    <cfRule type="expression" dxfId="8228" priority="657">
      <formula>P$1=""</formula>
    </cfRule>
  </conditionalFormatting>
  <conditionalFormatting sqref="P177:AA177 P179:AA179 P181:AA181">
    <cfRule type="expression" dxfId="8227" priority="656">
      <formula>P$1=""</formula>
    </cfRule>
  </conditionalFormatting>
  <conditionalFormatting sqref="P177:AA177 P179:AA179 P181:AA181">
    <cfRule type="expression" dxfId="8226" priority="655">
      <formula>P$1=""</formula>
    </cfRule>
  </conditionalFormatting>
  <conditionalFormatting sqref="P177:AA177 P179:AA179 P181:AA181">
    <cfRule type="expression" dxfId="8225" priority="654">
      <formula>P$1=""</formula>
    </cfRule>
  </conditionalFormatting>
  <conditionalFormatting sqref="P177:AA177">
    <cfRule type="expression" dxfId="8224" priority="653">
      <formula>P$1=""</formula>
    </cfRule>
  </conditionalFormatting>
  <conditionalFormatting sqref="P177:AA177 P179:AA179 P181:AA181">
    <cfRule type="expression" dxfId="8223" priority="652">
      <formula>P$1=""</formula>
    </cfRule>
  </conditionalFormatting>
  <conditionalFormatting sqref="P177:AA177 P179:AA179 P181:AA181">
    <cfRule type="expression" dxfId="8222" priority="651">
      <formula>P$1=""</formula>
    </cfRule>
  </conditionalFormatting>
  <conditionalFormatting sqref="P177:AA177 P179:AA179 P181:AA181">
    <cfRule type="expression" dxfId="8221" priority="650">
      <formula>P$1=""</formula>
    </cfRule>
  </conditionalFormatting>
  <conditionalFormatting sqref="P177:AA177 P179:AA179 P181:AA181">
    <cfRule type="expression" dxfId="8220" priority="649">
      <formula>P$1=""</formula>
    </cfRule>
  </conditionalFormatting>
  <conditionalFormatting sqref="P177:AA177 P179:AA179 P181:AA181">
    <cfRule type="expression" dxfId="8219" priority="648">
      <formula>P$1=""</formula>
    </cfRule>
  </conditionalFormatting>
  <conditionalFormatting sqref="P177:AA177">
    <cfRule type="expression" dxfId="8218" priority="647">
      <formula>P$1=""</formula>
    </cfRule>
  </conditionalFormatting>
  <conditionalFormatting sqref="P177:AA177 P179:AA179 P181:AA181">
    <cfRule type="expression" dxfId="8217" priority="646">
      <formula>P$1=""</formula>
    </cfRule>
  </conditionalFormatting>
  <conditionalFormatting sqref="P177:AA177 P179:AA179 P181:AA181">
    <cfRule type="expression" dxfId="8216" priority="645">
      <formula>P$1=""</formula>
    </cfRule>
  </conditionalFormatting>
  <conditionalFormatting sqref="P177:AA177 P179:AA179 P181:AA181">
    <cfRule type="expression" dxfId="8215" priority="644">
      <formula>P$1=""</formula>
    </cfRule>
  </conditionalFormatting>
  <conditionalFormatting sqref="P177:AA177 P179:AA179 P181:AA181">
    <cfRule type="expression" dxfId="8214" priority="643">
      <formula>P$1=""</formula>
    </cfRule>
  </conditionalFormatting>
  <conditionalFormatting sqref="P177:AA177 P179:AA179 P181:AA181">
    <cfRule type="expression" dxfId="8213" priority="642">
      <formula>P$1=""</formula>
    </cfRule>
  </conditionalFormatting>
  <conditionalFormatting sqref="P177:AA177 P179:AA179 P181:AA181">
    <cfRule type="expression" dxfId="8212" priority="641">
      <formula>P$1=""</formula>
    </cfRule>
  </conditionalFormatting>
  <conditionalFormatting sqref="P177:AA177 P179:AA179 P181:AA181">
    <cfRule type="expression" dxfId="8211" priority="640">
      <formula>P$1=""</formula>
    </cfRule>
  </conditionalFormatting>
  <conditionalFormatting sqref="P177:AA177 P179:AA179 P181:AA181">
    <cfRule type="expression" dxfId="8210" priority="639">
      <formula>P$1=""</formula>
    </cfRule>
  </conditionalFormatting>
  <conditionalFormatting sqref="P181:AA181 P179:AA179">
    <cfRule type="expression" dxfId="8209" priority="638">
      <formula>P$1=""</formula>
    </cfRule>
  </conditionalFormatting>
  <conditionalFormatting sqref="P181:AA181 P179:AA179">
    <cfRule type="expression" dxfId="8208" priority="637">
      <formula>P$1=""</formula>
    </cfRule>
  </conditionalFormatting>
  <conditionalFormatting sqref="Q181:AA181 Q179:AA179">
    <cfRule type="expression" dxfId="8207" priority="636">
      <formula>Q$1=""</formula>
    </cfRule>
  </conditionalFormatting>
  <conditionalFormatting sqref="Q181:AA181 Q179:AA179">
    <cfRule type="expression" dxfId="8206" priority="635">
      <formula>Q$1=""</formula>
    </cfRule>
  </conditionalFormatting>
  <conditionalFormatting sqref="Q181:AA181 Q179:AA179">
    <cfRule type="expression" dxfId="8205" priority="634">
      <formula>Q$1=""</formula>
    </cfRule>
  </conditionalFormatting>
  <conditionalFormatting sqref="Q181:AA181 Q179:AA179">
    <cfRule type="expression" dxfId="8204" priority="633">
      <formula>Q$1=""</formula>
    </cfRule>
  </conditionalFormatting>
  <conditionalFormatting sqref="Q181:AA181 Q179:AA179">
    <cfRule type="expression" dxfId="8203" priority="632">
      <formula>Q$1=""</formula>
    </cfRule>
  </conditionalFormatting>
  <conditionalFormatting sqref="Q181:AA181 Q179:AA179">
    <cfRule type="expression" dxfId="8202" priority="631">
      <formula>Q$1=""</formula>
    </cfRule>
  </conditionalFormatting>
  <conditionalFormatting sqref="Q181:AA181 Q179:AA179">
    <cfRule type="expression" dxfId="8201" priority="630">
      <formula>Q$1=""</formula>
    </cfRule>
  </conditionalFormatting>
  <conditionalFormatting sqref="Q181:AA181 Q179:AA179">
    <cfRule type="expression" dxfId="8200" priority="629">
      <formula>Q$1=""</formula>
    </cfRule>
  </conditionalFormatting>
  <conditionalFormatting sqref="P181:AA181 P179:AA179">
    <cfRule type="expression" dxfId="8199" priority="628">
      <formula>P$1=""</formula>
    </cfRule>
  </conditionalFormatting>
  <conditionalFormatting sqref="P181:AA181 P179:AA179">
    <cfRule type="expression" dxfId="8198" priority="627">
      <formula>P$1=""</formula>
    </cfRule>
  </conditionalFormatting>
  <conditionalFormatting sqref="P193:AA193">
    <cfRule type="expression" dxfId="8197" priority="603">
      <formula>P$1=""</formula>
    </cfRule>
  </conditionalFormatting>
  <conditionalFormatting sqref="P193:AA193">
    <cfRule type="expression" dxfId="8196" priority="602">
      <formula>P$1=""</formula>
    </cfRule>
  </conditionalFormatting>
  <conditionalFormatting sqref="P193:AA193">
    <cfRule type="expression" dxfId="8195" priority="601">
      <formula>P$1=""</formula>
    </cfRule>
  </conditionalFormatting>
  <conditionalFormatting sqref="P193:AA193">
    <cfRule type="expression" dxfId="8194" priority="600">
      <formula>P$1=""</formula>
    </cfRule>
  </conditionalFormatting>
  <conditionalFormatting sqref="P193:AA193">
    <cfRule type="expression" dxfId="8193" priority="599">
      <formula>P$1=""</formula>
    </cfRule>
  </conditionalFormatting>
  <conditionalFormatting sqref="P193:AA193">
    <cfRule type="expression" dxfId="8192" priority="598">
      <formula>P$1=""</formula>
    </cfRule>
  </conditionalFormatting>
  <conditionalFormatting sqref="P193:AA193">
    <cfRule type="expression" dxfId="8191" priority="597">
      <formula>P$1=""</formula>
    </cfRule>
  </conditionalFormatting>
  <conditionalFormatting sqref="P193:AA193">
    <cfRule type="expression" dxfId="8190" priority="596">
      <formula>P$1=""</formula>
    </cfRule>
  </conditionalFormatting>
  <conditionalFormatting sqref="P206:AA206">
    <cfRule type="expression" dxfId="8189" priority="595">
      <formula>P$1=""</formula>
    </cfRule>
  </conditionalFormatting>
  <conditionalFormatting sqref="P208:AA208">
    <cfRule type="expression" dxfId="8188" priority="594">
      <formula>P$1=""</formula>
    </cfRule>
  </conditionalFormatting>
  <conditionalFormatting sqref="P210:AA210">
    <cfRule type="expression" dxfId="8187" priority="593">
      <formula>P$1=""</formula>
    </cfRule>
  </conditionalFormatting>
  <conditionalFormatting sqref="P212:AA212">
    <cfRule type="expression" dxfId="8186" priority="592">
      <formula>P$1=""</formula>
    </cfRule>
  </conditionalFormatting>
  <conditionalFormatting sqref="P208:AA208 P210:AA210 P212:AA212">
    <cfRule type="expression" dxfId="8185" priority="591">
      <formula>P$1=""</formula>
    </cfRule>
  </conditionalFormatting>
  <conditionalFormatting sqref="P208:AA208 P210:AA210 P212:AA212">
    <cfRule type="expression" dxfId="8184" priority="590">
      <formula>P$1=""</formula>
    </cfRule>
  </conditionalFormatting>
  <conditionalFormatting sqref="P208:AA208 P210:AA210 P212:AA212">
    <cfRule type="expression" dxfId="8183" priority="589">
      <formula>P$1=""</formula>
    </cfRule>
  </conditionalFormatting>
  <conditionalFormatting sqref="P208:AA208 P210:AA210 P212:AA212">
    <cfRule type="expression" dxfId="8182" priority="588">
      <formula>P$1=""</formula>
    </cfRule>
  </conditionalFormatting>
  <conditionalFormatting sqref="P208:AA208 P210:AA210 P212:AA212">
    <cfRule type="expression" dxfId="8181" priority="587">
      <formula>P$1=""</formula>
    </cfRule>
  </conditionalFormatting>
  <conditionalFormatting sqref="P210:AA210 P212:AA212">
    <cfRule type="expression" dxfId="8180" priority="586">
      <formula>P$1=""</formula>
    </cfRule>
  </conditionalFormatting>
  <conditionalFormatting sqref="P208:AA208">
    <cfRule type="expression" dxfId="8179" priority="585">
      <formula>P$1=""</formula>
    </cfRule>
  </conditionalFormatting>
  <conditionalFormatting sqref="P210:AA210 P212:AA212">
    <cfRule type="expression" dxfId="8178" priority="584">
      <formula>P$1=""</formula>
    </cfRule>
  </conditionalFormatting>
  <conditionalFormatting sqref="P210:AA210 P212:AA212">
    <cfRule type="expression" dxfId="8177" priority="583">
      <formula>P$1=""</formula>
    </cfRule>
  </conditionalFormatting>
  <conditionalFormatting sqref="P212:AA212">
    <cfRule type="expression" dxfId="8176" priority="582">
      <formula>P$1=""</formula>
    </cfRule>
  </conditionalFormatting>
  <conditionalFormatting sqref="P212:AA212">
    <cfRule type="expression" dxfId="8175" priority="581">
      <formula>P$1=""</formula>
    </cfRule>
  </conditionalFormatting>
  <conditionalFormatting sqref="P212:AA212">
    <cfRule type="expression" dxfId="8174" priority="580">
      <formula>P$1=""</formula>
    </cfRule>
  </conditionalFormatting>
  <conditionalFormatting sqref="P212:AA212">
    <cfRule type="expression" dxfId="8173" priority="579">
      <formula>P$1=""</formula>
    </cfRule>
  </conditionalFormatting>
  <conditionalFormatting sqref="P206:AA206">
    <cfRule type="expression" dxfId="8172" priority="578">
      <formula>P$1=""</formula>
    </cfRule>
  </conditionalFormatting>
  <conditionalFormatting sqref="P206:AA206">
    <cfRule type="expression" dxfId="8171" priority="577">
      <formula>P$1=""</formula>
    </cfRule>
  </conditionalFormatting>
  <conditionalFormatting sqref="P206:AA206">
    <cfRule type="expression" dxfId="8170" priority="576">
      <formula>P$1=""</formula>
    </cfRule>
  </conditionalFormatting>
  <conditionalFormatting sqref="P206:AA206">
    <cfRule type="expression" dxfId="8169" priority="575">
      <formula>P$1=""</formula>
    </cfRule>
  </conditionalFormatting>
  <conditionalFormatting sqref="P206:AA206">
    <cfRule type="expression" dxfId="8168" priority="574">
      <formula>P$1=""</formula>
    </cfRule>
  </conditionalFormatting>
  <conditionalFormatting sqref="P206:AA206">
    <cfRule type="expression" dxfId="8167" priority="573">
      <formula>P$1=""</formula>
    </cfRule>
  </conditionalFormatting>
  <conditionalFormatting sqref="P206:AA206">
    <cfRule type="expression" dxfId="8166" priority="572">
      <formula>P$1=""</formula>
    </cfRule>
  </conditionalFormatting>
  <conditionalFormatting sqref="P210:AA210 P212:AA212">
    <cfRule type="expression" dxfId="8165" priority="571">
      <formula>P$1=""</formula>
    </cfRule>
  </conditionalFormatting>
  <conditionalFormatting sqref="P210:AA210 P212:AA212">
    <cfRule type="expression" dxfId="8164" priority="570">
      <formula>P$1=""</formula>
    </cfRule>
  </conditionalFormatting>
  <conditionalFormatting sqref="P210:AA210 P212:AA212">
    <cfRule type="expression" dxfId="8163" priority="569">
      <formula>P$1=""</formula>
    </cfRule>
  </conditionalFormatting>
  <conditionalFormatting sqref="P210:AA210 P212:AA212">
    <cfRule type="expression" dxfId="8162" priority="568">
      <formula>P$1=""</formula>
    </cfRule>
  </conditionalFormatting>
  <conditionalFormatting sqref="P212 P210 P208">
    <cfRule type="expression" dxfId="8161" priority="567">
      <formula>P$1=""</formula>
    </cfRule>
  </conditionalFormatting>
  <conditionalFormatting sqref="P212 P210 P208">
    <cfRule type="expression" dxfId="8160" priority="566">
      <formula>P$1=""</formula>
    </cfRule>
  </conditionalFormatting>
  <conditionalFormatting sqref="P212 P210 P208">
    <cfRule type="expression" dxfId="8159" priority="565">
      <formula>P$1=""</formula>
    </cfRule>
  </conditionalFormatting>
  <conditionalFormatting sqref="P236:AA236">
    <cfRule type="expression" dxfId="8158" priority="564">
      <formula>P$1=""</formula>
    </cfRule>
  </conditionalFormatting>
  <conditionalFormatting sqref="P238:AA238">
    <cfRule type="expression" dxfId="8157" priority="563">
      <formula>P$1=""</formula>
    </cfRule>
  </conditionalFormatting>
  <conditionalFormatting sqref="P240:AA240">
    <cfRule type="expression" dxfId="8156" priority="562">
      <formula>P$1=""</formula>
    </cfRule>
  </conditionalFormatting>
  <conditionalFormatting sqref="P242:AA242">
    <cfRule type="expression" dxfId="8155" priority="561">
      <formula>P$1=""</formula>
    </cfRule>
  </conditionalFormatting>
  <conditionalFormatting sqref="P238:AA238 P240:AA240 P242:AA242">
    <cfRule type="expression" dxfId="8154" priority="560">
      <formula>P$1=""</formula>
    </cfRule>
  </conditionalFormatting>
  <conditionalFormatting sqref="P238:AA238 P240:AA240 P242:AA242">
    <cfRule type="expression" dxfId="8153" priority="559">
      <formula>P$1=""</formula>
    </cfRule>
  </conditionalFormatting>
  <conditionalFormatting sqref="P238:AA238 P240:AA240 P242:AA242">
    <cfRule type="expression" dxfId="8152" priority="558">
      <formula>P$1=""</formula>
    </cfRule>
  </conditionalFormatting>
  <conditionalFormatting sqref="P238:AA238 P240:AA240 P242:AA242">
    <cfRule type="expression" dxfId="8151" priority="557">
      <formula>P$1=""</formula>
    </cfRule>
  </conditionalFormatting>
  <conditionalFormatting sqref="P238:AA238 P240:AA240 P242:AA242">
    <cfRule type="expression" dxfId="8150" priority="556">
      <formula>P$1=""</formula>
    </cfRule>
  </conditionalFormatting>
  <conditionalFormatting sqref="P240:AA240 P242:AA242">
    <cfRule type="expression" dxfId="8149" priority="555">
      <formula>P$1=""</formula>
    </cfRule>
  </conditionalFormatting>
  <conditionalFormatting sqref="P238:AA238">
    <cfRule type="expression" dxfId="8148" priority="554">
      <formula>P$1=""</formula>
    </cfRule>
  </conditionalFormatting>
  <conditionalFormatting sqref="P240:AA240 P242:AA242">
    <cfRule type="expression" dxfId="8147" priority="553">
      <formula>P$1=""</formula>
    </cfRule>
  </conditionalFormatting>
  <conditionalFormatting sqref="P240:AA240 P242:AA242">
    <cfRule type="expression" dxfId="8146" priority="552">
      <formula>P$1=""</formula>
    </cfRule>
  </conditionalFormatting>
  <conditionalFormatting sqref="P242:AA242">
    <cfRule type="expression" dxfId="8145" priority="551">
      <formula>P$1=""</formula>
    </cfRule>
  </conditionalFormatting>
  <conditionalFormatting sqref="P242:AA242">
    <cfRule type="expression" dxfId="8144" priority="550">
      <formula>P$1=""</formula>
    </cfRule>
  </conditionalFormatting>
  <conditionalFormatting sqref="P242:AA242">
    <cfRule type="expression" dxfId="8143" priority="549">
      <formula>P$1=""</formula>
    </cfRule>
  </conditionalFormatting>
  <conditionalFormatting sqref="P242:AA242">
    <cfRule type="expression" dxfId="8142" priority="548">
      <formula>P$1=""</formula>
    </cfRule>
  </conditionalFormatting>
  <conditionalFormatting sqref="P236:AA236">
    <cfRule type="expression" dxfId="8141" priority="547">
      <formula>P$1=""</formula>
    </cfRule>
  </conditionalFormatting>
  <conditionalFormatting sqref="P236:AA236">
    <cfRule type="expression" dxfId="8140" priority="546">
      <formula>P$1=""</formula>
    </cfRule>
  </conditionalFormatting>
  <conditionalFormatting sqref="P236:AA236">
    <cfRule type="expression" dxfId="8139" priority="545">
      <formula>P$1=""</formula>
    </cfRule>
  </conditionalFormatting>
  <conditionalFormatting sqref="P236:AA236">
    <cfRule type="expression" dxfId="8138" priority="544">
      <formula>P$1=""</formula>
    </cfRule>
  </conditionalFormatting>
  <conditionalFormatting sqref="P236:AA236">
    <cfRule type="expression" dxfId="8137" priority="543">
      <formula>P$1=""</formula>
    </cfRule>
  </conditionalFormatting>
  <conditionalFormatting sqref="P236:AA236">
    <cfRule type="expression" dxfId="8136" priority="542">
      <formula>P$1=""</formula>
    </cfRule>
  </conditionalFormatting>
  <conditionalFormatting sqref="P236:AA236">
    <cfRule type="expression" dxfId="8135" priority="541">
      <formula>P$1=""</formula>
    </cfRule>
  </conditionalFormatting>
  <conditionalFormatting sqref="P240:AA240 P242:AA242">
    <cfRule type="expression" dxfId="8134" priority="540">
      <formula>P$1=""</formula>
    </cfRule>
  </conditionalFormatting>
  <conditionalFormatting sqref="P240:AA240 P242:AA242">
    <cfRule type="expression" dxfId="8133" priority="539">
      <formula>P$1=""</formula>
    </cfRule>
  </conditionalFormatting>
  <conditionalFormatting sqref="P240:AA240 P242:AA242">
    <cfRule type="expression" dxfId="8132" priority="538">
      <formula>P$1=""</formula>
    </cfRule>
  </conditionalFormatting>
  <conditionalFormatting sqref="P240:AA240 P242:AA242">
    <cfRule type="expression" dxfId="8131" priority="537">
      <formula>P$1=""</formula>
    </cfRule>
  </conditionalFormatting>
  <conditionalFormatting sqref="P238:AA238 P240:AA240 P242:AA242">
    <cfRule type="expression" dxfId="8130" priority="536">
      <formula>P$1=""</formula>
    </cfRule>
  </conditionalFormatting>
  <conditionalFormatting sqref="P238:AA238 P240:AA240 P242:AA242">
    <cfRule type="expression" dxfId="8129" priority="535">
      <formula>P$1=""</formula>
    </cfRule>
  </conditionalFormatting>
  <conditionalFormatting sqref="P238:AA238 P240:AA240 P242:AA242">
    <cfRule type="expression" dxfId="8128" priority="534">
      <formula>P$1=""</formula>
    </cfRule>
  </conditionalFormatting>
  <conditionalFormatting sqref="P238:AA238 P240:AA240 P242:AA242">
    <cfRule type="expression" dxfId="8127" priority="533">
      <formula>P$1=""</formula>
    </cfRule>
  </conditionalFormatting>
  <conditionalFormatting sqref="P238:AA238 P240:AA240 P242:AA242">
    <cfRule type="expression" dxfId="8126" priority="532">
      <formula>P$1=""</formula>
    </cfRule>
  </conditionalFormatting>
  <conditionalFormatting sqref="P238:AA238 P240:AA240 P242:AA242">
    <cfRule type="expression" dxfId="8125" priority="531">
      <formula>P$1=""</formula>
    </cfRule>
  </conditionalFormatting>
  <conditionalFormatting sqref="P238:AA238 P240:AA240 P242:AA242">
    <cfRule type="expression" dxfId="8124" priority="530">
      <formula>P$1=""</formula>
    </cfRule>
  </conditionalFormatting>
  <conditionalFormatting sqref="P238:AA238 P240:AA240 P242:AA242">
    <cfRule type="expression" dxfId="8123" priority="529">
      <formula>P$1=""</formula>
    </cfRule>
  </conditionalFormatting>
  <conditionalFormatting sqref="Q238:AA238">
    <cfRule type="expression" dxfId="8122" priority="528">
      <formula>Q$1=""</formula>
    </cfRule>
  </conditionalFormatting>
  <conditionalFormatting sqref="Q238:AA238">
    <cfRule type="expression" dxfId="8121" priority="527">
      <formula>Q$1=""</formula>
    </cfRule>
  </conditionalFormatting>
  <conditionalFormatting sqref="Q238:AA238">
    <cfRule type="expression" dxfId="8120" priority="526">
      <formula>Q$1=""</formula>
    </cfRule>
  </conditionalFormatting>
  <conditionalFormatting sqref="Q238:AA238">
    <cfRule type="expression" dxfId="8119" priority="525">
      <formula>Q$1=""</formula>
    </cfRule>
  </conditionalFormatting>
  <conditionalFormatting sqref="Q238:AA238">
    <cfRule type="expression" dxfId="8118" priority="524">
      <formula>Q$1=""</formula>
    </cfRule>
  </conditionalFormatting>
  <conditionalFormatting sqref="Q238:AA238">
    <cfRule type="expression" dxfId="8117" priority="523">
      <formula>Q$1=""</formula>
    </cfRule>
  </conditionalFormatting>
  <conditionalFormatting sqref="Q238:AA238">
    <cfRule type="expression" dxfId="8116" priority="522">
      <formula>Q$1=""</formula>
    </cfRule>
  </conditionalFormatting>
  <conditionalFormatting sqref="Q238:AA238">
    <cfRule type="expression" dxfId="8115" priority="521">
      <formula>Q$1=""</formula>
    </cfRule>
  </conditionalFormatting>
  <conditionalFormatting sqref="Q240:AA240 Q242:AA242">
    <cfRule type="expression" dxfId="8114" priority="520">
      <formula>Q$1=""</formula>
    </cfRule>
  </conditionalFormatting>
  <conditionalFormatting sqref="Q240:AA240 Q242:AA242">
    <cfRule type="expression" dxfId="8113" priority="519">
      <formula>Q$1=""</formula>
    </cfRule>
  </conditionalFormatting>
  <conditionalFormatting sqref="Q240:AA240 Q242:AA242">
    <cfRule type="expression" dxfId="8112" priority="518">
      <formula>Q$1=""</formula>
    </cfRule>
  </conditionalFormatting>
  <conditionalFormatting sqref="Q240:AA240 Q242:AA242">
    <cfRule type="expression" dxfId="8111" priority="517">
      <formula>Q$1=""</formula>
    </cfRule>
  </conditionalFormatting>
  <conditionalFormatting sqref="Q240:AA240 Q242:AA242">
    <cfRule type="expression" dxfId="8110" priority="516">
      <formula>Q$1=""</formula>
    </cfRule>
  </conditionalFormatting>
  <conditionalFormatting sqref="Q240:AA240 Q242:AA242">
    <cfRule type="expression" dxfId="8109" priority="515">
      <formula>Q$1=""</formula>
    </cfRule>
  </conditionalFormatting>
  <conditionalFormatting sqref="Q240:AA240 Q242:AA242">
    <cfRule type="expression" dxfId="8108" priority="514">
      <formula>Q$1=""</formula>
    </cfRule>
  </conditionalFormatting>
  <conditionalFormatting sqref="Q240:AA240 Q242:AA242">
    <cfRule type="expression" dxfId="8107" priority="513">
      <formula>Q$1=""</formula>
    </cfRule>
  </conditionalFormatting>
  <conditionalFormatting sqref="Q240:AA240 Q242:AA242">
    <cfRule type="expression" dxfId="8106" priority="512">
      <formula>Q$1=""</formula>
    </cfRule>
  </conditionalFormatting>
  <conditionalFormatting sqref="Q240:AA240 Q242:AA242">
    <cfRule type="expression" dxfId="8105" priority="511">
      <formula>Q$1=""</formula>
    </cfRule>
  </conditionalFormatting>
  <conditionalFormatting sqref="P236:AA236 P240:AA240 P242:AA242">
    <cfRule type="expression" dxfId="8104" priority="510">
      <formula>P$1=""</formula>
    </cfRule>
  </conditionalFormatting>
  <conditionalFormatting sqref="P236:AA236">
    <cfRule type="expression" dxfId="8103" priority="509">
      <formula>P$1=""</formula>
    </cfRule>
  </conditionalFormatting>
  <conditionalFormatting sqref="P236:AA236">
    <cfRule type="expression" dxfId="8102" priority="508">
      <formula>P$1=""</formula>
    </cfRule>
  </conditionalFormatting>
  <conditionalFormatting sqref="P236:AA236">
    <cfRule type="expression" dxfId="8101" priority="507">
      <formula>P$1=""</formula>
    </cfRule>
  </conditionalFormatting>
  <conditionalFormatting sqref="P236:AA236">
    <cfRule type="expression" dxfId="8100" priority="506">
      <formula>P$1=""</formula>
    </cfRule>
  </conditionalFormatting>
  <conditionalFormatting sqref="P236:AA236">
    <cfRule type="expression" dxfId="8099" priority="505">
      <formula>P$1=""</formula>
    </cfRule>
  </conditionalFormatting>
  <conditionalFormatting sqref="P236:AA236 P240:AA240 P242:AA242">
    <cfRule type="expression" dxfId="8098" priority="504">
      <formula>P$1=""</formula>
    </cfRule>
  </conditionalFormatting>
  <conditionalFormatting sqref="P236:AA236">
    <cfRule type="expression" dxfId="8097" priority="503">
      <formula>P$1=""</formula>
    </cfRule>
  </conditionalFormatting>
  <conditionalFormatting sqref="P236:AA236">
    <cfRule type="expression" dxfId="8096" priority="502">
      <formula>P$1=""</formula>
    </cfRule>
  </conditionalFormatting>
  <conditionalFormatting sqref="P236:AA236">
    <cfRule type="expression" dxfId="8095" priority="501">
      <formula>P$1=""</formula>
    </cfRule>
  </conditionalFormatting>
  <conditionalFormatting sqref="P236:AA236">
    <cfRule type="expression" dxfId="8094" priority="500">
      <formula>P$1=""</formula>
    </cfRule>
  </conditionalFormatting>
  <conditionalFormatting sqref="P236:AA236">
    <cfRule type="expression" dxfId="8093" priority="499">
      <formula>P$1=""</formula>
    </cfRule>
  </conditionalFormatting>
  <conditionalFormatting sqref="P236:AA236">
    <cfRule type="expression" dxfId="8092" priority="498">
      <formula>P$1=""</formula>
    </cfRule>
  </conditionalFormatting>
  <conditionalFormatting sqref="P236:AA236">
    <cfRule type="expression" dxfId="8091" priority="497">
      <formula>P$1=""</formula>
    </cfRule>
  </conditionalFormatting>
  <conditionalFormatting sqref="P236:AA236">
    <cfRule type="expression" dxfId="8090" priority="496">
      <formula>P$1=""</formula>
    </cfRule>
  </conditionalFormatting>
  <conditionalFormatting sqref="P238:AA238 P240:AA240 P242:AA242">
    <cfRule type="expression" dxfId="8089" priority="495">
      <formula>P$1=""</formula>
    </cfRule>
  </conditionalFormatting>
  <conditionalFormatting sqref="P238:AA238 P240:AA240 P242:AA242">
    <cfRule type="expression" dxfId="8088" priority="494">
      <formula>P$1=""</formula>
    </cfRule>
  </conditionalFormatting>
  <conditionalFormatting sqref="P238:AA238 P240:AA240 P242:AA242">
    <cfRule type="expression" dxfId="8087" priority="493">
      <formula>P$1=""</formula>
    </cfRule>
  </conditionalFormatting>
  <conditionalFormatting sqref="P238:AA238 P240:AA240 P242:AA242">
    <cfRule type="expression" dxfId="8086" priority="492">
      <formula>P$1=""</formula>
    </cfRule>
  </conditionalFormatting>
  <conditionalFormatting sqref="P238:AA238 P240:AA240 P242:AA242">
    <cfRule type="expression" dxfId="8085" priority="491">
      <formula>P$1=""</formula>
    </cfRule>
  </conditionalFormatting>
  <conditionalFormatting sqref="P238:AA238 P240:AA240 P242:AA242">
    <cfRule type="expression" dxfId="8084" priority="490">
      <formula>P$1=""</formula>
    </cfRule>
  </conditionalFormatting>
  <conditionalFormatting sqref="P238:AA238 P240:AA240 P242:AA242">
    <cfRule type="expression" dxfId="8083" priority="489">
      <formula>P$1=""</formula>
    </cfRule>
  </conditionalFormatting>
  <conditionalFormatting sqref="P238:AA238 P240:AA240 P242:AA242">
    <cfRule type="expression" dxfId="8082" priority="488">
      <formula>P$1=""</formula>
    </cfRule>
  </conditionalFormatting>
  <conditionalFormatting sqref="P238:AA238">
    <cfRule type="expression" dxfId="8081" priority="487">
      <formula>P$1=""</formula>
    </cfRule>
  </conditionalFormatting>
  <conditionalFormatting sqref="P238:AA238 P240:AA240 P242:AA242">
    <cfRule type="expression" dxfId="8080" priority="486">
      <formula>P$1=""</formula>
    </cfRule>
  </conditionalFormatting>
  <conditionalFormatting sqref="P238:AA238 P240:AA240 P242:AA242">
    <cfRule type="expression" dxfId="8079" priority="485">
      <formula>P$1=""</formula>
    </cfRule>
  </conditionalFormatting>
  <conditionalFormatting sqref="P238:AA238 P240:AA240 P242:AA242">
    <cfRule type="expression" dxfId="8078" priority="484">
      <formula>P$1=""</formula>
    </cfRule>
  </conditionalFormatting>
  <conditionalFormatting sqref="P238:AA238 P240:AA240 P242:AA242">
    <cfRule type="expression" dxfId="8077" priority="483">
      <formula>P$1=""</formula>
    </cfRule>
  </conditionalFormatting>
  <conditionalFormatting sqref="P238:AA238 P240:AA240 P242:AA242">
    <cfRule type="expression" dxfId="8076" priority="482">
      <formula>P$1=""</formula>
    </cfRule>
  </conditionalFormatting>
  <conditionalFormatting sqref="P238:AA238">
    <cfRule type="expression" dxfId="8075" priority="481">
      <formula>P$1=""</formula>
    </cfRule>
  </conditionalFormatting>
  <conditionalFormatting sqref="P238:AA238 P240:AA240 P242:AA242">
    <cfRule type="expression" dxfId="8074" priority="480">
      <formula>P$1=""</formula>
    </cfRule>
  </conditionalFormatting>
  <conditionalFormatting sqref="P238:AA238 P240:AA240 P242:AA242">
    <cfRule type="expression" dxfId="8073" priority="479">
      <formula>P$1=""</formula>
    </cfRule>
  </conditionalFormatting>
  <conditionalFormatting sqref="P238:AA238 P240:AA240 P242:AA242">
    <cfRule type="expression" dxfId="8072" priority="478">
      <formula>P$1=""</formula>
    </cfRule>
  </conditionalFormatting>
  <conditionalFormatting sqref="P238:AA238 P240:AA240 P242:AA242">
    <cfRule type="expression" dxfId="8071" priority="477">
      <formula>P$1=""</formula>
    </cfRule>
  </conditionalFormatting>
  <conditionalFormatting sqref="P238:AA238 P240:AA240 P242:AA242">
    <cfRule type="expression" dxfId="8070" priority="476">
      <formula>P$1=""</formula>
    </cfRule>
  </conditionalFormatting>
  <conditionalFormatting sqref="P238:AA238 P240:AA240 P242:AA242">
    <cfRule type="expression" dxfId="8069" priority="475">
      <formula>P$1=""</formula>
    </cfRule>
  </conditionalFormatting>
  <conditionalFormatting sqref="P238:AA238 P240:AA240 P242:AA242">
    <cfRule type="expression" dxfId="8068" priority="474">
      <formula>P$1=""</formula>
    </cfRule>
  </conditionalFormatting>
  <conditionalFormatting sqref="P238:AA238 P240:AA240 P242:AA242">
    <cfRule type="expression" dxfId="8067" priority="473">
      <formula>P$1=""</formula>
    </cfRule>
  </conditionalFormatting>
  <conditionalFormatting sqref="P242:AA242 P240:AA240">
    <cfRule type="expression" dxfId="8066" priority="472">
      <formula>P$1=""</formula>
    </cfRule>
  </conditionalFormatting>
  <conditionalFormatting sqref="P242:AA242 P240:AA240">
    <cfRule type="expression" dxfId="8065" priority="471">
      <formula>P$1=""</formula>
    </cfRule>
  </conditionalFormatting>
  <conditionalFormatting sqref="Q242:AA242 Q240:AA240">
    <cfRule type="expression" dxfId="8064" priority="470">
      <formula>Q$1=""</formula>
    </cfRule>
  </conditionalFormatting>
  <conditionalFormatting sqref="Q242:AA242 Q240:AA240">
    <cfRule type="expression" dxfId="8063" priority="469">
      <formula>Q$1=""</formula>
    </cfRule>
  </conditionalFormatting>
  <conditionalFormatting sqref="Q242:AA242 Q240:AA240">
    <cfRule type="expression" dxfId="8062" priority="468">
      <formula>Q$1=""</formula>
    </cfRule>
  </conditionalFormatting>
  <conditionalFormatting sqref="Q242:AA242 Q240:AA240">
    <cfRule type="expression" dxfId="8061" priority="467">
      <formula>Q$1=""</formula>
    </cfRule>
  </conditionalFormatting>
  <conditionalFormatting sqref="Q242:AA242 Q240:AA240">
    <cfRule type="expression" dxfId="8060" priority="466">
      <formula>Q$1=""</formula>
    </cfRule>
  </conditionalFormatting>
  <conditionalFormatting sqref="Q242:AA242 Q240:AA240">
    <cfRule type="expression" dxfId="8059" priority="465">
      <formula>Q$1=""</formula>
    </cfRule>
  </conditionalFormatting>
  <conditionalFormatting sqref="Q242:AA242 Q240:AA240">
    <cfRule type="expression" dxfId="8058" priority="464">
      <formula>Q$1=""</formula>
    </cfRule>
  </conditionalFormatting>
  <conditionalFormatting sqref="Q242:AA242 Q240:AA240">
    <cfRule type="expression" dxfId="8057" priority="463">
      <formula>Q$1=""</formula>
    </cfRule>
  </conditionalFormatting>
  <conditionalFormatting sqref="P242:AA242 P240:AA240">
    <cfRule type="expression" dxfId="8056" priority="462">
      <formula>P$1=""</formula>
    </cfRule>
  </conditionalFormatting>
  <conditionalFormatting sqref="P242:AA242 P240:AA240">
    <cfRule type="expression" dxfId="8055" priority="461">
      <formula>P$1=""</formula>
    </cfRule>
  </conditionalFormatting>
  <conditionalFormatting sqref="P196:AA196">
    <cfRule type="expression" dxfId="8054" priority="460">
      <formula>P$1=""</formula>
    </cfRule>
  </conditionalFormatting>
  <conditionalFormatting sqref="P198:AA198">
    <cfRule type="expression" dxfId="8053" priority="459">
      <formula>P$1=""</formula>
    </cfRule>
  </conditionalFormatting>
  <conditionalFormatting sqref="P200:AA200">
    <cfRule type="expression" dxfId="8052" priority="458">
      <formula>P$1=""</formula>
    </cfRule>
  </conditionalFormatting>
  <conditionalFormatting sqref="P202:AA202">
    <cfRule type="expression" dxfId="8051" priority="457">
      <formula>P$1=""</formula>
    </cfRule>
  </conditionalFormatting>
  <conditionalFormatting sqref="P198:AA198 P200:AA200 P202:AA202">
    <cfRule type="expression" dxfId="8050" priority="456">
      <formula>P$1=""</formula>
    </cfRule>
  </conditionalFormatting>
  <conditionalFormatting sqref="P198:AA198 P200:AA200 P202:AA202">
    <cfRule type="expression" dxfId="8049" priority="455">
      <formula>P$1=""</formula>
    </cfRule>
  </conditionalFormatting>
  <conditionalFormatting sqref="P198:AA198 P200:AA200 P202:AA202">
    <cfRule type="expression" dxfId="8048" priority="454">
      <formula>P$1=""</formula>
    </cfRule>
  </conditionalFormatting>
  <conditionalFormatting sqref="P198:AA198 P200:AA200 P202:AA202">
    <cfRule type="expression" dxfId="8047" priority="453">
      <formula>P$1=""</formula>
    </cfRule>
  </conditionalFormatting>
  <conditionalFormatting sqref="P198:AA198 P200:AA200 P202:AA202">
    <cfRule type="expression" dxfId="8046" priority="452">
      <formula>P$1=""</formula>
    </cfRule>
  </conditionalFormatting>
  <conditionalFormatting sqref="P200:AA200 P202:AA202">
    <cfRule type="expression" dxfId="8045" priority="451">
      <formula>P$1=""</formula>
    </cfRule>
  </conditionalFormatting>
  <conditionalFormatting sqref="P198:AA198">
    <cfRule type="expression" dxfId="8044" priority="450">
      <formula>P$1=""</formula>
    </cfRule>
  </conditionalFormatting>
  <conditionalFormatting sqref="P200:AA200 P202:AA202">
    <cfRule type="expression" dxfId="8043" priority="449">
      <formula>P$1=""</formula>
    </cfRule>
  </conditionalFormatting>
  <conditionalFormatting sqref="P200:AA200 P202:AA202">
    <cfRule type="expression" dxfId="8042" priority="448">
      <formula>P$1=""</formula>
    </cfRule>
  </conditionalFormatting>
  <conditionalFormatting sqref="P202:AA202">
    <cfRule type="expression" dxfId="8041" priority="447">
      <formula>P$1=""</formula>
    </cfRule>
  </conditionalFormatting>
  <conditionalFormatting sqref="P202:AA202">
    <cfRule type="expression" dxfId="8040" priority="446">
      <formula>P$1=""</formula>
    </cfRule>
  </conditionalFormatting>
  <conditionalFormatting sqref="P202:AA202">
    <cfRule type="expression" dxfId="8039" priority="445">
      <formula>P$1=""</formula>
    </cfRule>
  </conditionalFormatting>
  <conditionalFormatting sqref="P202:AA202">
    <cfRule type="expression" dxfId="8038" priority="444">
      <formula>P$1=""</formula>
    </cfRule>
  </conditionalFormatting>
  <conditionalFormatting sqref="P196:AA196">
    <cfRule type="expression" dxfId="8037" priority="443">
      <formula>P$1=""</formula>
    </cfRule>
  </conditionalFormatting>
  <conditionalFormatting sqref="P196:AA196">
    <cfRule type="expression" dxfId="8036" priority="442">
      <formula>P$1=""</formula>
    </cfRule>
  </conditionalFormatting>
  <conditionalFormatting sqref="P196:AA196">
    <cfRule type="expression" dxfId="8035" priority="441">
      <formula>P$1=""</formula>
    </cfRule>
  </conditionalFormatting>
  <conditionalFormatting sqref="P196:AA196">
    <cfRule type="expression" dxfId="8034" priority="440">
      <formula>P$1=""</formula>
    </cfRule>
  </conditionalFormatting>
  <conditionalFormatting sqref="P196:AA196">
    <cfRule type="expression" dxfId="8033" priority="439">
      <formula>P$1=""</formula>
    </cfRule>
  </conditionalFormatting>
  <conditionalFormatting sqref="P196:AA196">
    <cfRule type="expression" dxfId="8032" priority="438">
      <formula>P$1=""</formula>
    </cfRule>
  </conditionalFormatting>
  <conditionalFormatting sqref="P196:AA196">
    <cfRule type="expression" dxfId="8031" priority="437">
      <formula>P$1=""</formula>
    </cfRule>
  </conditionalFormatting>
  <conditionalFormatting sqref="P200:AA200 P202:AA202">
    <cfRule type="expression" dxfId="8030" priority="436">
      <formula>P$1=""</formula>
    </cfRule>
  </conditionalFormatting>
  <conditionalFormatting sqref="P200:AA200 P202:AA202">
    <cfRule type="expression" dxfId="8029" priority="435">
      <formula>P$1=""</formula>
    </cfRule>
  </conditionalFormatting>
  <conditionalFormatting sqref="P200:AA200 P202:AA202">
    <cfRule type="expression" dxfId="8028" priority="434">
      <formula>P$1=""</formula>
    </cfRule>
  </conditionalFormatting>
  <conditionalFormatting sqref="P200:AA200 P202:AA202">
    <cfRule type="expression" dxfId="8027" priority="433">
      <formula>P$1=""</formula>
    </cfRule>
  </conditionalFormatting>
  <conditionalFormatting sqref="P198:AA198 P200:AA200 P202:AA202">
    <cfRule type="expression" dxfId="8026" priority="432">
      <formula>P$1=""</formula>
    </cfRule>
  </conditionalFormatting>
  <conditionalFormatting sqref="P198:AA198 P200:AA200 P202:AA202">
    <cfRule type="expression" dxfId="8025" priority="431">
      <formula>P$1=""</formula>
    </cfRule>
  </conditionalFormatting>
  <conditionalFormatting sqref="P198:AA198 P200:AA200 P202:AA202">
    <cfRule type="expression" dxfId="8024" priority="430">
      <formula>P$1=""</formula>
    </cfRule>
  </conditionalFormatting>
  <conditionalFormatting sqref="P198:AA198 P200:AA200 P202:AA202">
    <cfRule type="expression" dxfId="8023" priority="429">
      <formula>P$1=""</formula>
    </cfRule>
  </conditionalFormatting>
  <conditionalFormatting sqref="P198:AA198 P200:AA200 P202:AA202">
    <cfRule type="expression" dxfId="8022" priority="428">
      <formula>P$1=""</formula>
    </cfRule>
  </conditionalFormatting>
  <conditionalFormatting sqref="P198:AA198 P200:AA200 P202:AA202">
    <cfRule type="expression" dxfId="8021" priority="427">
      <formula>P$1=""</formula>
    </cfRule>
  </conditionalFormatting>
  <conditionalFormatting sqref="P198:AA198 P200:AA200 P202:AA202">
    <cfRule type="expression" dxfId="8020" priority="426">
      <formula>P$1=""</formula>
    </cfRule>
  </conditionalFormatting>
  <conditionalFormatting sqref="P198:AA198 P200:AA200 P202:AA202">
    <cfRule type="expression" dxfId="8019" priority="425">
      <formula>P$1=""</formula>
    </cfRule>
  </conditionalFormatting>
  <conditionalFormatting sqref="Q198:AA198">
    <cfRule type="expression" dxfId="8018" priority="424">
      <formula>Q$1=""</formula>
    </cfRule>
  </conditionalFormatting>
  <conditionalFormatting sqref="Q198:AA198">
    <cfRule type="expression" dxfId="8017" priority="423">
      <formula>Q$1=""</formula>
    </cfRule>
  </conditionalFormatting>
  <conditionalFormatting sqref="Q198:AA198">
    <cfRule type="expression" dxfId="8016" priority="422">
      <formula>Q$1=""</formula>
    </cfRule>
  </conditionalFormatting>
  <conditionalFormatting sqref="Q198:AA198">
    <cfRule type="expression" dxfId="8015" priority="421">
      <formula>Q$1=""</formula>
    </cfRule>
  </conditionalFormatting>
  <conditionalFormatting sqref="Q198:AA198">
    <cfRule type="expression" dxfId="8014" priority="420">
      <formula>Q$1=""</formula>
    </cfRule>
  </conditionalFormatting>
  <conditionalFormatting sqref="Q198:AA198">
    <cfRule type="expression" dxfId="8013" priority="419">
      <formula>Q$1=""</formula>
    </cfRule>
  </conditionalFormatting>
  <conditionalFormatting sqref="Q198:AA198">
    <cfRule type="expression" dxfId="8012" priority="418">
      <formula>Q$1=""</formula>
    </cfRule>
  </conditionalFormatting>
  <conditionalFormatting sqref="Q198:AA198">
    <cfRule type="expression" dxfId="8011" priority="417">
      <formula>Q$1=""</formula>
    </cfRule>
  </conditionalFormatting>
  <conditionalFormatting sqref="Q200:AA200 Q202:AA202">
    <cfRule type="expression" dxfId="8010" priority="416">
      <formula>Q$1=""</formula>
    </cfRule>
  </conditionalFormatting>
  <conditionalFormatting sqref="Q200:AA200 Q202:AA202">
    <cfRule type="expression" dxfId="8009" priority="415">
      <formula>Q$1=""</formula>
    </cfRule>
  </conditionalFormatting>
  <conditionalFormatting sqref="Q200:AA200 Q202:AA202">
    <cfRule type="expression" dxfId="8008" priority="414">
      <formula>Q$1=""</formula>
    </cfRule>
  </conditionalFormatting>
  <conditionalFormatting sqref="Q200:AA200 Q202:AA202">
    <cfRule type="expression" dxfId="8007" priority="413">
      <formula>Q$1=""</formula>
    </cfRule>
  </conditionalFormatting>
  <conditionalFormatting sqref="Q200:AA200 Q202:AA202">
    <cfRule type="expression" dxfId="8006" priority="412">
      <formula>Q$1=""</formula>
    </cfRule>
  </conditionalFormatting>
  <conditionalFormatting sqref="Q200:AA200 Q202:AA202">
    <cfRule type="expression" dxfId="8005" priority="411">
      <formula>Q$1=""</formula>
    </cfRule>
  </conditionalFormatting>
  <conditionalFormatting sqref="Q200:AA200 Q202:AA202">
    <cfRule type="expression" dxfId="8004" priority="410">
      <formula>Q$1=""</formula>
    </cfRule>
  </conditionalFormatting>
  <conditionalFormatting sqref="Q200:AA200 Q202:AA202">
    <cfRule type="expression" dxfId="8003" priority="409">
      <formula>Q$1=""</formula>
    </cfRule>
  </conditionalFormatting>
  <conditionalFormatting sqref="Q200:AA200 Q202:AA202">
    <cfRule type="expression" dxfId="8002" priority="408">
      <formula>Q$1=""</formula>
    </cfRule>
  </conditionalFormatting>
  <conditionalFormatting sqref="Q200:AA200 Q202:AA202">
    <cfRule type="expression" dxfId="8001" priority="407">
      <formula>Q$1=""</formula>
    </cfRule>
  </conditionalFormatting>
  <conditionalFormatting sqref="P196:AA196 P200:AA200 P202:AA202">
    <cfRule type="expression" dxfId="8000" priority="406">
      <formula>P$1=""</formula>
    </cfRule>
  </conditionalFormatting>
  <conditionalFormatting sqref="P196:AA196">
    <cfRule type="expression" dxfId="7999" priority="405">
      <formula>P$1=""</formula>
    </cfRule>
  </conditionalFormatting>
  <conditionalFormatting sqref="P196:AA196">
    <cfRule type="expression" dxfId="7998" priority="404">
      <formula>P$1=""</formula>
    </cfRule>
  </conditionalFormatting>
  <conditionalFormatting sqref="P196:AA196">
    <cfRule type="expression" dxfId="7997" priority="403">
      <formula>P$1=""</formula>
    </cfRule>
  </conditionalFormatting>
  <conditionalFormatting sqref="P196:AA196">
    <cfRule type="expression" dxfId="7996" priority="402">
      <formula>P$1=""</formula>
    </cfRule>
  </conditionalFormatting>
  <conditionalFormatting sqref="P196:AA196">
    <cfRule type="expression" dxfId="7995" priority="401">
      <formula>P$1=""</formula>
    </cfRule>
  </conditionalFormatting>
  <conditionalFormatting sqref="P196:AA196 P200:AA200 P202:AA202">
    <cfRule type="expression" dxfId="7994" priority="400">
      <formula>P$1=""</formula>
    </cfRule>
  </conditionalFormatting>
  <conditionalFormatting sqref="P196:AA196">
    <cfRule type="expression" dxfId="7993" priority="399">
      <formula>P$1=""</formula>
    </cfRule>
  </conditionalFormatting>
  <conditionalFormatting sqref="P196:AA196">
    <cfRule type="expression" dxfId="7992" priority="398">
      <formula>P$1=""</formula>
    </cfRule>
  </conditionalFormatting>
  <conditionalFormatting sqref="P196:AA196">
    <cfRule type="expression" dxfId="7991" priority="397">
      <formula>P$1=""</formula>
    </cfRule>
  </conditionalFormatting>
  <conditionalFormatting sqref="P196:AA196">
    <cfRule type="expression" dxfId="7990" priority="396">
      <formula>P$1=""</formula>
    </cfRule>
  </conditionalFormatting>
  <conditionalFormatting sqref="P196:AA196">
    <cfRule type="expression" dxfId="7989" priority="395">
      <formula>P$1=""</formula>
    </cfRule>
  </conditionalFormatting>
  <conditionalFormatting sqref="P196:AA196">
    <cfRule type="expression" dxfId="7988" priority="394">
      <formula>P$1=""</formula>
    </cfRule>
  </conditionalFormatting>
  <conditionalFormatting sqref="P196:AA196">
    <cfRule type="expression" dxfId="7987" priority="393">
      <formula>P$1=""</formula>
    </cfRule>
  </conditionalFormatting>
  <conditionalFormatting sqref="P196:AA196">
    <cfRule type="expression" dxfId="7986" priority="392">
      <formula>P$1=""</formula>
    </cfRule>
  </conditionalFormatting>
  <conditionalFormatting sqref="P198:AA198 P200:AA200 P202:AA202">
    <cfRule type="expression" dxfId="7985" priority="391">
      <formula>P$1=""</formula>
    </cfRule>
  </conditionalFormatting>
  <conditionalFormatting sqref="P198:AA198 P200:AA200 P202:AA202">
    <cfRule type="expression" dxfId="7984" priority="390">
      <formula>P$1=""</formula>
    </cfRule>
  </conditionalFormatting>
  <conditionalFormatting sqref="P198:AA198 P200:AA200 P202:AA202">
    <cfRule type="expression" dxfId="7983" priority="389">
      <formula>P$1=""</formula>
    </cfRule>
  </conditionalFormatting>
  <conditionalFormatting sqref="P198:AA198 P200:AA200 P202:AA202">
    <cfRule type="expression" dxfId="7982" priority="388">
      <formula>P$1=""</formula>
    </cfRule>
  </conditionalFormatting>
  <conditionalFormatting sqref="P198:AA198 P200:AA200 P202:AA202">
    <cfRule type="expression" dxfId="7981" priority="387">
      <formula>P$1=""</formula>
    </cfRule>
  </conditionalFormatting>
  <conditionalFormatting sqref="P198:AA198 P200:AA200 P202:AA202">
    <cfRule type="expression" dxfId="7980" priority="386">
      <formula>P$1=""</formula>
    </cfRule>
  </conditionalFormatting>
  <conditionalFormatting sqref="P198:AA198 P200:AA200 P202:AA202">
    <cfRule type="expression" dxfId="7979" priority="385">
      <formula>P$1=""</formula>
    </cfRule>
  </conditionalFormatting>
  <conditionalFormatting sqref="P198:AA198 P200:AA200 P202:AA202">
    <cfRule type="expression" dxfId="7978" priority="384">
      <formula>P$1=""</formula>
    </cfRule>
  </conditionalFormatting>
  <conditionalFormatting sqref="P198:AA198">
    <cfRule type="expression" dxfId="7977" priority="383">
      <formula>P$1=""</formula>
    </cfRule>
  </conditionalFormatting>
  <conditionalFormatting sqref="P198:AA198 P200:AA200 P202:AA202">
    <cfRule type="expression" dxfId="7976" priority="382">
      <formula>P$1=""</formula>
    </cfRule>
  </conditionalFormatting>
  <conditionalFormatting sqref="P198:AA198 P200:AA200 P202:AA202">
    <cfRule type="expression" dxfId="7975" priority="381">
      <formula>P$1=""</formula>
    </cfRule>
  </conditionalFormatting>
  <conditionalFormatting sqref="P198:AA198 P200:AA200 P202:AA202">
    <cfRule type="expression" dxfId="7974" priority="380">
      <formula>P$1=""</formula>
    </cfRule>
  </conditionalFormatting>
  <conditionalFormatting sqref="P198:AA198 P200:AA200 P202:AA202">
    <cfRule type="expression" dxfId="7973" priority="379">
      <formula>P$1=""</formula>
    </cfRule>
  </conditionalFormatting>
  <conditionalFormatting sqref="P198:AA198 P200:AA200 P202:AA202">
    <cfRule type="expression" dxfId="7972" priority="378">
      <formula>P$1=""</formula>
    </cfRule>
  </conditionalFormatting>
  <conditionalFormatting sqref="P198:AA198">
    <cfRule type="expression" dxfId="7971" priority="377">
      <formula>P$1=""</formula>
    </cfRule>
  </conditionalFormatting>
  <conditionalFormatting sqref="P198:AA198 P200:AA200 P202:AA202">
    <cfRule type="expression" dxfId="7970" priority="376">
      <formula>P$1=""</formula>
    </cfRule>
  </conditionalFormatting>
  <conditionalFormatting sqref="P198:AA198 P200:AA200 P202:AA202">
    <cfRule type="expression" dxfId="7969" priority="375">
      <formula>P$1=""</formula>
    </cfRule>
  </conditionalFormatting>
  <conditionalFormatting sqref="P198:AA198 P200:AA200 P202:AA202">
    <cfRule type="expression" dxfId="7968" priority="374">
      <formula>P$1=""</formula>
    </cfRule>
  </conditionalFormatting>
  <conditionalFormatting sqref="P198:AA198 P200:AA200 P202:AA202">
    <cfRule type="expression" dxfId="7967" priority="373">
      <formula>P$1=""</formula>
    </cfRule>
  </conditionalFormatting>
  <conditionalFormatting sqref="P198:AA198 P200:AA200 P202:AA202">
    <cfRule type="expression" dxfId="7966" priority="372">
      <formula>P$1=""</formula>
    </cfRule>
  </conditionalFormatting>
  <conditionalFormatting sqref="P198:AA198 P200:AA200 P202:AA202">
    <cfRule type="expression" dxfId="7965" priority="371">
      <formula>P$1=""</formula>
    </cfRule>
  </conditionalFormatting>
  <conditionalFormatting sqref="P198:AA198 P200:AA200 P202:AA202">
    <cfRule type="expression" dxfId="7964" priority="370">
      <formula>P$1=""</formula>
    </cfRule>
  </conditionalFormatting>
  <conditionalFormatting sqref="P198:AA198 P200:AA200 P202:AA202">
    <cfRule type="expression" dxfId="7963" priority="369">
      <formula>P$1=""</formula>
    </cfRule>
  </conditionalFormatting>
  <conditionalFormatting sqref="P202:AA202 P200:AA200">
    <cfRule type="expression" dxfId="7962" priority="368">
      <formula>P$1=""</formula>
    </cfRule>
  </conditionalFormatting>
  <conditionalFormatting sqref="P202:AA202 P200:AA200">
    <cfRule type="expression" dxfId="7961" priority="367">
      <formula>P$1=""</formula>
    </cfRule>
  </conditionalFormatting>
  <conditionalFormatting sqref="Q202:AA202 Q200:AA200">
    <cfRule type="expression" dxfId="7960" priority="366">
      <formula>Q$1=""</formula>
    </cfRule>
  </conditionalFormatting>
  <conditionalFormatting sqref="Q202:AA202 Q200:AA200">
    <cfRule type="expression" dxfId="7959" priority="365">
      <formula>Q$1=""</formula>
    </cfRule>
  </conditionalFormatting>
  <conditionalFormatting sqref="Q202:AA202 Q200:AA200">
    <cfRule type="expression" dxfId="7958" priority="364">
      <formula>Q$1=""</formula>
    </cfRule>
  </conditionalFormatting>
  <conditionalFormatting sqref="Q202:AA202 Q200:AA200">
    <cfRule type="expression" dxfId="7957" priority="363">
      <formula>Q$1=""</formula>
    </cfRule>
  </conditionalFormatting>
  <conditionalFormatting sqref="Q202:AA202 Q200:AA200">
    <cfRule type="expression" dxfId="7956" priority="362">
      <formula>Q$1=""</formula>
    </cfRule>
  </conditionalFormatting>
  <conditionalFormatting sqref="Q202:AA202 Q200:AA200">
    <cfRule type="expression" dxfId="7955" priority="361">
      <formula>Q$1=""</formula>
    </cfRule>
  </conditionalFormatting>
  <conditionalFormatting sqref="Q202:AA202 Q200:AA200">
    <cfRule type="expression" dxfId="7954" priority="360">
      <formula>Q$1=""</formula>
    </cfRule>
  </conditionalFormatting>
  <conditionalFormatting sqref="Q202:AA202 Q200:AA200">
    <cfRule type="expression" dxfId="7953" priority="359">
      <formula>Q$1=""</formula>
    </cfRule>
  </conditionalFormatting>
  <conditionalFormatting sqref="P202:AA202 P200:AA200">
    <cfRule type="expression" dxfId="7952" priority="358">
      <formula>P$1=""</formula>
    </cfRule>
  </conditionalFormatting>
  <conditionalFormatting sqref="P202:AA202 P200:AA200">
    <cfRule type="expression" dxfId="7951" priority="357">
      <formula>P$1=""</formula>
    </cfRule>
  </conditionalFormatting>
  <conditionalFormatting sqref="P202:AA202 P200:AA200 P198:AA198">
    <cfRule type="expression" dxfId="7950" priority="356">
      <formula>P$1=""</formula>
    </cfRule>
  </conditionalFormatting>
  <conditionalFormatting sqref="P202:AA202 P200:AA200 P198:AA198">
    <cfRule type="expression" dxfId="7949" priority="355">
      <formula>P$1=""</formula>
    </cfRule>
  </conditionalFormatting>
  <conditionalFormatting sqref="P202:AA202 P200:AA200 P198:AA198">
    <cfRule type="expression" dxfId="7948" priority="354">
      <formula>P$1=""</formula>
    </cfRule>
  </conditionalFormatting>
  <conditionalFormatting sqref="P202:AA202 P200:AA200 P198:AA198">
    <cfRule type="expression" dxfId="7947" priority="353">
      <formula>P$1=""</formula>
    </cfRule>
  </conditionalFormatting>
  <conditionalFormatting sqref="P202:AA202 P200:AA200 P198:AA198">
    <cfRule type="expression" dxfId="7946" priority="352">
      <formula>P$1=""</formula>
    </cfRule>
  </conditionalFormatting>
  <conditionalFormatting sqref="P202:AA202 P200:AA200 P198:AA198">
    <cfRule type="expression" dxfId="7945" priority="351">
      <formula>P$1=""</formula>
    </cfRule>
  </conditionalFormatting>
  <conditionalFormatting sqref="P202:AA202 P200:AA200 P198:AA198">
    <cfRule type="expression" dxfId="7944" priority="350">
      <formula>P$1=""</formula>
    </cfRule>
  </conditionalFormatting>
  <conditionalFormatting sqref="P202:AA202 P200:AA200 P198:AA198">
    <cfRule type="expression" dxfId="7943" priority="349">
      <formula>P$1=""</formula>
    </cfRule>
  </conditionalFormatting>
  <conditionalFormatting sqref="P198:AA198">
    <cfRule type="expression" dxfId="7942" priority="348">
      <formula>P$1=""</formula>
    </cfRule>
  </conditionalFormatting>
  <conditionalFormatting sqref="P202:AA202 P200:AA200 P198:AA198">
    <cfRule type="expression" dxfId="7941" priority="347">
      <formula>P$1=""</formula>
    </cfRule>
  </conditionalFormatting>
  <conditionalFormatting sqref="P202:AA202 P200:AA200 P198:AA198">
    <cfRule type="expression" dxfId="7940" priority="346">
      <formula>P$1=""</formula>
    </cfRule>
  </conditionalFormatting>
  <conditionalFormatting sqref="P202:AA202 P200:AA200 P198:AA198">
    <cfRule type="expression" dxfId="7939" priority="345">
      <formula>P$1=""</formula>
    </cfRule>
  </conditionalFormatting>
  <conditionalFormatting sqref="P202:AA202 P200:AA200 P198:AA198">
    <cfRule type="expression" dxfId="7938" priority="344">
      <formula>P$1=""</formula>
    </cfRule>
  </conditionalFormatting>
  <conditionalFormatting sqref="P202:AA202 P200:AA200 P198:AA198">
    <cfRule type="expression" dxfId="7937" priority="343">
      <formula>P$1=""</formula>
    </cfRule>
  </conditionalFormatting>
  <conditionalFormatting sqref="P198:AA198">
    <cfRule type="expression" dxfId="7936" priority="342">
      <formula>P$1=""</formula>
    </cfRule>
  </conditionalFormatting>
  <conditionalFormatting sqref="P202:AA202 P200:AA200 P198:AA198">
    <cfRule type="expression" dxfId="7935" priority="341">
      <formula>P$1=""</formula>
    </cfRule>
  </conditionalFormatting>
  <conditionalFormatting sqref="P202:AA202 P200:AA200 P198:AA198">
    <cfRule type="expression" dxfId="7934" priority="340">
      <formula>P$1=""</formula>
    </cfRule>
  </conditionalFormatting>
  <conditionalFormatting sqref="P202:AA202 P200:AA200 P198:AA198">
    <cfRule type="expression" dxfId="7933" priority="339">
      <formula>P$1=""</formula>
    </cfRule>
  </conditionalFormatting>
  <conditionalFormatting sqref="P202:AA202 P200:AA200 P198:AA198">
    <cfRule type="expression" dxfId="7932" priority="338">
      <formula>P$1=""</formula>
    </cfRule>
  </conditionalFormatting>
  <conditionalFormatting sqref="P202:AA202 P200:AA200 P198:AA198">
    <cfRule type="expression" dxfId="7931" priority="337">
      <formula>P$1=""</formula>
    </cfRule>
  </conditionalFormatting>
  <conditionalFormatting sqref="P202:AA202 P200:AA200 P198:AA198">
    <cfRule type="expression" dxfId="7930" priority="336">
      <formula>P$1=""</formula>
    </cfRule>
  </conditionalFormatting>
  <conditionalFormatting sqref="P202:AA202 P200:AA200 P198:AA198">
    <cfRule type="expression" dxfId="7929" priority="335">
      <formula>P$1=""</formula>
    </cfRule>
  </conditionalFormatting>
  <conditionalFormatting sqref="P202:AA202 P200:AA200 P198:AA198">
    <cfRule type="expression" dxfId="7928" priority="334">
      <formula>P$1=""</formula>
    </cfRule>
  </conditionalFormatting>
  <conditionalFormatting sqref="P216:AA216">
    <cfRule type="expression" dxfId="7927" priority="333">
      <formula>P$1=""</formula>
    </cfRule>
  </conditionalFormatting>
  <conditionalFormatting sqref="P218:AA218">
    <cfRule type="expression" dxfId="7926" priority="332">
      <formula>P$1=""</formula>
    </cfRule>
  </conditionalFormatting>
  <conditionalFormatting sqref="P220:AA220">
    <cfRule type="expression" dxfId="7925" priority="331">
      <formula>P$1=""</formula>
    </cfRule>
  </conditionalFormatting>
  <conditionalFormatting sqref="P222:AA222">
    <cfRule type="expression" dxfId="7924" priority="330">
      <formula>P$1=""</formula>
    </cfRule>
  </conditionalFormatting>
  <conditionalFormatting sqref="P218:AA218 P220:AA220 P222:AA222">
    <cfRule type="expression" dxfId="7923" priority="329">
      <formula>P$1=""</formula>
    </cfRule>
  </conditionalFormatting>
  <conditionalFormatting sqref="P218:AA218 P220:AA220 P222:AA222">
    <cfRule type="expression" dxfId="7922" priority="328">
      <formula>P$1=""</formula>
    </cfRule>
  </conditionalFormatting>
  <conditionalFormatting sqref="P218:AA218 P220:AA220 P222:AA222">
    <cfRule type="expression" dxfId="7921" priority="327">
      <formula>P$1=""</formula>
    </cfRule>
  </conditionalFormatting>
  <conditionalFormatting sqref="P218:AA218 P220:AA220 P222:AA222">
    <cfRule type="expression" dxfId="7920" priority="326">
      <formula>P$1=""</formula>
    </cfRule>
  </conditionalFormatting>
  <conditionalFormatting sqref="P218:AA218 P220:AA220 P222:AA222">
    <cfRule type="expression" dxfId="7919" priority="325">
      <formula>P$1=""</formula>
    </cfRule>
  </conditionalFormatting>
  <conditionalFormatting sqref="P220:AA220 P222:AA222">
    <cfRule type="expression" dxfId="7918" priority="324">
      <formula>P$1=""</formula>
    </cfRule>
  </conditionalFormatting>
  <conditionalFormatting sqref="P218:AA218">
    <cfRule type="expression" dxfId="7917" priority="323">
      <formula>P$1=""</formula>
    </cfRule>
  </conditionalFormatting>
  <conditionalFormatting sqref="P220:AA220 P222:AA222">
    <cfRule type="expression" dxfId="7916" priority="322">
      <formula>P$1=""</formula>
    </cfRule>
  </conditionalFormatting>
  <conditionalFormatting sqref="P220:AA220 P222:AA222">
    <cfRule type="expression" dxfId="7915" priority="321">
      <formula>P$1=""</formula>
    </cfRule>
  </conditionalFormatting>
  <conditionalFormatting sqref="P222:AA222">
    <cfRule type="expression" dxfId="7914" priority="320">
      <formula>P$1=""</formula>
    </cfRule>
  </conditionalFormatting>
  <conditionalFormatting sqref="P222:AA222">
    <cfRule type="expression" dxfId="7913" priority="319">
      <formula>P$1=""</formula>
    </cfRule>
  </conditionalFormatting>
  <conditionalFormatting sqref="P222:AA222">
    <cfRule type="expression" dxfId="7912" priority="318">
      <formula>P$1=""</formula>
    </cfRule>
  </conditionalFormatting>
  <conditionalFormatting sqref="P222:AA222">
    <cfRule type="expression" dxfId="7911" priority="317">
      <formula>P$1=""</formula>
    </cfRule>
  </conditionalFormatting>
  <conditionalFormatting sqref="P216:AA216">
    <cfRule type="expression" dxfId="7910" priority="316">
      <formula>P$1=""</formula>
    </cfRule>
  </conditionalFormatting>
  <conditionalFormatting sqref="P216:AA216">
    <cfRule type="expression" dxfId="7909" priority="315">
      <formula>P$1=""</formula>
    </cfRule>
  </conditionalFormatting>
  <conditionalFormatting sqref="P216:AA216">
    <cfRule type="expression" dxfId="7908" priority="314">
      <formula>P$1=""</formula>
    </cfRule>
  </conditionalFormatting>
  <conditionalFormatting sqref="P216:AA216">
    <cfRule type="expression" dxfId="7907" priority="313">
      <formula>P$1=""</formula>
    </cfRule>
  </conditionalFormatting>
  <conditionalFormatting sqref="P216:AA216">
    <cfRule type="expression" dxfId="7906" priority="312">
      <formula>P$1=""</formula>
    </cfRule>
  </conditionalFormatting>
  <conditionalFormatting sqref="P216:AA216">
    <cfRule type="expression" dxfId="7905" priority="311">
      <formula>P$1=""</formula>
    </cfRule>
  </conditionalFormatting>
  <conditionalFormatting sqref="P216:AA216">
    <cfRule type="expression" dxfId="7904" priority="310">
      <formula>P$1=""</formula>
    </cfRule>
  </conditionalFormatting>
  <conditionalFormatting sqref="P220:AA220 P222:AA222">
    <cfRule type="expression" dxfId="7903" priority="309">
      <formula>P$1=""</formula>
    </cfRule>
  </conditionalFormatting>
  <conditionalFormatting sqref="P220:AA220 P222:AA222">
    <cfRule type="expression" dxfId="7902" priority="308">
      <formula>P$1=""</formula>
    </cfRule>
  </conditionalFormatting>
  <conditionalFormatting sqref="P220:AA220 P222:AA222">
    <cfRule type="expression" dxfId="7901" priority="307">
      <formula>P$1=""</formula>
    </cfRule>
  </conditionalFormatting>
  <conditionalFormatting sqref="P220:AA220 P222:AA222">
    <cfRule type="expression" dxfId="7900" priority="306">
      <formula>P$1=""</formula>
    </cfRule>
  </conditionalFormatting>
  <conditionalFormatting sqref="P222 P220 P218">
    <cfRule type="expression" dxfId="7899" priority="305">
      <formula>P$1=""</formula>
    </cfRule>
  </conditionalFormatting>
  <conditionalFormatting sqref="P222 P220 P218">
    <cfRule type="expression" dxfId="7898" priority="304">
      <formula>P$1=""</formula>
    </cfRule>
  </conditionalFormatting>
  <conditionalFormatting sqref="P222 P220 P218">
    <cfRule type="expression" dxfId="7897" priority="303">
      <formula>P$1=""</formula>
    </cfRule>
  </conditionalFormatting>
  <conditionalFormatting sqref="P226:AA226">
    <cfRule type="expression" dxfId="7896" priority="302">
      <formula>P$1=""</formula>
    </cfRule>
  </conditionalFormatting>
  <conditionalFormatting sqref="P228:AA228">
    <cfRule type="expression" dxfId="7895" priority="301">
      <formula>P$1=""</formula>
    </cfRule>
  </conditionalFormatting>
  <conditionalFormatting sqref="P230:AA230">
    <cfRule type="expression" dxfId="7894" priority="300">
      <formula>P$1=""</formula>
    </cfRule>
  </conditionalFormatting>
  <conditionalFormatting sqref="P232:AA232">
    <cfRule type="expression" dxfId="7893" priority="299">
      <formula>P$1=""</formula>
    </cfRule>
  </conditionalFormatting>
  <conditionalFormatting sqref="P228:AA228 P230:AA230 P232:AA232">
    <cfRule type="expression" dxfId="7892" priority="298">
      <formula>P$1=""</formula>
    </cfRule>
  </conditionalFormatting>
  <conditionalFormatting sqref="P228:AA228 P230:AA230 P232:AA232">
    <cfRule type="expression" dxfId="7891" priority="297">
      <formula>P$1=""</formula>
    </cfRule>
  </conditionalFormatting>
  <conditionalFormatting sqref="P228:AA228 P230:AA230 P232:AA232">
    <cfRule type="expression" dxfId="7890" priority="296">
      <formula>P$1=""</formula>
    </cfRule>
  </conditionalFormatting>
  <conditionalFormatting sqref="P228:AA228 P230:AA230 P232:AA232">
    <cfRule type="expression" dxfId="7889" priority="295">
      <formula>P$1=""</formula>
    </cfRule>
  </conditionalFormatting>
  <conditionalFormatting sqref="P228:AA228 P230:AA230 P232:AA232">
    <cfRule type="expression" dxfId="7888" priority="294">
      <formula>P$1=""</formula>
    </cfRule>
  </conditionalFormatting>
  <conditionalFormatting sqref="P230:AA230 P232:AA232">
    <cfRule type="expression" dxfId="7887" priority="293">
      <formula>P$1=""</formula>
    </cfRule>
  </conditionalFormatting>
  <conditionalFormatting sqref="P228:AA228">
    <cfRule type="expression" dxfId="7886" priority="292">
      <formula>P$1=""</formula>
    </cfRule>
  </conditionalFormatting>
  <conditionalFormatting sqref="P230:AA230 P232:AA232">
    <cfRule type="expression" dxfId="7885" priority="291">
      <formula>P$1=""</formula>
    </cfRule>
  </conditionalFormatting>
  <conditionalFormatting sqref="P230:AA230 P232:AA232">
    <cfRule type="expression" dxfId="7884" priority="290">
      <formula>P$1=""</formula>
    </cfRule>
  </conditionalFormatting>
  <conditionalFormatting sqref="P232:AA232">
    <cfRule type="expression" dxfId="7883" priority="289">
      <formula>P$1=""</formula>
    </cfRule>
  </conditionalFormatting>
  <conditionalFormatting sqref="P232:AA232">
    <cfRule type="expression" dxfId="7882" priority="288">
      <formula>P$1=""</formula>
    </cfRule>
  </conditionalFormatting>
  <conditionalFormatting sqref="P232:AA232">
    <cfRule type="expression" dxfId="7881" priority="287">
      <formula>P$1=""</formula>
    </cfRule>
  </conditionalFormatting>
  <conditionalFormatting sqref="P232:AA232">
    <cfRule type="expression" dxfId="7880" priority="286">
      <formula>P$1=""</formula>
    </cfRule>
  </conditionalFormatting>
  <conditionalFormatting sqref="P226:AA226">
    <cfRule type="expression" dxfId="7879" priority="285">
      <formula>P$1=""</formula>
    </cfRule>
  </conditionalFormatting>
  <conditionalFormatting sqref="P226:AA226">
    <cfRule type="expression" dxfId="7878" priority="284">
      <formula>P$1=""</formula>
    </cfRule>
  </conditionalFormatting>
  <conditionalFormatting sqref="P226:AA226">
    <cfRule type="expression" dxfId="7877" priority="283">
      <formula>P$1=""</formula>
    </cfRule>
  </conditionalFormatting>
  <conditionalFormatting sqref="P226:AA226">
    <cfRule type="expression" dxfId="7876" priority="282">
      <formula>P$1=""</formula>
    </cfRule>
  </conditionalFormatting>
  <conditionalFormatting sqref="P226:AA226">
    <cfRule type="expression" dxfId="7875" priority="281">
      <formula>P$1=""</formula>
    </cfRule>
  </conditionalFormatting>
  <conditionalFormatting sqref="P226:AA226">
    <cfRule type="expression" dxfId="7874" priority="280">
      <formula>P$1=""</formula>
    </cfRule>
  </conditionalFormatting>
  <conditionalFormatting sqref="P226:AA226">
    <cfRule type="expression" dxfId="7873" priority="279">
      <formula>P$1=""</formula>
    </cfRule>
  </conditionalFormatting>
  <conditionalFormatting sqref="P230:AA230 P232:AA232">
    <cfRule type="expression" dxfId="7872" priority="278">
      <formula>P$1=""</formula>
    </cfRule>
  </conditionalFormatting>
  <conditionalFormatting sqref="P230:AA230 P232:AA232">
    <cfRule type="expression" dxfId="7871" priority="277">
      <formula>P$1=""</formula>
    </cfRule>
  </conditionalFormatting>
  <conditionalFormatting sqref="P230:AA230 P232:AA232">
    <cfRule type="expression" dxfId="7870" priority="276">
      <formula>P$1=""</formula>
    </cfRule>
  </conditionalFormatting>
  <conditionalFormatting sqref="P230:AA230 P232:AA232">
    <cfRule type="expression" dxfId="7869" priority="275">
      <formula>P$1=""</formula>
    </cfRule>
  </conditionalFormatting>
  <conditionalFormatting sqref="P232 P230 P228">
    <cfRule type="expression" dxfId="7868" priority="274">
      <formula>P$1=""</formula>
    </cfRule>
  </conditionalFormatting>
  <conditionalFormatting sqref="P232 P230 P228">
    <cfRule type="expression" dxfId="7867" priority="273">
      <formula>P$1=""</formula>
    </cfRule>
  </conditionalFormatting>
  <conditionalFormatting sqref="P232 P230 P228">
    <cfRule type="expression" dxfId="7866" priority="272">
      <formula>P$1=""</formula>
    </cfRule>
  </conditionalFormatting>
  <conditionalFormatting sqref="P238:AA238">
    <cfRule type="expression" dxfId="7865" priority="271">
      <formula>P$1=""</formula>
    </cfRule>
  </conditionalFormatting>
  <conditionalFormatting sqref="P238:AA238">
    <cfRule type="expression" dxfId="7864" priority="270">
      <formula>P$1=""</formula>
    </cfRule>
  </conditionalFormatting>
  <conditionalFormatting sqref="P238:AA238">
    <cfRule type="expression" dxfId="7863" priority="269">
      <formula>P$1=""</formula>
    </cfRule>
  </conditionalFormatting>
  <conditionalFormatting sqref="P238:AA238">
    <cfRule type="expression" dxfId="7862" priority="268">
      <formula>P$1=""</formula>
    </cfRule>
  </conditionalFormatting>
  <conditionalFormatting sqref="P238:AA238">
    <cfRule type="expression" dxfId="7861" priority="267">
      <formula>P$1=""</formula>
    </cfRule>
  </conditionalFormatting>
  <conditionalFormatting sqref="P238:AA238">
    <cfRule type="expression" dxfId="7860" priority="266">
      <formula>P$1=""</formula>
    </cfRule>
  </conditionalFormatting>
  <conditionalFormatting sqref="P238:AA238">
    <cfRule type="expression" dxfId="7859" priority="265">
      <formula>P$1=""</formula>
    </cfRule>
  </conditionalFormatting>
  <conditionalFormatting sqref="P238:AA238">
    <cfRule type="expression" dxfId="7858" priority="264">
      <formula>P$1=""</formula>
    </cfRule>
  </conditionalFormatting>
  <conditionalFormatting sqref="P238:AA238">
    <cfRule type="expression" dxfId="7857" priority="263">
      <formula>P$1=""</formula>
    </cfRule>
  </conditionalFormatting>
  <conditionalFormatting sqref="P238:AA238">
    <cfRule type="expression" dxfId="7856" priority="262">
      <formula>P$1=""</formula>
    </cfRule>
  </conditionalFormatting>
  <conditionalFormatting sqref="P238:AA238">
    <cfRule type="expression" dxfId="7855" priority="261">
      <formula>P$1=""</formula>
    </cfRule>
  </conditionalFormatting>
  <conditionalFormatting sqref="P238:AA238">
    <cfRule type="expression" dxfId="7854" priority="260">
      <formula>P$1=""</formula>
    </cfRule>
  </conditionalFormatting>
  <conditionalFormatting sqref="P238:AA238">
    <cfRule type="expression" dxfId="7853" priority="259">
      <formula>P$1=""</formula>
    </cfRule>
  </conditionalFormatting>
  <conditionalFormatting sqref="P238:AA238">
    <cfRule type="expression" dxfId="7852" priority="258">
      <formula>P$1=""</formula>
    </cfRule>
  </conditionalFormatting>
  <conditionalFormatting sqref="P238:AA238">
    <cfRule type="expression" dxfId="7851" priority="257">
      <formula>P$1=""</formula>
    </cfRule>
  </conditionalFormatting>
  <conditionalFormatting sqref="P238:AA238">
    <cfRule type="expression" dxfId="7850" priority="256">
      <formula>P$1=""</formula>
    </cfRule>
  </conditionalFormatting>
  <conditionalFormatting sqref="P238:AA238">
    <cfRule type="expression" dxfId="7849" priority="255">
      <formula>P$1=""</formula>
    </cfRule>
  </conditionalFormatting>
  <conditionalFormatting sqref="P238:AA238">
    <cfRule type="expression" dxfId="7848" priority="254">
      <formula>P$1=""</formula>
    </cfRule>
  </conditionalFormatting>
  <conditionalFormatting sqref="P238:AA238">
    <cfRule type="expression" dxfId="7847" priority="253">
      <formula>P$1=""</formula>
    </cfRule>
  </conditionalFormatting>
  <conditionalFormatting sqref="P238:AA238">
    <cfRule type="expression" dxfId="7846" priority="252">
      <formula>P$1=""</formula>
    </cfRule>
  </conditionalFormatting>
  <conditionalFormatting sqref="P238:AA238">
    <cfRule type="expression" dxfId="7845" priority="251">
      <formula>P$1=""</formula>
    </cfRule>
  </conditionalFormatting>
  <conditionalFormatting sqref="P238:AA238">
    <cfRule type="expression" dxfId="7844" priority="250">
      <formula>P$1=""</formula>
    </cfRule>
  </conditionalFormatting>
  <conditionalFormatting sqref="P238:AA238">
    <cfRule type="expression" dxfId="7843" priority="249">
      <formula>P$1=""</formula>
    </cfRule>
  </conditionalFormatting>
  <conditionalFormatting sqref="P240:AA240">
    <cfRule type="expression" dxfId="7842" priority="248">
      <formula>P$1=""</formula>
    </cfRule>
  </conditionalFormatting>
  <conditionalFormatting sqref="P240:AA240">
    <cfRule type="expression" dxfId="7841" priority="247">
      <formula>P$1=""</formula>
    </cfRule>
  </conditionalFormatting>
  <conditionalFormatting sqref="P240:AA240">
    <cfRule type="expression" dxfId="7840" priority="246">
      <formula>P$1=""</formula>
    </cfRule>
  </conditionalFormatting>
  <conditionalFormatting sqref="P240:AA240">
    <cfRule type="expression" dxfId="7839" priority="245">
      <formula>P$1=""</formula>
    </cfRule>
  </conditionalFormatting>
  <conditionalFormatting sqref="P240:AA240">
    <cfRule type="expression" dxfId="7838" priority="244">
      <formula>P$1=""</formula>
    </cfRule>
  </conditionalFormatting>
  <conditionalFormatting sqref="P240:AA240">
    <cfRule type="expression" dxfId="7837" priority="243">
      <formula>P$1=""</formula>
    </cfRule>
  </conditionalFormatting>
  <conditionalFormatting sqref="P240:AA240">
    <cfRule type="expression" dxfId="7836" priority="242">
      <formula>P$1=""</formula>
    </cfRule>
  </conditionalFormatting>
  <conditionalFormatting sqref="P240:AA240">
    <cfRule type="expression" dxfId="7835" priority="241">
      <formula>P$1=""</formula>
    </cfRule>
  </conditionalFormatting>
  <conditionalFormatting sqref="P240:AA240">
    <cfRule type="expression" dxfId="7834" priority="240">
      <formula>P$1=""</formula>
    </cfRule>
  </conditionalFormatting>
  <conditionalFormatting sqref="P240:AA240">
    <cfRule type="expression" dxfId="7833" priority="239">
      <formula>P$1=""</formula>
    </cfRule>
  </conditionalFormatting>
  <conditionalFormatting sqref="P240:AA240">
    <cfRule type="expression" dxfId="7832" priority="238">
      <formula>P$1=""</formula>
    </cfRule>
  </conditionalFormatting>
  <conditionalFormatting sqref="P240:AA240">
    <cfRule type="expression" dxfId="7831" priority="237">
      <formula>P$1=""</formula>
    </cfRule>
  </conditionalFormatting>
  <conditionalFormatting sqref="P240:AA240">
    <cfRule type="expression" dxfId="7830" priority="236">
      <formula>P$1=""</formula>
    </cfRule>
  </conditionalFormatting>
  <conditionalFormatting sqref="P240:AA240">
    <cfRule type="expression" dxfId="7829" priority="235">
      <formula>P$1=""</formula>
    </cfRule>
  </conditionalFormatting>
  <conditionalFormatting sqref="P240:AA240">
    <cfRule type="expression" dxfId="7828" priority="234">
      <formula>P$1=""</formula>
    </cfRule>
  </conditionalFormatting>
  <conditionalFormatting sqref="P240:AA240">
    <cfRule type="expression" dxfId="7827" priority="233">
      <formula>P$1=""</formula>
    </cfRule>
  </conditionalFormatting>
  <conditionalFormatting sqref="P240:AA240">
    <cfRule type="expression" dxfId="7826" priority="232">
      <formula>P$1=""</formula>
    </cfRule>
  </conditionalFormatting>
  <conditionalFormatting sqref="P240:AA240">
    <cfRule type="expression" dxfId="7825" priority="231">
      <formula>P$1=""</formula>
    </cfRule>
  </conditionalFormatting>
  <conditionalFormatting sqref="P240:AA240">
    <cfRule type="expression" dxfId="7824" priority="230">
      <formula>P$1=""</formula>
    </cfRule>
  </conditionalFormatting>
  <conditionalFormatting sqref="P240:AA240">
    <cfRule type="expression" dxfId="7823" priority="229">
      <formula>P$1=""</formula>
    </cfRule>
  </conditionalFormatting>
  <conditionalFormatting sqref="P240:AA240">
    <cfRule type="expression" dxfId="7822" priority="228">
      <formula>P$1=""</formula>
    </cfRule>
  </conditionalFormatting>
  <conditionalFormatting sqref="P242:AA242">
    <cfRule type="expression" dxfId="7821" priority="227">
      <formula>P$1=""</formula>
    </cfRule>
  </conditionalFormatting>
  <conditionalFormatting sqref="P242:AA242">
    <cfRule type="expression" dxfId="7820" priority="226">
      <formula>P$1=""</formula>
    </cfRule>
  </conditionalFormatting>
  <conditionalFormatting sqref="P242:AA242">
    <cfRule type="expression" dxfId="7819" priority="225">
      <formula>P$1=""</formula>
    </cfRule>
  </conditionalFormatting>
  <conditionalFormatting sqref="P242:AA242">
    <cfRule type="expression" dxfId="7818" priority="224">
      <formula>P$1=""</formula>
    </cfRule>
  </conditionalFormatting>
  <conditionalFormatting sqref="P242:AA242">
    <cfRule type="expression" dxfId="7817" priority="223">
      <formula>P$1=""</formula>
    </cfRule>
  </conditionalFormatting>
  <conditionalFormatting sqref="P242:AA242">
    <cfRule type="expression" dxfId="7816" priority="222">
      <formula>P$1=""</formula>
    </cfRule>
  </conditionalFormatting>
  <conditionalFormatting sqref="P242:AA242">
    <cfRule type="expression" dxfId="7815" priority="221">
      <formula>P$1=""</formula>
    </cfRule>
  </conditionalFormatting>
  <conditionalFormatting sqref="P242:AA242">
    <cfRule type="expression" dxfId="7814" priority="220">
      <formula>P$1=""</formula>
    </cfRule>
  </conditionalFormatting>
  <conditionalFormatting sqref="P242:AA242">
    <cfRule type="expression" dxfId="7813" priority="219">
      <formula>P$1=""</formula>
    </cfRule>
  </conditionalFormatting>
  <conditionalFormatting sqref="P242:AA242">
    <cfRule type="expression" dxfId="7812" priority="218">
      <formula>P$1=""</formula>
    </cfRule>
  </conditionalFormatting>
  <conditionalFormatting sqref="P242:AA242">
    <cfRule type="expression" dxfId="7811" priority="217">
      <formula>P$1=""</formula>
    </cfRule>
  </conditionalFormatting>
  <conditionalFormatting sqref="P242:AA242">
    <cfRule type="expression" dxfId="7810" priority="216">
      <formula>P$1=""</formula>
    </cfRule>
  </conditionalFormatting>
  <conditionalFormatting sqref="P242:AA242">
    <cfRule type="expression" dxfId="7809" priority="215">
      <formula>P$1=""</formula>
    </cfRule>
  </conditionalFormatting>
  <conditionalFormatting sqref="P242:AA242">
    <cfRule type="expression" dxfId="7808" priority="214">
      <formula>P$1=""</formula>
    </cfRule>
  </conditionalFormatting>
  <conditionalFormatting sqref="P242:AA242">
    <cfRule type="expression" dxfId="7807" priority="213">
      <formula>P$1=""</formula>
    </cfRule>
  </conditionalFormatting>
  <conditionalFormatting sqref="P242:AA242">
    <cfRule type="expression" dxfId="7806" priority="212">
      <formula>P$1=""</formula>
    </cfRule>
  </conditionalFormatting>
  <conditionalFormatting sqref="P242:AA242">
    <cfRule type="expression" dxfId="7805" priority="211">
      <formula>P$1=""</formula>
    </cfRule>
  </conditionalFormatting>
  <conditionalFormatting sqref="P242:AA242">
    <cfRule type="expression" dxfId="7804" priority="210">
      <formula>P$1=""</formula>
    </cfRule>
  </conditionalFormatting>
  <conditionalFormatting sqref="P242:AA242">
    <cfRule type="expression" dxfId="7803" priority="209">
      <formula>P$1=""</formula>
    </cfRule>
  </conditionalFormatting>
  <conditionalFormatting sqref="P242:AA242">
    <cfRule type="expression" dxfId="7802" priority="208">
      <formula>P$1=""</formula>
    </cfRule>
  </conditionalFormatting>
  <conditionalFormatting sqref="P242:AA242">
    <cfRule type="expression" dxfId="7801" priority="207">
      <formula>P$1=""</formula>
    </cfRule>
  </conditionalFormatting>
  <conditionalFormatting sqref="P246:AA246">
    <cfRule type="expression" dxfId="7800" priority="206">
      <formula>P$1=""</formula>
    </cfRule>
  </conditionalFormatting>
  <conditionalFormatting sqref="P248:AA248">
    <cfRule type="expression" dxfId="7799" priority="205">
      <formula>P$1=""</formula>
    </cfRule>
  </conditionalFormatting>
  <conditionalFormatting sqref="P250:AA250">
    <cfRule type="expression" dxfId="7798" priority="204">
      <formula>P$1=""</formula>
    </cfRule>
  </conditionalFormatting>
  <conditionalFormatting sqref="P252:AA252">
    <cfRule type="expression" dxfId="7797" priority="203">
      <formula>P$1=""</formula>
    </cfRule>
  </conditionalFormatting>
  <conditionalFormatting sqref="P248:AA248 P250:AA250 P252:AA252">
    <cfRule type="expression" dxfId="7796" priority="202">
      <formula>P$1=""</formula>
    </cfRule>
  </conditionalFormatting>
  <conditionalFormatting sqref="P248:AA248 P250:AA250 P252:AA252">
    <cfRule type="expression" dxfId="7795" priority="201">
      <formula>P$1=""</formula>
    </cfRule>
  </conditionalFormatting>
  <conditionalFormatting sqref="P248:AA248 P250:AA250 P252:AA252">
    <cfRule type="expression" dxfId="7794" priority="200">
      <formula>P$1=""</formula>
    </cfRule>
  </conditionalFormatting>
  <conditionalFormatting sqref="P248:AA248 P250:AA250 P252:AA252">
    <cfRule type="expression" dxfId="7793" priority="199">
      <formula>P$1=""</formula>
    </cfRule>
  </conditionalFormatting>
  <conditionalFormatting sqref="P248:AA248 P250:AA250 P252:AA252">
    <cfRule type="expression" dxfId="7792" priority="198">
      <formula>P$1=""</formula>
    </cfRule>
  </conditionalFormatting>
  <conditionalFormatting sqref="P250:AA250 P252:AA252">
    <cfRule type="expression" dxfId="7791" priority="197">
      <formula>P$1=""</formula>
    </cfRule>
  </conditionalFormatting>
  <conditionalFormatting sqref="P248:AA248">
    <cfRule type="expression" dxfId="7790" priority="196">
      <formula>P$1=""</formula>
    </cfRule>
  </conditionalFormatting>
  <conditionalFormatting sqref="P250:AA250 P252:AA252">
    <cfRule type="expression" dxfId="7789" priority="195">
      <formula>P$1=""</formula>
    </cfRule>
  </conditionalFormatting>
  <conditionalFormatting sqref="P250:AA250 P252:AA252">
    <cfRule type="expression" dxfId="7788" priority="194">
      <formula>P$1=""</formula>
    </cfRule>
  </conditionalFormatting>
  <conditionalFormatting sqref="P252:AA252">
    <cfRule type="expression" dxfId="7787" priority="193">
      <formula>P$1=""</formula>
    </cfRule>
  </conditionalFormatting>
  <conditionalFormatting sqref="P252:AA252">
    <cfRule type="expression" dxfId="7786" priority="192">
      <formula>P$1=""</formula>
    </cfRule>
  </conditionalFormatting>
  <conditionalFormatting sqref="P252:AA252">
    <cfRule type="expression" dxfId="7785" priority="191">
      <formula>P$1=""</formula>
    </cfRule>
  </conditionalFormatting>
  <conditionalFormatting sqref="P252:AA252">
    <cfRule type="expression" dxfId="7784" priority="190">
      <formula>P$1=""</formula>
    </cfRule>
  </conditionalFormatting>
  <conditionalFormatting sqref="P246:AA246">
    <cfRule type="expression" dxfId="7783" priority="189">
      <formula>P$1=""</formula>
    </cfRule>
  </conditionalFormatting>
  <conditionalFormatting sqref="P246:AA246">
    <cfRule type="expression" dxfId="7782" priority="188">
      <formula>P$1=""</formula>
    </cfRule>
  </conditionalFormatting>
  <conditionalFormatting sqref="P246:AA246">
    <cfRule type="expression" dxfId="7781" priority="187">
      <formula>P$1=""</formula>
    </cfRule>
  </conditionalFormatting>
  <conditionalFormatting sqref="P246:AA246">
    <cfRule type="expression" dxfId="7780" priority="186">
      <formula>P$1=""</formula>
    </cfRule>
  </conditionalFormatting>
  <conditionalFormatting sqref="P246:AA246">
    <cfRule type="expression" dxfId="7779" priority="185">
      <formula>P$1=""</formula>
    </cfRule>
  </conditionalFormatting>
  <conditionalFormatting sqref="P246:AA246">
    <cfRule type="expression" dxfId="7778" priority="184">
      <formula>P$1=""</formula>
    </cfRule>
  </conditionalFormatting>
  <conditionalFormatting sqref="P246:AA246">
    <cfRule type="expression" dxfId="7777" priority="183">
      <formula>P$1=""</formula>
    </cfRule>
  </conditionalFormatting>
  <conditionalFormatting sqref="P250:AA250 P252:AA252">
    <cfRule type="expression" dxfId="7776" priority="182">
      <formula>P$1=""</formula>
    </cfRule>
  </conditionalFormatting>
  <conditionalFormatting sqref="P250:AA250 P252:AA252">
    <cfRule type="expression" dxfId="7775" priority="181">
      <formula>P$1=""</formula>
    </cfRule>
  </conditionalFormatting>
  <conditionalFormatting sqref="P250:AA250 P252:AA252">
    <cfRule type="expression" dxfId="7774" priority="180">
      <formula>P$1=""</formula>
    </cfRule>
  </conditionalFormatting>
  <conditionalFormatting sqref="P250:AA250 P252:AA252">
    <cfRule type="expression" dxfId="7773" priority="179">
      <formula>P$1=""</formula>
    </cfRule>
  </conditionalFormatting>
  <conditionalFormatting sqref="P252 P250 P248">
    <cfRule type="expression" dxfId="7772" priority="178">
      <formula>P$1=""</formula>
    </cfRule>
  </conditionalFormatting>
  <conditionalFormatting sqref="P252 P250 P248">
    <cfRule type="expression" dxfId="7771" priority="177">
      <formula>P$1=""</formula>
    </cfRule>
  </conditionalFormatting>
  <conditionalFormatting sqref="P252 P250 P248">
    <cfRule type="expression" dxfId="7770" priority="176">
      <formula>P$1=""</formula>
    </cfRule>
  </conditionalFormatting>
  <conditionalFormatting sqref="C3:E6">
    <cfRule type="cellIs" dxfId="7769" priority="175" operator="equal">
      <formula>0</formula>
    </cfRule>
  </conditionalFormatting>
  <conditionalFormatting sqref="G5:G6">
    <cfRule type="cellIs" dxfId="7768" priority="174" operator="equal">
      <formula>0</formula>
    </cfRule>
  </conditionalFormatting>
  <conditionalFormatting sqref="A1:D1">
    <cfRule type="cellIs" dxfId="7767" priority="173" operator="equal">
      <formula>0</formula>
    </cfRule>
  </conditionalFormatting>
  <conditionalFormatting sqref="P256:AA256">
    <cfRule type="expression" dxfId="7766" priority="172">
      <formula>P$1=""</formula>
    </cfRule>
  </conditionalFormatting>
  <conditionalFormatting sqref="P258:AA258">
    <cfRule type="expression" dxfId="7765" priority="171">
      <formula>P$1=""</formula>
    </cfRule>
  </conditionalFormatting>
  <conditionalFormatting sqref="P260:AA260">
    <cfRule type="expression" dxfId="7764" priority="170">
      <formula>P$1=""</formula>
    </cfRule>
  </conditionalFormatting>
  <conditionalFormatting sqref="P262:AA262">
    <cfRule type="expression" dxfId="7763" priority="169">
      <formula>P$1=""</formula>
    </cfRule>
  </conditionalFormatting>
  <conditionalFormatting sqref="P258:AA258 P260:AA260 P262:AA262">
    <cfRule type="expression" dxfId="7762" priority="168">
      <formula>P$1=""</formula>
    </cfRule>
  </conditionalFormatting>
  <conditionalFormatting sqref="P258:AA258 P260:AA260 P262:AA262">
    <cfRule type="expression" dxfId="7761" priority="167">
      <formula>P$1=""</formula>
    </cfRule>
  </conditionalFormatting>
  <conditionalFormatting sqref="P258:AA258 P260:AA260 P262:AA262">
    <cfRule type="expression" dxfId="7760" priority="166">
      <formula>P$1=""</formula>
    </cfRule>
  </conditionalFormatting>
  <conditionalFormatting sqref="P258:AA258 P260:AA260 P262:AA262">
    <cfRule type="expression" dxfId="7759" priority="165">
      <formula>P$1=""</formula>
    </cfRule>
  </conditionalFormatting>
  <conditionalFormatting sqref="P258:AA258 P260:AA260 P262:AA262">
    <cfRule type="expression" dxfId="7758" priority="164">
      <formula>P$1=""</formula>
    </cfRule>
  </conditionalFormatting>
  <conditionalFormatting sqref="P260:AA260 P262:AA262">
    <cfRule type="expression" dxfId="7757" priority="163">
      <formula>P$1=""</formula>
    </cfRule>
  </conditionalFormatting>
  <conditionalFormatting sqref="P258:AA258">
    <cfRule type="expression" dxfId="7756" priority="162">
      <formula>P$1=""</formula>
    </cfRule>
  </conditionalFormatting>
  <conditionalFormatting sqref="P260:AA260 P262:AA262">
    <cfRule type="expression" dxfId="7755" priority="161">
      <formula>P$1=""</formula>
    </cfRule>
  </conditionalFormatting>
  <conditionalFormatting sqref="P260:AA260 P262:AA262">
    <cfRule type="expression" dxfId="7754" priority="160">
      <formula>P$1=""</formula>
    </cfRule>
  </conditionalFormatting>
  <conditionalFormatting sqref="P262:AA262">
    <cfRule type="expression" dxfId="7753" priority="159">
      <formula>P$1=""</formula>
    </cfRule>
  </conditionalFormatting>
  <conditionalFormatting sqref="P262:AA262">
    <cfRule type="expression" dxfId="7752" priority="158">
      <formula>P$1=""</formula>
    </cfRule>
  </conditionalFormatting>
  <conditionalFormatting sqref="P262:AA262">
    <cfRule type="expression" dxfId="7751" priority="157">
      <formula>P$1=""</formula>
    </cfRule>
  </conditionalFormatting>
  <conditionalFormatting sqref="P262:AA262">
    <cfRule type="expression" dxfId="7750" priority="156">
      <formula>P$1=""</formula>
    </cfRule>
  </conditionalFormatting>
  <conditionalFormatting sqref="P256:AA256">
    <cfRule type="expression" dxfId="7749" priority="155">
      <formula>P$1=""</formula>
    </cfRule>
  </conditionalFormatting>
  <conditionalFormatting sqref="P256:AA256">
    <cfRule type="expression" dxfId="7748" priority="154">
      <formula>P$1=""</formula>
    </cfRule>
  </conditionalFormatting>
  <conditionalFormatting sqref="P256:AA256">
    <cfRule type="expression" dxfId="7747" priority="153">
      <formula>P$1=""</formula>
    </cfRule>
  </conditionalFormatting>
  <conditionalFormatting sqref="P256:AA256">
    <cfRule type="expression" dxfId="7746" priority="152">
      <formula>P$1=""</formula>
    </cfRule>
  </conditionalFormatting>
  <conditionalFormatting sqref="P256:AA256">
    <cfRule type="expression" dxfId="7745" priority="151">
      <formula>P$1=""</formula>
    </cfRule>
  </conditionalFormatting>
  <conditionalFormatting sqref="P256:AA256">
    <cfRule type="expression" dxfId="7744" priority="150">
      <formula>P$1=""</formula>
    </cfRule>
  </conditionalFormatting>
  <conditionalFormatting sqref="P256:AA256">
    <cfRule type="expression" dxfId="7743" priority="149">
      <formula>P$1=""</formula>
    </cfRule>
  </conditionalFormatting>
  <conditionalFormatting sqref="P260:AA260 P262:AA262">
    <cfRule type="expression" dxfId="7742" priority="148">
      <formula>P$1=""</formula>
    </cfRule>
  </conditionalFormatting>
  <conditionalFormatting sqref="P260:AA260 P262:AA262">
    <cfRule type="expression" dxfId="7741" priority="147">
      <formula>P$1=""</formula>
    </cfRule>
  </conditionalFormatting>
  <conditionalFormatting sqref="P260:AA260 P262:AA262">
    <cfRule type="expression" dxfId="7740" priority="146">
      <formula>P$1=""</formula>
    </cfRule>
  </conditionalFormatting>
  <conditionalFormatting sqref="P260:AA260 P262:AA262">
    <cfRule type="expression" dxfId="7739" priority="145">
      <formula>P$1=""</formula>
    </cfRule>
  </conditionalFormatting>
  <conditionalFormatting sqref="P258:AA258 P260:AA260 P262:AA262">
    <cfRule type="expression" dxfId="7738" priority="144">
      <formula>P$1=""</formula>
    </cfRule>
  </conditionalFormatting>
  <conditionalFormatting sqref="P258:AA258 P260:AA260 P262:AA262">
    <cfRule type="expression" dxfId="7737" priority="143">
      <formula>P$1=""</formula>
    </cfRule>
  </conditionalFormatting>
  <conditionalFormatting sqref="P258:AA258 P260:AA260 P262:AA262">
    <cfRule type="expression" dxfId="7736" priority="142">
      <formula>P$1=""</formula>
    </cfRule>
  </conditionalFormatting>
  <conditionalFormatting sqref="P258:AA258 P260:AA260 P262:AA262">
    <cfRule type="expression" dxfId="7735" priority="141">
      <formula>P$1=""</formula>
    </cfRule>
  </conditionalFormatting>
  <conditionalFormatting sqref="P258:AA258 P260:AA260 P262:AA262">
    <cfRule type="expression" dxfId="7734" priority="140">
      <formula>P$1=""</formula>
    </cfRule>
  </conditionalFormatting>
  <conditionalFormatting sqref="P258:AA258 P260:AA260 P262:AA262">
    <cfRule type="expression" dxfId="7733" priority="139">
      <formula>P$1=""</formula>
    </cfRule>
  </conditionalFormatting>
  <conditionalFormatting sqref="P258:AA258 P260:AA260 P262:AA262">
    <cfRule type="expression" dxfId="7732" priority="138">
      <formula>P$1=""</formula>
    </cfRule>
  </conditionalFormatting>
  <conditionalFormatting sqref="P258:AA258 P260:AA260 P262:AA262">
    <cfRule type="expression" dxfId="7731" priority="137">
      <formula>P$1=""</formula>
    </cfRule>
  </conditionalFormatting>
  <conditionalFormatting sqref="Q258:AA258">
    <cfRule type="expression" dxfId="7730" priority="136">
      <formula>Q$1=""</formula>
    </cfRule>
  </conditionalFormatting>
  <conditionalFormatting sqref="Q258:AA258">
    <cfRule type="expression" dxfId="7729" priority="135">
      <formula>Q$1=""</formula>
    </cfRule>
  </conditionalFormatting>
  <conditionalFormatting sqref="Q258:AA258">
    <cfRule type="expression" dxfId="7728" priority="134">
      <formula>Q$1=""</formula>
    </cfRule>
  </conditionalFormatting>
  <conditionalFormatting sqref="Q258:AA258">
    <cfRule type="expression" dxfId="7727" priority="133">
      <formula>Q$1=""</formula>
    </cfRule>
  </conditionalFormatting>
  <conditionalFormatting sqref="Q258:AA258">
    <cfRule type="expression" dxfId="7726" priority="132">
      <formula>Q$1=""</formula>
    </cfRule>
  </conditionalFormatting>
  <conditionalFormatting sqref="Q258:AA258">
    <cfRule type="expression" dxfId="7725" priority="131">
      <formula>Q$1=""</formula>
    </cfRule>
  </conditionalFormatting>
  <conditionalFormatting sqref="Q258:AA258">
    <cfRule type="expression" dxfId="7724" priority="130">
      <formula>Q$1=""</formula>
    </cfRule>
  </conditionalFormatting>
  <conditionalFormatting sqref="Q258:AA258">
    <cfRule type="expression" dxfId="7723" priority="129">
      <formula>Q$1=""</formula>
    </cfRule>
  </conditionalFormatting>
  <conditionalFormatting sqref="Q260:AA260 Q262:AA262">
    <cfRule type="expression" dxfId="7722" priority="128">
      <formula>Q$1=""</formula>
    </cfRule>
  </conditionalFormatting>
  <conditionalFormatting sqref="Q260:AA260 Q262:AA262">
    <cfRule type="expression" dxfId="7721" priority="127">
      <formula>Q$1=""</formula>
    </cfRule>
  </conditionalFormatting>
  <conditionalFormatting sqref="Q260:AA260 Q262:AA262">
    <cfRule type="expression" dxfId="7720" priority="126">
      <formula>Q$1=""</formula>
    </cfRule>
  </conditionalFormatting>
  <conditionalFormatting sqref="Q260:AA260 Q262:AA262">
    <cfRule type="expression" dxfId="7719" priority="125">
      <formula>Q$1=""</formula>
    </cfRule>
  </conditionalFormatting>
  <conditionalFormatting sqref="Q260:AA260 Q262:AA262">
    <cfRule type="expression" dxfId="7718" priority="124">
      <formula>Q$1=""</formula>
    </cfRule>
  </conditionalFormatting>
  <conditionalFormatting sqref="Q260:AA260 Q262:AA262">
    <cfRule type="expression" dxfId="7717" priority="123">
      <formula>Q$1=""</formula>
    </cfRule>
  </conditionalFormatting>
  <conditionalFormatting sqref="Q260:AA260 Q262:AA262">
    <cfRule type="expression" dxfId="7716" priority="122">
      <formula>Q$1=""</formula>
    </cfRule>
  </conditionalFormatting>
  <conditionalFormatting sqref="Q260:AA260 Q262:AA262">
    <cfRule type="expression" dxfId="7715" priority="121">
      <formula>Q$1=""</formula>
    </cfRule>
  </conditionalFormatting>
  <conditionalFormatting sqref="Q260:AA260 Q262:AA262">
    <cfRule type="expression" dxfId="7714" priority="120">
      <formula>Q$1=""</formula>
    </cfRule>
  </conditionalFormatting>
  <conditionalFormatting sqref="Q260:AA260 Q262:AA262">
    <cfRule type="expression" dxfId="7713" priority="119">
      <formula>Q$1=""</formula>
    </cfRule>
  </conditionalFormatting>
  <conditionalFormatting sqref="P256:AA256 P260:AA260 P262:AA262">
    <cfRule type="expression" dxfId="7712" priority="118">
      <formula>P$1=""</formula>
    </cfRule>
  </conditionalFormatting>
  <conditionalFormatting sqref="P256:AA256">
    <cfRule type="expression" dxfId="7711" priority="117">
      <formula>P$1=""</formula>
    </cfRule>
  </conditionalFormatting>
  <conditionalFormatting sqref="P256:AA256">
    <cfRule type="expression" dxfId="7710" priority="116">
      <formula>P$1=""</formula>
    </cfRule>
  </conditionalFormatting>
  <conditionalFormatting sqref="P256:AA256">
    <cfRule type="expression" dxfId="7709" priority="115">
      <formula>P$1=""</formula>
    </cfRule>
  </conditionalFormatting>
  <conditionalFormatting sqref="P256:AA256">
    <cfRule type="expression" dxfId="7708" priority="114">
      <formula>P$1=""</formula>
    </cfRule>
  </conditionalFormatting>
  <conditionalFormatting sqref="P256:AA256">
    <cfRule type="expression" dxfId="7707" priority="113">
      <formula>P$1=""</formula>
    </cfRule>
  </conditionalFormatting>
  <conditionalFormatting sqref="P256:AA256 P260:AA260 P262:AA262">
    <cfRule type="expression" dxfId="7706" priority="112">
      <formula>P$1=""</formula>
    </cfRule>
  </conditionalFormatting>
  <conditionalFormatting sqref="P256:AA256">
    <cfRule type="expression" dxfId="7705" priority="111">
      <formula>P$1=""</formula>
    </cfRule>
  </conditionalFormatting>
  <conditionalFormatting sqref="P256:AA256">
    <cfRule type="expression" dxfId="7704" priority="110">
      <formula>P$1=""</formula>
    </cfRule>
  </conditionalFormatting>
  <conditionalFormatting sqref="P256:AA256">
    <cfRule type="expression" dxfId="7703" priority="109">
      <formula>P$1=""</formula>
    </cfRule>
  </conditionalFormatting>
  <conditionalFormatting sqref="P256:AA256">
    <cfRule type="expression" dxfId="7702" priority="108">
      <formula>P$1=""</formula>
    </cfRule>
  </conditionalFormatting>
  <conditionalFormatting sqref="P256:AA256">
    <cfRule type="expression" dxfId="7701" priority="107">
      <formula>P$1=""</formula>
    </cfRule>
  </conditionalFormatting>
  <conditionalFormatting sqref="P256:AA256">
    <cfRule type="expression" dxfId="7700" priority="106">
      <formula>P$1=""</formula>
    </cfRule>
  </conditionalFormatting>
  <conditionalFormatting sqref="P256:AA256">
    <cfRule type="expression" dxfId="7699" priority="105">
      <formula>P$1=""</formula>
    </cfRule>
  </conditionalFormatting>
  <conditionalFormatting sqref="P256:AA256">
    <cfRule type="expression" dxfId="7698" priority="104">
      <formula>P$1=""</formula>
    </cfRule>
  </conditionalFormatting>
  <conditionalFormatting sqref="P258:AA258 P260:AA260 P262:AA262">
    <cfRule type="expression" dxfId="7697" priority="103">
      <formula>P$1=""</formula>
    </cfRule>
  </conditionalFormatting>
  <conditionalFormatting sqref="P258:AA258 P260:AA260 P262:AA262">
    <cfRule type="expression" dxfId="7696" priority="102">
      <formula>P$1=""</formula>
    </cfRule>
  </conditionalFormatting>
  <conditionalFormatting sqref="P258:AA258 P260:AA260 P262:AA262">
    <cfRule type="expression" dxfId="7695" priority="101">
      <formula>P$1=""</formula>
    </cfRule>
  </conditionalFormatting>
  <conditionalFormatting sqref="P258:AA258 P260:AA260 P262:AA262">
    <cfRule type="expression" dxfId="7694" priority="100">
      <formula>P$1=""</formula>
    </cfRule>
  </conditionalFormatting>
  <conditionalFormatting sqref="P258:AA258 P260:AA260 P262:AA262">
    <cfRule type="expression" dxfId="7693" priority="99">
      <formula>P$1=""</formula>
    </cfRule>
  </conditionalFormatting>
  <conditionalFormatting sqref="P258:AA258 P260:AA260 P262:AA262">
    <cfRule type="expression" dxfId="7692" priority="98">
      <formula>P$1=""</formula>
    </cfRule>
  </conditionalFormatting>
  <conditionalFormatting sqref="P258:AA258 P260:AA260 P262:AA262">
    <cfRule type="expression" dxfId="7691" priority="97">
      <formula>P$1=""</formula>
    </cfRule>
  </conditionalFormatting>
  <conditionalFormatting sqref="P258:AA258 P260:AA260 P262:AA262">
    <cfRule type="expression" dxfId="7690" priority="96">
      <formula>P$1=""</formula>
    </cfRule>
  </conditionalFormatting>
  <conditionalFormatting sqref="P258:AA258">
    <cfRule type="expression" dxfId="7689" priority="95">
      <formula>P$1=""</formula>
    </cfRule>
  </conditionalFormatting>
  <conditionalFormatting sqref="P258:AA258 P260:AA260 P262:AA262">
    <cfRule type="expression" dxfId="7688" priority="94">
      <formula>P$1=""</formula>
    </cfRule>
  </conditionalFormatting>
  <conditionalFormatting sqref="P258:AA258 P260:AA260 P262:AA262">
    <cfRule type="expression" dxfId="7687" priority="93">
      <formula>P$1=""</formula>
    </cfRule>
  </conditionalFormatting>
  <conditionalFormatting sqref="P258:AA258 P260:AA260 P262:AA262">
    <cfRule type="expression" dxfId="7686" priority="92">
      <formula>P$1=""</formula>
    </cfRule>
  </conditionalFormatting>
  <conditionalFormatting sqref="P258:AA258 P260:AA260 P262:AA262">
    <cfRule type="expression" dxfId="7685" priority="91">
      <formula>P$1=""</formula>
    </cfRule>
  </conditionalFormatting>
  <conditionalFormatting sqref="P258:AA258 P260:AA260 P262:AA262">
    <cfRule type="expression" dxfId="7684" priority="90">
      <formula>P$1=""</formula>
    </cfRule>
  </conditionalFormatting>
  <conditionalFormatting sqref="P258:AA258">
    <cfRule type="expression" dxfId="7683" priority="89">
      <formula>P$1=""</formula>
    </cfRule>
  </conditionalFormatting>
  <conditionalFormatting sqref="P258:AA258 P260:AA260 P262:AA262">
    <cfRule type="expression" dxfId="7682" priority="88">
      <formula>P$1=""</formula>
    </cfRule>
  </conditionalFormatting>
  <conditionalFormatting sqref="P258:AA258 P260:AA260 P262:AA262">
    <cfRule type="expression" dxfId="7681" priority="87">
      <formula>P$1=""</formula>
    </cfRule>
  </conditionalFormatting>
  <conditionalFormatting sqref="P258:AA258 P260:AA260 P262:AA262">
    <cfRule type="expression" dxfId="7680" priority="86">
      <formula>P$1=""</formula>
    </cfRule>
  </conditionalFormatting>
  <conditionalFormatting sqref="P258:AA258 P260:AA260 P262:AA262">
    <cfRule type="expression" dxfId="7679" priority="85">
      <formula>P$1=""</formula>
    </cfRule>
  </conditionalFormatting>
  <conditionalFormatting sqref="P258:AA258 P260:AA260 P262:AA262">
    <cfRule type="expression" dxfId="7678" priority="84">
      <formula>P$1=""</formula>
    </cfRule>
  </conditionalFormatting>
  <conditionalFormatting sqref="P258:AA258 P260:AA260 P262:AA262">
    <cfRule type="expression" dxfId="7677" priority="83">
      <formula>P$1=""</formula>
    </cfRule>
  </conditionalFormatting>
  <conditionalFormatting sqref="P258:AA258 P260:AA260 P262:AA262">
    <cfRule type="expression" dxfId="7676" priority="82">
      <formula>P$1=""</formula>
    </cfRule>
  </conditionalFormatting>
  <conditionalFormatting sqref="P258:AA258 P260:AA260 P262:AA262">
    <cfRule type="expression" dxfId="7675" priority="81">
      <formula>P$1=""</formula>
    </cfRule>
  </conditionalFormatting>
  <conditionalFormatting sqref="P262:AA262 P260:AA260">
    <cfRule type="expression" dxfId="7674" priority="80">
      <formula>P$1=""</formula>
    </cfRule>
  </conditionalFormatting>
  <conditionalFormatting sqref="P262:AA262 P260:AA260">
    <cfRule type="expression" dxfId="7673" priority="79">
      <formula>P$1=""</formula>
    </cfRule>
  </conditionalFormatting>
  <conditionalFormatting sqref="Q262:AA262 Q260:AA260">
    <cfRule type="expression" dxfId="7672" priority="78">
      <formula>Q$1=""</formula>
    </cfRule>
  </conditionalFormatting>
  <conditionalFormatting sqref="Q262:AA262 Q260:AA260">
    <cfRule type="expression" dxfId="7671" priority="77">
      <formula>Q$1=""</formula>
    </cfRule>
  </conditionalFormatting>
  <conditionalFormatting sqref="Q262:AA262 Q260:AA260">
    <cfRule type="expression" dxfId="7670" priority="76">
      <formula>Q$1=""</formula>
    </cfRule>
  </conditionalFormatting>
  <conditionalFormatting sqref="Q262:AA262 Q260:AA260">
    <cfRule type="expression" dxfId="7669" priority="75">
      <formula>Q$1=""</formula>
    </cfRule>
  </conditionalFormatting>
  <conditionalFormatting sqref="Q262:AA262 Q260:AA260">
    <cfRule type="expression" dxfId="7668" priority="74">
      <formula>Q$1=""</formula>
    </cfRule>
  </conditionalFormatting>
  <conditionalFormatting sqref="Q262:AA262 Q260:AA260">
    <cfRule type="expression" dxfId="7667" priority="73">
      <formula>Q$1=""</formula>
    </cfRule>
  </conditionalFormatting>
  <conditionalFormatting sqref="Q262:AA262 Q260:AA260">
    <cfRule type="expression" dxfId="7666" priority="72">
      <formula>Q$1=""</formula>
    </cfRule>
  </conditionalFormatting>
  <conditionalFormatting sqref="Q262:AA262 Q260:AA260">
    <cfRule type="expression" dxfId="7665" priority="71">
      <formula>Q$1=""</formula>
    </cfRule>
  </conditionalFormatting>
  <conditionalFormatting sqref="P262:AA262 P260:AA260">
    <cfRule type="expression" dxfId="7664" priority="70">
      <formula>P$1=""</formula>
    </cfRule>
  </conditionalFormatting>
  <conditionalFormatting sqref="P262:AA262 P260:AA260">
    <cfRule type="expression" dxfId="7663" priority="69">
      <formula>P$1=""</formula>
    </cfRule>
  </conditionalFormatting>
  <conditionalFormatting sqref="P262 P260 P258">
    <cfRule type="expression" dxfId="7662" priority="68">
      <formula>P$1=""</formula>
    </cfRule>
  </conditionalFormatting>
  <conditionalFormatting sqref="P262 P260 P258">
    <cfRule type="expression" dxfId="7661" priority="67">
      <formula>P$1=""</formula>
    </cfRule>
  </conditionalFormatting>
  <conditionalFormatting sqref="P262 P260 P258">
    <cfRule type="expression" dxfId="7660" priority="66">
      <formula>P$1=""</formula>
    </cfRule>
  </conditionalFormatting>
  <conditionalFormatting sqref="P262 P260 P258">
    <cfRule type="expression" dxfId="7659" priority="65">
      <formula>P$1=""</formula>
    </cfRule>
  </conditionalFormatting>
  <conditionalFormatting sqref="P262 P260 P258">
    <cfRule type="expression" dxfId="7658" priority="64">
      <formula>P$1=""</formula>
    </cfRule>
  </conditionalFormatting>
  <conditionalFormatting sqref="P262 P260 P258">
    <cfRule type="expression" dxfId="7657" priority="63">
      <formula>P$1=""</formula>
    </cfRule>
  </conditionalFormatting>
  <conditionalFormatting sqref="P262 P260 P258">
    <cfRule type="expression" dxfId="7656" priority="62">
      <formula>P$1=""</formula>
    </cfRule>
  </conditionalFormatting>
  <conditionalFormatting sqref="P262 P260 P258">
    <cfRule type="expression" dxfId="7655" priority="61">
      <formula>P$1=""</formula>
    </cfRule>
  </conditionalFormatting>
  <conditionalFormatting sqref="P258">
    <cfRule type="expression" dxfId="7654" priority="60">
      <formula>P$1=""</formula>
    </cfRule>
  </conditionalFormatting>
  <conditionalFormatting sqref="P262 P260 P258">
    <cfRule type="expression" dxfId="7653" priority="59">
      <formula>P$1=""</formula>
    </cfRule>
  </conditionalFormatting>
  <conditionalFormatting sqref="P262 P260 P258">
    <cfRule type="expression" dxfId="7652" priority="58">
      <formula>P$1=""</formula>
    </cfRule>
  </conditionalFormatting>
  <conditionalFormatting sqref="P262 P260 P258">
    <cfRule type="expression" dxfId="7651" priority="57">
      <formula>P$1=""</formula>
    </cfRule>
  </conditionalFormatting>
  <conditionalFormatting sqref="P262 P260 P258">
    <cfRule type="expression" dxfId="7650" priority="56">
      <formula>P$1=""</formula>
    </cfRule>
  </conditionalFormatting>
  <conditionalFormatting sqref="P262 P260 P258">
    <cfRule type="expression" dxfId="7649" priority="55">
      <formula>P$1=""</formula>
    </cfRule>
  </conditionalFormatting>
  <conditionalFormatting sqref="P258">
    <cfRule type="expression" dxfId="7648" priority="54">
      <formula>P$1=""</formula>
    </cfRule>
  </conditionalFormatting>
  <conditionalFormatting sqref="P262 P260 P258">
    <cfRule type="expression" dxfId="7647" priority="53">
      <formula>P$1=""</formula>
    </cfRule>
  </conditionalFormatting>
  <conditionalFormatting sqref="P262 P260 P258">
    <cfRule type="expression" dxfId="7646" priority="52">
      <formula>P$1=""</formula>
    </cfRule>
  </conditionalFormatting>
  <conditionalFormatting sqref="P262 P260 P258">
    <cfRule type="expression" dxfId="7645" priority="51">
      <formula>P$1=""</formula>
    </cfRule>
  </conditionalFormatting>
  <conditionalFormatting sqref="P262 P260 P258">
    <cfRule type="expression" dxfId="7644" priority="50">
      <formula>P$1=""</formula>
    </cfRule>
  </conditionalFormatting>
  <conditionalFormatting sqref="P262 P260 P258">
    <cfRule type="expression" dxfId="7643" priority="49">
      <formula>P$1=""</formula>
    </cfRule>
  </conditionalFormatting>
  <conditionalFormatting sqref="P262 P260 P258">
    <cfRule type="expression" dxfId="7642" priority="48">
      <formula>P$1=""</formula>
    </cfRule>
  </conditionalFormatting>
  <conditionalFormatting sqref="P262 P260 P258">
    <cfRule type="expression" dxfId="7641" priority="47">
      <formula>P$1=""</formula>
    </cfRule>
  </conditionalFormatting>
  <conditionalFormatting sqref="P262 P260 P258">
    <cfRule type="expression" dxfId="7640" priority="46">
      <formula>P$1=""</formula>
    </cfRule>
  </conditionalFormatting>
  <conditionalFormatting sqref="Q262:AA262 Q260:AA260 Q258:AA258">
    <cfRule type="expression" dxfId="7639" priority="45">
      <formula>Q$1=""</formula>
    </cfRule>
  </conditionalFormatting>
  <conditionalFormatting sqref="Q262:AA262 Q260:AA260 Q258:AA258">
    <cfRule type="expression" dxfId="7638" priority="44">
      <formula>Q$1=""</formula>
    </cfRule>
  </conditionalFormatting>
  <conditionalFormatting sqref="Q262:AA262 Q260:AA260 Q258:AA258">
    <cfRule type="expression" dxfId="7637" priority="43">
      <formula>Q$1=""</formula>
    </cfRule>
  </conditionalFormatting>
  <conditionalFormatting sqref="Q262:AA262 Q260:AA260 Q258:AA258">
    <cfRule type="expression" dxfId="7636" priority="42">
      <formula>Q$1=""</formula>
    </cfRule>
  </conditionalFormatting>
  <conditionalFormatting sqref="Q262:AA262 Q260:AA260 Q258:AA258">
    <cfRule type="expression" dxfId="7635" priority="41">
      <formula>Q$1=""</formula>
    </cfRule>
  </conditionalFormatting>
  <conditionalFormatting sqref="Q262:AA262 Q260:AA260 Q258:AA258">
    <cfRule type="expression" dxfId="7634" priority="40">
      <formula>Q$1=""</formula>
    </cfRule>
  </conditionalFormatting>
  <conditionalFormatting sqref="Q262:AA262 Q260:AA260 Q258:AA258">
    <cfRule type="expression" dxfId="7633" priority="39">
      <formula>Q$1=""</formula>
    </cfRule>
  </conditionalFormatting>
  <conditionalFormatting sqref="Q262:AA262 Q260:AA260 Q258:AA258">
    <cfRule type="expression" dxfId="7632" priority="38">
      <formula>Q$1=""</formula>
    </cfRule>
  </conditionalFormatting>
  <conditionalFormatting sqref="Q258:AA258">
    <cfRule type="expression" dxfId="7631" priority="37">
      <formula>Q$1=""</formula>
    </cfRule>
  </conditionalFormatting>
  <conditionalFormatting sqref="Q262:AA262 Q260:AA260 Q258:AA258">
    <cfRule type="expression" dxfId="7630" priority="36">
      <formula>Q$1=""</formula>
    </cfRule>
  </conditionalFormatting>
  <conditionalFormatting sqref="Q262:AA262 Q260:AA260 Q258:AA258">
    <cfRule type="expression" dxfId="7629" priority="35">
      <formula>Q$1=""</formula>
    </cfRule>
  </conditionalFormatting>
  <conditionalFormatting sqref="Q262:AA262 Q260:AA260 Q258:AA258">
    <cfRule type="expression" dxfId="7628" priority="34">
      <formula>Q$1=""</formula>
    </cfRule>
  </conditionalFormatting>
  <conditionalFormatting sqref="Q262:AA262 Q260:AA260 Q258:AA258">
    <cfRule type="expression" dxfId="7627" priority="33">
      <formula>Q$1=""</formula>
    </cfRule>
  </conditionalFormatting>
  <conditionalFormatting sqref="Q262:AA262 Q260:AA260 Q258:AA258">
    <cfRule type="expression" dxfId="7626" priority="32">
      <formula>Q$1=""</formula>
    </cfRule>
  </conditionalFormatting>
  <conditionalFormatting sqref="Q258:AA258">
    <cfRule type="expression" dxfId="7625" priority="31">
      <formula>Q$1=""</formula>
    </cfRule>
  </conditionalFormatting>
  <conditionalFormatting sqref="Q262:AA262 Q260:AA260 Q258:AA258">
    <cfRule type="expression" dxfId="7624" priority="30">
      <formula>Q$1=""</formula>
    </cfRule>
  </conditionalFormatting>
  <conditionalFormatting sqref="Q262:AA262 Q260:AA260 Q258:AA258">
    <cfRule type="expression" dxfId="7623" priority="29">
      <formula>Q$1=""</formula>
    </cfRule>
  </conditionalFormatting>
  <conditionalFormatting sqref="Q262:AA262 Q260:AA260 Q258:AA258">
    <cfRule type="expression" dxfId="7622" priority="28">
      <formula>Q$1=""</formula>
    </cfRule>
  </conditionalFormatting>
  <conditionalFormatting sqref="Q262:AA262 Q260:AA260 Q258:AA258">
    <cfRule type="expression" dxfId="7621" priority="27">
      <formula>Q$1=""</formula>
    </cfRule>
  </conditionalFormatting>
  <conditionalFormatting sqref="Q262:AA262 Q260:AA260 Q258:AA258">
    <cfRule type="expression" dxfId="7620" priority="26">
      <formula>Q$1=""</formula>
    </cfRule>
  </conditionalFormatting>
  <conditionalFormatting sqref="Q262:AA262 Q260:AA260 Q258:AA258">
    <cfRule type="expression" dxfId="7619" priority="25">
      <formula>Q$1=""</formula>
    </cfRule>
  </conditionalFormatting>
  <conditionalFormatting sqref="Q262:AA262 Q260:AA260 Q258:AA258">
    <cfRule type="expression" dxfId="7618" priority="24">
      <formula>Q$1=""</formula>
    </cfRule>
  </conditionalFormatting>
  <conditionalFormatting sqref="Q262:AA262 Q260:AA260 Q258:AA258">
    <cfRule type="expression" dxfId="7617" priority="23">
      <formula>Q$1=""</formula>
    </cfRule>
  </conditionalFormatting>
  <conditionalFormatting sqref="E11:G11">
    <cfRule type="cellIs" dxfId="7616" priority="22" operator="equal">
      <formula>0</formula>
    </cfRule>
  </conditionalFormatting>
  <conditionalFormatting sqref="P11:AA11">
    <cfRule type="cellIs" dxfId="7615" priority="21" operator="equal">
      <formula>0</formula>
    </cfRule>
  </conditionalFormatting>
  <conditionalFormatting sqref="P11:AA11">
    <cfRule type="expression" dxfId="7614" priority="20">
      <formula>P$1=""</formula>
    </cfRule>
  </conditionalFormatting>
  <conditionalFormatting sqref="P11:AA11">
    <cfRule type="expression" dxfId="7613" priority="19">
      <formula>P$1=""</formula>
    </cfRule>
  </conditionalFormatting>
  <conditionalFormatting sqref="P11:AA11">
    <cfRule type="expression" dxfId="7612" priority="18">
      <formula>P$1=""</formula>
    </cfRule>
  </conditionalFormatting>
  <conditionalFormatting sqref="P11:AA11">
    <cfRule type="expression" dxfId="7611" priority="17">
      <formula>P$1=""</formula>
    </cfRule>
  </conditionalFormatting>
  <conditionalFormatting sqref="P52:AA52 P50:AA50 P48:AA48">
    <cfRule type="expression" dxfId="7610" priority="16">
      <formula>P$1=""</formula>
    </cfRule>
  </conditionalFormatting>
  <conditionalFormatting sqref="P62:AA62 P60:AA60 P58:AA58">
    <cfRule type="expression" dxfId="7609" priority="15">
      <formula>P$1=""</formula>
    </cfRule>
  </conditionalFormatting>
  <conditionalFormatting sqref="P72:AA72 P70:AA70 P68:AA68">
    <cfRule type="expression" dxfId="7608" priority="14">
      <formula>P$1=""</formula>
    </cfRule>
  </conditionalFormatting>
  <conditionalFormatting sqref="P91:AA91 P89:AA89 P87:AA87">
    <cfRule type="expression" dxfId="7607" priority="13">
      <formula>P$1=""</formula>
    </cfRule>
  </conditionalFormatting>
  <conditionalFormatting sqref="P101:AA101 P99:AA99 P97:AA97">
    <cfRule type="expression" dxfId="7606" priority="12">
      <formula>P$1=""</formula>
    </cfRule>
  </conditionalFormatting>
  <conditionalFormatting sqref="P123:AA123 P121:AA121">
    <cfRule type="expression" dxfId="7605" priority="11">
      <formula>P$1=""</formula>
    </cfRule>
  </conditionalFormatting>
  <conditionalFormatting sqref="P123:AA123 P121:AA121">
    <cfRule type="expression" dxfId="7604" priority="10">
      <formula>P$1=""</formula>
    </cfRule>
  </conditionalFormatting>
  <conditionalFormatting sqref="P171:AA171 P169:AA169 P167:AA167">
    <cfRule type="expression" dxfId="7603" priority="9">
      <formula>P$1=""</formula>
    </cfRule>
  </conditionalFormatting>
  <conditionalFormatting sqref="P171:AA171 P169:AA169 P167:AA167">
    <cfRule type="expression" dxfId="7602" priority="8">
      <formula>P$1=""</formula>
    </cfRule>
  </conditionalFormatting>
  <conditionalFormatting sqref="P171:AA171 P169:AA169 P167:AA167">
    <cfRule type="expression" dxfId="7601" priority="7">
      <formula>P$1=""</formula>
    </cfRule>
  </conditionalFormatting>
  <conditionalFormatting sqref="P171:AA171 P169:AA169 P167:AA167">
    <cfRule type="expression" dxfId="7600" priority="6">
      <formula>P$1=""</formula>
    </cfRule>
  </conditionalFormatting>
  <conditionalFormatting sqref="P171:AA171 P169:AA169 P167:AA167">
    <cfRule type="expression" dxfId="7599" priority="5">
      <formula>P$1=""</formula>
    </cfRule>
  </conditionalFormatting>
  <conditionalFormatting sqref="P171:AA171 P169:AA169 P167:AA167">
    <cfRule type="expression" dxfId="7598" priority="4">
      <formula>P$1=""</formula>
    </cfRule>
  </conditionalFormatting>
  <conditionalFormatting sqref="P171:AA171 P169:AA169 P167:AA167">
    <cfRule type="expression" dxfId="7597" priority="3">
      <formula>P$1=""</formula>
    </cfRule>
  </conditionalFormatting>
  <conditionalFormatting sqref="P171:AA171 P169:AA169 P167:AA167">
    <cfRule type="expression" dxfId="7596" priority="2">
      <formula>P$1=""</formula>
    </cfRule>
  </conditionalFormatting>
  <conditionalFormatting sqref="P48:AA48 P50:AA50 P52:AA52">
    <cfRule type="expression" dxfId="7595" priority="1">
      <formula>P$1=""</formula>
    </cfRule>
  </conditionalFormatting>
  <hyperlinks>
    <hyperlink ref="A1:D1" location="оглавление!A1" tooltip="оглавление" display="оглавление"/>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249977111117893"/>
  </sheetPr>
  <dimension ref="A1:AB278"/>
  <sheetViews>
    <sheetView workbookViewId="0">
      <pane xSplit="14" ySplit="10" topLeftCell="O11" activePane="bottomRight" state="frozen"/>
      <selection pane="topRight" activeCell="O1" sqref="O1"/>
      <selection pane="bottomLeft" activeCell="A11" sqref="A11"/>
      <selection pane="bottomRight" activeCell="A2" sqref="A2"/>
    </sheetView>
  </sheetViews>
  <sheetFormatPr defaultColWidth="9.109375" defaultRowHeight="12" x14ac:dyDescent="0.25"/>
  <cols>
    <col min="1" max="1" width="2.6640625" style="151" customWidth="1"/>
    <col min="2" max="2" width="2.6640625" style="133" customWidth="1"/>
    <col min="3" max="3" width="2.6640625" style="1" customWidth="1"/>
    <col min="4" max="4" width="4"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tr">
        <f>операции!$M$1</f>
        <v>№года</v>
      </c>
      <c r="N1" s="42"/>
      <c r="O1" s="42"/>
      <c r="P1" s="43">
        <f>операции!P1</f>
        <v>1</v>
      </c>
      <c r="Q1" s="43">
        <f>операции!Q1</f>
        <v>2</v>
      </c>
      <c r="R1" s="43">
        <f>операции!R1</f>
        <v>3</v>
      </c>
      <c r="S1" s="43">
        <f>операции!S1</f>
        <v>4</v>
      </c>
      <c r="T1" s="43">
        <f>операции!T1</f>
        <v>5</v>
      </c>
      <c r="U1" s="43">
        <f>операции!U1</f>
        <v>6</v>
      </c>
      <c r="V1" s="43">
        <f>операции!V1</f>
        <v>7</v>
      </c>
      <c r="W1" s="43" t="str">
        <f>операции!W1</f>
        <v/>
      </c>
      <c r="X1" s="43" t="str">
        <f>операции!X1</f>
        <v/>
      </c>
      <c r="Y1" s="43" t="str">
        <f>операции!Y1</f>
        <v/>
      </c>
      <c r="Z1" s="43" t="str">
        <f>операции!Z1</f>
        <v/>
      </c>
      <c r="AA1" s="43" t="str">
        <f>операции!AA1</f>
        <v/>
      </c>
      <c r="AB1" s="2"/>
    </row>
    <row r="2" spans="1:28" x14ac:dyDescent="0.25">
      <c r="A2" s="149"/>
      <c r="B2" s="131"/>
      <c r="C2" s="2"/>
      <c r="D2" s="2"/>
      <c r="E2" s="2"/>
      <c r="F2" s="2"/>
      <c r="G2" s="2"/>
      <c r="H2" s="2"/>
      <c r="I2" s="28"/>
      <c r="J2" s="2"/>
      <c r="K2" s="28"/>
      <c r="L2" s="2"/>
      <c r="M2" s="52"/>
      <c r="N2" s="2"/>
      <c r="O2" s="2"/>
      <c r="P2" s="194">
        <v>1</v>
      </c>
      <c r="Q2" s="195">
        <f>P2+1</f>
        <v>2</v>
      </c>
      <c r="R2" s="195">
        <f t="shared" ref="R2:AA2" si="0">Q2+1</f>
        <v>3</v>
      </c>
      <c r="S2" s="195">
        <f t="shared" si="0"/>
        <v>4</v>
      </c>
      <c r="T2" s="195">
        <f t="shared" si="0"/>
        <v>5</v>
      </c>
      <c r="U2" s="195">
        <f t="shared" si="0"/>
        <v>6</v>
      </c>
      <c r="V2" s="195">
        <f t="shared" si="0"/>
        <v>7</v>
      </c>
      <c r="W2" s="195">
        <f t="shared" si="0"/>
        <v>8</v>
      </c>
      <c r="X2" s="195">
        <f t="shared" si="0"/>
        <v>9</v>
      </c>
      <c r="Y2" s="195">
        <f t="shared" si="0"/>
        <v>10</v>
      </c>
      <c r="Z2" s="195">
        <f t="shared" si="0"/>
        <v>11</v>
      </c>
      <c r="AA2" s="195">
        <f t="shared" si="0"/>
        <v>12</v>
      </c>
      <c r="AB2" s="2"/>
    </row>
    <row r="3" spans="1:28" x14ac:dyDescent="0.25">
      <c r="A3" s="149"/>
      <c r="B3" s="131"/>
      <c r="C3" s="89" t="str">
        <f>методология!$E$4</f>
        <v>Инвестмодель базы отдыха - Беседки &amp; Веревочный парк</v>
      </c>
      <c r="D3" s="20"/>
      <c r="E3" s="20"/>
      <c r="F3" s="2"/>
      <c r="G3" s="2"/>
      <c r="H3" s="2"/>
      <c r="I3" s="28"/>
      <c r="J3" s="302" t="s">
        <v>357</v>
      </c>
      <c r="K3" s="28"/>
      <c r="L3" s="2"/>
      <c r="M3" s="52"/>
      <c r="N3" s="2"/>
      <c r="O3" s="2"/>
      <c r="P3" s="2"/>
      <c r="Q3" s="2"/>
      <c r="R3" s="2"/>
      <c r="S3" s="2"/>
      <c r="T3" s="2"/>
      <c r="U3" s="2"/>
      <c r="V3" s="2"/>
      <c r="W3" s="2"/>
      <c r="X3" s="2"/>
      <c r="Y3" s="2"/>
      <c r="Z3" s="2"/>
      <c r="AA3" s="2"/>
      <c r="AB3" s="2"/>
    </row>
    <row r="4" spans="1:28" x14ac:dyDescent="0.25">
      <c r="A4" s="149"/>
      <c r="B4" s="131"/>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149"/>
      <c r="B5" s="131"/>
      <c r="C5" s="2"/>
      <c r="D5" s="2"/>
      <c r="E5" s="2"/>
      <c r="F5" s="2"/>
      <c r="G5" s="154" t="s">
        <v>309</v>
      </c>
      <c r="H5" s="2"/>
      <c r="I5" s="28"/>
      <c r="J5" s="2"/>
      <c r="K5" s="28"/>
      <c r="L5" s="2"/>
      <c r="M5" s="52"/>
      <c r="N5" s="2"/>
      <c r="O5" s="2"/>
      <c r="P5" s="2"/>
      <c r="Q5" s="2"/>
      <c r="R5" s="2"/>
      <c r="S5" s="2"/>
      <c r="T5" s="2"/>
      <c r="U5" s="2"/>
      <c r="V5" s="2"/>
      <c r="W5" s="2"/>
      <c r="X5" s="2"/>
      <c r="Y5" s="2"/>
      <c r="Z5" s="2"/>
      <c r="AA5" s="2"/>
      <c r="AB5" s="2"/>
    </row>
    <row r="6" spans="1:28" x14ac:dyDescent="0.25">
      <c r="A6" s="149"/>
      <c r="B6" s="131"/>
      <c r="C6" s="225" t="s">
        <v>332</v>
      </c>
      <c r="D6" s="210"/>
      <c r="E6" s="226"/>
      <c r="F6" s="2"/>
      <c r="G6" s="104" t="str">
        <f>сценарии!$J$7</f>
        <v>сценарий-1</v>
      </c>
      <c r="H6" s="2"/>
      <c r="I6" s="28"/>
      <c r="J6" s="2"/>
      <c r="K6" s="28"/>
      <c r="L6" s="2"/>
      <c r="M6" s="52"/>
      <c r="N6" s="2"/>
      <c r="O6" s="2"/>
      <c r="P6" s="96" t="str">
        <f>операции!P6</f>
        <v>2022г.</v>
      </c>
      <c r="Q6" s="96" t="str">
        <f>операции!Q6</f>
        <v>2023г.</v>
      </c>
      <c r="R6" s="96" t="str">
        <f>операции!R6</f>
        <v>2024г.</v>
      </c>
      <c r="S6" s="96" t="str">
        <f>операции!S6</f>
        <v>2025г.</v>
      </c>
      <c r="T6" s="96" t="str">
        <f>операции!T6</f>
        <v>2026г.</v>
      </c>
      <c r="U6" s="96" t="str">
        <f>операции!U6</f>
        <v>2027г.</v>
      </c>
      <c r="V6" s="96" t="str">
        <f>операции!V6</f>
        <v>2028г.</v>
      </c>
      <c r="W6" s="96" t="str">
        <f>операции!W6</f>
        <v/>
      </c>
      <c r="X6" s="96" t="str">
        <f>операции!X6</f>
        <v/>
      </c>
      <c r="Y6" s="96" t="str">
        <f>операции!Y6</f>
        <v/>
      </c>
      <c r="Z6" s="96" t="str">
        <f>операции!Z6</f>
        <v/>
      </c>
      <c r="AA6" s="96" t="str">
        <f>операции!AA6</f>
        <v/>
      </c>
      <c r="AB6" s="2"/>
    </row>
    <row r="7" spans="1:28" ht="12.6" thickBot="1" x14ac:dyDescent="0.3">
      <c r="A7" s="149"/>
      <c r="B7" s="182" t="s">
        <v>285</v>
      </c>
      <c r="C7" s="2"/>
      <c r="D7" s="2"/>
      <c r="E7" s="2"/>
      <c r="F7" s="2"/>
      <c r="G7" s="2"/>
      <c r="H7" s="2"/>
      <c r="I7" s="28"/>
      <c r="J7" s="2"/>
      <c r="K7" s="28"/>
      <c r="L7" s="2"/>
      <c r="M7" s="52"/>
      <c r="N7" s="2"/>
      <c r="O7" s="2"/>
      <c r="P7" s="94">
        <f>операции!P7</f>
        <v>44562</v>
      </c>
      <c r="Q7" s="94">
        <f>операции!Q7</f>
        <v>44927</v>
      </c>
      <c r="R7" s="94">
        <f>операции!R7</f>
        <v>45292</v>
      </c>
      <c r="S7" s="94">
        <f>операции!S7</f>
        <v>45658</v>
      </c>
      <c r="T7" s="94">
        <f>операции!T7</f>
        <v>46023</v>
      </c>
      <c r="U7" s="94">
        <f>операции!U7</f>
        <v>46388</v>
      </c>
      <c r="V7" s="94">
        <f>операции!V7</f>
        <v>46753</v>
      </c>
      <c r="W7" s="94" t="str">
        <f>операции!W7</f>
        <v/>
      </c>
      <c r="X7" s="94" t="str">
        <f>операции!X7</f>
        <v/>
      </c>
      <c r="Y7" s="94" t="str">
        <f>операции!Y7</f>
        <v/>
      </c>
      <c r="Z7" s="94" t="str">
        <f>операции!Z7</f>
        <v/>
      </c>
      <c r="AA7" s="94" t="str">
        <f>операции!AA7</f>
        <v/>
      </c>
      <c r="AB7" s="2"/>
    </row>
    <row r="8" spans="1:28" s="5" customFormat="1" ht="12.6" thickBot="1" x14ac:dyDescent="0.3">
      <c r="A8" s="150">
        <f>1</f>
        <v>1</v>
      </c>
      <c r="B8" s="152"/>
      <c r="C8" s="3"/>
      <c r="D8" s="3"/>
      <c r="E8" s="3" t="str">
        <f>KPI!$E$8</f>
        <v>KPI</v>
      </c>
      <c r="F8" s="3"/>
      <c r="G8" s="28" t="str">
        <f>KPI!$G$8</f>
        <v>ед.изм.</v>
      </c>
      <c r="H8" s="3"/>
      <c r="I8" s="28"/>
      <c r="J8" s="3"/>
      <c r="K8" s="28"/>
      <c r="L8" s="3"/>
      <c r="M8" s="53" t="str">
        <f>операции!M8</f>
        <v>итого</v>
      </c>
      <c r="N8" s="3"/>
      <c r="O8" s="3"/>
      <c r="P8" s="95">
        <f>операции!P8</f>
        <v>44926</v>
      </c>
      <c r="Q8" s="95">
        <f>операции!Q8</f>
        <v>45291</v>
      </c>
      <c r="R8" s="95">
        <f>операции!R8</f>
        <v>45657</v>
      </c>
      <c r="S8" s="95">
        <f>операции!S8</f>
        <v>46022</v>
      </c>
      <c r="T8" s="95">
        <f>операции!T8</f>
        <v>46387</v>
      </c>
      <c r="U8" s="95">
        <f>операции!U8</f>
        <v>46752</v>
      </c>
      <c r="V8" s="95">
        <f>операции!V8</f>
        <v>47118</v>
      </c>
      <c r="W8" s="95" t="str">
        <f>операции!W8</f>
        <v/>
      </c>
      <c r="X8" s="95" t="str">
        <f>операции!X8</f>
        <v/>
      </c>
      <c r="Y8" s="95" t="str">
        <f>операции!Y8</f>
        <v/>
      </c>
      <c r="Z8" s="95" t="str">
        <f>операции!Z8</f>
        <v/>
      </c>
      <c r="AA8" s="95" t="str">
        <f>операции!AA8</f>
        <v/>
      </c>
      <c r="AB8" s="3"/>
    </row>
    <row r="9" spans="1:28" ht="3.9" hidden="1" customHeight="1" x14ac:dyDescent="0.25">
      <c r="A9" s="149">
        <f>1</f>
        <v>1</v>
      </c>
      <c r="B9" s="131"/>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hidden="1" customHeight="1" x14ac:dyDescent="0.25">
      <c r="A10" s="149">
        <f>1</f>
        <v>1</v>
      </c>
      <c r="B10" s="131"/>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hidden="1" x14ac:dyDescent="0.25">
      <c r="A11" s="150">
        <f>1</f>
        <v>1</v>
      </c>
      <c r="B11" s="131"/>
      <c r="C11" s="3"/>
      <c r="D11" s="3"/>
      <c r="E11" s="296" t="str">
        <f>KPI!$E$112</f>
        <v>Площадь земли под веревочный парк</v>
      </c>
      <c r="F11" s="296"/>
      <c r="G11" s="296" t="str">
        <f>IF($E11="","",INDEX(KPI!$G:$G,SUMIFS(KPI!$B:$B,KPI!$E:$E,$E11)))</f>
        <v>Га</v>
      </c>
      <c r="H11" s="3"/>
      <c r="I11" s="28"/>
      <c r="J11" s="3"/>
      <c r="K11" s="28"/>
      <c r="L11" s="3"/>
      <c r="M11" s="55"/>
      <c r="N11" s="3"/>
      <c r="O11" s="3"/>
      <c r="P11" s="301">
        <f>IF(P$1="",0,аренда!$M$43)</f>
        <v>1.1000000000000001</v>
      </c>
      <c r="Q11" s="301">
        <f>IF(Q$1="",0,аренда!$M$43)</f>
        <v>1.1000000000000001</v>
      </c>
      <c r="R11" s="301">
        <f>IF(R$1="",0,аренда!$M$43)</f>
        <v>1.1000000000000001</v>
      </c>
      <c r="S11" s="301">
        <f>IF(S$1="",0,аренда!$M$43)</f>
        <v>1.1000000000000001</v>
      </c>
      <c r="T11" s="301">
        <f>IF(T$1="",0,аренда!$M$43)</f>
        <v>1.1000000000000001</v>
      </c>
      <c r="U11" s="301">
        <f>IF(U$1="",0,аренда!$M$43)</f>
        <v>1.1000000000000001</v>
      </c>
      <c r="V11" s="301">
        <f>IF(V$1="",0,аренда!$M$43)</f>
        <v>1.1000000000000001</v>
      </c>
      <c r="W11" s="301">
        <f>IF(W$1="",0,аренда!$M$43)</f>
        <v>0</v>
      </c>
      <c r="X11" s="301">
        <f>IF(X$1="",0,аренда!$M$43)</f>
        <v>0</v>
      </c>
      <c r="Y11" s="301">
        <f>IF(Y$1="",0,аренда!$M$43)</f>
        <v>0</v>
      </c>
      <c r="Z11" s="301">
        <f>IF(Z$1="",0,аренда!$M$43)</f>
        <v>0</v>
      </c>
      <c r="AA11" s="301">
        <f>IF(AA$1="",0,аренда!$M$43)</f>
        <v>0</v>
      </c>
      <c r="AB11" s="3"/>
    </row>
    <row r="12" spans="1:28" ht="3.9" hidden="1" customHeight="1" x14ac:dyDescent="0.25">
      <c r="A12" s="149">
        <f>1</f>
        <v>1</v>
      </c>
      <c r="B12" s="131"/>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hidden="1" x14ac:dyDescent="0.25">
      <c r="A13" s="150">
        <f>1</f>
        <v>1</v>
      </c>
      <c r="B13" s="131"/>
      <c r="C13" s="3"/>
      <c r="D13" s="3"/>
      <c r="E13" s="181" t="s">
        <v>274</v>
      </c>
      <c r="F13" s="3"/>
      <c r="G13" s="3"/>
      <c r="H13" s="3"/>
      <c r="I13" s="28"/>
      <c r="J13" s="3"/>
      <c r="K13" s="28"/>
      <c r="L13" s="3"/>
      <c r="M13" s="55"/>
      <c r="N13" s="3"/>
      <c r="O13" s="3"/>
      <c r="P13" s="46"/>
      <c r="Q13" s="46"/>
      <c r="R13" s="46"/>
      <c r="S13" s="46"/>
      <c r="T13" s="46"/>
      <c r="U13" s="46"/>
      <c r="V13" s="46"/>
      <c r="W13" s="46"/>
      <c r="X13" s="46"/>
      <c r="Y13" s="46"/>
      <c r="Z13" s="46"/>
      <c r="AA13" s="46"/>
      <c r="AB13" s="3"/>
    </row>
    <row r="14" spans="1:28" ht="8.1" hidden="1" customHeight="1" x14ac:dyDescent="0.25">
      <c r="A14" s="149">
        <f>1</f>
        <v>1</v>
      </c>
      <c r="B14" s="131"/>
      <c r="C14" s="2"/>
      <c r="D14" s="2"/>
      <c r="E14" s="2"/>
      <c r="F14" s="2"/>
      <c r="G14" s="2"/>
      <c r="H14" s="2"/>
      <c r="I14" s="28"/>
      <c r="J14" s="2"/>
      <c r="K14" s="28"/>
      <c r="L14" s="2"/>
      <c r="M14" s="52"/>
      <c r="N14" s="2"/>
      <c r="O14" s="2"/>
      <c r="P14" s="36"/>
      <c r="Q14" s="36"/>
      <c r="R14" s="36"/>
      <c r="S14" s="36"/>
      <c r="T14" s="36"/>
      <c r="U14" s="36"/>
      <c r="V14" s="36"/>
      <c r="W14" s="36"/>
      <c r="X14" s="36"/>
      <c r="Y14" s="36"/>
      <c r="Z14" s="36"/>
      <c r="AA14" s="36"/>
      <c r="AB14" s="2"/>
    </row>
    <row r="15" spans="1:28" ht="3.9" hidden="1" customHeight="1" x14ac:dyDescent="0.25">
      <c r="A15" s="149">
        <f>1</f>
        <v>1</v>
      </c>
      <c r="B15" s="131"/>
      <c r="C15" s="2"/>
      <c r="D15" s="2"/>
      <c r="E15" s="2"/>
      <c r="F15" s="2"/>
      <c r="G15" s="2"/>
      <c r="H15" s="2"/>
      <c r="I15" s="28"/>
      <c r="J15" s="2"/>
      <c r="K15" s="28"/>
      <c r="L15" s="2"/>
      <c r="M15" s="52"/>
      <c r="N15" s="2"/>
      <c r="O15" s="2"/>
      <c r="P15" s="36"/>
      <c r="Q15" s="36"/>
      <c r="R15" s="36"/>
      <c r="S15" s="36"/>
      <c r="T15" s="36"/>
      <c r="U15" s="36"/>
      <c r="V15" s="36"/>
      <c r="W15" s="36"/>
      <c r="X15" s="36"/>
      <c r="Y15" s="36"/>
      <c r="Z15" s="36"/>
      <c r="AA15" s="36"/>
      <c r="AB15" s="2"/>
    </row>
    <row r="16" spans="1:28" s="5" customFormat="1" hidden="1" x14ac:dyDescent="0.25">
      <c r="A16" s="150">
        <f>1</f>
        <v>1</v>
      </c>
      <c r="B16" s="132" t="str">
        <f>структура!$J$12</f>
        <v>ОСНО</v>
      </c>
      <c r="C16" s="3"/>
      <c r="D16" s="3"/>
      <c r="E16" s="89" t="str">
        <f>KPI!$E$74</f>
        <v>ВЫРУЧКА</v>
      </c>
      <c r="F16" s="89"/>
      <c r="G16" s="89" t="str">
        <f>IF($E16="","",INDEX(KPI!$G:$G,SUMIFS(KPI!$B:$B,KPI!$E:$E,$E16)))</f>
        <v>тыс.руб.</v>
      </c>
      <c r="H16" s="89"/>
      <c r="I16" s="90"/>
      <c r="J16" s="130" t="str">
        <f>структура!$AL$21</f>
        <v>Без НДС</v>
      </c>
      <c r="K16" s="90"/>
      <c r="L16" s="89"/>
      <c r="M16" s="92">
        <f>SUM($O16:$AB16)</f>
        <v>41499.999999999993</v>
      </c>
      <c r="N16" s="3"/>
      <c r="O16" s="3"/>
      <c r="P16" s="93">
        <f>IF(P$1="",0,IF(1+операции!P$421=0,0,(операции!P$197)/(1+операции!P$421)))</f>
        <v>3749.9999999999995</v>
      </c>
      <c r="Q16" s="93">
        <f>IF(Q$1="",0,IF(1+операции!Q$421=0,0,(операции!Q$197)/(1+операции!Q$421)))</f>
        <v>4249.9999999999991</v>
      </c>
      <c r="R16" s="93">
        <f>IF(R$1="",0,IF(1+операции!R$421=0,0,(операции!R$197)/(1+операции!R$421)))</f>
        <v>4999.9999999999991</v>
      </c>
      <c r="S16" s="93">
        <f>IF(S$1="",0,IF(1+операции!S$421=0,0,(операции!S$197)/(1+операции!S$421)))</f>
        <v>5499.9999999999991</v>
      </c>
      <c r="T16" s="93">
        <f>IF(T$1="",0,IF(1+операции!T$421=0,0,(операции!T$197)/(1+операции!T$421)))</f>
        <v>6249.9999999999991</v>
      </c>
      <c r="U16" s="93">
        <f>IF(U$1="",0,IF(1+операции!U$421=0,0,(операции!U$197)/(1+операции!U$421)))</f>
        <v>7499.9999999999991</v>
      </c>
      <c r="V16" s="93">
        <f>IF(V$1="",0,IF(1+операции!V$421=0,0,(операции!V$197)/(1+операции!V$421)))</f>
        <v>9249.9999999999982</v>
      </c>
      <c r="W16" s="93">
        <f>IF(W$1="",0,IF(1+операции!W$421=0,0,(операции!W$197)/(1+операции!W$421)))</f>
        <v>0</v>
      </c>
      <c r="X16" s="93">
        <f>IF(X$1="",0,IF(1+операции!X$421=0,0,(операции!X$197)/(1+операции!X$421)))</f>
        <v>0</v>
      </c>
      <c r="Y16" s="93">
        <f>IF(Y$1="",0,IF(1+операции!Y$421=0,0,(операции!Y$197)/(1+операции!Y$421)))</f>
        <v>0</v>
      </c>
      <c r="Z16" s="93">
        <f>IF(Z$1="",0,IF(1+операции!Z$421=0,0,(операции!Z$197)/(1+операции!Z$421)))</f>
        <v>0</v>
      </c>
      <c r="AA16" s="93">
        <f>IF(AA$1="",0,IF(1+операции!AA$421=0,0,(операции!AA$197)/(1+операции!AA$421)))</f>
        <v>0</v>
      </c>
      <c r="AB16" s="3"/>
    </row>
    <row r="17" spans="1:28" ht="3.9" hidden="1" customHeight="1" x14ac:dyDescent="0.25">
      <c r="A17" s="149">
        <f>1</f>
        <v>1</v>
      </c>
      <c r="B17" s="131"/>
      <c r="C17" s="2"/>
      <c r="D17" s="2"/>
      <c r="E17" s="2"/>
      <c r="F17" s="2"/>
      <c r="G17" s="2"/>
      <c r="H17" s="2"/>
      <c r="I17" s="28"/>
      <c r="J17" s="2"/>
      <c r="K17" s="28"/>
      <c r="L17" s="2"/>
      <c r="M17" s="52"/>
      <c r="N17" s="2"/>
      <c r="O17" s="2"/>
      <c r="P17" s="36"/>
      <c r="Q17" s="36"/>
      <c r="R17" s="36"/>
      <c r="S17" s="36"/>
      <c r="T17" s="36"/>
      <c r="U17" s="36"/>
      <c r="V17" s="36"/>
      <c r="W17" s="36"/>
      <c r="X17" s="36"/>
      <c r="Y17" s="36"/>
      <c r="Z17" s="36"/>
      <c r="AA17" s="36"/>
      <c r="AB17" s="2"/>
    </row>
    <row r="18" spans="1:28" s="5" customFormat="1" hidden="1" x14ac:dyDescent="0.25">
      <c r="A18" s="150">
        <f>1</f>
        <v>1</v>
      </c>
      <c r="B18" s="132" t="str">
        <f>структура!$J$13</f>
        <v>УСН(6%)</v>
      </c>
      <c r="C18" s="3"/>
      <c r="D18" s="3"/>
      <c r="E18" s="89" t="str">
        <f>E16</f>
        <v>ВЫРУЧКА</v>
      </c>
      <c r="F18" s="89"/>
      <c r="G18" s="89" t="str">
        <f>IF($E18="","",INDEX(KPI!$G:$G,SUMIFS(KPI!$B:$B,KPI!$E:$E,$E18)))</f>
        <v>тыс.руб.</v>
      </c>
      <c r="H18" s="89"/>
      <c r="I18" s="90"/>
      <c r="J18" s="130"/>
      <c r="K18" s="90"/>
      <c r="L18" s="89"/>
      <c r="M18" s="92">
        <f>SUM($O18:$AB18)</f>
        <v>49799.999999999993</v>
      </c>
      <c r="N18" s="3"/>
      <c r="O18" s="3"/>
      <c r="P18" s="93">
        <f>IF(P$1="",0,операции!P$197)</f>
        <v>4499.9999999999991</v>
      </c>
      <c r="Q18" s="93">
        <f>IF(Q$1="",0,операции!Q$197)</f>
        <v>5099.9999999999991</v>
      </c>
      <c r="R18" s="93">
        <f>IF(R$1="",0,операции!R$197)</f>
        <v>5999.9999999999991</v>
      </c>
      <c r="S18" s="93">
        <f>IF(S$1="",0,операции!S$197)</f>
        <v>6599.9999999999991</v>
      </c>
      <c r="T18" s="93">
        <f>IF(T$1="",0,операции!T$197)</f>
        <v>7499.9999999999982</v>
      </c>
      <c r="U18" s="93">
        <f>IF(U$1="",0,операции!U$197)</f>
        <v>8999.9999999999982</v>
      </c>
      <c r="V18" s="93">
        <f>IF(V$1="",0,операции!V$197)</f>
        <v>11099.999999999998</v>
      </c>
      <c r="W18" s="93">
        <f>IF(W$1="",0,операции!W$197)</f>
        <v>0</v>
      </c>
      <c r="X18" s="93">
        <f>IF(X$1="",0,операции!X$197)</f>
        <v>0</v>
      </c>
      <c r="Y18" s="93">
        <f>IF(Y$1="",0,операции!Y$197)</f>
        <v>0</v>
      </c>
      <c r="Z18" s="93">
        <f>IF(Z$1="",0,операции!Z$197)</f>
        <v>0</v>
      </c>
      <c r="AA18" s="93">
        <f>IF(AA$1="",0,операции!AA$197)</f>
        <v>0</v>
      </c>
      <c r="AB18" s="3"/>
    </row>
    <row r="19" spans="1:28" ht="3.9" hidden="1" customHeight="1" x14ac:dyDescent="0.25">
      <c r="A19" s="149">
        <f>1</f>
        <v>1</v>
      </c>
      <c r="B19" s="131"/>
      <c r="C19" s="2"/>
      <c r="D19" s="2"/>
      <c r="E19" s="2"/>
      <c r="F19" s="2"/>
      <c r="G19" s="2"/>
      <c r="H19" s="2"/>
      <c r="I19" s="28"/>
      <c r="J19" s="2"/>
      <c r="K19" s="28"/>
      <c r="L19" s="2"/>
      <c r="M19" s="52"/>
      <c r="N19" s="2"/>
      <c r="O19" s="2"/>
      <c r="P19" s="36"/>
      <c r="Q19" s="36"/>
      <c r="R19" s="36"/>
      <c r="S19" s="36"/>
      <c r="T19" s="36"/>
      <c r="U19" s="36"/>
      <c r="V19" s="36"/>
      <c r="W19" s="36"/>
      <c r="X19" s="36"/>
      <c r="Y19" s="36"/>
      <c r="Z19" s="36"/>
      <c r="AA19" s="36"/>
      <c r="AB19" s="2"/>
    </row>
    <row r="20" spans="1:28" s="5" customFormat="1" hidden="1" x14ac:dyDescent="0.25">
      <c r="A20" s="150">
        <f>1</f>
        <v>1</v>
      </c>
      <c r="B20" s="132" t="str">
        <f>структура!$J$14</f>
        <v>УСН(15%)</v>
      </c>
      <c r="C20" s="3"/>
      <c r="D20" s="3"/>
      <c r="E20" s="89" t="str">
        <f>E16</f>
        <v>ВЫРУЧКА</v>
      </c>
      <c r="F20" s="89"/>
      <c r="G20" s="89" t="str">
        <f>IF($E20="","",INDEX(KPI!$G:$G,SUMIFS(KPI!$B:$B,KPI!$E:$E,$E20)))</f>
        <v>тыс.руб.</v>
      </c>
      <c r="H20" s="89"/>
      <c r="I20" s="90"/>
      <c r="J20" s="130"/>
      <c r="K20" s="90"/>
      <c r="L20" s="89"/>
      <c r="M20" s="92">
        <f>SUM($O20:$AB20)</f>
        <v>49799.999999999993</v>
      </c>
      <c r="N20" s="3"/>
      <c r="O20" s="3"/>
      <c r="P20" s="93">
        <f>IF(P$1="",0,операции!P$197)</f>
        <v>4499.9999999999991</v>
      </c>
      <c r="Q20" s="93">
        <f>IF(Q$1="",0,операции!Q$197)</f>
        <v>5099.9999999999991</v>
      </c>
      <c r="R20" s="93">
        <f>IF(R$1="",0,операции!R$197)</f>
        <v>5999.9999999999991</v>
      </c>
      <c r="S20" s="93">
        <f>IF(S$1="",0,операции!S$197)</f>
        <v>6599.9999999999991</v>
      </c>
      <c r="T20" s="93">
        <f>IF(T$1="",0,операции!T$197)</f>
        <v>7499.9999999999982</v>
      </c>
      <c r="U20" s="93">
        <f>IF(U$1="",0,операции!U$197)</f>
        <v>8999.9999999999982</v>
      </c>
      <c r="V20" s="93">
        <f>IF(V$1="",0,операции!V$197)</f>
        <v>11099.999999999998</v>
      </c>
      <c r="W20" s="93">
        <f>IF(W$1="",0,операции!W$197)</f>
        <v>0</v>
      </c>
      <c r="X20" s="93">
        <f>IF(X$1="",0,операции!X$197)</f>
        <v>0</v>
      </c>
      <c r="Y20" s="93">
        <f>IF(Y$1="",0,операции!Y$197)</f>
        <v>0</v>
      </c>
      <c r="Z20" s="93">
        <f>IF(Z$1="",0,операции!Z$197)</f>
        <v>0</v>
      </c>
      <c r="AA20" s="93">
        <f>IF(AA$1="",0,операции!AA$197)</f>
        <v>0</v>
      </c>
      <c r="AB20" s="3"/>
    </row>
    <row r="21" spans="1:28" ht="3.9" hidden="1" customHeight="1" x14ac:dyDescent="0.25">
      <c r="A21" s="149">
        <f>1</f>
        <v>1</v>
      </c>
      <c r="B21" s="131"/>
      <c r="C21" s="2"/>
      <c r="D21" s="2"/>
      <c r="E21" s="2"/>
      <c r="F21" s="2"/>
      <c r="G21" s="2"/>
      <c r="H21" s="2"/>
      <c r="I21" s="28"/>
      <c r="J21" s="2"/>
      <c r="K21" s="28"/>
      <c r="L21" s="2"/>
      <c r="M21" s="52"/>
      <c r="N21" s="2"/>
      <c r="O21" s="2"/>
      <c r="P21" s="36"/>
      <c r="Q21" s="36"/>
      <c r="R21" s="36"/>
      <c r="S21" s="36"/>
      <c r="T21" s="36"/>
      <c r="U21" s="36"/>
      <c r="V21" s="36"/>
      <c r="W21" s="36"/>
      <c r="X21" s="36"/>
      <c r="Y21" s="36"/>
      <c r="Z21" s="36"/>
      <c r="AA21" s="36"/>
      <c r="AB21" s="2"/>
    </row>
    <row r="22" spans="1:28" s="5" customFormat="1" x14ac:dyDescent="0.25">
      <c r="A22" s="150">
        <f>1</f>
        <v>1</v>
      </c>
      <c r="B22" s="132" t="str">
        <f>структура!$J$15</f>
        <v>УСН(6%)-ИП</v>
      </c>
      <c r="C22" s="3"/>
      <c r="D22" s="3"/>
      <c r="E22" s="89" t="str">
        <f>E16</f>
        <v>ВЫРУЧКА</v>
      </c>
      <c r="F22" s="89"/>
      <c r="G22" s="89" t="str">
        <f>IF($E22="","",INDEX(KPI!$G:$G,SUMIFS(KPI!$B:$B,KPI!$E:$E,$E22)))</f>
        <v>тыс.руб.</v>
      </c>
      <c r="H22" s="89"/>
      <c r="I22" s="90"/>
      <c r="J22" s="130"/>
      <c r="K22" s="90"/>
      <c r="L22" s="89"/>
      <c r="M22" s="92">
        <f>SUM($O22:$AB22)</f>
        <v>49799.999999999993</v>
      </c>
      <c r="N22" s="3"/>
      <c r="O22" s="3"/>
      <c r="P22" s="93">
        <f>IF(P$1="",0,операции!P$197)</f>
        <v>4499.9999999999991</v>
      </c>
      <c r="Q22" s="93">
        <f>IF(Q$1="",0,операции!Q$197)</f>
        <v>5099.9999999999991</v>
      </c>
      <c r="R22" s="93">
        <f>IF(R$1="",0,операции!R$197)</f>
        <v>5999.9999999999991</v>
      </c>
      <c r="S22" s="93">
        <f>IF(S$1="",0,операции!S$197)</f>
        <v>6599.9999999999991</v>
      </c>
      <c r="T22" s="93">
        <f>IF(T$1="",0,операции!T$197)</f>
        <v>7499.9999999999982</v>
      </c>
      <c r="U22" s="93">
        <f>IF(U$1="",0,операции!U$197)</f>
        <v>8999.9999999999982</v>
      </c>
      <c r="V22" s="93">
        <f>IF(V$1="",0,операции!V$197)</f>
        <v>11099.999999999998</v>
      </c>
      <c r="W22" s="93">
        <f>IF(W$1="",0,операции!W$197)</f>
        <v>0</v>
      </c>
      <c r="X22" s="93">
        <f>IF(X$1="",0,операции!X$197)</f>
        <v>0</v>
      </c>
      <c r="Y22" s="93">
        <f>IF(Y$1="",0,операции!Y$197)</f>
        <v>0</v>
      </c>
      <c r="Z22" s="93">
        <f>IF(Z$1="",0,операции!Z$197)</f>
        <v>0</v>
      </c>
      <c r="AA22" s="93">
        <f>IF(AA$1="",0,операции!AA$197)</f>
        <v>0</v>
      </c>
      <c r="AB22" s="3"/>
    </row>
    <row r="23" spans="1:28" ht="3.9" hidden="1" customHeight="1" x14ac:dyDescent="0.25">
      <c r="A23" s="149">
        <f>1</f>
        <v>1</v>
      </c>
      <c r="B23" s="131"/>
      <c r="C23" s="2"/>
      <c r="D23" s="2"/>
      <c r="E23" s="117"/>
      <c r="F23" s="2"/>
      <c r="G23" s="117"/>
      <c r="H23" s="2"/>
      <c r="I23" s="28"/>
      <c r="J23" s="2"/>
      <c r="K23" s="28"/>
      <c r="L23" s="2"/>
      <c r="M23" s="138"/>
      <c r="N23" s="2"/>
      <c r="O23" s="2"/>
      <c r="P23" s="36"/>
      <c r="Q23" s="36"/>
      <c r="R23" s="36"/>
      <c r="S23" s="36"/>
      <c r="T23" s="36"/>
      <c r="U23" s="36"/>
      <c r="V23" s="36"/>
      <c r="W23" s="36"/>
      <c r="X23" s="36"/>
      <c r="Y23" s="36"/>
      <c r="Z23" s="36"/>
      <c r="AA23" s="36"/>
      <c r="AB23" s="2"/>
    </row>
    <row r="24" spans="1:28" ht="8.1" hidden="1" customHeight="1" x14ac:dyDescent="0.25">
      <c r="A24" s="149">
        <f>1</f>
        <v>1</v>
      </c>
      <c r="B24" s="131"/>
      <c r="C24" s="2"/>
      <c r="D24" s="2"/>
      <c r="E24" s="2"/>
      <c r="F24" s="2"/>
      <c r="G24" s="2"/>
      <c r="H24" s="2"/>
      <c r="I24" s="28"/>
      <c r="J24" s="2"/>
      <c r="K24" s="28"/>
      <c r="L24" s="2"/>
      <c r="M24" s="52"/>
      <c r="N24" s="2"/>
      <c r="O24" s="2"/>
      <c r="P24" s="36"/>
      <c r="Q24" s="36"/>
      <c r="R24" s="36"/>
      <c r="S24" s="36"/>
      <c r="T24" s="36"/>
      <c r="U24" s="36"/>
      <c r="V24" s="36"/>
      <c r="W24" s="36"/>
      <c r="X24" s="36"/>
      <c r="Y24" s="36"/>
      <c r="Z24" s="36"/>
      <c r="AA24" s="36"/>
      <c r="AB24" s="2"/>
    </row>
    <row r="25" spans="1:28" ht="3.9" hidden="1" customHeight="1" x14ac:dyDescent="0.25">
      <c r="A25" s="149">
        <f>1</f>
        <v>1</v>
      </c>
      <c r="B25" s="131"/>
      <c r="C25" s="2"/>
      <c r="D25" s="2"/>
      <c r="E25" s="2"/>
      <c r="F25" s="2"/>
      <c r="G25" s="2"/>
      <c r="H25" s="2"/>
      <c r="I25" s="28"/>
      <c r="J25" s="2"/>
      <c r="K25" s="28"/>
      <c r="L25" s="2"/>
      <c r="M25" s="52"/>
      <c r="N25" s="2"/>
      <c r="O25" s="2"/>
      <c r="P25" s="36"/>
      <c r="Q25" s="36"/>
      <c r="R25" s="36"/>
      <c r="S25" s="36"/>
      <c r="T25" s="36"/>
      <c r="U25" s="36"/>
      <c r="V25" s="36"/>
      <c r="W25" s="36"/>
      <c r="X25" s="36"/>
      <c r="Y25" s="36"/>
      <c r="Z25" s="36"/>
      <c r="AA25" s="36"/>
      <c r="AB25" s="2"/>
    </row>
    <row r="26" spans="1:28" s="5" customFormat="1" hidden="1" x14ac:dyDescent="0.25">
      <c r="A26" s="150">
        <f>1</f>
        <v>1</v>
      </c>
      <c r="B26" s="132" t="str">
        <f>структура!$J$12</f>
        <v>ОСНО</v>
      </c>
      <c r="C26" s="3"/>
      <c r="D26" s="3"/>
      <c r="E26" s="89" t="str">
        <f>KPI!$E$75</f>
        <v>ОПЕРАЦИОННЫЕ РАСХОДЫ</v>
      </c>
      <c r="F26" s="89"/>
      <c r="G26" s="89" t="str">
        <f>IF($E26="","",INDEX(KPI!$G:$G,SUMIFS(KPI!$B:$B,KPI!$E:$E,$E26)))</f>
        <v>тыс.руб.</v>
      </c>
      <c r="H26" s="89"/>
      <c r="I26" s="90"/>
      <c r="J26" s="130" t="str">
        <f>структура!$AL$21</f>
        <v>Без НДС</v>
      </c>
      <c r="K26" s="90"/>
      <c r="L26" s="89"/>
      <c r="M26" s="92">
        <f>SUM($O26:$AB26)</f>
        <v>28429.842020261847</v>
      </c>
      <c r="N26" s="3"/>
      <c r="O26" s="3"/>
      <c r="P26" s="93">
        <f>IF(P$1="",0,SUMIFS(P33:P$113,$B33:$B$113,$B26))</f>
        <v>3812.1772544585974</v>
      </c>
      <c r="Q26" s="93">
        <f>IF(Q$1="",0,SUMIFS(Q33:Q$113,$B33:$B$113,$B26))</f>
        <v>3893.1500099547275</v>
      </c>
      <c r="R26" s="93">
        <f>IF(R$1="",0,SUMIFS(R33:R$113,$B33:$B$113,$B26))</f>
        <v>3963.8824599067793</v>
      </c>
      <c r="S26" s="93">
        <f>IF(S$1="",0,SUMIFS(S33:S$113,$B33:$B$113,$B26))</f>
        <v>3983.5585410885824</v>
      </c>
      <c r="T26" s="93">
        <f>IF(T$1="",0,SUMIFS(T33:T$113,$B33:$B$113,$B26))</f>
        <v>4087.6700543410961</v>
      </c>
      <c r="U26" s="93">
        <f>IF(U$1="",0,SUMIFS(U33:U$113,$B33:$B$113,$B26))</f>
        <v>4237.2116028513401</v>
      </c>
      <c r="V26" s="93">
        <f>IF(V$1="",0,SUMIFS(V33:V$113,$B33:$B$113,$B26))</f>
        <v>4452.1920976607262</v>
      </c>
      <c r="W26" s="93">
        <f>IF(W$1="",0,SUMIFS(W33:W$113,$B33:$B$113,$B26))</f>
        <v>0</v>
      </c>
      <c r="X26" s="93">
        <f>IF(X$1="",0,SUMIFS(X33:X$113,$B33:$B$113,$B26))</f>
        <v>0</v>
      </c>
      <c r="Y26" s="93">
        <f>IF(Y$1="",0,SUMIFS(Y33:Y$113,$B33:$B$113,$B26))</f>
        <v>0</v>
      </c>
      <c r="Z26" s="93">
        <f>IF(Z$1="",0,SUMIFS(Z33:Z$113,$B33:$B$113,$B26))</f>
        <v>0</v>
      </c>
      <c r="AA26" s="93">
        <f>IF(AA$1="",0,SUMIFS(AA33:AA$113,$B33:$B$113,$B26))</f>
        <v>0</v>
      </c>
      <c r="AB26" s="3"/>
    </row>
    <row r="27" spans="1:28" ht="3.9" hidden="1" customHeight="1" x14ac:dyDescent="0.25">
      <c r="A27" s="149">
        <f>1</f>
        <v>1</v>
      </c>
      <c r="B27" s="131"/>
      <c r="C27" s="2"/>
      <c r="D27" s="2"/>
      <c r="E27" s="2"/>
      <c r="F27" s="2"/>
      <c r="G27" s="2"/>
      <c r="H27" s="2"/>
      <c r="I27" s="28"/>
      <c r="J27" s="2"/>
      <c r="K27" s="28"/>
      <c r="L27" s="2"/>
      <c r="M27" s="52"/>
      <c r="N27" s="2"/>
      <c r="O27" s="2"/>
      <c r="P27" s="36"/>
      <c r="Q27" s="36"/>
      <c r="R27" s="36"/>
      <c r="S27" s="36"/>
      <c r="T27" s="36"/>
      <c r="U27" s="36"/>
      <c r="V27" s="36"/>
      <c r="W27" s="36"/>
      <c r="X27" s="36"/>
      <c r="Y27" s="36"/>
      <c r="Z27" s="36"/>
      <c r="AA27" s="36"/>
      <c r="AB27" s="2"/>
    </row>
    <row r="28" spans="1:28" s="5" customFormat="1" hidden="1" x14ac:dyDescent="0.25">
      <c r="A28" s="150">
        <f>1</f>
        <v>1</v>
      </c>
      <c r="B28" s="132" t="str">
        <f>структура!$J$13</f>
        <v>УСН(6%)</v>
      </c>
      <c r="C28" s="3"/>
      <c r="D28" s="3"/>
      <c r="E28" s="89" t="str">
        <f>E26</f>
        <v>ОПЕРАЦИОННЫЕ РАСХОДЫ</v>
      </c>
      <c r="F28" s="89"/>
      <c r="G28" s="89" t="str">
        <f>IF($E28="","",INDEX(KPI!$G:$G,SUMIFS(KPI!$B:$B,KPI!$E:$E,$E28)))</f>
        <v>тыс.руб.</v>
      </c>
      <c r="H28" s="89"/>
      <c r="I28" s="90"/>
      <c r="J28" s="130" t="str">
        <f>структура!$AL$21</f>
        <v>Без НДС</v>
      </c>
      <c r="K28" s="90"/>
      <c r="L28" s="89"/>
      <c r="M28" s="92">
        <f>SUM($O28:$AB28)</f>
        <v>29664.923531975925</v>
      </c>
      <c r="N28" s="3"/>
      <c r="O28" s="3"/>
      <c r="P28" s="93">
        <f>IF(P$1="",0,SUMIFS(P35:P$113,$B35:$B$113,$B28))</f>
        <v>3938.7717207305604</v>
      </c>
      <c r="Q28" s="93">
        <f>IF(Q$1="",0,SUMIFS(Q35:Q$113,$B35:$B$113,$B28))</f>
        <v>4035.9390273259164</v>
      </c>
      <c r="R28" s="93">
        <f>IF(R$1="",0,SUMIFS(R35:R$113,$B35:$B$113,$B28))</f>
        <v>4120.8179672683791</v>
      </c>
      <c r="S28" s="93">
        <f>IF(S$1="",0,SUMIFS(S35:S$113,$B35:$B$113,$B28))</f>
        <v>4144.4292646865424</v>
      </c>
      <c r="T28" s="93">
        <f>IF(T$1="",0,SUMIFS(T35:T$113,$B35:$B$113,$B28))</f>
        <v>4269.3630805895591</v>
      </c>
      <c r="U28" s="93">
        <f>IF(U$1="",0,SUMIFS(U35:U$113,$B35:$B$113,$B28))</f>
        <v>4448.8129388018515</v>
      </c>
      <c r="V28" s="93">
        <f>IF(V$1="",0,SUMIFS(V35:V$113,$B35:$B$113,$B28))</f>
        <v>4706.7895325731151</v>
      </c>
      <c r="W28" s="93">
        <f>IF(W$1="",0,SUMIFS(W35:W$113,$B35:$B$113,$B28))</f>
        <v>0</v>
      </c>
      <c r="X28" s="93">
        <f>IF(X$1="",0,SUMIFS(X35:X$113,$B35:$B$113,$B28))</f>
        <v>0</v>
      </c>
      <c r="Y28" s="93">
        <f>IF(Y$1="",0,SUMIFS(Y35:Y$113,$B35:$B$113,$B28))</f>
        <v>0</v>
      </c>
      <c r="Z28" s="93">
        <f>IF(Z$1="",0,SUMIFS(Z35:Z$113,$B35:$B$113,$B28))</f>
        <v>0</v>
      </c>
      <c r="AA28" s="93">
        <f>IF(AA$1="",0,SUMIFS(AA35:AA$113,$B35:$B$113,$B28))</f>
        <v>0</v>
      </c>
      <c r="AB28" s="3"/>
    </row>
    <row r="29" spans="1:28" ht="3.9" hidden="1" customHeight="1" x14ac:dyDescent="0.25">
      <c r="A29" s="149">
        <f>1</f>
        <v>1</v>
      </c>
      <c r="B29" s="131"/>
      <c r="C29" s="2"/>
      <c r="D29" s="2"/>
      <c r="E29" s="2"/>
      <c r="F29" s="2"/>
      <c r="G29" s="2"/>
      <c r="H29" s="2"/>
      <c r="I29" s="28"/>
      <c r="J29" s="2"/>
      <c r="K29" s="28"/>
      <c r="L29" s="2"/>
      <c r="M29" s="52"/>
      <c r="N29" s="2"/>
      <c r="O29" s="2"/>
      <c r="P29" s="36"/>
      <c r="Q29" s="36"/>
      <c r="R29" s="36"/>
      <c r="S29" s="36"/>
      <c r="T29" s="36"/>
      <c r="U29" s="36"/>
      <c r="V29" s="36"/>
      <c r="W29" s="36"/>
      <c r="X29" s="36"/>
      <c r="Y29" s="36"/>
      <c r="Z29" s="36"/>
      <c r="AA29" s="36"/>
      <c r="AB29" s="2"/>
    </row>
    <row r="30" spans="1:28" s="5" customFormat="1" hidden="1" x14ac:dyDescent="0.25">
      <c r="A30" s="150">
        <f>1</f>
        <v>1</v>
      </c>
      <c r="B30" s="132" t="str">
        <f>структура!$J$14</f>
        <v>УСН(15%)</v>
      </c>
      <c r="C30" s="3"/>
      <c r="D30" s="3"/>
      <c r="E30" s="89" t="str">
        <f>E26</f>
        <v>ОПЕРАЦИОННЫЕ РАСХОДЫ</v>
      </c>
      <c r="F30" s="89"/>
      <c r="G30" s="89" t="str">
        <f>IF($E30="","",INDEX(KPI!$G:$G,SUMIFS(KPI!$B:$B,KPI!$E:$E,$E30)))</f>
        <v>тыс.руб.</v>
      </c>
      <c r="H30" s="89"/>
      <c r="I30" s="90"/>
      <c r="J30" s="130" t="str">
        <f>структура!$AL$21</f>
        <v>Без НДС</v>
      </c>
      <c r="K30" s="90"/>
      <c r="L30" s="89"/>
      <c r="M30" s="92">
        <f>SUM($O30:$AB30)</f>
        <v>29664.923531975925</v>
      </c>
      <c r="N30" s="3"/>
      <c r="O30" s="3"/>
      <c r="P30" s="93">
        <f>IF(P$1="",0,SUMIFS(P37:P$113,$B37:$B$113,$B30))</f>
        <v>3938.7717207305604</v>
      </c>
      <c r="Q30" s="93">
        <f>IF(Q$1="",0,SUMIFS(Q37:Q$113,$B37:$B$113,$B30))</f>
        <v>4035.9390273259164</v>
      </c>
      <c r="R30" s="93">
        <f>IF(R$1="",0,SUMIFS(R37:R$113,$B37:$B$113,$B30))</f>
        <v>4120.8179672683791</v>
      </c>
      <c r="S30" s="93">
        <f>IF(S$1="",0,SUMIFS(S37:S$113,$B37:$B$113,$B30))</f>
        <v>4144.4292646865424</v>
      </c>
      <c r="T30" s="93">
        <f>IF(T$1="",0,SUMIFS(T37:T$113,$B37:$B$113,$B30))</f>
        <v>4269.3630805895591</v>
      </c>
      <c r="U30" s="93">
        <f>IF(U$1="",0,SUMIFS(U37:U$113,$B37:$B$113,$B30))</f>
        <v>4448.8129388018515</v>
      </c>
      <c r="V30" s="93">
        <f>IF(V$1="",0,SUMIFS(V37:V$113,$B37:$B$113,$B30))</f>
        <v>4706.7895325731151</v>
      </c>
      <c r="W30" s="93">
        <f>IF(W$1="",0,SUMIFS(W37:W$113,$B37:$B$113,$B30))</f>
        <v>0</v>
      </c>
      <c r="X30" s="93">
        <f>IF(X$1="",0,SUMIFS(X37:X$113,$B37:$B$113,$B30))</f>
        <v>0</v>
      </c>
      <c r="Y30" s="93">
        <f>IF(Y$1="",0,SUMIFS(Y37:Y$113,$B37:$B$113,$B30))</f>
        <v>0</v>
      </c>
      <c r="Z30" s="93">
        <f>IF(Z$1="",0,SUMIFS(Z37:Z$113,$B37:$B$113,$B30))</f>
        <v>0</v>
      </c>
      <c r="AA30" s="93">
        <f>IF(AA$1="",0,SUMIFS(AA37:AA$113,$B37:$B$113,$B30))</f>
        <v>0</v>
      </c>
      <c r="AB30" s="3"/>
    </row>
    <row r="31" spans="1:28" ht="3.9" hidden="1" customHeight="1" x14ac:dyDescent="0.25">
      <c r="A31" s="149">
        <f>1</f>
        <v>1</v>
      </c>
      <c r="B31" s="131"/>
      <c r="C31" s="2"/>
      <c r="D31" s="2"/>
      <c r="E31" s="2"/>
      <c r="F31" s="2"/>
      <c r="G31" s="2"/>
      <c r="H31" s="2"/>
      <c r="I31" s="28"/>
      <c r="J31" s="2"/>
      <c r="K31" s="28"/>
      <c r="L31" s="2"/>
      <c r="M31" s="52"/>
      <c r="N31" s="2"/>
      <c r="O31" s="2"/>
      <c r="P31" s="36"/>
      <c r="Q31" s="36"/>
      <c r="R31" s="36"/>
      <c r="S31" s="36"/>
      <c r="T31" s="36"/>
      <c r="U31" s="36"/>
      <c r="V31" s="36"/>
      <c r="W31" s="36"/>
      <c r="X31" s="36"/>
      <c r="Y31" s="36"/>
      <c r="Z31" s="36"/>
      <c r="AA31" s="36"/>
      <c r="AB31" s="2"/>
    </row>
    <row r="32" spans="1:28" s="5" customFormat="1" x14ac:dyDescent="0.25">
      <c r="A32" s="150">
        <f>1</f>
        <v>1</v>
      </c>
      <c r="B32" s="132" t="str">
        <f>структура!$J$15</f>
        <v>УСН(6%)-ИП</v>
      </c>
      <c r="C32" s="3"/>
      <c r="D32" s="3"/>
      <c r="E32" s="89" t="str">
        <f>E26</f>
        <v>ОПЕРАЦИОННЫЕ РАСХОДЫ</v>
      </c>
      <c r="F32" s="89"/>
      <c r="G32" s="89" t="str">
        <f>IF($E32="","",INDEX(KPI!$G:$G,SUMIFS(KPI!$B:$B,KPI!$E:$E,$E32)))</f>
        <v>тыс.руб.</v>
      </c>
      <c r="H32" s="89"/>
      <c r="I32" s="90"/>
      <c r="J32" s="130" t="str">
        <f>структура!$AL$21</f>
        <v>Без НДС</v>
      </c>
      <c r="K32" s="90"/>
      <c r="L32" s="89"/>
      <c r="M32" s="92">
        <f>SUM($O32:$AB32)</f>
        <v>29664.923531975925</v>
      </c>
      <c r="N32" s="3"/>
      <c r="O32" s="3"/>
      <c r="P32" s="93">
        <f>IF(P$1="",0,SUMIFS(P39:P$113,$B39:$B$113,$B32))</f>
        <v>3938.7717207305604</v>
      </c>
      <c r="Q32" s="93">
        <f>IF(Q$1="",0,SUMIFS(Q39:Q$113,$B39:$B$113,$B32))</f>
        <v>4035.9390273259164</v>
      </c>
      <c r="R32" s="93">
        <f>IF(R$1="",0,SUMIFS(R39:R$113,$B39:$B$113,$B32))</f>
        <v>4120.8179672683791</v>
      </c>
      <c r="S32" s="93">
        <f>IF(S$1="",0,SUMIFS(S39:S$113,$B39:$B$113,$B32))</f>
        <v>4144.4292646865424</v>
      </c>
      <c r="T32" s="93">
        <f>IF(T$1="",0,SUMIFS(T39:T$113,$B39:$B$113,$B32))</f>
        <v>4269.3630805895591</v>
      </c>
      <c r="U32" s="93">
        <f>IF(U$1="",0,SUMIFS(U39:U$113,$B39:$B$113,$B32))</f>
        <v>4448.8129388018515</v>
      </c>
      <c r="V32" s="93">
        <f>IF(V$1="",0,SUMIFS(V39:V$113,$B39:$B$113,$B32))</f>
        <v>4706.7895325731151</v>
      </c>
      <c r="W32" s="93">
        <f>IF(W$1="",0,SUMIFS(W39:W$113,$B39:$B$113,$B32))</f>
        <v>0</v>
      </c>
      <c r="X32" s="93">
        <f>IF(X$1="",0,SUMIFS(X39:X$113,$B39:$B$113,$B32))</f>
        <v>0</v>
      </c>
      <c r="Y32" s="93">
        <f>IF(Y$1="",0,SUMIFS(Y39:Y$113,$B39:$B$113,$B32))</f>
        <v>0</v>
      </c>
      <c r="Z32" s="93">
        <f>IF(Z$1="",0,SUMIFS(Z39:Z$113,$B39:$B$113,$B32))</f>
        <v>0</v>
      </c>
      <c r="AA32" s="93">
        <f>IF(AA$1="",0,SUMIFS(AA39:AA$113,$B39:$B$113,$B32))</f>
        <v>0</v>
      </c>
      <c r="AB32" s="3"/>
    </row>
    <row r="33" spans="1:28" ht="3.9" hidden="1" customHeight="1" x14ac:dyDescent="0.25">
      <c r="A33" s="149">
        <f>1</f>
        <v>1</v>
      </c>
      <c r="B33" s="131"/>
      <c r="C33" s="2"/>
      <c r="D33" s="2"/>
      <c r="E33" s="2"/>
      <c r="F33" s="2"/>
      <c r="G33" s="2"/>
      <c r="H33" s="2"/>
      <c r="I33" s="28"/>
      <c r="J33" s="2"/>
      <c r="K33" s="28"/>
      <c r="L33" s="2"/>
      <c r="M33" s="52"/>
      <c r="N33" s="2"/>
      <c r="O33" s="2"/>
      <c r="P33" s="36"/>
      <c r="Q33" s="36"/>
      <c r="R33" s="36"/>
      <c r="S33" s="36"/>
      <c r="T33" s="36"/>
      <c r="U33" s="36"/>
      <c r="V33" s="36"/>
      <c r="W33" s="36"/>
      <c r="X33" s="36"/>
      <c r="Y33" s="36"/>
      <c r="Z33" s="36"/>
      <c r="AA33" s="36"/>
      <c r="AB33" s="2"/>
    </row>
    <row r="34" spans="1:28" ht="8.1" hidden="1" customHeight="1" x14ac:dyDescent="0.25">
      <c r="A34" s="149">
        <f>1</f>
        <v>1</v>
      </c>
      <c r="B34" s="131"/>
      <c r="C34" s="2"/>
      <c r="D34" s="2"/>
      <c r="E34" s="2"/>
      <c r="F34" s="2"/>
      <c r="G34" s="2"/>
      <c r="H34" s="2"/>
      <c r="I34" s="28"/>
      <c r="J34" s="2"/>
      <c r="K34" s="28"/>
      <c r="L34" s="2"/>
      <c r="M34" s="52"/>
      <c r="N34" s="2"/>
      <c r="O34" s="2"/>
      <c r="P34" s="36"/>
      <c r="Q34" s="36"/>
      <c r="R34" s="36"/>
      <c r="S34" s="36"/>
      <c r="T34" s="36"/>
      <c r="U34" s="36"/>
      <c r="V34" s="36"/>
      <c r="W34" s="36"/>
      <c r="X34" s="36"/>
      <c r="Y34" s="36"/>
      <c r="Z34" s="36"/>
      <c r="AA34" s="36"/>
      <c r="AB34" s="2"/>
    </row>
    <row r="35" spans="1:28" ht="3.9" hidden="1" customHeight="1" x14ac:dyDescent="0.25">
      <c r="A35" s="149">
        <f>1</f>
        <v>1</v>
      </c>
      <c r="B35" s="131"/>
      <c r="C35" s="2"/>
      <c r="D35" s="2"/>
      <c r="E35" s="2"/>
      <c r="F35" s="2"/>
      <c r="G35" s="2"/>
      <c r="H35" s="2"/>
      <c r="I35" s="28"/>
      <c r="J35" s="2"/>
      <c r="K35" s="28"/>
      <c r="L35" s="2"/>
      <c r="M35" s="52"/>
      <c r="N35" s="2"/>
      <c r="O35" s="2"/>
      <c r="P35" s="36"/>
      <c r="Q35" s="36"/>
      <c r="R35" s="36"/>
      <c r="S35" s="36"/>
      <c r="T35" s="36"/>
      <c r="U35" s="36"/>
      <c r="V35" s="36"/>
      <c r="W35" s="36"/>
      <c r="X35" s="36"/>
      <c r="Y35" s="36"/>
      <c r="Z35" s="36"/>
      <c r="AA35" s="36"/>
      <c r="AB35" s="2"/>
    </row>
    <row r="36" spans="1:28" s="126" customFormat="1" hidden="1" x14ac:dyDescent="0.25">
      <c r="A36" s="149">
        <f>1</f>
        <v>1</v>
      </c>
      <c r="B36" s="132" t="str">
        <f>структура!$J$12</f>
        <v>ОСНО</v>
      </c>
      <c r="C36" s="123"/>
      <c r="D36" s="123"/>
      <c r="E36" s="130" t="str">
        <f>KPI!$E$76</f>
        <v>маркетинговые расходы</v>
      </c>
      <c r="F36" s="130"/>
      <c r="G36" s="130" t="str">
        <f>IF($E36="","",INDEX(KPI!$G:$G,SUMIFS(KPI!$B:$B,KPI!$E:$E,$E36)))</f>
        <v>тыс.руб.</v>
      </c>
      <c r="H36" s="130"/>
      <c r="I36" s="134"/>
      <c r="J36" s="130" t="str">
        <f>структура!$AL$21</f>
        <v>Без НДС</v>
      </c>
      <c r="K36" s="134"/>
      <c r="L36" s="130"/>
      <c r="M36" s="135">
        <f>SUM($O36:$AB36)</f>
        <v>1386.25</v>
      </c>
      <c r="N36" s="123"/>
      <c r="O36" s="123"/>
      <c r="P36" s="136">
        <f>IF(P$1="",0,IF(1+операции!P$421=0,0,(операции!P$232)/(1+операции!P$421)))*IF(отчеты!P16=0,0,P16/отчеты!P16)</f>
        <v>187.50000000000003</v>
      </c>
      <c r="Q36" s="136">
        <f>IF(Q$1="",0,IF(1+операции!Q$421=0,0,(операции!Q$232)/(1+операции!Q$421)))*IF(отчеты!Q16=0,0,Q16/отчеты!Q16)</f>
        <v>212.49999999999994</v>
      </c>
      <c r="R36" s="136">
        <f>IF(R$1="",0,IF(1+операции!R$421=0,0,(операции!R$232)/(1+операции!R$421)))*IF(отчеты!R16=0,0,R16/отчеты!R16)</f>
        <v>199.99999999999997</v>
      </c>
      <c r="S36" s="136">
        <f>IF(S$1="",0,IF(1+операции!S$421=0,0,(операции!S$232)/(1+операции!S$421)))*IF(отчеты!S16=0,0,S16/отчеты!S16)</f>
        <v>164.99999999999997</v>
      </c>
      <c r="T36" s="136">
        <f>IF(T$1="",0,IF(1+операции!T$421=0,0,(операции!T$232)/(1+операции!T$421)))*IF(отчеты!T16=0,0,T16/отчеты!T16)</f>
        <v>187.49999999999994</v>
      </c>
      <c r="U36" s="136">
        <f>IF(U$1="",0,IF(1+операции!U$421=0,0,(операции!U$232)/(1+операции!U$421)))*IF(отчеты!U16=0,0,U16/отчеты!U16)</f>
        <v>202.49999999999991</v>
      </c>
      <c r="V36" s="136">
        <f>IF(V$1="",0,IF(1+операции!V$421=0,0,(операции!V$232)/(1+операции!V$421)))*IF(отчеты!V16=0,0,V16/отчеты!V16)</f>
        <v>231.24999999999994</v>
      </c>
      <c r="W36" s="136">
        <f>IF(W$1="",0,IF(1+операции!W$421=0,0,(операции!W$232)/(1+операции!W$421)))*IF(отчеты!W16=0,0,W16/отчеты!W16)</f>
        <v>0</v>
      </c>
      <c r="X36" s="136">
        <f>IF(X$1="",0,IF(1+операции!X$421=0,0,(операции!X$232)/(1+операции!X$421)))*IF(отчеты!X16=0,0,X16/отчеты!X16)</f>
        <v>0</v>
      </c>
      <c r="Y36" s="136">
        <f>IF(Y$1="",0,IF(1+операции!Y$421=0,0,(операции!Y$232)/(1+операции!Y$421)))*IF(отчеты!Y16=0,0,Y16/отчеты!Y16)</f>
        <v>0</v>
      </c>
      <c r="Z36" s="136">
        <f>IF(Z$1="",0,IF(1+операции!Z$421=0,0,(операции!Z$232)/(1+операции!Z$421)))*IF(отчеты!Z16=0,0,Z16/отчеты!Z16)</f>
        <v>0</v>
      </c>
      <c r="AA36" s="136">
        <f>IF(AA$1="",0,IF(1+операции!AA$421=0,0,(операции!AA$232)/(1+операции!AA$421)))*IF(отчеты!AA16=0,0,AA16/отчеты!AA16)</f>
        <v>0</v>
      </c>
      <c r="AB36" s="123"/>
    </row>
    <row r="37" spans="1:28" s="126" customFormat="1" ht="3.9" hidden="1" customHeight="1" x14ac:dyDescent="0.25">
      <c r="A37" s="149">
        <f>1</f>
        <v>1</v>
      </c>
      <c r="B37" s="131"/>
      <c r="C37" s="123"/>
      <c r="D37" s="123"/>
      <c r="E37" s="123"/>
      <c r="F37" s="123"/>
      <c r="G37" s="123"/>
      <c r="H37" s="123"/>
      <c r="I37" s="124"/>
      <c r="J37" s="123"/>
      <c r="K37" s="124"/>
      <c r="L37" s="123"/>
      <c r="M37" s="125"/>
      <c r="N37" s="123"/>
      <c r="O37" s="123"/>
      <c r="P37" s="137"/>
      <c r="Q37" s="137"/>
      <c r="R37" s="137"/>
      <c r="S37" s="137"/>
      <c r="T37" s="137"/>
      <c r="U37" s="137"/>
      <c r="V37" s="137"/>
      <c r="W37" s="137"/>
      <c r="X37" s="137"/>
      <c r="Y37" s="137"/>
      <c r="Z37" s="137"/>
      <c r="AA37" s="137"/>
      <c r="AB37" s="123"/>
    </row>
    <row r="38" spans="1:28" s="126" customFormat="1" hidden="1" x14ac:dyDescent="0.25">
      <c r="A38" s="149">
        <f>1</f>
        <v>1</v>
      </c>
      <c r="B38" s="132" t="str">
        <f>структура!$J$13</f>
        <v>УСН(6%)</v>
      </c>
      <c r="C38" s="123"/>
      <c r="D38" s="123"/>
      <c r="E38" s="130" t="str">
        <f>E36</f>
        <v>маркетинговые расходы</v>
      </c>
      <c r="F38" s="130"/>
      <c r="G38" s="130" t="str">
        <f>IF($E38="","",INDEX(KPI!$G:$G,SUMIFS(KPI!$B:$B,KPI!$E:$E,$E38)))</f>
        <v>тыс.руб.</v>
      </c>
      <c r="H38" s="130"/>
      <c r="I38" s="134"/>
      <c r="J38" s="130" t="str">
        <f>структура!$AL$21</f>
        <v>Без НДС</v>
      </c>
      <c r="K38" s="134"/>
      <c r="L38" s="130"/>
      <c r="M38" s="135">
        <f>SUM($O38:$AB38)</f>
        <v>1386.25</v>
      </c>
      <c r="N38" s="123"/>
      <c r="O38" s="123"/>
      <c r="P38" s="136">
        <f>IF(P$1="",0,IF(1+операции!P$421=0,0,(операции!P$232)/(1+операции!P$421)))*IF(отчеты!P18=0,0,P18/отчеты!P18)</f>
        <v>187.5</v>
      </c>
      <c r="Q38" s="136">
        <f>IF(Q$1="",0,IF(1+операции!Q$421=0,0,(операции!Q$232)/(1+операции!Q$421)))*IF(отчеты!Q18=0,0,Q18/отчеты!Q18)</f>
        <v>212.49999999999997</v>
      </c>
      <c r="R38" s="136">
        <f>IF(R$1="",0,IF(1+операции!R$421=0,0,(операции!R$232)/(1+операции!R$421)))*IF(отчеты!R18=0,0,R18/отчеты!R18)</f>
        <v>200</v>
      </c>
      <c r="S38" s="136">
        <f>IF(S$1="",0,IF(1+операции!S$421=0,0,(операции!S$232)/(1+операции!S$421)))*IF(отчеты!S18=0,0,S18/отчеты!S18)</f>
        <v>165</v>
      </c>
      <c r="T38" s="136">
        <f>IF(T$1="",0,IF(1+операции!T$421=0,0,(операции!T$232)/(1+операции!T$421)))*IF(отчеты!T18=0,0,T18/отчеты!T18)</f>
        <v>187.49999999999994</v>
      </c>
      <c r="U38" s="136">
        <f>IF(U$1="",0,IF(1+операции!U$421=0,0,(операции!U$232)/(1+операции!U$421)))*IF(отчеты!U18=0,0,U18/отчеты!U18)</f>
        <v>202.49999999999991</v>
      </c>
      <c r="V38" s="136">
        <f>IF(V$1="",0,IF(1+операции!V$421=0,0,(операции!V$232)/(1+операции!V$421)))*IF(отчеты!V18=0,0,V18/отчеты!V18)</f>
        <v>231.24999999999994</v>
      </c>
      <c r="W38" s="136">
        <f>IF(W$1="",0,IF(1+операции!W$421=0,0,(операции!W$232)/(1+операции!W$421)))*IF(отчеты!W18=0,0,W18/отчеты!W18)</f>
        <v>0</v>
      </c>
      <c r="X38" s="136">
        <f>IF(X$1="",0,IF(1+операции!X$421=0,0,(операции!X$232)/(1+операции!X$421)))*IF(отчеты!X18=0,0,X18/отчеты!X18)</f>
        <v>0</v>
      </c>
      <c r="Y38" s="136">
        <f>IF(Y$1="",0,IF(1+операции!Y$421=0,0,(операции!Y$232)/(1+операции!Y$421)))*IF(отчеты!Y18=0,0,Y18/отчеты!Y18)</f>
        <v>0</v>
      </c>
      <c r="Z38" s="136">
        <f>IF(Z$1="",0,IF(1+операции!Z$421=0,0,(операции!Z$232)/(1+операции!Z$421)))*IF(отчеты!Z18=0,0,Z18/отчеты!Z18)</f>
        <v>0</v>
      </c>
      <c r="AA38" s="136">
        <f>IF(AA$1="",0,IF(1+операции!AA$421=0,0,(операции!AA$232)/(1+операции!AA$421)))*IF(отчеты!AA18=0,0,AA18/отчеты!AA18)</f>
        <v>0</v>
      </c>
      <c r="AB38" s="123"/>
    </row>
    <row r="39" spans="1:28" s="126" customFormat="1" ht="3.9" hidden="1" customHeight="1" x14ac:dyDescent="0.25">
      <c r="A39" s="149">
        <f>1</f>
        <v>1</v>
      </c>
      <c r="B39" s="131"/>
      <c r="C39" s="123"/>
      <c r="D39" s="123"/>
      <c r="E39" s="123"/>
      <c r="F39" s="123"/>
      <c r="G39" s="123"/>
      <c r="H39" s="123"/>
      <c r="I39" s="124"/>
      <c r="J39" s="123"/>
      <c r="K39" s="124"/>
      <c r="L39" s="123"/>
      <c r="M39" s="125"/>
      <c r="N39" s="123"/>
      <c r="O39" s="123"/>
      <c r="P39" s="137"/>
      <c r="Q39" s="137"/>
      <c r="R39" s="137"/>
      <c r="S39" s="137"/>
      <c r="T39" s="137"/>
      <c r="U39" s="137"/>
      <c r="V39" s="137"/>
      <c r="W39" s="137"/>
      <c r="X39" s="137"/>
      <c r="Y39" s="137"/>
      <c r="Z39" s="137"/>
      <c r="AA39" s="137"/>
      <c r="AB39" s="123"/>
    </row>
    <row r="40" spans="1:28" s="126" customFormat="1" hidden="1" x14ac:dyDescent="0.25">
      <c r="A40" s="149">
        <f>1</f>
        <v>1</v>
      </c>
      <c r="B40" s="132" t="str">
        <f>структура!$J$14</f>
        <v>УСН(15%)</v>
      </c>
      <c r="C40" s="123"/>
      <c r="D40" s="123"/>
      <c r="E40" s="130" t="str">
        <f>E36</f>
        <v>маркетинговые расходы</v>
      </c>
      <c r="F40" s="130"/>
      <c r="G40" s="130" t="str">
        <f>IF($E40="","",INDEX(KPI!$G:$G,SUMIFS(KPI!$B:$B,KPI!$E:$E,$E40)))</f>
        <v>тыс.руб.</v>
      </c>
      <c r="H40" s="130"/>
      <c r="I40" s="134"/>
      <c r="J40" s="130" t="str">
        <f>структура!$AL$21</f>
        <v>Без НДС</v>
      </c>
      <c r="K40" s="134"/>
      <c r="L40" s="130"/>
      <c r="M40" s="135">
        <f>SUM($O40:$AB40)</f>
        <v>1386.25</v>
      </c>
      <c r="N40" s="123"/>
      <c r="O40" s="123"/>
      <c r="P40" s="136">
        <f>IF(P$1="",0,IF(1+операции!P$421=0,0,(операции!P$232)/(1+операции!P$421)))*IF(отчеты!P20=0,0,P20/отчеты!P20)</f>
        <v>187.5</v>
      </c>
      <c r="Q40" s="136">
        <f>IF(Q$1="",0,IF(1+операции!Q$421=0,0,(операции!Q$232)/(1+операции!Q$421)))*IF(отчеты!Q20=0,0,Q20/отчеты!Q20)</f>
        <v>212.49999999999997</v>
      </c>
      <c r="R40" s="136">
        <f>IF(R$1="",0,IF(1+операции!R$421=0,0,(операции!R$232)/(1+операции!R$421)))*IF(отчеты!R20=0,0,R20/отчеты!R20)</f>
        <v>200</v>
      </c>
      <c r="S40" s="136">
        <f>IF(S$1="",0,IF(1+операции!S$421=0,0,(операции!S$232)/(1+операции!S$421)))*IF(отчеты!S20=0,0,S20/отчеты!S20)</f>
        <v>165</v>
      </c>
      <c r="T40" s="136">
        <f>IF(T$1="",0,IF(1+операции!T$421=0,0,(операции!T$232)/(1+операции!T$421)))*IF(отчеты!T20=0,0,T20/отчеты!T20)</f>
        <v>187.49999999999994</v>
      </c>
      <c r="U40" s="136">
        <f>IF(U$1="",0,IF(1+операции!U$421=0,0,(операции!U$232)/(1+операции!U$421)))*IF(отчеты!U20=0,0,U20/отчеты!U20)</f>
        <v>202.49999999999991</v>
      </c>
      <c r="V40" s="136">
        <f>IF(V$1="",0,IF(1+операции!V$421=0,0,(операции!V$232)/(1+операции!V$421)))*IF(отчеты!V20=0,0,V20/отчеты!V20)</f>
        <v>231.24999999999994</v>
      </c>
      <c r="W40" s="136">
        <f>IF(W$1="",0,IF(1+операции!W$421=0,0,(операции!W$232)/(1+операции!W$421)))*IF(отчеты!W20=0,0,W20/отчеты!W20)</f>
        <v>0</v>
      </c>
      <c r="X40" s="136">
        <f>IF(X$1="",0,IF(1+операции!X$421=0,0,(операции!X$232)/(1+операции!X$421)))*IF(отчеты!X20=0,0,X20/отчеты!X20)</f>
        <v>0</v>
      </c>
      <c r="Y40" s="136">
        <f>IF(Y$1="",0,IF(1+операции!Y$421=0,0,(операции!Y$232)/(1+операции!Y$421)))*IF(отчеты!Y20=0,0,Y20/отчеты!Y20)</f>
        <v>0</v>
      </c>
      <c r="Z40" s="136">
        <f>IF(Z$1="",0,IF(1+операции!Z$421=0,0,(операции!Z$232)/(1+операции!Z$421)))*IF(отчеты!Z20=0,0,Z20/отчеты!Z20)</f>
        <v>0</v>
      </c>
      <c r="AA40" s="136">
        <f>IF(AA$1="",0,IF(1+операции!AA$421=0,0,(операции!AA$232)/(1+операции!AA$421)))*IF(отчеты!AA20=0,0,AA20/отчеты!AA20)</f>
        <v>0</v>
      </c>
      <c r="AB40" s="123"/>
    </row>
    <row r="41" spans="1:28" s="126" customFormat="1" ht="3.9" hidden="1" customHeight="1" x14ac:dyDescent="0.25">
      <c r="A41" s="149">
        <f>1</f>
        <v>1</v>
      </c>
      <c r="B41" s="131"/>
      <c r="C41" s="123"/>
      <c r="D41" s="123"/>
      <c r="E41" s="123"/>
      <c r="F41" s="123"/>
      <c r="G41" s="123"/>
      <c r="H41" s="123"/>
      <c r="I41" s="124"/>
      <c r="J41" s="123"/>
      <c r="K41" s="124"/>
      <c r="L41" s="123"/>
      <c r="M41" s="125"/>
      <c r="N41" s="123"/>
      <c r="O41" s="123"/>
      <c r="P41" s="137"/>
      <c r="Q41" s="137"/>
      <c r="R41" s="137"/>
      <c r="S41" s="137"/>
      <c r="T41" s="137"/>
      <c r="U41" s="137"/>
      <c r="V41" s="137"/>
      <c r="W41" s="137"/>
      <c r="X41" s="137"/>
      <c r="Y41" s="137"/>
      <c r="Z41" s="137"/>
      <c r="AA41" s="137"/>
      <c r="AB41" s="123"/>
    </row>
    <row r="42" spans="1:28" s="126" customFormat="1" x14ac:dyDescent="0.25">
      <c r="A42" s="149">
        <f>1</f>
        <v>1</v>
      </c>
      <c r="B42" s="132" t="str">
        <f>структура!$J$15</f>
        <v>УСН(6%)-ИП</v>
      </c>
      <c r="C42" s="123"/>
      <c r="D42" s="123"/>
      <c r="E42" s="130" t="str">
        <f>E36</f>
        <v>маркетинговые расходы</v>
      </c>
      <c r="F42" s="130"/>
      <c r="G42" s="130" t="str">
        <f>IF($E42="","",INDEX(KPI!$G:$G,SUMIFS(KPI!$B:$B,KPI!$E:$E,$E42)))</f>
        <v>тыс.руб.</v>
      </c>
      <c r="H42" s="130"/>
      <c r="I42" s="134"/>
      <c r="J42" s="130" t="str">
        <f>структура!$AL$21</f>
        <v>Без НДС</v>
      </c>
      <c r="K42" s="134"/>
      <c r="L42" s="130"/>
      <c r="M42" s="135">
        <f>SUM($O42:$AB42)</f>
        <v>1386.25</v>
      </c>
      <c r="N42" s="123"/>
      <c r="O42" s="123"/>
      <c r="P42" s="136">
        <f>IF(P$1="",0,IF(1+операции!P$421=0,0,(операции!P$232)/(1+операции!P$421)))*IF(отчеты!P22=0,0,P22/отчеты!P22)</f>
        <v>187.5</v>
      </c>
      <c r="Q42" s="136">
        <f>IF(Q$1="",0,IF(1+операции!Q$421=0,0,(операции!Q$232)/(1+операции!Q$421)))*IF(отчеты!Q22=0,0,Q22/отчеты!Q22)</f>
        <v>212.49999999999997</v>
      </c>
      <c r="R42" s="136">
        <f>IF(R$1="",0,IF(1+операции!R$421=0,0,(операции!R$232)/(1+операции!R$421)))*IF(отчеты!R22=0,0,R22/отчеты!R22)</f>
        <v>200</v>
      </c>
      <c r="S42" s="136">
        <f>IF(S$1="",0,IF(1+операции!S$421=0,0,(операции!S$232)/(1+операции!S$421)))*IF(отчеты!S22=0,0,S22/отчеты!S22)</f>
        <v>165</v>
      </c>
      <c r="T42" s="136">
        <f>IF(T$1="",0,IF(1+операции!T$421=0,0,(операции!T$232)/(1+операции!T$421)))*IF(отчеты!T22=0,0,T22/отчеты!T22)</f>
        <v>187.49999999999994</v>
      </c>
      <c r="U42" s="136">
        <f>IF(U$1="",0,IF(1+операции!U$421=0,0,(операции!U$232)/(1+операции!U$421)))*IF(отчеты!U22=0,0,U22/отчеты!U22)</f>
        <v>202.49999999999991</v>
      </c>
      <c r="V42" s="136">
        <f>IF(V$1="",0,IF(1+операции!V$421=0,0,(операции!V$232)/(1+операции!V$421)))*IF(отчеты!V22=0,0,V22/отчеты!V22)</f>
        <v>231.24999999999994</v>
      </c>
      <c r="W42" s="136">
        <f>IF(W$1="",0,IF(1+операции!W$421=0,0,(операции!W$232)/(1+операции!W$421)))*IF(отчеты!W22=0,0,W22/отчеты!W22)</f>
        <v>0</v>
      </c>
      <c r="X42" s="136">
        <f>IF(X$1="",0,IF(1+операции!X$421=0,0,(операции!X$232)/(1+операции!X$421)))*IF(отчеты!X22=0,0,X22/отчеты!X22)</f>
        <v>0</v>
      </c>
      <c r="Y42" s="136">
        <f>IF(Y$1="",0,IF(1+операции!Y$421=0,0,(операции!Y$232)/(1+операции!Y$421)))*IF(отчеты!Y22=0,0,Y22/отчеты!Y22)</f>
        <v>0</v>
      </c>
      <c r="Z42" s="136">
        <f>IF(Z$1="",0,IF(1+операции!Z$421=0,0,(операции!Z$232)/(1+операции!Z$421)))*IF(отчеты!Z22=0,0,Z22/отчеты!Z22)</f>
        <v>0</v>
      </c>
      <c r="AA42" s="136">
        <f>IF(AA$1="",0,IF(1+операции!AA$421=0,0,(операции!AA$232)/(1+операции!AA$421)))*IF(отчеты!AA22=0,0,AA22/отчеты!AA22)</f>
        <v>0</v>
      </c>
      <c r="AB42" s="123"/>
    </row>
    <row r="43" spans="1:28" ht="3.9" hidden="1" customHeight="1" x14ac:dyDescent="0.25">
      <c r="A43" s="149">
        <f>1</f>
        <v>1</v>
      </c>
      <c r="B43" s="131"/>
      <c r="C43" s="2"/>
      <c r="D43" s="2"/>
      <c r="E43" s="2"/>
      <c r="F43" s="2"/>
      <c r="G43" s="2"/>
      <c r="H43" s="2"/>
      <c r="I43" s="28"/>
      <c r="J43" s="2"/>
      <c r="K43" s="28"/>
      <c r="L43" s="2"/>
      <c r="M43" s="52"/>
      <c r="N43" s="2"/>
      <c r="O43" s="2"/>
      <c r="P43" s="36"/>
      <c r="Q43" s="36"/>
      <c r="R43" s="36"/>
      <c r="S43" s="36"/>
      <c r="T43" s="36"/>
      <c r="U43" s="36"/>
      <c r="V43" s="36"/>
      <c r="W43" s="36"/>
      <c r="X43" s="36"/>
      <c r="Y43" s="36"/>
      <c r="Z43" s="36"/>
      <c r="AA43" s="36"/>
      <c r="AB43" s="2"/>
    </row>
    <row r="44" spans="1:28" ht="8.1" hidden="1" customHeight="1" x14ac:dyDescent="0.25">
      <c r="A44" s="149">
        <f>1</f>
        <v>1</v>
      </c>
      <c r="B44" s="131"/>
      <c r="C44" s="2"/>
      <c r="D44" s="2"/>
      <c r="E44" s="2"/>
      <c r="F44" s="2"/>
      <c r="G44" s="2"/>
      <c r="H44" s="2"/>
      <c r="I44" s="28"/>
      <c r="J44" s="2"/>
      <c r="K44" s="28"/>
      <c r="L44" s="2"/>
      <c r="M44" s="52"/>
      <c r="N44" s="2"/>
      <c r="O44" s="2"/>
      <c r="P44" s="36"/>
      <c r="Q44" s="36"/>
      <c r="R44" s="36"/>
      <c r="S44" s="36"/>
      <c r="T44" s="36"/>
      <c r="U44" s="36"/>
      <c r="V44" s="36"/>
      <c r="W44" s="36"/>
      <c r="X44" s="36"/>
      <c r="Y44" s="36"/>
      <c r="Z44" s="36"/>
      <c r="AA44" s="36"/>
      <c r="AB44" s="2"/>
    </row>
    <row r="45" spans="1:28" ht="3.9" hidden="1" customHeight="1" x14ac:dyDescent="0.25">
      <c r="A45" s="149">
        <f>1</f>
        <v>1</v>
      </c>
      <c r="B45" s="131"/>
      <c r="C45" s="2"/>
      <c r="D45" s="2"/>
      <c r="E45" s="2"/>
      <c r="F45" s="2"/>
      <c r="G45" s="2"/>
      <c r="H45" s="2"/>
      <c r="I45" s="28"/>
      <c r="J45" s="2"/>
      <c r="K45" s="28"/>
      <c r="L45" s="2"/>
      <c r="M45" s="52"/>
      <c r="N45" s="2"/>
      <c r="O45" s="2"/>
      <c r="P45" s="36"/>
      <c r="Q45" s="36"/>
      <c r="R45" s="36"/>
      <c r="S45" s="36"/>
      <c r="T45" s="36"/>
      <c r="U45" s="36"/>
      <c r="V45" s="36"/>
      <c r="W45" s="36"/>
      <c r="X45" s="36"/>
      <c r="Y45" s="36"/>
      <c r="Z45" s="36"/>
      <c r="AA45" s="36"/>
      <c r="AB45" s="2"/>
    </row>
    <row r="46" spans="1:28" s="126" customFormat="1" hidden="1" x14ac:dyDescent="0.25">
      <c r="A46" s="149">
        <f>1</f>
        <v>1</v>
      </c>
      <c r="B46" s="132" t="str">
        <f>структура!$J$12</f>
        <v>ОСНО</v>
      </c>
      <c r="C46" s="123"/>
      <c r="D46" s="123"/>
      <c r="E46" s="130" t="str">
        <f>KPI!$E$77</f>
        <v>расходы на аренду земли</v>
      </c>
      <c r="F46" s="130"/>
      <c r="G46" s="130" t="str">
        <f>IF($E46="","",INDEX(KPI!$G:$G,SUMIFS(KPI!$B:$B,KPI!$E:$E,$E46)))</f>
        <v>тыс.руб.</v>
      </c>
      <c r="H46" s="130"/>
      <c r="I46" s="134"/>
      <c r="J46" s="130"/>
      <c r="K46" s="134"/>
      <c r="L46" s="130"/>
      <c r="M46" s="135">
        <f>SUM($O46:$AB46)</f>
        <v>9130.2744616914733</v>
      </c>
      <c r="N46" s="123"/>
      <c r="O46" s="123"/>
      <c r="P46" s="136">
        <f>IF(P$1="",0,операции!P$250)*IF(аренда!$M$41+аренда!$M$43=0,0,P$11/(аренда!$M$41+аренда!$M$43))</f>
        <v>1304.3249230987819</v>
      </c>
      <c r="Q46" s="136">
        <f>IF(Q$1="",0,операции!Q$250)*IF(аренда!$M$41+аренда!$M$43=0,0,Q$11/(аренда!$M$41+аренда!$M$43))</f>
        <v>1304.3249230987819</v>
      </c>
      <c r="R46" s="136">
        <f>IF(R$1="",0,операции!R$250)*IF(аренда!$M$41+аренда!$M$43=0,0,R$11/(аренда!$M$41+аренда!$M$43))</f>
        <v>1304.3249230987819</v>
      </c>
      <c r="S46" s="136">
        <f>IF(S$1="",0,операции!S$250)*IF(аренда!$M$41+аренда!$M$43=0,0,S$11/(аренда!$M$41+аренда!$M$43))</f>
        <v>1304.3249230987819</v>
      </c>
      <c r="T46" s="136">
        <f>IF(T$1="",0,операции!T$250)*IF(аренда!$M$41+аренда!$M$43=0,0,T$11/(аренда!$M$41+аренда!$M$43))</f>
        <v>1304.3249230987819</v>
      </c>
      <c r="U46" s="136">
        <f>IF(U$1="",0,операции!U$250)*IF(аренда!$M$41+аренда!$M$43=0,0,U$11/(аренда!$M$41+аренда!$M$43))</f>
        <v>1304.3249230987819</v>
      </c>
      <c r="V46" s="136">
        <f>IF(V$1="",0,операции!V$250)*IF(аренда!$M$41+аренда!$M$43=0,0,V$11/(аренда!$M$41+аренда!$M$43))</f>
        <v>1304.3249230987819</v>
      </c>
      <c r="W46" s="136">
        <f>IF(W$1="",0,операции!W$250)*IF(аренда!$M$41+аренда!$M$43=0,0,W$11/(аренда!$M$41+аренда!$M$43))</f>
        <v>0</v>
      </c>
      <c r="X46" s="136">
        <f>IF(X$1="",0,операции!X$250)*IF(аренда!$M$41+аренда!$M$43=0,0,X$11/(аренда!$M$41+аренда!$M$43))</f>
        <v>0</v>
      </c>
      <c r="Y46" s="136">
        <f>IF(Y$1="",0,операции!Y$250)*IF(аренда!$M$41+аренда!$M$43=0,0,Y$11/(аренда!$M$41+аренда!$M$43))</f>
        <v>0</v>
      </c>
      <c r="Z46" s="136">
        <f>IF(Z$1="",0,операции!Z$250)*IF(аренда!$M$41+аренда!$M$43=0,0,Z$11/(аренда!$M$41+аренда!$M$43))</f>
        <v>0</v>
      </c>
      <c r="AA46" s="136">
        <f>IF(AA$1="",0,операции!AA$250)*IF(аренда!$M$41+аренда!$M$43=0,0,AA$11/(аренда!$M$41+аренда!$M$43))</f>
        <v>0</v>
      </c>
      <c r="AB46" s="136"/>
    </row>
    <row r="47" spans="1:28" s="126" customFormat="1" ht="3.9" hidden="1" customHeight="1" x14ac:dyDescent="0.25">
      <c r="A47" s="149">
        <f>1</f>
        <v>1</v>
      </c>
      <c r="B47" s="131"/>
      <c r="C47" s="123"/>
      <c r="D47" s="123"/>
      <c r="E47" s="123"/>
      <c r="F47" s="123"/>
      <c r="G47" s="123"/>
      <c r="H47" s="123"/>
      <c r="I47" s="124"/>
      <c r="J47" s="123"/>
      <c r="K47" s="124"/>
      <c r="L47" s="123"/>
      <c r="M47" s="125"/>
      <c r="N47" s="123"/>
      <c r="O47" s="123"/>
      <c r="P47" s="137"/>
      <c r="Q47" s="137"/>
      <c r="R47" s="137"/>
      <c r="S47" s="137"/>
      <c r="T47" s="137"/>
      <c r="U47" s="137"/>
      <c r="V47" s="137"/>
      <c r="W47" s="137"/>
      <c r="X47" s="137"/>
      <c r="Y47" s="137"/>
      <c r="Z47" s="137"/>
      <c r="AA47" s="137"/>
      <c r="AB47" s="137"/>
    </row>
    <row r="48" spans="1:28" s="126" customFormat="1" hidden="1" x14ac:dyDescent="0.25">
      <c r="A48" s="149">
        <f>1</f>
        <v>1</v>
      </c>
      <c r="B48" s="132" t="str">
        <f>структура!$J$13</f>
        <v>УСН(6%)</v>
      </c>
      <c r="C48" s="123"/>
      <c r="D48" s="123"/>
      <c r="E48" s="130" t="str">
        <f>E46</f>
        <v>расходы на аренду земли</v>
      </c>
      <c r="F48" s="130"/>
      <c r="G48" s="130" t="str">
        <f>IF($E48="","",INDEX(KPI!$G:$G,SUMIFS(KPI!$B:$B,KPI!$E:$E,$E48)))</f>
        <v>тыс.руб.</v>
      </c>
      <c r="H48" s="130"/>
      <c r="I48" s="134"/>
      <c r="J48" s="130"/>
      <c r="K48" s="134"/>
      <c r="L48" s="130"/>
      <c r="M48" s="135">
        <f>SUM($O48:$AB48)</f>
        <v>9130.2744616914733</v>
      </c>
      <c r="N48" s="123"/>
      <c r="O48" s="123"/>
      <c r="P48" s="136">
        <f>IF(P$1="",0,операции!P$250)*IF(аренда!$M$41+аренда!$M$43=0,0,P$11/(аренда!$M$41+аренда!$M$43))</f>
        <v>1304.3249230987819</v>
      </c>
      <c r="Q48" s="136">
        <f>IF(Q$1="",0,операции!Q$250)*IF(аренда!$M$41+аренда!$M$43=0,0,Q$11/(аренда!$M$41+аренда!$M$43))</f>
        <v>1304.3249230987819</v>
      </c>
      <c r="R48" s="136">
        <f>IF(R$1="",0,операции!R$250)*IF(аренда!$M$41+аренда!$M$43=0,0,R$11/(аренда!$M$41+аренда!$M$43))</f>
        <v>1304.3249230987819</v>
      </c>
      <c r="S48" s="136">
        <f>IF(S$1="",0,операции!S$250)*IF(аренда!$M$41+аренда!$M$43=0,0,S$11/(аренда!$M$41+аренда!$M$43))</f>
        <v>1304.3249230987819</v>
      </c>
      <c r="T48" s="136">
        <f>IF(T$1="",0,операции!T$250)*IF(аренда!$M$41+аренда!$M$43=0,0,T$11/(аренда!$M$41+аренда!$M$43))</f>
        <v>1304.3249230987819</v>
      </c>
      <c r="U48" s="136">
        <f>IF(U$1="",0,операции!U$250)*IF(аренда!$M$41+аренда!$M$43=0,0,U$11/(аренда!$M$41+аренда!$M$43))</f>
        <v>1304.3249230987819</v>
      </c>
      <c r="V48" s="136">
        <f>IF(V$1="",0,операции!V$250)*IF(аренда!$M$41+аренда!$M$43=0,0,V$11/(аренда!$M$41+аренда!$M$43))</f>
        <v>1304.3249230987819</v>
      </c>
      <c r="W48" s="136">
        <f>IF(W$1="",0,операции!W$250)*IF(аренда!$M$41+аренда!$M$43=0,0,W$11/(аренда!$M$41+аренда!$M$43))</f>
        <v>0</v>
      </c>
      <c r="X48" s="136">
        <f>IF(X$1="",0,операции!X$250)*IF(аренда!$M$41+аренда!$M$43=0,0,X$11/(аренда!$M$41+аренда!$M$43))</f>
        <v>0</v>
      </c>
      <c r="Y48" s="136">
        <f>IF(Y$1="",0,операции!Y$250)*IF(аренда!$M$41+аренда!$M$43=0,0,Y$11/(аренда!$M$41+аренда!$M$43))</f>
        <v>0</v>
      </c>
      <c r="Z48" s="136">
        <f>IF(Z$1="",0,операции!Z$250)*IF(аренда!$M$41+аренда!$M$43=0,0,Z$11/(аренда!$M$41+аренда!$M$43))</f>
        <v>0</v>
      </c>
      <c r="AA48" s="136">
        <f>IF(AA$1="",0,операции!AA$250)*IF(аренда!$M$41+аренда!$M$43=0,0,AA$11/(аренда!$M$41+аренда!$M$43))</f>
        <v>0</v>
      </c>
      <c r="AB48" s="136"/>
    </row>
    <row r="49" spans="1:28" s="126" customFormat="1" ht="3.9" hidden="1" customHeight="1" x14ac:dyDescent="0.25">
      <c r="A49" s="149">
        <f>1</f>
        <v>1</v>
      </c>
      <c r="B49" s="131"/>
      <c r="C49" s="123"/>
      <c r="D49" s="123"/>
      <c r="E49" s="123"/>
      <c r="F49" s="123"/>
      <c r="G49" s="123"/>
      <c r="H49" s="123"/>
      <c r="I49" s="124"/>
      <c r="J49" s="123"/>
      <c r="K49" s="124"/>
      <c r="L49" s="123"/>
      <c r="M49" s="125"/>
      <c r="N49" s="123"/>
      <c r="O49" s="123"/>
      <c r="P49" s="137"/>
      <c r="Q49" s="137"/>
      <c r="R49" s="137"/>
      <c r="S49" s="137"/>
      <c r="T49" s="137"/>
      <c r="U49" s="137"/>
      <c r="V49" s="137"/>
      <c r="W49" s="137"/>
      <c r="X49" s="137"/>
      <c r="Y49" s="137"/>
      <c r="Z49" s="137"/>
      <c r="AA49" s="137"/>
      <c r="AB49" s="137"/>
    </row>
    <row r="50" spans="1:28" s="126" customFormat="1" hidden="1" x14ac:dyDescent="0.25">
      <c r="A50" s="149">
        <f>1</f>
        <v>1</v>
      </c>
      <c r="B50" s="132" t="str">
        <f>структура!$J$14</f>
        <v>УСН(15%)</v>
      </c>
      <c r="C50" s="123"/>
      <c r="D50" s="123"/>
      <c r="E50" s="130" t="str">
        <f>E46</f>
        <v>расходы на аренду земли</v>
      </c>
      <c r="F50" s="130"/>
      <c r="G50" s="130" t="str">
        <f>IF($E50="","",INDEX(KPI!$G:$G,SUMIFS(KPI!$B:$B,KPI!$E:$E,$E50)))</f>
        <v>тыс.руб.</v>
      </c>
      <c r="H50" s="130"/>
      <c r="I50" s="134"/>
      <c r="J50" s="130"/>
      <c r="K50" s="134"/>
      <c r="L50" s="130"/>
      <c r="M50" s="135">
        <f>SUM($O50:$AB50)</f>
        <v>9130.2744616914733</v>
      </c>
      <c r="N50" s="123"/>
      <c r="O50" s="123"/>
      <c r="P50" s="136">
        <f>IF(P$1="",0,операции!P$250)*IF(аренда!$M$41+аренда!$M$43=0,0,P$11/(аренда!$M$41+аренда!$M$43))</f>
        <v>1304.3249230987819</v>
      </c>
      <c r="Q50" s="136">
        <f>IF(Q$1="",0,операции!Q$250)*IF(аренда!$M$41+аренда!$M$43=0,0,Q$11/(аренда!$M$41+аренда!$M$43))</f>
        <v>1304.3249230987819</v>
      </c>
      <c r="R50" s="136">
        <f>IF(R$1="",0,операции!R$250)*IF(аренда!$M$41+аренда!$M$43=0,0,R$11/(аренда!$M$41+аренда!$M$43))</f>
        <v>1304.3249230987819</v>
      </c>
      <c r="S50" s="136">
        <f>IF(S$1="",0,операции!S$250)*IF(аренда!$M$41+аренда!$M$43=0,0,S$11/(аренда!$M$41+аренда!$M$43))</f>
        <v>1304.3249230987819</v>
      </c>
      <c r="T50" s="136">
        <f>IF(T$1="",0,операции!T$250)*IF(аренда!$M$41+аренда!$M$43=0,0,T$11/(аренда!$M$41+аренда!$M$43))</f>
        <v>1304.3249230987819</v>
      </c>
      <c r="U50" s="136">
        <f>IF(U$1="",0,операции!U$250)*IF(аренда!$M$41+аренда!$M$43=0,0,U$11/(аренда!$M$41+аренда!$M$43))</f>
        <v>1304.3249230987819</v>
      </c>
      <c r="V50" s="136">
        <f>IF(V$1="",0,операции!V$250)*IF(аренда!$M$41+аренда!$M$43=0,0,V$11/(аренда!$M$41+аренда!$M$43))</f>
        <v>1304.3249230987819</v>
      </c>
      <c r="W50" s="136">
        <f>IF(W$1="",0,операции!W$250)*IF(аренда!$M$41+аренда!$M$43=0,0,W$11/(аренда!$M$41+аренда!$M$43))</f>
        <v>0</v>
      </c>
      <c r="X50" s="136">
        <f>IF(X$1="",0,операции!X$250)*IF(аренда!$M$41+аренда!$M$43=0,0,X$11/(аренда!$M$41+аренда!$M$43))</f>
        <v>0</v>
      </c>
      <c r="Y50" s="136">
        <f>IF(Y$1="",0,операции!Y$250)*IF(аренда!$M$41+аренда!$M$43=0,0,Y$11/(аренда!$M$41+аренда!$M$43))</f>
        <v>0</v>
      </c>
      <c r="Z50" s="136">
        <f>IF(Z$1="",0,операции!Z$250)*IF(аренда!$M$41+аренда!$M$43=0,0,Z$11/(аренда!$M$41+аренда!$M$43))</f>
        <v>0</v>
      </c>
      <c r="AA50" s="136">
        <f>IF(AA$1="",0,операции!AA$250)*IF(аренда!$M$41+аренда!$M$43=0,0,AA$11/(аренда!$M$41+аренда!$M$43))</f>
        <v>0</v>
      </c>
      <c r="AB50" s="136"/>
    </row>
    <row r="51" spans="1:28" s="126" customFormat="1" ht="3.9" hidden="1" customHeight="1" x14ac:dyDescent="0.25">
      <c r="A51" s="149">
        <f>1</f>
        <v>1</v>
      </c>
      <c r="B51" s="131"/>
      <c r="C51" s="123"/>
      <c r="D51" s="123"/>
      <c r="E51" s="123"/>
      <c r="F51" s="123"/>
      <c r="G51" s="123"/>
      <c r="H51" s="123"/>
      <c r="I51" s="124"/>
      <c r="J51" s="123"/>
      <c r="K51" s="124"/>
      <c r="L51" s="123"/>
      <c r="M51" s="125"/>
      <c r="N51" s="123"/>
      <c r="O51" s="123"/>
      <c r="P51" s="137"/>
      <c r="Q51" s="137"/>
      <c r="R51" s="137"/>
      <c r="S51" s="137"/>
      <c r="T51" s="137"/>
      <c r="U51" s="137"/>
      <c r="V51" s="137"/>
      <c r="W51" s="137"/>
      <c r="X51" s="137"/>
      <c r="Y51" s="137"/>
      <c r="Z51" s="137"/>
      <c r="AA51" s="137"/>
      <c r="AB51" s="137"/>
    </row>
    <row r="52" spans="1:28" s="126" customFormat="1" x14ac:dyDescent="0.25">
      <c r="A52" s="149">
        <f>1</f>
        <v>1</v>
      </c>
      <c r="B52" s="132" t="str">
        <f>структура!$J$15</f>
        <v>УСН(6%)-ИП</v>
      </c>
      <c r="C52" s="123"/>
      <c r="D52" s="123"/>
      <c r="E52" s="130" t="str">
        <f>E46</f>
        <v>расходы на аренду земли</v>
      </c>
      <c r="F52" s="130"/>
      <c r="G52" s="130" t="str">
        <f>IF($E52="","",INDEX(KPI!$G:$G,SUMIFS(KPI!$B:$B,KPI!$E:$E,$E52)))</f>
        <v>тыс.руб.</v>
      </c>
      <c r="H52" s="130"/>
      <c r="I52" s="134"/>
      <c r="J52" s="130"/>
      <c r="K52" s="134"/>
      <c r="L52" s="130"/>
      <c r="M52" s="135">
        <f>SUM($O52:$AB52)</f>
        <v>9130.2744616914733</v>
      </c>
      <c r="N52" s="123"/>
      <c r="O52" s="123"/>
      <c r="P52" s="136">
        <f>IF(P$1="",0,операции!P$250)*IF(аренда!$M$41+аренда!$M$43=0,0,P$11/(аренда!$M$41+аренда!$M$43))</f>
        <v>1304.3249230987819</v>
      </c>
      <c r="Q52" s="136">
        <f>IF(Q$1="",0,операции!Q$250)*IF(аренда!$M$41+аренда!$M$43=0,0,Q$11/(аренда!$M$41+аренда!$M$43))</f>
        <v>1304.3249230987819</v>
      </c>
      <c r="R52" s="136">
        <f>IF(R$1="",0,операции!R$250)*IF(аренда!$M$41+аренда!$M$43=0,0,R$11/(аренда!$M$41+аренда!$M$43))</f>
        <v>1304.3249230987819</v>
      </c>
      <c r="S52" s="136">
        <f>IF(S$1="",0,операции!S$250)*IF(аренда!$M$41+аренда!$M$43=0,0,S$11/(аренда!$M$41+аренда!$M$43))</f>
        <v>1304.3249230987819</v>
      </c>
      <c r="T52" s="136">
        <f>IF(T$1="",0,операции!T$250)*IF(аренда!$M$41+аренда!$M$43=0,0,T$11/(аренда!$M$41+аренда!$M$43))</f>
        <v>1304.3249230987819</v>
      </c>
      <c r="U52" s="136">
        <f>IF(U$1="",0,операции!U$250)*IF(аренда!$M$41+аренда!$M$43=0,0,U$11/(аренда!$M$41+аренда!$M$43))</f>
        <v>1304.3249230987819</v>
      </c>
      <c r="V52" s="136">
        <f>IF(V$1="",0,операции!V$250)*IF(аренда!$M$41+аренда!$M$43=0,0,V$11/(аренда!$M$41+аренда!$M$43))</f>
        <v>1304.3249230987819</v>
      </c>
      <c r="W52" s="136">
        <f>IF(W$1="",0,операции!W$250)*IF(аренда!$M$41+аренда!$M$43=0,0,W$11/(аренда!$M$41+аренда!$M$43))</f>
        <v>0</v>
      </c>
      <c r="X52" s="136">
        <f>IF(X$1="",0,операции!X$250)*IF(аренда!$M$41+аренда!$M$43=0,0,X$11/(аренда!$M$41+аренда!$M$43))</f>
        <v>0</v>
      </c>
      <c r="Y52" s="136">
        <f>IF(Y$1="",0,операции!Y$250)*IF(аренда!$M$41+аренда!$M$43=0,0,Y$11/(аренда!$M$41+аренда!$M$43))</f>
        <v>0</v>
      </c>
      <c r="Z52" s="136">
        <f>IF(Z$1="",0,операции!Z$250)*IF(аренда!$M$41+аренда!$M$43=0,0,Z$11/(аренда!$M$41+аренда!$M$43))</f>
        <v>0</v>
      </c>
      <c r="AA52" s="136">
        <f>IF(AA$1="",0,операции!AA$250)*IF(аренда!$M$41+аренда!$M$43=0,0,AA$11/(аренда!$M$41+аренда!$M$43))</f>
        <v>0</v>
      </c>
      <c r="AB52" s="136"/>
    </row>
    <row r="53" spans="1:28" ht="3.9" hidden="1" customHeight="1" x14ac:dyDescent="0.25">
      <c r="A53" s="149">
        <f>1</f>
        <v>1</v>
      </c>
      <c r="B53" s="131"/>
      <c r="C53" s="2"/>
      <c r="D53" s="2"/>
      <c r="E53" s="2"/>
      <c r="F53" s="2"/>
      <c r="G53" s="2"/>
      <c r="H53" s="2"/>
      <c r="I53" s="28"/>
      <c r="J53" s="2"/>
      <c r="K53" s="28"/>
      <c r="L53" s="2"/>
      <c r="M53" s="52"/>
      <c r="N53" s="2"/>
      <c r="O53" s="2"/>
      <c r="P53" s="36"/>
      <c r="Q53" s="36"/>
      <c r="R53" s="36"/>
      <c r="S53" s="36"/>
      <c r="T53" s="36"/>
      <c r="U53" s="36"/>
      <c r="V53" s="36"/>
      <c r="W53" s="36"/>
      <c r="X53" s="36"/>
      <c r="Y53" s="36"/>
      <c r="Z53" s="36"/>
      <c r="AA53" s="36"/>
      <c r="AB53" s="2"/>
    </row>
    <row r="54" spans="1:28" ht="8.1" hidden="1" customHeight="1" x14ac:dyDescent="0.25">
      <c r="A54" s="149">
        <f>1</f>
        <v>1</v>
      </c>
      <c r="B54" s="131"/>
      <c r="C54" s="2"/>
      <c r="D54" s="2"/>
      <c r="E54" s="2"/>
      <c r="F54" s="2"/>
      <c r="G54" s="2"/>
      <c r="H54" s="2"/>
      <c r="I54" s="28"/>
      <c r="J54" s="2"/>
      <c r="K54" s="28"/>
      <c r="L54" s="2"/>
      <c r="M54" s="52"/>
      <c r="N54" s="2"/>
      <c r="O54" s="2"/>
      <c r="P54" s="36"/>
      <c r="Q54" s="36"/>
      <c r="R54" s="36"/>
      <c r="S54" s="36"/>
      <c r="T54" s="36"/>
      <c r="U54" s="36"/>
      <c r="V54" s="36"/>
      <c r="W54" s="36"/>
      <c r="X54" s="36"/>
      <c r="Y54" s="36"/>
      <c r="Z54" s="36"/>
      <c r="AA54" s="36"/>
      <c r="AB54" s="2"/>
    </row>
    <row r="55" spans="1:28" ht="3.9" hidden="1" customHeight="1" x14ac:dyDescent="0.25">
      <c r="A55" s="149">
        <f>1</f>
        <v>1</v>
      </c>
      <c r="B55" s="131"/>
      <c r="C55" s="2"/>
      <c r="D55" s="2"/>
      <c r="E55" s="2"/>
      <c r="F55" s="2"/>
      <c r="G55" s="2"/>
      <c r="H55" s="2"/>
      <c r="I55" s="28"/>
      <c r="J55" s="2"/>
      <c r="K55" s="28"/>
      <c r="L55" s="2"/>
      <c r="M55" s="52"/>
      <c r="N55" s="2"/>
      <c r="O55" s="2"/>
      <c r="P55" s="36"/>
      <c r="Q55" s="36"/>
      <c r="R55" s="36"/>
      <c r="S55" s="36"/>
      <c r="T55" s="36"/>
      <c r="U55" s="36"/>
      <c r="V55" s="36"/>
      <c r="W55" s="36"/>
      <c r="X55" s="36"/>
      <c r="Y55" s="36"/>
      <c r="Z55" s="36"/>
      <c r="AA55" s="36"/>
      <c r="AB55" s="2"/>
    </row>
    <row r="56" spans="1:28" s="126" customFormat="1" hidden="1" x14ac:dyDescent="0.25">
      <c r="A56" s="149">
        <f>1</f>
        <v>1</v>
      </c>
      <c r="B56" s="132" t="str">
        <f>структура!$J$12</f>
        <v>ОСНО</v>
      </c>
      <c r="C56" s="123"/>
      <c r="D56" s="123"/>
      <c r="E56" s="130" t="str">
        <f>KPI!$E$78</f>
        <v>коммунальные расходы</v>
      </c>
      <c r="F56" s="130"/>
      <c r="G56" s="130" t="str">
        <f>IF($E56="","",INDEX(KPI!$G:$G,SUMIFS(KPI!$B:$B,KPI!$E:$E,$E56)))</f>
        <v>тыс.руб.</v>
      </c>
      <c r="H56" s="130"/>
      <c r="I56" s="134"/>
      <c r="J56" s="130" t="str">
        <f>структура!$AL$21</f>
        <v>Без НДС</v>
      </c>
      <c r="K56" s="134"/>
      <c r="L56" s="130"/>
      <c r="M56" s="135">
        <f>SUM($O56:$AB56)</f>
        <v>639.15755857037493</v>
      </c>
      <c r="N56" s="123"/>
      <c r="O56" s="123"/>
      <c r="P56" s="136">
        <f>IF(P$1="",0,IF(1+операции!P$421=0,0,(операции!P$300)/(1+операции!P$421)))*IF(отчеты!P16=0,0,P16/отчеты!P16)</f>
        <v>70.472331359815328</v>
      </c>
      <c r="Q56" s="136">
        <f>IF(Q$1="",0,IF(1+операции!Q$421=0,0,(операции!Q$300)/(1+операции!Q$421)))*IF(отчеты!Q16=0,0,Q16/отчеты!Q16)</f>
        <v>76.445086855945249</v>
      </c>
      <c r="R56" s="136">
        <f>IF(R$1="",0,IF(1+операции!R$421=0,0,(операции!R$300)/(1+операции!R$421)))*IF(отчеты!R16=0,0,R16/отчеты!R16)</f>
        <v>84.677536807997555</v>
      </c>
      <c r="S56" s="136">
        <f>IF(S$1="",0,IF(1+операции!S$421=0,0,(операции!S$300)/(1+операции!S$421)))*IF(отчеты!S16=0,0,S16/отчеты!S16)</f>
        <v>89.35361798980054</v>
      </c>
      <c r="T56" s="136">
        <f>IF(T$1="",0,IF(1+операции!T$421=0,0,(операции!T$300)/(1+операции!T$421)))*IF(отчеты!T16=0,0,T16/отчеты!T16)</f>
        <v>95.965131242313831</v>
      </c>
      <c r="U56" s="136">
        <f>IF(U$1="",0,IF(1+операции!U$421=0,0,(операции!U$300)/(1+операции!U$421)))*IF(отчеты!U16=0,0,U16/отчеты!U16)</f>
        <v>105.50667975255843</v>
      </c>
      <c r="V56" s="136">
        <f>IF(V$1="",0,IF(1+операции!V$421=0,0,(операции!V$300)/(1+операции!V$421)))*IF(отчеты!V16=0,0,V16/отчеты!V16)</f>
        <v>116.73717456194406</v>
      </c>
      <c r="W56" s="136">
        <f>IF(W$1="",0,IF(1+операции!W$421=0,0,(операции!W$300)/(1+операции!W$421)))*IF(отчеты!W16=0,0,W16/отчеты!W16)</f>
        <v>0</v>
      </c>
      <c r="X56" s="136">
        <f>IF(X$1="",0,IF(1+операции!X$421=0,0,(операции!X$300)/(1+операции!X$421)))*IF(отчеты!X16=0,0,X16/отчеты!X16)</f>
        <v>0</v>
      </c>
      <c r="Y56" s="136">
        <f>IF(Y$1="",0,IF(1+операции!Y$421=0,0,(операции!Y$300)/(1+операции!Y$421)))*IF(отчеты!Y16=0,0,Y16/отчеты!Y16)</f>
        <v>0</v>
      </c>
      <c r="Z56" s="136">
        <f>IF(Z$1="",0,IF(1+операции!Z$421=0,0,(операции!Z$300)/(1+операции!Z$421)))*IF(отчеты!Z16=0,0,Z16/отчеты!Z16)</f>
        <v>0</v>
      </c>
      <c r="AA56" s="136">
        <f>IF(AA$1="",0,IF(1+операции!AA$421=0,0,(операции!AA$300)/(1+операции!AA$421)))*IF(отчеты!AA16=0,0,AA16/отчеты!AA16)</f>
        <v>0</v>
      </c>
      <c r="AB56" s="123"/>
    </row>
    <row r="57" spans="1:28" s="126" customFormat="1" ht="3.9" hidden="1" customHeight="1" x14ac:dyDescent="0.25">
      <c r="A57" s="149">
        <f>1</f>
        <v>1</v>
      </c>
      <c r="B57" s="131"/>
      <c r="C57" s="123"/>
      <c r="D57" s="123"/>
      <c r="E57" s="123"/>
      <c r="F57" s="123"/>
      <c r="G57" s="123"/>
      <c r="H57" s="123"/>
      <c r="I57" s="124"/>
      <c r="J57" s="123"/>
      <c r="K57" s="124"/>
      <c r="L57" s="123"/>
      <c r="M57" s="125"/>
      <c r="N57" s="123"/>
      <c r="O57" s="123"/>
      <c r="P57" s="137"/>
      <c r="Q57" s="137"/>
      <c r="R57" s="137"/>
      <c r="S57" s="137"/>
      <c r="T57" s="137"/>
      <c r="U57" s="137"/>
      <c r="V57" s="137"/>
      <c r="W57" s="137"/>
      <c r="X57" s="137"/>
      <c r="Y57" s="137"/>
      <c r="Z57" s="137"/>
      <c r="AA57" s="137"/>
      <c r="AB57" s="123"/>
    </row>
    <row r="58" spans="1:28" s="126" customFormat="1" hidden="1" x14ac:dyDescent="0.25">
      <c r="A58" s="149">
        <f>1</f>
        <v>1</v>
      </c>
      <c r="B58" s="132" t="str">
        <f>структура!$J$13</f>
        <v>УСН(6%)</v>
      </c>
      <c r="C58" s="123"/>
      <c r="D58" s="123"/>
      <c r="E58" s="130" t="str">
        <f>E56</f>
        <v>коммунальные расходы</v>
      </c>
      <c r="F58" s="130"/>
      <c r="G58" s="130" t="str">
        <f>IF($E58="","",INDEX(KPI!$G:$G,SUMIFS(KPI!$B:$B,KPI!$E:$E,$E58)))</f>
        <v>тыс.руб.</v>
      </c>
      <c r="H58" s="130"/>
      <c r="I58" s="134"/>
      <c r="J58" s="130" t="str">
        <f>структура!$AL$21</f>
        <v>Без НДС</v>
      </c>
      <c r="K58" s="134"/>
      <c r="L58" s="130"/>
      <c r="M58" s="135">
        <f>SUM($O58:$AB58)</f>
        <v>639.15755857037493</v>
      </c>
      <c r="N58" s="123"/>
      <c r="O58" s="123"/>
      <c r="P58" s="136">
        <f>IF(P$1="",0,IF(1+операции!P$421=0,0,(операции!P$300)/(1+операции!P$421)))*IF(отчеты!P18=0,0,P18/отчеты!P18)</f>
        <v>70.472331359815314</v>
      </c>
      <c r="Q58" s="136">
        <f>IF(Q$1="",0,IF(1+операции!Q$421=0,0,(операции!Q$300)/(1+операции!Q$421)))*IF(отчеты!Q18=0,0,Q18/отчеты!Q18)</f>
        <v>76.445086855945263</v>
      </c>
      <c r="R58" s="136">
        <f>IF(R$1="",0,IF(1+операции!R$421=0,0,(операции!R$300)/(1+операции!R$421)))*IF(отчеты!R18=0,0,R18/отчеты!R18)</f>
        <v>84.677536807997569</v>
      </c>
      <c r="S58" s="136">
        <f>IF(S$1="",0,IF(1+операции!S$421=0,0,(операции!S$300)/(1+операции!S$421)))*IF(отчеты!S18=0,0,S18/отчеты!S18)</f>
        <v>89.353617989800554</v>
      </c>
      <c r="T58" s="136">
        <f>IF(T$1="",0,IF(1+операции!T$421=0,0,(операции!T$300)/(1+операции!T$421)))*IF(отчеты!T18=0,0,T18/отчеты!T18)</f>
        <v>95.965131242313831</v>
      </c>
      <c r="U58" s="136">
        <f>IF(U$1="",0,IF(1+операции!U$421=0,0,(операции!U$300)/(1+операции!U$421)))*IF(отчеты!U18=0,0,U18/отчеты!U18)</f>
        <v>105.50667975255843</v>
      </c>
      <c r="V58" s="136">
        <f>IF(V$1="",0,IF(1+операции!V$421=0,0,(операции!V$300)/(1+операции!V$421)))*IF(отчеты!V18=0,0,V18/отчеты!V18)</f>
        <v>116.73717456194406</v>
      </c>
      <c r="W58" s="136">
        <f>IF(W$1="",0,IF(1+операции!W$421=0,0,(операции!W$300)/(1+операции!W$421)))*IF(отчеты!W18=0,0,W18/отчеты!W18)</f>
        <v>0</v>
      </c>
      <c r="X58" s="136">
        <f>IF(X$1="",0,IF(1+операции!X$421=0,0,(операции!X$300)/(1+операции!X$421)))*IF(отчеты!X18=0,0,X18/отчеты!X18)</f>
        <v>0</v>
      </c>
      <c r="Y58" s="136">
        <f>IF(Y$1="",0,IF(1+операции!Y$421=0,0,(операции!Y$300)/(1+операции!Y$421)))*IF(отчеты!Y18=0,0,Y18/отчеты!Y18)</f>
        <v>0</v>
      </c>
      <c r="Z58" s="136">
        <f>IF(Z$1="",0,IF(1+операции!Z$421=0,0,(операции!Z$300)/(1+операции!Z$421)))*IF(отчеты!Z18=0,0,Z18/отчеты!Z18)</f>
        <v>0</v>
      </c>
      <c r="AA58" s="136">
        <f>IF(AA$1="",0,IF(1+операции!AA$421=0,0,(операции!AA$300)/(1+операции!AA$421)))*IF(отчеты!AA18=0,0,AA18/отчеты!AA18)</f>
        <v>0</v>
      </c>
      <c r="AB58" s="123"/>
    </row>
    <row r="59" spans="1:28" s="126" customFormat="1" ht="3.9" hidden="1" customHeight="1" x14ac:dyDescent="0.25">
      <c r="A59" s="149">
        <f>1</f>
        <v>1</v>
      </c>
      <c r="B59" s="131"/>
      <c r="C59" s="123"/>
      <c r="D59" s="123"/>
      <c r="E59" s="123"/>
      <c r="F59" s="123"/>
      <c r="G59" s="123"/>
      <c r="H59" s="123"/>
      <c r="I59" s="124"/>
      <c r="J59" s="123"/>
      <c r="K59" s="124"/>
      <c r="L59" s="123"/>
      <c r="M59" s="125"/>
      <c r="N59" s="123"/>
      <c r="O59" s="123"/>
      <c r="P59" s="137"/>
      <c r="Q59" s="137"/>
      <c r="R59" s="137"/>
      <c r="S59" s="137"/>
      <c r="T59" s="137"/>
      <c r="U59" s="137"/>
      <c r="V59" s="137"/>
      <c r="W59" s="137"/>
      <c r="X59" s="137"/>
      <c r="Y59" s="137"/>
      <c r="Z59" s="137"/>
      <c r="AA59" s="137"/>
      <c r="AB59" s="123"/>
    </row>
    <row r="60" spans="1:28" s="126" customFormat="1" hidden="1" x14ac:dyDescent="0.25">
      <c r="A60" s="149">
        <f>1</f>
        <v>1</v>
      </c>
      <c r="B60" s="132" t="str">
        <f>структура!$J$14</f>
        <v>УСН(15%)</v>
      </c>
      <c r="C60" s="123"/>
      <c r="D60" s="123"/>
      <c r="E60" s="130" t="str">
        <f>E56</f>
        <v>коммунальные расходы</v>
      </c>
      <c r="F60" s="130"/>
      <c r="G60" s="130" t="str">
        <f>IF($E60="","",INDEX(KPI!$G:$G,SUMIFS(KPI!$B:$B,KPI!$E:$E,$E60)))</f>
        <v>тыс.руб.</v>
      </c>
      <c r="H60" s="130"/>
      <c r="I60" s="134"/>
      <c r="J60" s="130" t="str">
        <f>структура!$AL$21</f>
        <v>Без НДС</v>
      </c>
      <c r="K60" s="134"/>
      <c r="L60" s="130"/>
      <c r="M60" s="135">
        <f>SUM($O60:$AB60)</f>
        <v>639.15755857037493</v>
      </c>
      <c r="N60" s="123"/>
      <c r="O60" s="123"/>
      <c r="P60" s="136">
        <f>IF(P$1="",0,IF(1+операции!P$421=0,0,(операции!P$300)/(1+операции!P$421)))*IF(отчеты!P20=0,0,P20/отчеты!P20)</f>
        <v>70.472331359815314</v>
      </c>
      <c r="Q60" s="136">
        <f>IF(Q$1="",0,IF(1+операции!Q$421=0,0,(операции!Q$300)/(1+операции!Q$421)))*IF(отчеты!Q20=0,0,Q20/отчеты!Q20)</f>
        <v>76.445086855945263</v>
      </c>
      <c r="R60" s="136">
        <f>IF(R$1="",0,IF(1+операции!R$421=0,0,(операции!R$300)/(1+операции!R$421)))*IF(отчеты!R20=0,0,R20/отчеты!R20)</f>
        <v>84.677536807997569</v>
      </c>
      <c r="S60" s="136">
        <f>IF(S$1="",0,IF(1+операции!S$421=0,0,(операции!S$300)/(1+операции!S$421)))*IF(отчеты!S20=0,0,S20/отчеты!S20)</f>
        <v>89.353617989800554</v>
      </c>
      <c r="T60" s="136">
        <f>IF(T$1="",0,IF(1+операции!T$421=0,0,(операции!T$300)/(1+операции!T$421)))*IF(отчеты!T20=0,0,T20/отчеты!T20)</f>
        <v>95.965131242313831</v>
      </c>
      <c r="U60" s="136">
        <f>IF(U$1="",0,IF(1+операции!U$421=0,0,(операции!U$300)/(1+операции!U$421)))*IF(отчеты!U20=0,0,U20/отчеты!U20)</f>
        <v>105.50667975255843</v>
      </c>
      <c r="V60" s="136">
        <f>IF(V$1="",0,IF(1+операции!V$421=0,0,(операции!V$300)/(1+операции!V$421)))*IF(отчеты!V20=0,0,V20/отчеты!V20)</f>
        <v>116.73717456194406</v>
      </c>
      <c r="W60" s="136">
        <f>IF(W$1="",0,IF(1+операции!W$421=0,0,(операции!W$300)/(1+операции!W$421)))*IF(отчеты!W20=0,0,W20/отчеты!W20)</f>
        <v>0</v>
      </c>
      <c r="X60" s="136">
        <f>IF(X$1="",0,IF(1+операции!X$421=0,0,(операции!X$300)/(1+операции!X$421)))*IF(отчеты!X20=0,0,X20/отчеты!X20)</f>
        <v>0</v>
      </c>
      <c r="Y60" s="136">
        <f>IF(Y$1="",0,IF(1+операции!Y$421=0,0,(операции!Y$300)/(1+операции!Y$421)))*IF(отчеты!Y20=0,0,Y20/отчеты!Y20)</f>
        <v>0</v>
      </c>
      <c r="Z60" s="136">
        <f>IF(Z$1="",0,IF(1+операции!Z$421=0,0,(операции!Z$300)/(1+операции!Z$421)))*IF(отчеты!Z20=0,0,Z20/отчеты!Z20)</f>
        <v>0</v>
      </c>
      <c r="AA60" s="136">
        <f>IF(AA$1="",0,IF(1+операции!AA$421=0,0,(операции!AA$300)/(1+операции!AA$421)))*IF(отчеты!AA20=0,0,AA20/отчеты!AA20)</f>
        <v>0</v>
      </c>
      <c r="AB60" s="123"/>
    </row>
    <row r="61" spans="1:28" s="126" customFormat="1" ht="3.9" hidden="1" customHeight="1" x14ac:dyDescent="0.25">
      <c r="A61" s="149">
        <f>1</f>
        <v>1</v>
      </c>
      <c r="B61" s="131"/>
      <c r="C61" s="123"/>
      <c r="D61" s="123"/>
      <c r="E61" s="123"/>
      <c r="F61" s="123"/>
      <c r="G61" s="123"/>
      <c r="H61" s="123"/>
      <c r="I61" s="124"/>
      <c r="J61" s="123"/>
      <c r="K61" s="124"/>
      <c r="L61" s="123"/>
      <c r="M61" s="125"/>
      <c r="N61" s="123"/>
      <c r="O61" s="123"/>
      <c r="P61" s="137"/>
      <c r="Q61" s="137"/>
      <c r="R61" s="137"/>
      <c r="S61" s="137"/>
      <c r="T61" s="137"/>
      <c r="U61" s="137"/>
      <c r="V61" s="137"/>
      <c r="W61" s="137"/>
      <c r="X61" s="137"/>
      <c r="Y61" s="137"/>
      <c r="Z61" s="137"/>
      <c r="AA61" s="137"/>
      <c r="AB61" s="123"/>
    </row>
    <row r="62" spans="1:28" s="126" customFormat="1" x14ac:dyDescent="0.25">
      <c r="A62" s="149">
        <f>1</f>
        <v>1</v>
      </c>
      <c r="B62" s="132" t="str">
        <f>структура!$J$15</f>
        <v>УСН(6%)-ИП</v>
      </c>
      <c r="C62" s="123"/>
      <c r="D62" s="123"/>
      <c r="E62" s="130" t="str">
        <f>E56</f>
        <v>коммунальные расходы</v>
      </c>
      <c r="F62" s="130"/>
      <c r="G62" s="130" t="str">
        <f>IF($E62="","",INDEX(KPI!$G:$G,SUMIFS(KPI!$B:$B,KPI!$E:$E,$E62)))</f>
        <v>тыс.руб.</v>
      </c>
      <c r="H62" s="130"/>
      <c r="I62" s="134"/>
      <c r="J62" s="130" t="str">
        <f>структура!$AL$21</f>
        <v>Без НДС</v>
      </c>
      <c r="K62" s="134"/>
      <c r="L62" s="130"/>
      <c r="M62" s="135">
        <f>SUM($O62:$AB62)</f>
        <v>639.15755857037493</v>
      </c>
      <c r="N62" s="123"/>
      <c r="O62" s="123"/>
      <c r="P62" s="136">
        <f>IF(P$1="",0,IF(1+операции!P$421=0,0,(операции!P$300)/(1+операции!P$421)))*IF(отчеты!P22=0,0,P22/отчеты!P22)</f>
        <v>70.472331359815314</v>
      </c>
      <c r="Q62" s="136">
        <f>IF(Q$1="",0,IF(1+операции!Q$421=0,0,(операции!Q$300)/(1+операции!Q$421)))*IF(отчеты!Q22=0,0,Q22/отчеты!Q22)</f>
        <v>76.445086855945263</v>
      </c>
      <c r="R62" s="136">
        <f>IF(R$1="",0,IF(1+операции!R$421=0,0,(операции!R$300)/(1+операции!R$421)))*IF(отчеты!R22=0,0,R22/отчеты!R22)</f>
        <v>84.677536807997569</v>
      </c>
      <c r="S62" s="136">
        <f>IF(S$1="",0,IF(1+операции!S$421=0,0,(операции!S$300)/(1+операции!S$421)))*IF(отчеты!S22=0,0,S22/отчеты!S22)</f>
        <v>89.353617989800554</v>
      </c>
      <c r="T62" s="136">
        <f>IF(T$1="",0,IF(1+операции!T$421=0,0,(операции!T$300)/(1+операции!T$421)))*IF(отчеты!T22=0,0,T22/отчеты!T22)</f>
        <v>95.965131242313831</v>
      </c>
      <c r="U62" s="136">
        <f>IF(U$1="",0,IF(1+операции!U$421=0,0,(операции!U$300)/(1+операции!U$421)))*IF(отчеты!U22=0,0,U22/отчеты!U22)</f>
        <v>105.50667975255843</v>
      </c>
      <c r="V62" s="136">
        <f>IF(V$1="",0,IF(1+операции!V$421=0,0,(операции!V$300)/(1+операции!V$421)))*IF(отчеты!V22=0,0,V22/отчеты!V22)</f>
        <v>116.73717456194406</v>
      </c>
      <c r="W62" s="136">
        <f>IF(W$1="",0,IF(1+операции!W$421=0,0,(операции!W$300)/(1+операции!W$421)))*IF(отчеты!W22=0,0,W22/отчеты!W22)</f>
        <v>0</v>
      </c>
      <c r="X62" s="136">
        <f>IF(X$1="",0,IF(1+операции!X$421=0,0,(операции!X$300)/(1+операции!X$421)))*IF(отчеты!X22=0,0,X22/отчеты!X22)</f>
        <v>0</v>
      </c>
      <c r="Y62" s="136">
        <f>IF(Y$1="",0,IF(1+операции!Y$421=0,0,(операции!Y$300)/(1+операции!Y$421)))*IF(отчеты!Y22=0,0,Y22/отчеты!Y22)</f>
        <v>0</v>
      </c>
      <c r="Z62" s="136">
        <f>IF(Z$1="",0,IF(1+операции!Z$421=0,0,(операции!Z$300)/(1+операции!Z$421)))*IF(отчеты!Z22=0,0,Z22/отчеты!Z22)</f>
        <v>0</v>
      </c>
      <c r="AA62" s="136">
        <f>IF(AA$1="",0,IF(1+операции!AA$421=0,0,(операции!AA$300)/(1+операции!AA$421)))*IF(отчеты!AA22=0,0,AA22/отчеты!AA22)</f>
        <v>0</v>
      </c>
      <c r="AB62" s="123"/>
    </row>
    <row r="63" spans="1:28" ht="3.9" hidden="1" customHeight="1" x14ac:dyDescent="0.25">
      <c r="A63" s="149">
        <f>1</f>
        <v>1</v>
      </c>
      <c r="B63" s="131"/>
      <c r="C63" s="2"/>
      <c r="D63" s="2"/>
      <c r="E63" s="2"/>
      <c r="F63" s="2"/>
      <c r="G63" s="2"/>
      <c r="H63" s="2"/>
      <c r="I63" s="28"/>
      <c r="J63" s="2"/>
      <c r="K63" s="28"/>
      <c r="L63" s="2"/>
      <c r="M63" s="52"/>
      <c r="N63" s="2"/>
      <c r="O63" s="2"/>
      <c r="P63" s="36"/>
      <c r="Q63" s="36"/>
      <c r="R63" s="36"/>
      <c r="S63" s="36"/>
      <c r="T63" s="36"/>
      <c r="U63" s="36"/>
      <c r="V63" s="36"/>
      <c r="W63" s="36"/>
      <c r="X63" s="36"/>
      <c r="Y63" s="36"/>
      <c r="Z63" s="36"/>
      <c r="AA63" s="36"/>
      <c r="AB63" s="2"/>
    </row>
    <row r="64" spans="1:28" ht="8.1" hidden="1" customHeight="1" x14ac:dyDescent="0.25">
      <c r="A64" s="149">
        <f>1</f>
        <v>1</v>
      </c>
      <c r="B64" s="131"/>
      <c r="C64" s="2"/>
      <c r="D64" s="2"/>
      <c r="E64" s="2"/>
      <c r="F64" s="2"/>
      <c r="G64" s="2"/>
      <c r="H64" s="2"/>
      <c r="I64" s="28"/>
      <c r="J64" s="2"/>
      <c r="K64" s="28"/>
      <c r="L64" s="2"/>
      <c r="M64" s="52"/>
      <c r="N64" s="2"/>
      <c r="O64" s="2"/>
      <c r="P64" s="36"/>
      <c r="Q64" s="36"/>
      <c r="R64" s="36"/>
      <c r="S64" s="36"/>
      <c r="T64" s="36"/>
      <c r="U64" s="36"/>
      <c r="V64" s="36"/>
      <c r="W64" s="36"/>
      <c r="X64" s="36"/>
      <c r="Y64" s="36"/>
      <c r="Z64" s="36"/>
      <c r="AA64" s="36"/>
      <c r="AB64" s="2"/>
    </row>
    <row r="65" spans="1:28" ht="3.9" hidden="1" customHeight="1" x14ac:dyDescent="0.25">
      <c r="A65" s="149">
        <f>1</f>
        <v>1</v>
      </c>
      <c r="B65" s="131"/>
      <c r="C65" s="2"/>
      <c r="D65" s="2"/>
      <c r="E65" s="2"/>
      <c r="F65" s="2"/>
      <c r="G65" s="2"/>
      <c r="H65" s="2"/>
      <c r="I65" s="28"/>
      <c r="J65" s="2"/>
      <c r="K65" s="28"/>
      <c r="L65" s="2"/>
      <c r="M65" s="52"/>
      <c r="N65" s="2"/>
      <c r="O65" s="2"/>
      <c r="P65" s="36"/>
      <c r="Q65" s="36"/>
      <c r="R65" s="36"/>
      <c r="S65" s="36"/>
      <c r="T65" s="36"/>
      <c r="U65" s="36"/>
      <c r="V65" s="36"/>
      <c r="W65" s="36"/>
      <c r="X65" s="36"/>
      <c r="Y65" s="36"/>
      <c r="Z65" s="36"/>
      <c r="AA65" s="36"/>
      <c r="AB65" s="2"/>
    </row>
    <row r="66" spans="1:28" s="126" customFormat="1" hidden="1" x14ac:dyDescent="0.25">
      <c r="A66" s="149">
        <f>1</f>
        <v>1</v>
      </c>
      <c r="B66" s="132" t="str">
        <f>структура!$J$12</f>
        <v>ОСНО</v>
      </c>
      <c r="C66" s="123"/>
      <c r="D66" s="123"/>
      <c r="E66" s="130" t="str">
        <f>KPI!$E$79</f>
        <v>начисление ФОТ</v>
      </c>
      <c r="F66" s="130"/>
      <c r="G66" s="130" t="str">
        <f>IF($E66="","",INDEX(KPI!$G:$G,SUMIFS(KPI!$B:$B,KPI!$E:$E,$E66)))</f>
        <v>тыс.руб.</v>
      </c>
      <c r="H66" s="130"/>
      <c r="I66" s="134"/>
      <c r="J66" s="130"/>
      <c r="K66" s="134"/>
      <c r="L66" s="130"/>
      <c r="M66" s="135">
        <f>SUM($O66:$AB66)</f>
        <v>10080</v>
      </c>
      <c r="N66" s="123"/>
      <c r="O66" s="123"/>
      <c r="P66" s="136">
        <f>IF(P$1="",0,ФОТ!P$26)</f>
        <v>1440</v>
      </c>
      <c r="Q66" s="136">
        <f>IF(Q$1="",0,ФОТ!Q$26)</f>
        <v>1440</v>
      </c>
      <c r="R66" s="136">
        <f>IF(R$1="",0,ФОТ!R$26)</f>
        <v>1440</v>
      </c>
      <c r="S66" s="136">
        <f>IF(S$1="",0,ФОТ!S$26)</f>
        <v>1440</v>
      </c>
      <c r="T66" s="136">
        <f>IF(T$1="",0,ФОТ!T$26)</f>
        <v>1440</v>
      </c>
      <c r="U66" s="136">
        <f>IF(U$1="",0,ФОТ!U$26)</f>
        <v>1440</v>
      </c>
      <c r="V66" s="136">
        <f>IF(V$1="",0,ФОТ!V$26)</f>
        <v>1440</v>
      </c>
      <c r="W66" s="136">
        <f>IF(W$1="",0,ФОТ!W$26)</f>
        <v>0</v>
      </c>
      <c r="X66" s="136">
        <f>IF(X$1="",0,ФОТ!X$26)</f>
        <v>0</v>
      </c>
      <c r="Y66" s="136">
        <f>IF(Y$1="",0,ФОТ!Y$26)</f>
        <v>0</v>
      </c>
      <c r="Z66" s="136">
        <f>IF(Z$1="",0,ФОТ!Z$26)</f>
        <v>0</v>
      </c>
      <c r="AA66" s="136">
        <f>IF(AA$1="",0,ФОТ!AA$26)</f>
        <v>0</v>
      </c>
      <c r="AB66" s="123"/>
    </row>
    <row r="67" spans="1:28" s="126" customFormat="1" ht="3.9" hidden="1" customHeight="1" x14ac:dyDescent="0.25">
      <c r="A67" s="149">
        <f>1</f>
        <v>1</v>
      </c>
      <c r="B67" s="131"/>
      <c r="C67" s="123"/>
      <c r="D67" s="123"/>
      <c r="E67" s="123"/>
      <c r="F67" s="123"/>
      <c r="G67" s="123"/>
      <c r="H67" s="123"/>
      <c r="I67" s="124"/>
      <c r="J67" s="123"/>
      <c r="K67" s="124"/>
      <c r="L67" s="123"/>
      <c r="M67" s="125"/>
      <c r="N67" s="123"/>
      <c r="O67" s="123"/>
      <c r="P67" s="137"/>
      <c r="Q67" s="137"/>
      <c r="R67" s="137"/>
      <c r="S67" s="137"/>
      <c r="T67" s="137"/>
      <c r="U67" s="137"/>
      <c r="V67" s="137"/>
      <c r="W67" s="137"/>
      <c r="X67" s="137"/>
      <c r="Y67" s="137"/>
      <c r="Z67" s="137"/>
      <c r="AA67" s="137"/>
      <c r="AB67" s="123"/>
    </row>
    <row r="68" spans="1:28" s="126" customFormat="1" hidden="1" x14ac:dyDescent="0.25">
      <c r="A68" s="149">
        <f>1</f>
        <v>1</v>
      </c>
      <c r="B68" s="132" t="str">
        <f>структура!$J$13</f>
        <v>УСН(6%)</v>
      </c>
      <c r="C68" s="123"/>
      <c r="D68" s="123"/>
      <c r="E68" s="130" t="str">
        <f>E66</f>
        <v>начисление ФОТ</v>
      </c>
      <c r="F68" s="130"/>
      <c r="G68" s="130" t="str">
        <f>IF($E68="","",INDEX(KPI!$G:$G,SUMIFS(KPI!$B:$B,KPI!$E:$E,$E68)))</f>
        <v>тыс.руб.</v>
      </c>
      <c r="H68" s="130"/>
      <c r="I68" s="134"/>
      <c r="J68" s="130"/>
      <c r="K68" s="134"/>
      <c r="L68" s="130"/>
      <c r="M68" s="135">
        <f>SUM($O68:$AB68)</f>
        <v>10080</v>
      </c>
      <c r="N68" s="123"/>
      <c r="O68" s="123"/>
      <c r="P68" s="136">
        <f>IF(P$1="",0,ФОТ!P$26)</f>
        <v>1440</v>
      </c>
      <c r="Q68" s="136">
        <f>IF(Q$1="",0,ФОТ!Q$26)</f>
        <v>1440</v>
      </c>
      <c r="R68" s="136">
        <f>IF(R$1="",0,ФОТ!R$26)</f>
        <v>1440</v>
      </c>
      <c r="S68" s="136">
        <f>IF(S$1="",0,ФОТ!S$26)</f>
        <v>1440</v>
      </c>
      <c r="T68" s="136">
        <f>IF(T$1="",0,ФОТ!T$26)</f>
        <v>1440</v>
      </c>
      <c r="U68" s="136">
        <f>IF(U$1="",0,ФОТ!U$26)</f>
        <v>1440</v>
      </c>
      <c r="V68" s="136">
        <f>IF(V$1="",0,ФОТ!V$26)</f>
        <v>1440</v>
      </c>
      <c r="W68" s="136">
        <f>IF(W$1="",0,ФОТ!W$26)</f>
        <v>0</v>
      </c>
      <c r="X68" s="136">
        <f>IF(X$1="",0,ФОТ!X$26)</f>
        <v>0</v>
      </c>
      <c r="Y68" s="136">
        <f>IF(Y$1="",0,ФОТ!Y$26)</f>
        <v>0</v>
      </c>
      <c r="Z68" s="136">
        <f>IF(Z$1="",0,ФОТ!Z$26)</f>
        <v>0</v>
      </c>
      <c r="AA68" s="136">
        <f>IF(AA$1="",0,ФОТ!AA$26)</f>
        <v>0</v>
      </c>
      <c r="AB68" s="123"/>
    </row>
    <row r="69" spans="1:28" s="126" customFormat="1" ht="3.9" hidden="1" customHeight="1" x14ac:dyDescent="0.25">
      <c r="A69" s="149">
        <f>1</f>
        <v>1</v>
      </c>
      <c r="B69" s="131"/>
      <c r="C69" s="123"/>
      <c r="D69" s="123"/>
      <c r="E69" s="123"/>
      <c r="F69" s="123"/>
      <c r="G69" s="123"/>
      <c r="H69" s="123"/>
      <c r="I69" s="124"/>
      <c r="J69" s="123"/>
      <c r="K69" s="124"/>
      <c r="L69" s="123"/>
      <c r="M69" s="125"/>
      <c r="N69" s="123"/>
      <c r="O69" s="123"/>
      <c r="P69" s="137"/>
      <c r="Q69" s="137"/>
      <c r="R69" s="137"/>
      <c r="S69" s="137"/>
      <c r="T69" s="137"/>
      <c r="U69" s="137"/>
      <c r="V69" s="137"/>
      <c r="W69" s="137"/>
      <c r="X69" s="137"/>
      <c r="Y69" s="137"/>
      <c r="Z69" s="137"/>
      <c r="AA69" s="137"/>
      <c r="AB69" s="123"/>
    </row>
    <row r="70" spans="1:28" s="126" customFormat="1" hidden="1" x14ac:dyDescent="0.25">
      <c r="A70" s="149">
        <f>1</f>
        <v>1</v>
      </c>
      <c r="B70" s="132" t="str">
        <f>структура!$J$14</f>
        <v>УСН(15%)</v>
      </c>
      <c r="C70" s="123"/>
      <c r="D70" s="123"/>
      <c r="E70" s="130" t="str">
        <f>E66</f>
        <v>начисление ФОТ</v>
      </c>
      <c r="F70" s="130"/>
      <c r="G70" s="130" t="str">
        <f>IF($E70="","",INDEX(KPI!$G:$G,SUMIFS(KPI!$B:$B,KPI!$E:$E,$E70)))</f>
        <v>тыс.руб.</v>
      </c>
      <c r="H70" s="130"/>
      <c r="I70" s="134"/>
      <c r="J70" s="130"/>
      <c r="K70" s="134"/>
      <c r="L70" s="130"/>
      <c r="M70" s="135">
        <f>SUM($O70:$AB70)</f>
        <v>10080</v>
      </c>
      <c r="N70" s="123"/>
      <c r="O70" s="123"/>
      <c r="P70" s="136">
        <f>IF(P$1="",0,ФОТ!P$26)</f>
        <v>1440</v>
      </c>
      <c r="Q70" s="136">
        <f>IF(Q$1="",0,ФОТ!Q$26)</f>
        <v>1440</v>
      </c>
      <c r="R70" s="136">
        <f>IF(R$1="",0,ФОТ!R$26)</f>
        <v>1440</v>
      </c>
      <c r="S70" s="136">
        <f>IF(S$1="",0,ФОТ!S$26)</f>
        <v>1440</v>
      </c>
      <c r="T70" s="136">
        <f>IF(T$1="",0,ФОТ!T$26)</f>
        <v>1440</v>
      </c>
      <c r="U70" s="136">
        <f>IF(U$1="",0,ФОТ!U$26)</f>
        <v>1440</v>
      </c>
      <c r="V70" s="136">
        <f>IF(V$1="",0,ФОТ!V$26)</f>
        <v>1440</v>
      </c>
      <c r="W70" s="136">
        <f>IF(W$1="",0,ФОТ!W$26)</f>
        <v>0</v>
      </c>
      <c r="X70" s="136">
        <f>IF(X$1="",0,ФОТ!X$26)</f>
        <v>0</v>
      </c>
      <c r="Y70" s="136">
        <f>IF(Y$1="",0,ФОТ!Y$26)</f>
        <v>0</v>
      </c>
      <c r="Z70" s="136">
        <f>IF(Z$1="",0,ФОТ!Z$26)</f>
        <v>0</v>
      </c>
      <c r="AA70" s="136">
        <f>IF(AA$1="",0,ФОТ!AA$26)</f>
        <v>0</v>
      </c>
      <c r="AB70" s="123"/>
    </row>
    <row r="71" spans="1:28" s="126" customFormat="1" ht="3.9" hidden="1" customHeight="1" x14ac:dyDescent="0.25">
      <c r="A71" s="149">
        <f>1</f>
        <v>1</v>
      </c>
      <c r="B71" s="131"/>
      <c r="C71" s="123"/>
      <c r="D71" s="123"/>
      <c r="E71" s="123"/>
      <c r="F71" s="123"/>
      <c r="G71" s="123"/>
      <c r="H71" s="123"/>
      <c r="I71" s="124"/>
      <c r="J71" s="123"/>
      <c r="K71" s="124"/>
      <c r="L71" s="123"/>
      <c r="M71" s="125"/>
      <c r="N71" s="123"/>
      <c r="O71" s="123"/>
      <c r="P71" s="137"/>
      <c r="Q71" s="137"/>
      <c r="R71" s="137"/>
      <c r="S71" s="137"/>
      <c r="T71" s="137"/>
      <c r="U71" s="137"/>
      <c r="V71" s="137"/>
      <c r="W71" s="137"/>
      <c r="X71" s="137"/>
      <c r="Y71" s="137"/>
      <c r="Z71" s="137"/>
      <c r="AA71" s="137"/>
      <c r="AB71" s="123"/>
    </row>
    <row r="72" spans="1:28" s="126" customFormat="1" x14ac:dyDescent="0.25">
      <c r="A72" s="149">
        <f>1</f>
        <v>1</v>
      </c>
      <c r="B72" s="132" t="str">
        <f>структура!$J$15</f>
        <v>УСН(6%)-ИП</v>
      </c>
      <c r="C72" s="123"/>
      <c r="D72" s="123"/>
      <c r="E72" s="130" t="str">
        <f>E66</f>
        <v>начисление ФОТ</v>
      </c>
      <c r="F72" s="130"/>
      <c r="G72" s="130" t="str">
        <f>IF($E72="","",INDEX(KPI!$G:$G,SUMIFS(KPI!$B:$B,KPI!$E:$E,$E72)))</f>
        <v>тыс.руб.</v>
      </c>
      <c r="H72" s="130"/>
      <c r="I72" s="134"/>
      <c r="J72" s="130"/>
      <c r="K72" s="134"/>
      <c r="L72" s="130"/>
      <c r="M72" s="135">
        <f>SUM($O72:$AB72)</f>
        <v>10080</v>
      </c>
      <c r="N72" s="123"/>
      <c r="O72" s="123"/>
      <c r="P72" s="136">
        <f>IF(P$1="",0,ФОТ!P$26)</f>
        <v>1440</v>
      </c>
      <c r="Q72" s="136">
        <f>IF(Q$1="",0,ФОТ!Q$26)</f>
        <v>1440</v>
      </c>
      <c r="R72" s="136">
        <f>IF(R$1="",0,ФОТ!R$26)</f>
        <v>1440</v>
      </c>
      <c r="S72" s="136">
        <f>IF(S$1="",0,ФОТ!S$26)</f>
        <v>1440</v>
      </c>
      <c r="T72" s="136">
        <f>IF(T$1="",0,ФОТ!T$26)</f>
        <v>1440</v>
      </c>
      <c r="U72" s="136">
        <f>IF(U$1="",0,ФОТ!U$26)</f>
        <v>1440</v>
      </c>
      <c r="V72" s="136">
        <f>IF(V$1="",0,ФОТ!V$26)</f>
        <v>1440</v>
      </c>
      <c r="W72" s="136">
        <f>IF(W$1="",0,ФОТ!W$26)</f>
        <v>0</v>
      </c>
      <c r="X72" s="136">
        <f>IF(X$1="",0,ФОТ!X$26)</f>
        <v>0</v>
      </c>
      <c r="Y72" s="136">
        <f>IF(Y$1="",0,ФОТ!Y$26)</f>
        <v>0</v>
      </c>
      <c r="Z72" s="136">
        <f>IF(Z$1="",0,ФОТ!Z$26)</f>
        <v>0</v>
      </c>
      <c r="AA72" s="136">
        <f>IF(AA$1="",0,ФОТ!AA$26)</f>
        <v>0</v>
      </c>
      <c r="AB72" s="123"/>
    </row>
    <row r="73" spans="1:28" ht="3.9" hidden="1" customHeight="1" x14ac:dyDescent="0.25">
      <c r="A73" s="149">
        <f>1</f>
        <v>1</v>
      </c>
      <c r="B73" s="131"/>
      <c r="C73" s="2"/>
      <c r="D73" s="2"/>
      <c r="E73" s="2"/>
      <c r="F73" s="2"/>
      <c r="G73" s="2"/>
      <c r="H73" s="2"/>
      <c r="I73" s="28"/>
      <c r="J73" s="2"/>
      <c r="K73" s="28"/>
      <c r="L73" s="2"/>
      <c r="M73" s="52"/>
      <c r="N73" s="2"/>
      <c r="O73" s="2"/>
      <c r="P73" s="36"/>
      <c r="Q73" s="36"/>
      <c r="R73" s="36"/>
      <c r="S73" s="36"/>
      <c r="T73" s="36"/>
      <c r="U73" s="36"/>
      <c r="V73" s="36"/>
      <c r="W73" s="36"/>
      <c r="X73" s="36"/>
      <c r="Y73" s="36"/>
      <c r="Z73" s="36"/>
      <c r="AA73" s="36"/>
      <c r="AB73" s="2"/>
    </row>
    <row r="74" spans="1:28" ht="8.1" hidden="1" customHeight="1" x14ac:dyDescent="0.25">
      <c r="A74" s="149">
        <f>1</f>
        <v>1</v>
      </c>
      <c r="B74" s="131"/>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ht="3.9" hidden="1" customHeight="1" x14ac:dyDescent="0.25">
      <c r="A75" s="149">
        <f>1</f>
        <v>1</v>
      </c>
      <c r="B75" s="131"/>
      <c r="C75" s="2"/>
      <c r="D75" s="2"/>
      <c r="E75" s="2"/>
      <c r="F75" s="2"/>
      <c r="G75" s="2"/>
      <c r="H75" s="2"/>
      <c r="I75" s="28"/>
      <c r="J75" s="2"/>
      <c r="K75" s="28"/>
      <c r="L75" s="2"/>
      <c r="M75" s="52"/>
      <c r="N75" s="2"/>
      <c r="O75" s="2"/>
      <c r="P75" s="36"/>
      <c r="Q75" s="36"/>
      <c r="R75" s="36"/>
      <c r="S75" s="36"/>
      <c r="T75" s="36"/>
      <c r="U75" s="36"/>
      <c r="V75" s="36"/>
      <c r="W75" s="36"/>
      <c r="X75" s="36"/>
      <c r="Y75" s="36"/>
      <c r="Z75" s="36"/>
      <c r="AA75" s="36"/>
      <c r="AB75" s="2"/>
    </row>
    <row r="76" spans="1:28" s="126" customFormat="1" hidden="1" x14ac:dyDescent="0.25">
      <c r="A76" s="149">
        <f>1</f>
        <v>1</v>
      </c>
      <c r="B76" s="132" t="str">
        <f>структура!$J$12</f>
        <v>ОСНО</v>
      </c>
      <c r="C76" s="123"/>
      <c r="D76" s="123"/>
      <c r="E76" s="130" t="str">
        <f>KPI!$E$80</f>
        <v>начисления в соцфонды и НС</v>
      </c>
      <c r="F76" s="130"/>
      <c r="G76" s="130" t="str">
        <f>IF($E76="","",INDEX(KPI!$G:$G,SUMIFS(KPI!$B:$B,KPI!$E:$E,$E76)))</f>
        <v>тыс.руб.</v>
      </c>
      <c r="H76" s="130"/>
      <c r="I76" s="134"/>
      <c r="J76" s="130"/>
      <c r="K76" s="134"/>
      <c r="L76" s="130"/>
      <c r="M76" s="135">
        <f>SUM($O76:$AB76)</f>
        <v>3044.1600000000003</v>
      </c>
      <c r="N76" s="123"/>
      <c r="O76" s="123"/>
      <c r="P76" s="136">
        <f>IF(P$1="",0,ФОТ!P$44)</f>
        <v>434.88000000000005</v>
      </c>
      <c r="Q76" s="136">
        <f>IF(Q$1="",0,ФОТ!Q$44)</f>
        <v>434.88000000000005</v>
      </c>
      <c r="R76" s="136">
        <f>IF(R$1="",0,ФОТ!R$44)</f>
        <v>434.88000000000005</v>
      </c>
      <c r="S76" s="136">
        <f>IF(S$1="",0,ФОТ!S$44)</f>
        <v>434.88000000000005</v>
      </c>
      <c r="T76" s="136">
        <f>IF(T$1="",0,ФОТ!T$44)</f>
        <v>434.88000000000005</v>
      </c>
      <c r="U76" s="136">
        <f>IF(U$1="",0,ФОТ!U$44)</f>
        <v>434.88000000000005</v>
      </c>
      <c r="V76" s="136">
        <f>IF(V$1="",0,ФОТ!V$44)</f>
        <v>434.88000000000005</v>
      </c>
      <c r="W76" s="136">
        <f>IF(W$1="",0,ФОТ!W$44)</f>
        <v>0</v>
      </c>
      <c r="X76" s="136">
        <f>IF(X$1="",0,ФОТ!X$44)</f>
        <v>0</v>
      </c>
      <c r="Y76" s="136">
        <f>IF(Y$1="",0,ФОТ!Y$44)</f>
        <v>0</v>
      </c>
      <c r="Z76" s="136">
        <f>IF(Z$1="",0,ФОТ!Z$44)</f>
        <v>0</v>
      </c>
      <c r="AA76" s="136">
        <f>IF(AA$1="",0,ФОТ!AA$44)</f>
        <v>0</v>
      </c>
      <c r="AB76" s="123"/>
    </row>
    <row r="77" spans="1:28" s="126" customFormat="1" ht="3.9" hidden="1" customHeight="1" x14ac:dyDescent="0.25">
      <c r="A77" s="149">
        <f>1</f>
        <v>1</v>
      </c>
      <c r="B77" s="131"/>
      <c r="C77" s="123"/>
      <c r="D77" s="123"/>
      <c r="E77" s="123"/>
      <c r="F77" s="123"/>
      <c r="G77" s="123"/>
      <c r="H77" s="123"/>
      <c r="I77" s="124"/>
      <c r="J77" s="123"/>
      <c r="K77" s="124"/>
      <c r="L77" s="123"/>
      <c r="M77" s="125"/>
      <c r="N77" s="123"/>
      <c r="O77" s="123"/>
      <c r="P77" s="137">
        <f>IF(P$1="",0,операции!P$353)*IF(отчеты!P17=0,0,P17/отчеты!P17)</f>
        <v>0</v>
      </c>
      <c r="Q77" s="137">
        <f>IF(Q$1="",0,операции!Q$353)*IF(отчеты!Q17=0,0,Q17/отчеты!Q17)</f>
        <v>0</v>
      </c>
      <c r="R77" s="137">
        <f>IF(R$1="",0,операции!R$353)*IF(отчеты!R17=0,0,R17/отчеты!R17)</f>
        <v>0</v>
      </c>
      <c r="S77" s="137">
        <f>IF(S$1="",0,операции!S$353)*IF(отчеты!S17=0,0,S17/отчеты!S17)</f>
        <v>0</v>
      </c>
      <c r="T77" s="137">
        <f>IF(T$1="",0,операции!T$353)*IF(отчеты!T17=0,0,T17/отчеты!T17)</f>
        <v>0</v>
      </c>
      <c r="U77" s="137">
        <f>IF(U$1="",0,операции!U$353)*IF(отчеты!U17=0,0,U17/отчеты!U17)</f>
        <v>0</v>
      </c>
      <c r="V77" s="137">
        <f>IF(V$1="",0,операции!V$353)*IF(отчеты!V17=0,0,V17/отчеты!V17)</f>
        <v>0</v>
      </c>
      <c r="W77" s="137">
        <f>IF(W$1="",0,операции!W$353)*IF(отчеты!W17=0,0,W17/отчеты!W17)</f>
        <v>0</v>
      </c>
      <c r="X77" s="137">
        <f>IF(X$1="",0,операции!X$353)*IF(отчеты!X17=0,0,X17/отчеты!X17)</f>
        <v>0</v>
      </c>
      <c r="Y77" s="137">
        <f>IF(Y$1="",0,операции!Y$353)*IF(отчеты!Y17=0,0,Y17/отчеты!Y17)</f>
        <v>0</v>
      </c>
      <c r="Z77" s="137">
        <f>IF(Z$1="",0,операции!Z$353)*IF(отчеты!Z17=0,0,Z17/отчеты!Z17)</f>
        <v>0</v>
      </c>
      <c r="AA77" s="137">
        <f>IF(AA$1="",0,операции!AA$353)*IF(отчеты!AA17=0,0,AA17/отчеты!AA17)</f>
        <v>0</v>
      </c>
      <c r="AB77" s="123"/>
    </row>
    <row r="78" spans="1:28" s="126" customFormat="1" hidden="1" x14ac:dyDescent="0.25">
      <c r="A78" s="149">
        <f>1</f>
        <v>1</v>
      </c>
      <c r="B78" s="132" t="str">
        <f>структура!$J$13</f>
        <v>УСН(6%)</v>
      </c>
      <c r="C78" s="123"/>
      <c r="D78" s="123"/>
      <c r="E78" s="130" t="str">
        <f>E76</f>
        <v>начисления в соцфонды и НС</v>
      </c>
      <c r="F78" s="130"/>
      <c r="G78" s="130" t="str">
        <f>IF($E78="","",INDEX(KPI!$G:$G,SUMIFS(KPI!$B:$B,KPI!$E:$E,$E78)))</f>
        <v>тыс.руб.</v>
      </c>
      <c r="H78" s="130"/>
      <c r="I78" s="134"/>
      <c r="J78" s="130"/>
      <c r="K78" s="134"/>
      <c r="L78" s="130"/>
      <c r="M78" s="135">
        <f>SUM($O78:$AB78)</f>
        <v>3044.1600000000003</v>
      </c>
      <c r="N78" s="123"/>
      <c r="O78" s="123"/>
      <c r="P78" s="136">
        <f>IF(P$1="",0,ФОТ!P$44)</f>
        <v>434.88000000000005</v>
      </c>
      <c r="Q78" s="136">
        <f>IF(Q$1="",0,ФОТ!Q$44)</f>
        <v>434.88000000000005</v>
      </c>
      <c r="R78" s="136">
        <f>IF(R$1="",0,ФОТ!R$44)</f>
        <v>434.88000000000005</v>
      </c>
      <c r="S78" s="136">
        <f>IF(S$1="",0,ФОТ!S$44)</f>
        <v>434.88000000000005</v>
      </c>
      <c r="T78" s="136">
        <f>IF(T$1="",0,ФОТ!T$44)</f>
        <v>434.88000000000005</v>
      </c>
      <c r="U78" s="136">
        <f>IF(U$1="",0,ФОТ!U$44)</f>
        <v>434.88000000000005</v>
      </c>
      <c r="V78" s="136">
        <f>IF(V$1="",0,ФОТ!V$44)</f>
        <v>434.88000000000005</v>
      </c>
      <c r="W78" s="136">
        <f>IF(W$1="",0,ФОТ!W$44)</f>
        <v>0</v>
      </c>
      <c r="X78" s="136">
        <f>IF(X$1="",0,ФОТ!X$44)</f>
        <v>0</v>
      </c>
      <c r="Y78" s="136">
        <f>IF(Y$1="",0,ФОТ!Y$44)</f>
        <v>0</v>
      </c>
      <c r="Z78" s="136">
        <f>IF(Z$1="",0,ФОТ!Z$44)</f>
        <v>0</v>
      </c>
      <c r="AA78" s="136">
        <f>IF(AA$1="",0,ФОТ!AA$44)</f>
        <v>0</v>
      </c>
      <c r="AB78" s="123"/>
    </row>
    <row r="79" spans="1:28" s="126" customFormat="1" ht="3.9" hidden="1" customHeight="1" x14ac:dyDescent="0.25">
      <c r="A79" s="149">
        <f>1</f>
        <v>1</v>
      </c>
      <c r="B79" s="131"/>
      <c r="C79" s="123"/>
      <c r="D79" s="123"/>
      <c r="E79" s="123"/>
      <c r="F79" s="123"/>
      <c r="G79" s="123"/>
      <c r="H79" s="123"/>
      <c r="I79" s="124"/>
      <c r="J79" s="123"/>
      <c r="K79" s="124"/>
      <c r="L79" s="123"/>
      <c r="M79" s="125"/>
      <c r="N79" s="123"/>
      <c r="O79" s="123"/>
      <c r="P79" s="137">
        <f>IF(P$1="",0,операции!P$353)*IF(отчеты!P19=0,0,P19/отчеты!P19)</f>
        <v>0</v>
      </c>
      <c r="Q79" s="137">
        <f>IF(Q$1="",0,операции!Q$353)*IF(отчеты!Q19=0,0,Q19/отчеты!Q19)</f>
        <v>0</v>
      </c>
      <c r="R79" s="137">
        <f>IF(R$1="",0,операции!R$353)*IF(отчеты!R19=0,0,R19/отчеты!R19)</f>
        <v>0</v>
      </c>
      <c r="S79" s="137">
        <f>IF(S$1="",0,операции!S$353)*IF(отчеты!S19=0,0,S19/отчеты!S19)</f>
        <v>0</v>
      </c>
      <c r="T79" s="137">
        <f>IF(T$1="",0,операции!T$353)*IF(отчеты!T19=0,0,T19/отчеты!T19)</f>
        <v>0</v>
      </c>
      <c r="U79" s="137">
        <f>IF(U$1="",0,операции!U$353)*IF(отчеты!U19=0,0,U19/отчеты!U19)</f>
        <v>0</v>
      </c>
      <c r="V79" s="137">
        <f>IF(V$1="",0,операции!V$353)*IF(отчеты!V19=0,0,V19/отчеты!V19)</f>
        <v>0</v>
      </c>
      <c r="W79" s="137">
        <f>IF(W$1="",0,операции!W$353)*IF(отчеты!W19=0,0,W19/отчеты!W19)</f>
        <v>0</v>
      </c>
      <c r="X79" s="137">
        <f>IF(X$1="",0,операции!X$353)*IF(отчеты!X19=0,0,X19/отчеты!X19)</f>
        <v>0</v>
      </c>
      <c r="Y79" s="137">
        <f>IF(Y$1="",0,операции!Y$353)*IF(отчеты!Y19=0,0,Y19/отчеты!Y19)</f>
        <v>0</v>
      </c>
      <c r="Z79" s="137">
        <f>IF(Z$1="",0,операции!Z$353)*IF(отчеты!Z19=0,0,Z19/отчеты!Z19)</f>
        <v>0</v>
      </c>
      <c r="AA79" s="137">
        <f>IF(AA$1="",0,операции!AA$353)*IF(отчеты!AA19=0,0,AA19/отчеты!AA19)</f>
        <v>0</v>
      </c>
      <c r="AB79" s="123"/>
    </row>
    <row r="80" spans="1:28" s="126" customFormat="1" hidden="1" x14ac:dyDescent="0.25">
      <c r="A80" s="149">
        <f>1</f>
        <v>1</v>
      </c>
      <c r="B80" s="132" t="str">
        <f>структура!$J$14</f>
        <v>УСН(15%)</v>
      </c>
      <c r="C80" s="123"/>
      <c r="D80" s="123"/>
      <c r="E80" s="130" t="str">
        <f>E76</f>
        <v>начисления в соцфонды и НС</v>
      </c>
      <c r="F80" s="130"/>
      <c r="G80" s="130" t="str">
        <f>IF($E80="","",INDEX(KPI!$G:$G,SUMIFS(KPI!$B:$B,KPI!$E:$E,$E80)))</f>
        <v>тыс.руб.</v>
      </c>
      <c r="H80" s="130"/>
      <c r="I80" s="134"/>
      <c r="J80" s="130"/>
      <c r="K80" s="134"/>
      <c r="L80" s="130"/>
      <c r="M80" s="135">
        <f>SUM($O80:$AB80)</f>
        <v>3044.1600000000003</v>
      </c>
      <c r="N80" s="123"/>
      <c r="O80" s="123"/>
      <c r="P80" s="136">
        <f>IF(P$1="",0,ФОТ!P$44)</f>
        <v>434.88000000000005</v>
      </c>
      <c r="Q80" s="136">
        <f>IF(Q$1="",0,ФОТ!Q$44)</f>
        <v>434.88000000000005</v>
      </c>
      <c r="R80" s="136">
        <f>IF(R$1="",0,ФОТ!R$44)</f>
        <v>434.88000000000005</v>
      </c>
      <c r="S80" s="136">
        <f>IF(S$1="",0,ФОТ!S$44)</f>
        <v>434.88000000000005</v>
      </c>
      <c r="T80" s="136">
        <f>IF(T$1="",0,ФОТ!T$44)</f>
        <v>434.88000000000005</v>
      </c>
      <c r="U80" s="136">
        <f>IF(U$1="",0,ФОТ!U$44)</f>
        <v>434.88000000000005</v>
      </c>
      <c r="V80" s="136">
        <f>IF(V$1="",0,ФОТ!V$44)</f>
        <v>434.88000000000005</v>
      </c>
      <c r="W80" s="136">
        <f>IF(W$1="",0,ФОТ!W$44)</f>
        <v>0</v>
      </c>
      <c r="X80" s="136">
        <f>IF(X$1="",0,ФОТ!X$44)</f>
        <v>0</v>
      </c>
      <c r="Y80" s="136">
        <f>IF(Y$1="",0,ФОТ!Y$44)</f>
        <v>0</v>
      </c>
      <c r="Z80" s="136">
        <f>IF(Z$1="",0,ФОТ!Z$44)</f>
        <v>0</v>
      </c>
      <c r="AA80" s="136">
        <f>IF(AA$1="",0,ФОТ!AA$44)</f>
        <v>0</v>
      </c>
      <c r="AB80" s="123"/>
    </row>
    <row r="81" spans="1:28" s="126" customFormat="1" ht="3.9" hidden="1" customHeight="1" x14ac:dyDescent="0.25">
      <c r="A81" s="149">
        <f>1</f>
        <v>1</v>
      </c>
      <c r="B81" s="131"/>
      <c r="C81" s="123"/>
      <c r="D81" s="123"/>
      <c r="E81" s="123"/>
      <c r="F81" s="123"/>
      <c r="G81" s="123"/>
      <c r="H81" s="123"/>
      <c r="I81" s="124"/>
      <c r="J81" s="123"/>
      <c r="K81" s="124"/>
      <c r="L81" s="123"/>
      <c r="M81" s="125"/>
      <c r="N81" s="123"/>
      <c r="O81" s="123"/>
      <c r="P81" s="137">
        <f>IF(P$1="",0,операции!P$353)*IF(отчеты!P21=0,0,P21/отчеты!P21)</f>
        <v>0</v>
      </c>
      <c r="Q81" s="137">
        <f>IF(Q$1="",0,операции!Q$353)*IF(отчеты!Q21=0,0,Q21/отчеты!Q21)</f>
        <v>0</v>
      </c>
      <c r="R81" s="137">
        <f>IF(R$1="",0,операции!R$353)*IF(отчеты!R21=0,0,R21/отчеты!R21)</f>
        <v>0</v>
      </c>
      <c r="S81" s="137">
        <f>IF(S$1="",0,операции!S$353)*IF(отчеты!S21=0,0,S21/отчеты!S21)</f>
        <v>0</v>
      </c>
      <c r="T81" s="137">
        <f>IF(T$1="",0,операции!T$353)*IF(отчеты!T21=0,0,T21/отчеты!T21)</f>
        <v>0</v>
      </c>
      <c r="U81" s="137">
        <f>IF(U$1="",0,операции!U$353)*IF(отчеты!U21=0,0,U21/отчеты!U21)</f>
        <v>0</v>
      </c>
      <c r="V81" s="137">
        <f>IF(V$1="",0,операции!V$353)*IF(отчеты!V21=0,0,V21/отчеты!V21)</f>
        <v>0</v>
      </c>
      <c r="W81" s="137">
        <f>IF(W$1="",0,операции!W$353)*IF(отчеты!W21=0,0,W21/отчеты!W21)</f>
        <v>0</v>
      </c>
      <c r="X81" s="137">
        <f>IF(X$1="",0,операции!X$353)*IF(отчеты!X21=0,0,X21/отчеты!X21)</f>
        <v>0</v>
      </c>
      <c r="Y81" s="137">
        <f>IF(Y$1="",0,операции!Y$353)*IF(отчеты!Y21=0,0,Y21/отчеты!Y21)</f>
        <v>0</v>
      </c>
      <c r="Z81" s="137">
        <f>IF(Z$1="",0,операции!Z$353)*IF(отчеты!Z21=0,0,Z21/отчеты!Z21)</f>
        <v>0</v>
      </c>
      <c r="AA81" s="137">
        <f>IF(AA$1="",0,операции!AA$353)*IF(отчеты!AA21=0,0,AA21/отчеты!AA21)</f>
        <v>0</v>
      </c>
      <c r="AB81" s="123"/>
    </row>
    <row r="82" spans="1:28" s="126" customFormat="1" x14ac:dyDescent="0.25">
      <c r="A82" s="149">
        <f>1</f>
        <v>1</v>
      </c>
      <c r="B82" s="132" t="str">
        <f>структура!$J$15</f>
        <v>УСН(6%)-ИП</v>
      </c>
      <c r="C82" s="123"/>
      <c r="D82" s="123"/>
      <c r="E82" s="130" t="str">
        <f>E76</f>
        <v>начисления в соцфонды и НС</v>
      </c>
      <c r="F82" s="130"/>
      <c r="G82" s="130" t="str">
        <f>IF($E82="","",INDEX(KPI!$G:$G,SUMIFS(KPI!$B:$B,KPI!$E:$E,$E82)))</f>
        <v>тыс.руб.</v>
      </c>
      <c r="H82" s="130"/>
      <c r="I82" s="134"/>
      <c r="J82" s="130"/>
      <c r="K82" s="134"/>
      <c r="L82" s="130"/>
      <c r="M82" s="135">
        <f>SUM($O82:$AB82)</f>
        <v>3044.1600000000003</v>
      </c>
      <c r="N82" s="123"/>
      <c r="O82" s="123"/>
      <c r="P82" s="136">
        <f>IF(P$1="",0,ФОТ!P$44)</f>
        <v>434.88000000000005</v>
      </c>
      <c r="Q82" s="136">
        <f>IF(Q$1="",0,ФОТ!Q$44)</f>
        <v>434.88000000000005</v>
      </c>
      <c r="R82" s="136">
        <f>IF(R$1="",0,ФОТ!R$44)</f>
        <v>434.88000000000005</v>
      </c>
      <c r="S82" s="136">
        <f>IF(S$1="",0,ФОТ!S$44)</f>
        <v>434.88000000000005</v>
      </c>
      <c r="T82" s="136">
        <f>IF(T$1="",0,ФОТ!T$44)</f>
        <v>434.88000000000005</v>
      </c>
      <c r="U82" s="136">
        <f>IF(U$1="",0,ФОТ!U$44)</f>
        <v>434.88000000000005</v>
      </c>
      <c r="V82" s="136">
        <f>IF(V$1="",0,ФОТ!V$44)</f>
        <v>434.88000000000005</v>
      </c>
      <c r="W82" s="136">
        <f>IF(W$1="",0,ФОТ!W$44)</f>
        <v>0</v>
      </c>
      <c r="X82" s="136">
        <f>IF(X$1="",0,ФОТ!X$44)</f>
        <v>0</v>
      </c>
      <c r="Y82" s="136">
        <f>IF(Y$1="",0,ФОТ!Y$44)</f>
        <v>0</v>
      </c>
      <c r="Z82" s="136">
        <f>IF(Z$1="",0,ФОТ!Z$44)</f>
        <v>0</v>
      </c>
      <c r="AA82" s="136">
        <f>IF(AA$1="",0,ФОТ!AA$44)</f>
        <v>0</v>
      </c>
      <c r="AB82" s="123"/>
    </row>
    <row r="83" spans="1:28" ht="3.9" hidden="1" customHeight="1" x14ac:dyDescent="0.25">
      <c r="A83" s="149">
        <f>1</f>
        <v>1</v>
      </c>
      <c r="B83" s="131"/>
      <c r="C83" s="2"/>
      <c r="D83" s="2"/>
      <c r="E83" s="2"/>
      <c r="F83" s="2"/>
      <c r="G83" s="2"/>
      <c r="H83" s="2"/>
      <c r="I83" s="28"/>
      <c r="J83" s="2"/>
      <c r="K83" s="28"/>
      <c r="L83" s="2"/>
      <c r="M83" s="52"/>
      <c r="N83" s="2"/>
      <c r="O83" s="2"/>
      <c r="P83" s="36"/>
      <c r="Q83" s="36"/>
      <c r="R83" s="36"/>
      <c r="S83" s="36"/>
      <c r="T83" s="36"/>
      <c r="U83" s="36"/>
      <c r="V83" s="36"/>
      <c r="W83" s="36"/>
      <c r="X83" s="36"/>
      <c r="Y83" s="36"/>
      <c r="Z83" s="36"/>
      <c r="AA83" s="36"/>
      <c r="AB83" s="2"/>
    </row>
    <row r="84" spans="1:28" ht="8.1" hidden="1" customHeight="1" x14ac:dyDescent="0.25">
      <c r="A84" s="149">
        <f>1</f>
        <v>1</v>
      </c>
      <c r="B84" s="131"/>
      <c r="C84" s="2"/>
      <c r="D84" s="2"/>
      <c r="E84" s="2"/>
      <c r="F84" s="2"/>
      <c r="G84" s="2"/>
      <c r="H84" s="2"/>
      <c r="I84" s="28"/>
      <c r="J84" s="2"/>
      <c r="K84" s="28"/>
      <c r="L84" s="2"/>
      <c r="M84" s="52"/>
      <c r="N84" s="2"/>
      <c r="O84" s="2"/>
      <c r="P84" s="36"/>
      <c r="Q84" s="36"/>
      <c r="R84" s="36"/>
      <c r="S84" s="36"/>
      <c r="T84" s="36"/>
      <c r="U84" s="36"/>
      <c r="V84" s="36"/>
      <c r="W84" s="36"/>
      <c r="X84" s="36"/>
      <c r="Y84" s="36"/>
      <c r="Z84" s="36"/>
      <c r="AA84" s="36"/>
      <c r="AB84" s="2"/>
    </row>
    <row r="85" spans="1:28" s="126" customFormat="1" hidden="1" x14ac:dyDescent="0.25">
      <c r="A85" s="149">
        <f>1</f>
        <v>1</v>
      </c>
      <c r="B85" s="132" t="str">
        <f>структура!$J$12</f>
        <v>ОСНО</v>
      </c>
      <c r="C85" s="123"/>
      <c r="D85" s="123"/>
      <c r="E85" s="130" t="str">
        <f>KPI!$E$81</f>
        <v>общехозяйственные расходы</v>
      </c>
      <c r="F85" s="130"/>
      <c r="G85" s="130" t="str">
        <f>IF($E85="","",INDEX(KPI!$G:$G,SUMIFS(KPI!$B:$B,KPI!$E:$E,$E85)))</f>
        <v>тыс.руб.</v>
      </c>
      <c r="H85" s="130"/>
      <c r="I85" s="134"/>
      <c r="J85" s="130" t="str">
        <f>структура!$AL$21</f>
        <v>Без НДС</v>
      </c>
      <c r="K85" s="134"/>
      <c r="L85" s="130"/>
      <c r="M85" s="135">
        <f>SUM($O85:$AB85)</f>
        <v>2904.9999999999995</v>
      </c>
      <c r="N85" s="123"/>
      <c r="O85" s="123"/>
      <c r="P85" s="136">
        <f>IF(P$1="",0,IF(1+операции!P$421=0,0,(операции!P$386)/(1+операции!P$421)))*IF(отчеты!P16=0,0,P16/отчеты!P16)</f>
        <v>262.5</v>
      </c>
      <c r="Q85" s="136">
        <f>IF(Q$1="",0,IF(1+операции!Q$421=0,0,(операции!Q$386)/(1+операции!Q$421)))*IF(отчеты!Q16=0,0,Q16/отчеты!Q16)</f>
        <v>297.49999999999989</v>
      </c>
      <c r="R85" s="136">
        <f>IF(R$1="",0,IF(1+операции!R$421=0,0,(операции!R$386)/(1+операции!R$421)))*IF(отчеты!R16=0,0,R16/отчеты!R16)</f>
        <v>350</v>
      </c>
      <c r="S85" s="136">
        <f>IF(S$1="",0,IF(1+операции!S$421=0,0,(операции!S$386)/(1+операции!S$421)))*IF(отчеты!S16=0,0,S16/отчеты!S16)</f>
        <v>384.99999999999994</v>
      </c>
      <c r="T85" s="136">
        <f>IF(T$1="",0,IF(1+операции!T$421=0,0,(операции!T$386)/(1+операции!T$421)))*IF(отчеты!T16=0,0,T16/отчеты!T16)</f>
        <v>437.49999999999977</v>
      </c>
      <c r="U85" s="136">
        <f>IF(U$1="",0,IF(1+операции!U$421=0,0,(операции!U$386)/(1+операции!U$421)))*IF(отчеты!U16=0,0,U16/отчеты!U16)</f>
        <v>524.99999999999989</v>
      </c>
      <c r="V85" s="136">
        <f>IF(V$1="",0,IF(1+операции!V$421=0,0,(операции!V$386)/(1+операции!V$421)))*IF(отчеты!V16=0,0,V16/отчеты!V16)</f>
        <v>647.5</v>
      </c>
      <c r="W85" s="136">
        <f>IF(W$1="",0,IF(1+операции!W$421=0,0,(операции!W$386)/(1+операции!W$421)))*IF(отчеты!W16=0,0,W16/отчеты!W16)</f>
        <v>0</v>
      </c>
      <c r="X85" s="136">
        <f>IF(X$1="",0,IF(1+операции!X$421=0,0,(операции!X$386)/(1+операции!X$421)))*IF(отчеты!X16=0,0,X16/отчеты!X16)</f>
        <v>0</v>
      </c>
      <c r="Y85" s="136">
        <f>IF(Y$1="",0,IF(1+операции!Y$421=0,0,(операции!Y$386)/(1+операции!Y$421)))*IF(отчеты!Y16=0,0,Y16/отчеты!Y16)</f>
        <v>0</v>
      </c>
      <c r="Z85" s="136">
        <f>IF(Z$1="",0,IF(1+операции!Z$421=0,0,(операции!Z$386)/(1+операции!Z$421)))*IF(отчеты!Z16=0,0,Z16/отчеты!Z16)</f>
        <v>0</v>
      </c>
      <c r="AA85" s="136">
        <f>IF(AA$1="",0,IF(1+операции!AA$421=0,0,(операции!AA$386)/(1+операции!AA$421)))*IF(отчеты!AA16=0,0,AA16/отчеты!AA16)</f>
        <v>0</v>
      </c>
      <c r="AB85" s="123"/>
    </row>
    <row r="86" spans="1:28" s="126" customFormat="1" ht="3.9" hidden="1" customHeight="1" x14ac:dyDescent="0.25">
      <c r="A86" s="149">
        <f>1</f>
        <v>1</v>
      </c>
      <c r="B86" s="131"/>
      <c r="C86" s="123"/>
      <c r="D86" s="123"/>
      <c r="E86" s="123"/>
      <c r="F86" s="123"/>
      <c r="G86" s="123"/>
      <c r="H86" s="123"/>
      <c r="I86" s="124"/>
      <c r="J86" s="123"/>
      <c r="K86" s="124"/>
      <c r="L86" s="123"/>
      <c r="M86" s="125"/>
      <c r="N86" s="123"/>
      <c r="O86" s="123"/>
      <c r="P86" s="137"/>
      <c r="Q86" s="137"/>
      <c r="R86" s="137"/>
      <c r="S86" s="137"/>
      <c r="T86" s="137"/>
      <c r="U86" s="137"/>
      <c r="V86" s="137"/>
      <c r="W86" s="137"/>
      <c r="X86" s="137"/>
      <c r="Y86" s="137"/>
      <c r="Z86" s="137"/>
      <c r="AA86" s="137"/>
      <c r="AB86" s="123"/>
    </row>
    <row r="87" spans="1:28" s="126" customFormat="1" hidden="1" x14ac:dyDescent="0.25">
      <c r="A87" s="149">
        <f>1</f>
        <v>1</v>
      </c>
      <c r="B87" s="132" t="str">
        <f>структура!$J$13</f>
        <v>УСН(6%)</v>
      </c>
      <c r="C87" s="123"/>
      <c r="D87" s="123"/>
      <c r="E87" s="130" t="str">
        <f>E85</f>
        <v>общехозяйственные расходы</v>
      </c>
      <c r="F87" s="130"/>
      <c r="G87" s="130" t="str">
        <f>IF($E87="","",INDEX(KPI!$G:$G,SUMIFS(KPI!$B:$B,KPI!$E:$E,$E87)))</f>
        <v>тыс.руб.</v>
      </c>
      <c r="H87" s="130"/>
      <c r="I87" s="134"/>
      <c r="J87" s="130" t="str">
        <f>структура!$AL$21</f>
        <v>Без НДС</v>
      </c>
      <c r="K87" s="134"/>
      <c r="L87" s="130"/>
      <c r="M87" s="135">
        <f>SUM($O87:$AB87)</f>
        <v>2904.9999999999995</v>
      </c>
      <c r="N87" s="123"/>
      <c r="O87" s="123"/>
      <c r="P87" s="136">
        <f>IF(P$1="",0,IF(1+операции!P$421=0,0,(операции!P$386)/(1+операции!P$421)))*IF(отчеты!P18=0,0,P18/отчеты!P18)</f>
        <v>262.5</v>
      </c>
      <c r="Q87" s="136">
        <f>IF(Q$1="",0,IF(1+операции!Q$421=0,0,(операции!Q$386)/(1+операции!Q$421)))*IF(отчеты!Q18=0,0,Q18/отчеты!Q18)</f>
        <v>297.49999999999994</v>
      </c>
      <c r="R87" s="136">
        <f>IF(R$1="",0,IF(1+операции!R$421=0,0,(операции!R$386)/(1+операции!R$421)))*IF(отчеты!R18=0,0,R18/отчеты!R18)</f>
        <v>350.00000000000006</v>
      </c>
      <c r="S87" s="136">
        <f>IF(S$1="",0,IF(1+операции!S$421=0,0,(операции!S$386)/(1+операции!S$421)))*IF(отчеты!S18=0,0,S18/отчеты!S18)</f>
        <v>385</v>
      </c>
      <c r="T87" s="136">
        <f>IF(T$1="",0,IF(1+операции!T$421=0,0,(операции!T$386)/(1+операции!T$421)))*IF(отчеты!T18=0,0,T18/отчеты!T18)</f>
        <v>437.49999999999977</v>
      </c>
      <c r="U87" s="136">
        <f>IF(U$1="",0,IF(1+операции!U$421=0,0,(операции!U$386)/(1+операции!U$421)))*IF(отчеты!U18=0,0,U18/отчеты!U18)</f>
        <v>524.99999999999989</v>
      </c>
      <c r="V87" s="136">
        <f>IF(V$1="",0,IF(1+операции!V$421=0,0,(операции!V$386)/(1+операции!V$421)))*IF(отчеты!V18=0,0,V18/отчеты!V18)</f>
        <v>647.5</v>
      </c>
      <c r="W87" s="136">
        <f>IF(W$1="",0,IF(1+операции!W$421=0,0,(операции!W$386)/(1+операции!W$421)))*IF(отчеты!W18=0,0,W18/отчеты!W18)</f>
        <v>0</v>
      </c>
      <c r="X87" s="136">
        <f>IF(X$1="",0,IF(1+операции!X$421=0,0,(операции!X$386)/(1+операции!X$421)))*IF(отчеты!X18=0,0,X18/отчеты!X18)</f>
        <v>0</v>
      </c>
      <c r="Y87" s="136">
        <f>IF(Y$1="",0,IF(1+операции!Y$421=0,0,(операции!Y$386)/(1+операции!Y$421)))*IF(отчеты!Y18=0,0,Y18/отчеты!Y18)</f>
        <v>0</v>
      </c>
      <c r="Z87" s="136">
        <f>IF(Z$1="",0,IF(1+операции!Z$421=0,0,(операции!Z$386)/(1+операции!Z$421)))*IF(отчеты!Z18=0,0,Z18/отчеты!Z18)</f>
        <v>0</v>
      </c>
      <c r="AA87" s="136">
        <f>IF(AA$1="",0,IF(1+операции!AA$421=0,0,(операции!AA$386)/(1+операции!AA$421)))*IF(отчеты!AA18=0,0,AA18/отчеты!AA18)</f>
        <v>0</v>
      </c>
      <c r="AB87" s="123"/>
    </row>
    <row r="88" spans="1:28" s="126" customFormat="1" ht="3.9" hidden="1" customHeight="1" x14ac:dyDescent="0.25">
      <c r="A88" s="149">
        <f>1</f>
        <v>1</v>
      </c>
      <c r="B88" s="131"/>
      <c r="C88" s="123"/>
      <c r="D88" s="123"/>
      <c r="E88" s="123"/>
      <c r="F88" s="123"/>
      <c r="G88" s="123"/>
      <c r="H88" s="123"/>
      <c r="I88" s="124"/>
      <c r="J88" s="123"/>
      <c r="K88" s="124"/>
      <c r="L88" s="123"/>
      <c r="M88" s="125"/>
      <c r="N88" s="123"/>
      <c r="O88" s="123"/>
      <c r="P88" s="137"/>
      <c r="Q88" s="137"/>
      <c r="R88" s="137"/>
      <c r="S88" s="137"/>
      <c r="T88" s="137"/>
      <c r="U88" s="137"/>
      <c r="V88" s="137"/>
      <c r="W88" s="137"/>
      <c r="X88" s="137"/>
      <c r="Y88" s="137"/>
      <c r="Z88" s="137"/>
      <c r="AA88" s="137"/>
      <c r="AB88" s="123"/>
    </row>
    <row r="89" spans="1:28" s="126" customFormat="1" hidden="1" x14ac:dyDescent="0.25">
      <c r="A89" s="149">
        <f>1</f>
        <v>1</v>
      </c>
      <c r="B89" s="132" t="str">
        <f>структура!$J$14</f>
        <v>УСН(15%)</v>
      </c>
      <c r="C89" s="123"/>
      <c r="D89" s="123"/>
      <c r="E89" s="130" t="str">
        <f>E85</f>
        <v>общехозяйственные расходы</v>
      </c>
      <c r="F89" s="130"/>
      <c r="G89" s="130" t="str">
        <f>IF($E89="","",INDEX(KPI!$G:$G,SUMIFS(KPI!$B:$B,KPI!$E:$E,$E89)))</f>
        <v>тыс.руб.</v>
      </c>
      <c r="H89" s="130"/>
      <c r="I89" s="134"/>
      <c r="J89" s="130" t="str">
        <f>структура!$AL$21</f>
        <v>Без НДС</v>
      </c>
      <c r="K89" s="134"/>
      <c r="L89" s="130"/>
      <c r="M89" s="135">
        <f>SUM($O89:$AB89)</f>
        <v>2904.9999999999995</v>
      </c>
      <c r="N89" s="123"/>
      <c r="O89" s="123"/>
      <c r="P89" s="136">
        <f>IF(P$1="",0,IF(1+операции!P$421=0,0,(операции!P$386)/(1+операции!P$421)))*IF(отчеты!P20=0,0,P20/отчеты!P20)</f>
        <v>262.5</v>
      </c>
      <c r="Q89" s="136">
        <f>IF(Q$1="",0,IF(1+операции!Q$421=0,0,(операции!Q$386)/(1+операции!Q$421)))*IF(отчеты!Q20=0,0,Q20/отчеты!Q20)</f>
        <v>297.49999999999994</v>
      </c>
      <c r="R89" s="136">
        <f>IF(R$1="",0,IF(1+операции!R$421=0,0,(операции!R$386)/(1+операции!R$421)))*IF(отчеты!R20=0,0,R20/отчеты!R20)</f>
        <v>350.00000000000006</v>
      </c>
      <c r="S89" s="136">
        <f>IF(S$1="",0,IF(1+операции!S$421=0,0,(операции!S$386)/(1+операции!S$421)))*IF(отчеты!S20=0,0,S20/отчеты!S20)</f>
        <v>385</v>
      </c>
      <c r="T89" s="136">
        <f>IF(T$1="",0,IF(1+операции!T$421=0,0,(операции!T$386)/(1+операции!T$421)))*IF(отчеты!T20=0,0,T20/отчеты!T20)</f>
        <v>437.49999999999977</v>
      </c>
      <c r="U89" s="136">
        <f>IF(U$1="",0,IF(1+операции!U$421=0,0,(операции!U$386)/(1+операции!U$421)))*IF(отчеты!U20=0,0,U20/отчеты!U20)</f>
        <v>524.99999999999989</v>
      </c>
      <c r="V89" s="136">
        <f>IF(V$1="",0,IF(1+операции!V$421=0,0,(операции!V$386)/(1+операции!V$421)))*IF(отчеты!V20=0,0,V20/отчеты!V20)</f>
        <v>647.5</v>
      </c>
      <c r="W89" s="136">
        <f>IF(W$1="",0,IF(1+операции!W$421=0,0,(операции!W$386)/(1+операции!W$421)))*IF(отчеты!W20=0,0,W20/отчеты!W20)</f>
        <v>0</v>
      </c>
      <c r="X89" s="136">
        <f>IF(X$1="",0,IF(1+операции!X$421=0,0,(операции!X$386)/(1+операции!X$421)))*IF(отчеты!X20=0,0,X20/отчеты!X20)</f>
        <v>0</v>
      </c>
      <c r="Y89" s="136">
        <f>IF(Y$1="",0,IF(1+операции!Y$421=0,0,(операции!Y$386)/(1+операции!Y$421)))*IF(отчеты!Y20=0,0,Y20/отчеты!Y20)</f>
        <v>0</v>
      </c>
      <c r="Z89" s="136">
        <f>IF(Z$1="",0,IF(1+операции!Z$421=0,0,(операции!Z$386)/(1+операции!Z$421)))*IF(отчеты!Z20=0,0,Z20/отчеты!Z20)</f>
        <v>0</v>
      </c>
      <c r="AA89" s="136">
        <f>IF(AA$1="",0,IF(1+операции!AA$421=0,0,(операции!AA$386)/(1+операции!AA$421)))*IF(отчеты!AA20=0,0,AA20/отчеты!AA20)</f>
        <v>0</v>
      </c>
      <c r="AB89" s="123"/>
    </row>
    <row r="90" spans="1:28" s="126" customFormat="1" ht="3.9" hidden="1" customHeight="1" x14ac:dyDescent="0.25">
      <c r="A90" s="149">
        <f>1</f>
        <v>1</v>
      </c>
      <c r="B90" s="131"/>
      <c r="C90" s="123"/>
      <c r="D90" s="123"/>
      <c r="E90" s="123"/>
      <c r="F90" s="123"/>
      <c r="G90" s="123"/>
      <c r="H90" s="123"/>
      <c r="I90" s="124"/>
      <c r="J90" s="123"/>
      <c r="K90" s="124"/>
      <c r="L90" s="123"/>
      <c r="M90" s="125"/>
      <c r="N90" s="123"/>
      <c r="O90" s="123"/>
      <c r="P90" s="137"/>
      <c r="Q90" s="137"/>
      <c r="R90" s="137"/>
      <c r="S90" s="137"/>
      <c r="T90" s="137"/>
      <c r="U90" s="137"/>
      <c r="V90" s="137"/>
      <c r="W90" s="137"/>
      <c r="X90" s="137"/>
      <c r="Y90" s="137"/>
      <c r="Z90" s="137"/>
      <c r="AA90" s="137"/>
      <c r="AB90" s="123"/>
    </row>
    <row r="91" spans="1:28" s="126" customFormat="1" x14ac:dyDescent="0.25">
      <c r="A91" s="149">
        <f>1</f>
        <v>1</v>
      </c>
      <c r="B91" s="132" t="str">
        <f>структура!$J$15</f>
        <v>УСН(6%)-ИП</v>
      </c>
      <c r="C91" s="123"/>
      <c r="D91" s="123"/>
      <c r="E91" s="130" t="str">
        <f>E85</f>
        <v>общехозяйственные расходы</v>
      </c>
      <c r="F91" s="130"/>
      <c r="G91" s="130" t="str">
        <f>IF($E91="","",INDEX(KPI!$G:$G,SUMIFS(KPI!$B:$B,KPI!$E:$E,$E91)))</f>
        <v>тыс.руб.</v>
      </c>
      <c r="H91" s="130"/>
      <c r="I91" s="134"/>
      <c r="J91" s="130" t="str">
        <f>структура!$AL$21</f>
        <v>Без НДС</v>
      </c>
      <c r="K91" s="134"/>
      <c r="L91" s="130"/>
      <c r="M91" s="135">
        <f>SUM($O91:$AB91)</f>
        <v>2904.9999999999995</v>
      </c>
      <c r="N91" s="123"/>
      <c r="O91" s="123"/>
      <c r="P91" s="136">
        <f>IF(P$1="",0,IF(1+операции!P$421=0,0,(операции!P$386)/(1+операции!P$421)))*IF(отчеты!P22=0,0,P22/отчеты!P22)</f>
        <v>262.5</v>
      </c>
      <c r="Q91" s="136">
        <f>IF(Q$1="",0,IF(1+операции!Q$421=0,0,(операции!Q$386)/(1+операции!Q$421)))*IF(отчеты!Q22=0,0,Q22/отчеты!Q22)</f>
        <v>297.49999999999994</v>
      </c>
      <c r="R91" s="136">
        <f>IF(R$1="",0,IF(1+операции!R$421=0,0,(операции!R$386)/(1+операции!R$421)))*IF(отчеты!R22=0,0,R22/отчеты!R22)</f>
        <v>350.00000000000006</v>
      </c>
      <c r="S91" s="136">
        <f>IF(S$1="",0,IF(1+операции!S$421=0,0,(операции!S$386)/(1+операции!S$421)))*IF(отчеты!S22=0,0,S22/отчеты!S22)</f>
        <v>385</v>
      </c>
      <c r="T91" s="136">
        <f>IF(T$1="",0,IF(1+операции!T$421=0,0,(операции!T$386)/(1+операции!T$421)))*IF(отчеты!T22=0,0,T22/отчеты!T22)</f>
        <v>437.49999999999977</v>
      </c>
      <c r="U91" s="136">
        <f>IF(U$1="",0,IF(1+операции!U$421=0,0,(операции!U$386)/(1+операции!U$421)))*IF(отчеты!U22=0,0,U22/отчеты!U22)</f>
        <v>524.99999999999989</v>
      </c>
      <c r="V91" s="136">
        <f>IF(V$1="",0,IF(1+операции!V$421=0,0,(операции!V$386)/(1+операции!V$421)))*IF(отчеты!V22=0,0,V22/отчеты!V22)</f>
        <v>647.5</v>
      </c>
      <c r="W91" s="136">
        <f>IF(W$1="",0,IF(1+операции!W$421=0,0,(операции!W$386)/(1+операции!W$421)))*IF(отчеты!W22=0,0,W22/отчеты!W22)</f>
        <v>0</v>
      </c>
      <c r="X91" s="136">
        <f>IF(X$1="",0,IF(1+операции!X$421=0,0,(операции!X$386)/(1+операции!X$421)))*IF(отчеты!X22=0,0,X22/отчеты!X22)</f>
        <v>0</v>
      </c>
      <c r="Y91" s="136">
        <f>IF(Y$1="",0,IF(1+операции!Y$421=0,0,(операции!Y$386)/(1+операции!Y$421)))*IF(отчеты!Y22=0,0,Y22/отчеты!Y22)</f>
        <v>0</v>
      </c>
      <c r="Z91" s="136">
        <f>IF(Z$1="",0,IF(1+операции!Z$421=0,0,(операции!Z$386)/(1+операции!Z$421)))*IF(отчеты!Z22=0,0,Z22/отчеты!Z22)</f>
        <v>0</v>
      </c>
      <c r="AA91" s="136">
        <f>IF(AA$1="",0,IF(1+операции!AA$421=0,0,(операции!AA$386)/(1+операции!AA$421)))*IF(отчеты!AA22=0,0,AA22/отчеты!AA22)</f>
        <v>0</v>
      </c>
      <c r="AB91" s="123"/>
    </row>
    <row r="92" spans="1:28" ht="3.9" hidden="1" customHeight="1" x14ac:dyDescent="0.25">
      <c r="A92" s="149">
        <f>1</f>
        <v>1</v>
      </c>
      <c r="B92" s="131"/>
      <c r="C92" s="2"/>
      <c r="D92" s="2"/>
      <c r="E92" s="2"/>
      <c r="F92" s="2"/>
      <c r="G92" s="2"/>
      <c r="H92" s="2"/>
      <c r="I92" s="28"/>
      <c r="J92" s="2"/>
      <c r="K92" s="28"/>
      <c r="L92" s="2"/>
      <c r="M92" s="52"/>
      <c r="N92" s="2"/>
      <c r="O92" s="2"/>
      <c r="P92" s="36"/>
      <c r="Q92" s="36"/>
      <c r="R92" s="36"/>
      <c r="S92" s="36"/>
      <c r="T92" s="36"/>
      <c r="U92" s="36"/>
      <c r="V92" s="36"/>
      <c r="W92" s="36"/>
      <c r="X92" s="36"/>
      <c r="Y92" s="36"/>
      <c r="Z92" s="36"/>
      <c r="AA92" s="36"/>
      <c r="AB92" s="2"/>
    </row>
    <row r="93" spans="1:28" ht="8.1" hidden="1" customHeight="1" x14ac:dyDescent="0.25">
      <c r="A93" s="149">
        <f>1</f>
        <v>1</v>
      </c>
      <c r="B93" s="131"/>
      <c r="C93" s="2"/>
      <c r="D93" s="2"/>
      <c r="E93" s="2"/>
      <c r="F93" s="2"/>
      <c r="G93" s="2"/>
      <c r="H93" s="2"/>
      <c r="I93" s="28"/>
      <c r="J93" s="2"/>
      <c r="K93" s="28"/>
      <c r="L93" s="2"/>
      <c r="M93" s="52"/>
      <c r="N93" s="2"/>
      <c r="O93" s="2"/>
      <c r="P93" s="36"/>
      <c r="Q93" s="36"/>
      <c r="R93" s="36"/>
      <c r="S93" s="36"/>
      <c r="T93" s="36"/>
      <c r="U93" s="36"/>
      <c r="V93" s="36"/>
      <c r="W93" s="36"/>
      <c r="X93" s="36"/>
      <c r="Y93" s="36"/>
      <c r="Z93" s="36"/>
      <c r="AA93" s="36"/>
      <c r="AB93" s="2"/>
    </row>
    <row r="94" spans="1:28" ht="3.9" hidden="1" customHeight="1" x14ac:dyDescent="0.25">
      <c r="A94" s="149">
        <f>1</f>
        <v>1</v>
      </c>
      <c r="B94" s="131"/>
      <c r="C94" s="2"/>
      <c r="D94" s="2"/>
      <c r="E94" s="2"/>
      <c r="F94" s="2"/>
      <c r="G94" s="2"/>
      <c r="H94" s="2"/>
      <c r="I94" s="28"/>
      <c r="J94" s="2"/>
      <c r="K94" s="28"/>
      <c r="L94" s="2"/>
      <c r="M94" s="52"/>
      <c r="N94" s="2"/>
      <c r="O94" s="2"/>
      <c r="P94" s="36"/>
      <c r="Q94" s="36"/>
      <c r="R94" s="36"/>
      <c r="S94" s="36"/>
      <c r="T94" s="36"/>
      <c r="U94" s="36"/>
      <c r="V94" s="36"/>
      <c r="W94" s="36"/>
      <c r="X94" s="36"/>
      <c r="Y94" s="36"/>
      <c r="Z94" s="36"/>
      <c r="AA94" s="36"/>
      <c r="AB94" s="2"/>
    </row>
    <row r="95" spans="1:28" s="126" customFormat="1" hidden="1" x14ac:dyDescent="0.25">
      <c r="A95" s="149">
        <f>1</f>
        <v>1</v>
      </c>
      <c r="B95" s="132" t="str">
        <f>структура!$J$12</f>
        <v>ОСНО</v>
      </c>
      <c r="C95" s="123"/>
      <c r="D95" s="123"/>
      <c r="E95" s="130" t="str">
        <f>KPI!$E$82</f>
        <v>непредвиденные расходы</v>
      </c>
      <c r="F95" s="130"/>
      <c r="G95" s="130" t="str">
        <f>IF($E95="","",INDEX(KPI!$G:$G,SUMIFS(KPI!$B:$B,KPI!$E:$E,$E95)))</f>
        <v>тыс.руб.</v>
      </c>
      <c r="H95" s="130"/>
      <c r="I95" s="134"/>
      <c r="J95" s="130" t="str">
        <f>структура!$AL$21</f>
        <v>Без НДС</v>
      </c>
      <c r="K95" s="134"/>
      <c r="L95" s="130"/>
      <c r="M95" s="135">
        <f>SUM($O95:$AB95)</f>
        <v>1244.9999999999998</v>
      </c>
      <c r="N95" s="123"/>
      <c r="O95" s="123"/>
      <c r="P95" s="136">
        <f>IF(P$1="",0,IF(1+операции!P$421=0,0,(операции!P$404)/(1+операции!P$421)))*IF(отчеты!P16=0,0,P16/отчеты!P16)</f>
        <v>112.5</v>
      </c>
      <c r="Q95" s="136">
        <f>IF(Q$1="",0,IF(1+операции!Q$421=0,0,(операции!Q$404)/(1+операции!Q$421)))*IF(отчеты!Q16=0,0,Q16/отчеты!Q16)</f>
        <v>127.49999999999994</v>
      </c>
      <c r="R95" s="136">
        <f>IF(R$1="",0,IF(1+операции!R$421=0,0,(операции!R$404)/(1+операции!R$421)))*IF(отчеты!R16=0,0,R16/отчеты!R16)</f>
        <v>149.99999999999994</v>
      </c>
      <c r="S95" s="136">
        <f>IF(S$1="",0,IF(1+операции!S$421=0,0,(операции!S$404)/(1+операции!S$421)))*IF(отчеты!S16=0,0,S16/отчеты!S16)</f>
        <v>164.99999999999997</v>
      </c>
      <c r="T95" s="136">
        <f>IF(T$1="",0,IF(1+операции!T$421=0,0,(операции!T$404)/(1+операции!T$421)))*IF(отчеты!T16=0,0,T16/отчеты!T16)</f>
        <v>187.49999999999989</v>
      </c>
      <c r="U95" s="136">
        <f>IF(U$1="",0,IF(1+операции!U$421=0,0,(операции!U$404)/(1+операции!U$421)))*IF(отчеты!U16=0,0,U16/отчеты!U16)</f>
        <v>224.99999999999994</v>
      </c>
      <c r="V95" s="136">
        <f>IF(V$1="",0,IF(1+операции!V$421=0,0,(операции!V$404)/(1+операции!V$421)))*IF(отчеты!V16=0,0,V16/отчеты!V16)</f>
        <v>277.5</v>
      </c>
      <c r="W95" s="136">
        <f>IF(W$1="",0,IF(1+операции!W$421=0,0,(операции!W$404)/(1+операции!W$421)))*IF(отчеты!W16=0,0,W16/отчеты!W16)</f>
        <v>0</v>
      </c>
      <c r="X95" s="136">
        <f>IF(X$1="",0,IF(1+операции!X$421=0,0,(операции!X$404)/(1+операции!X$421)))*IF(отчеты!X16=0,0,X16/отчеты!X16)</f>
        <v>0</v>
      </c>
      <c r="Y95" s="136">
        <f>IF(Y$1="",0,IF(1+операции!Y$421=0,0,(операции!Y$404)/(1+операции!Y$421)))*IF(отчеты!Y16=0,0,Y16/отчеты!Y16)</f>
        <v>0</v>
      </c>
      <c r="Z95" s="136">
        <f>IF(Z$1="",0,IF(1+операции!Z$421=0,0,(операции!Z$404)/(1+операции!Z$421)))*IF(отчеты!Z16=0,0,Z16/отчеты!Z16)</f>
        <v>0</v>
      </c>
      <c r="AA95" s="136">
        <f>IF(AA$1="",0,IF(1+операции!AA$421=0,0,(операции!AA$404)/(1+операции!AA$421)))*IF(отчеты!AA16=0,0,AA16/отчеты!AA16)</f>
        <v>0</v>
      </c>
      <c r="AB95" s="123"/>
    </row>
    <row r="96" spans="1:28" s="126" customFormat="1" ht="3.9" hidden="1" customHeight="1" x14ac:dyDescent="0.25">
      <c r="A96" s="149">
        <f>1</f>
        <v>1</v>
      </c>
      <c r="B96" s="131"/>
      <c r="C96" s="123"/>
      <c r="D96" s="123"/>
      <c r="E96" s="123"/>
      <c r="F96" s="123"/>
      <c r="G96" s="123"/>
      <c r="H96" s="123"/>
      <c r="I96" s="124"/>
      <c r="J96" s="123"/>
      <c r="K96" s="124"/>
      <c r="L96" s="123"/>
      <c r="M96" s="125"/>
      <c r="N96" s="123"/>
      <c r="O96" s="123"/>
      <c r="P96" s="137"/>
      <c r="Q96" s="137"/>
      <c r="R96" s="137"/>
      <c r="S96" s="137"/>
      <c r="T96" s="137"/>
      <c r="U96" s="137"/>
      <c r="V96" s="137"/>
      <c r="W96" s="137"/>
      <c r="X96" s="137"/>
      <c r="Y96" s="137"/>
      <c r="Z96" s="137"/>
      <c r="AA96" s="137"/>
      <c r="AB96" s="123"/>
    </row>
    <row r="97" spans="1:28" s="126" customFormat="1" hidden="1" x14ac:dyDescent="0.25">
      <c r="A97" s="149">
        <f>1</f>
        <v>1</v>
      </c>
      <c r="B97" s="132" t="str">
        <f>структура!$J$13</f>
        <v>УСН(6%)</v>
      </c>
      <c r="C97" s="123"/>
      <c r="D97" s="123"/>
      <c r="E97" s="130" t="str">
        <f>E95</f>
        <v>непредвиденные расходы</v>
      </c>
      <c r="F97" s="130"/>
      <c r="G97" s="130" t="str">
        <f>IF($E97="","",INDEX(KPI!$G:$G,SUMIFS(KPI!$B:$B,KPI!$E:$E,$E97)))</f>
        <v>тыс.руб.</v>
      </c>
      <c r="H97" s="130"/>
      <c r="I97" s="134"/>
      <c r="J97" s="130" t="str">
        <f>структура!$AL$21</f>
        <v>Без НДС</v>
      </c>
      <c r="K97" s="134"/>
      <c r="L97" s="130"/>
      <c r="M97" s="135">
        <f>SUM($O97:$AB97)</f>
        <v>1244.9999999999998</v>
      </c>
      <c r="N97" s="123"/>
      <c r="O97" s="123"/>
      <c r="P97" s="136">
        <f>IF(P$1="",0,IF(1+операции!P$421=0,0,(операции!P$404)/(1+операции!P$421)))*IF(отчеты!P18=0,0,P18/отчеты!P18)</f>
        <v>112.49999999999999</v>
      </c>
      <c r="Q97" s="136">
        <f>IF(Q$1="",0,IF(1+операции!Q$421=0,0,(операции!Q$404)/(1+операции!Q$421)))*IF(отчеты!Q18=0,0,Q18/отчеты!Q18)</f>
        <v>127.49999999999996</v>
      </c>
      <c r="R97" s="136">
        <f>IF(R$1="",0,IF(1+операции!R$421=0,0,(операции!R$404)/(1+операции!R$421)))*IF(отчеты!R18=0,0,R18/отчеты!R18)</f>
        <v>149.99999999999997</v>
      </c>
      <c r="S97" s="136">
        <f>IF(S$1="",0,IF(1+операции!S$421=0,0,(операции!S$404)/(1+операции!S$421)))*IF(отчеты!S18=0,0,S18/отчеты!S18)</f>
        <v>165</v>
      </c>
      <c r="T97" s="136">
        <f>IF(T$1="",0,IF(1+операции!T$421=0,0,(операции!T$404)/(1+операции!T$421)))*IF(отчеты!T18=0,0,T18/отчеты!T18)</f>
        <v>187.49999999999989</v>
      </c>
      <c r="U97" s="136">
        <f>IF(U$1="",0,IF(1+операции!U$421=0,0,(операции!U$404)/(1+операции!U$421)))*IF(отчеты!U18=0,0,U18/отчеты!U18)</f>
        <v>224.99999999999994</v>
      </c>
      <c r="V97" s="136">
        <f>IF(V$1="",0,IF(1+операции!V$421=0,0,(операции!V$404)/(1+операции!V$421)))*IF(отчеты!V18=0,0,V18/отчеты!V18)</f>
        <v>277.5</v>
      </c>
      <c r="W97" s="136">
        <f>IF(W$1="",0,IF(1+операции!W$421=0,0,(операции!W$404)/(1+операции!W$421)))*IF(отчеты!W18=0,0,W18/отчеты!W18)</f>
        <v>0</v>
      </c>
      <c r="X97" s="136">
        <f>IF(X$1="",0,IF(1+операции!X$421=0,0,(операции!X$404)/(1+операции!X$421)))*IF(отчеты!X18=0,0,X18/отчеты!X18)</f>
        <v>0</v>
      </c>
      <c r="Y97" s="136">
        <f>IF(Y$1="",0,IF(1+операции!Y$421=0,0,(операции!Y$404)/(1+операции!Y$421)))*IF(отчеты!Y18=0,0,Y18/отчеты!Y18)</f>
        <v>0</v>
      </c>
      <c r="Z97" s="136">
        <f>IF(Z$1="",0,IF(1+операции!Z$421=0,0,(операции!Z$404)/(1+операции!Z$421)))*IF(отчеты!Z18=0,0,Z18/отчеты!Z18)</f>
        <v>0</v>
      </c>
      <c r="AA97" s="136">
        <f>IF(AA$1="",0,IF(1+операции!AA$421=0,0,(операции!AA$404)/(1+операции!AA$421)))*IF(отчеты!AA18=0,0,AA18/отчеты!AA18)</f>
        <v>0</v>
      </c>
      <c r="AB97" s="123"/>
    </row>
    <row r="98" spans="1:28" s="126" customFormat="1" ht="3.9" hidden="1" customHeight="1" x14ac:dyDescent="0.25">
      <c r="A98" s="149">
        <f>1</f>
        <v>1</v>
      </c>
      <c r="B98" s="131"/>
      <c r="C98" s="123"/>
      <c r="D98" s="123"/>
      <c r="E98" s="123"/>
      <c r="F98" s="123"/>
      <c r="G98" s="123"/>
      <c r="H98" s="123"/>
      <c r="I98" s="124"/>
      <c r="J98" s="123"/>
      <c r="K98" s="124"/>
      <c r="L98" s="123"/>
      <c r="M98" s="125"/>
      <c r="N98" s="123"/>
      <c r="O98" s="123"/>
      <c r="P98" s="137"/>
      <c r="Q98" s="137"/>
      <c r="R98" s="137"/>
      <c r="S98" s="137"/>
      <c r="T98" s="137"/>
      <c r="U98" s="137"/>
      <c r="V98" s="137"/>
      <c r="W98" s="137"/>
      <c r="X98" s="137"/>
      <c r="Y98" s="137"/>
      <c r="Z98" s="137"/>
      <c r="AA98" s="137"/>
      <c r="AB98" s="123"/>
    </row>
    <row r="99" spans="1:28" s="126" customFormat="1" hidden="1" x14ac:dyDescent="0.25">
      <c r="A99" s="149">
        <f>1</f>
        <v>1</v>
      </c>
      <c r="B99" s="132" t="str">
        <f>структура!$J$14</f>
        <v>УСН(15%)</v>
      </c>
      <c r="C99" s="123"/>
      <c r="D99" s="123"/>
      <c r="E99" s="130" t="str">
        <f>E95</f>
        <v>непредвиденные расходы</v>
      </c>
      <c r="F99" s="130"/>
      <c r="G99" s="130" t="str">
        <f>IF($E99="","",INDEX(KPI!$G:$G,SUMIFS(KPI!$B:$B,KPI!$E:$E,$E99)))</f>
        <v>тыс.руб.</v>
      </c>
      <c r="H99" s="130"/>
      <c r="I99" s="134"/>
      <c r="J99" s="130" t="str">
        <f>структура!$AL$21</f>
        <v>Без НДС</v>
      </c>
      <c r="K99" s="134"/>
      <c r="L99" s="130"/>
      <c r="M99" s="135">
        <f>SUM($O99:$AB99)</f>
        <v>1244.9999999999998</v>
      </c>
      <c r="N99" s="123"/>
      <c r="O99" s="123"/>
      <c r="P99" s="136">
        <f>IF(P$1="",0,IF(1+операции!P$421=0,0,(операции!P$404)/(1+операции!P$421)))*IF(отчеты!P20=0,0,P20/отчеты!P20)</f>
        <v>112.49999999999999</v>
      </c>
      <c r="Q99" s="136">
        <f>IF(Q$1="",0,IF(1+операции!Q$421=0,0,(операции!Q$404)/(1+операции!Q$421)))*IF(отчеты!Q20=0,0,Q20/отчеты!Q20)</f>
        <v>127.49999999999996</v>
      </c>
      <c r="R99" s="136">
        <f>IF(R$1="",0,IF(1+операции!R$421=0,0,(операции!R$404)/(1+операции!R$421)))*IF(отчеты!R20=0,0,R20/отчеты!R20)</f>
        <v>149.99999999999997</v>
      </c>
      <c r="S99" s="136">
        <f>IF(S$1="",0,IF(1+операции!S$421=0,0,(операции!S$404)/(1+операции!S$421)))*IF(отчеты!S20=0,0,S20/отчеты!S20)</f>
        <v>165</v>
      </c>
      <c r="T99" s="136">
        <f>IF(T$1="",0,IF(1+операции!T$421=0,0,(операции!T$404)/(1+операции!T$421)))*IF(отчеты!T20=0,0,T20/отчеты!T20)</f>
        <v>187.49999999999989</v>
      </c>
      <c r="U99" s="136">
        <f>IF(U$1="",0,IF(1+операции!U$421=0,0,(операции!U$404)/(1+операции!U$421)))*IF(отчеты!U20=0,0,U20/отчеты!U20)</f>
        <v>224.99999999999994</v>
      </c>
      <c r="V99" s="136">
        <f>IF(V$1="",0,IF(1+операции!V$421=0,0,(операции!V$404)/(1+операции!V$421)))*IF(отчеты!V20=0,0,V20/отчеты!V20)</f>
        <v>277.5</v>
      </c>
      <c r="W99" s="136">
        <f>IF(W$1="",0,IF(1+операции!W$421=0,0,(операции!W$404)/(1+операции!W$421)))*IF(отчеты!W20=0,0,W20/отчеты!W20)</f>
        <v>0</v>
      </c>
      <c r="X99" s="136">
        <f>IF(X$1="",0,IF(1+операции!X$421=0,0,(операции!X$404)/(1+операции!X$421)))*IF(отчеты!X20=0,0,X20/отчеты!X20)</f>
        <v>0</v>
      </c>
      <c r="Y99" s="136">
        <f>IF(Y$1="",0,IF(1+операции!Y$421=0,0,(операции!Y$404)/(1+операции!Y$421)))*IF(отчеты!Y20=0,0,Y20/отчеты!Y20)</f>
        <v>0</v>
      </c>
      <c r="Z99" s="136">
        <f>IF(Z$1="",0,IF(1+операции!Z$421=0,0,(операции!Z$404)/(1+операции!Z$421)))*IF(отчеты!Z20=0,0,Z20/отчеты!Z20)</f>
        <v>0</v>
      </c>
      <c r="AA99" s="136">
        <f>IF(AA$1="",0,IF(1+операции!AA$421=0,0,(операции!AA$404)/(1+операции!AA$421)))*IF(отчеты!AA20=0,0,AA20/отчеты!AA20)</f>
        <v>0</v>
      </c>
      <c r="AB99" s="123"/>
    </row>
    <row r="100" spans="1:28" s="126" customFormat="1" ht="3.9" hidden="1" customHeight="1" x14ac:dyDescent="0.25">
      <c r="A100" s="149">
        <f>1</f>
        <v>1</v>
      </c>
      <c r="B100" s="131"/>
      <c r="C100" s="123"/>
      <c r="D100" s="123"/>
      <c r="E100" s="123"/>
      <c r="F100" s="123"/>
      <c r="G100" s="123"/>
      <c r="H100" s="123"/>
      <c r="I100" s="124"/>
      <c r="J100" s="123"/>
      <c r="K100" s="124"/>
      <c r="L100" s="123"/>
      <c r="M100" s="125"/>
      <c r="N100" s="123"/>
      <c r="O100" s="123"/>
      <c r="P100" s="137"/>
      <c r="Q100" s="137"/>
      <c r="R100" s="137"/>
      <c r="S100" s="137"/>
      <c r="T100" s="137"/>
      <c r="U100" s="137"/>
      <c r="V100" s="137"/>
      <c r="W100" s="137"/>
      <c r="X100" s="137"/>
      <c r="Y100" s="137"/>
      <c r="Z100" s="137"/>
      <c r="AA100" s="137"/>
      <c r="AB100" s="123"/>
    </row>
    <row r="101" spans="1:28" s="126" customFormat="1" x14ac:dyDescent="0.25">
      <c r="A101" s="149">
        <f>1</f>
        <v>1</v>
      </c>
      <c r="B101" s="132" t="str">
        <f>структура!$J$15</f>
        <v>УСН(6%)-ИП</v>
      </c>
      <c r="C101" s="123"/>
      <c r="D101" s="123"/>
      <c r="E101" s="130" t="str">
        <f>E95</f>
        <v>непредвиденные расходы</v>
      </c>
      <c r="F101" s="130"/>
      <c r="G101" s="130" t="str">
        <f>IF($E101="","",INDEX(KPI!$G:$G,SUMIFS(KPI!$B:$B,KPI!$E:$E,$E101)))</f>
        <v>тыс.руб.</v>
      </c>
      <c r="H101" s="130"/>
      <c r="I101" s="134"/>
      <c r="J101" s="130" t="str">
        <f>структура!$AL$21</f>
        <v>Без НДС</v>
      </c>
      <c r="K101" s="134"/>
      <c r="L101" s="130"/>
      <c r="M101" s="135">
        <f>SUM($O101:$AB101)</f>
        <v>1244.9999999999998</v>
      </c>
      <c r="N101" s="123"/>
      <c r="O101" s="123"/>
      <c r="P101" s="136">
        <f>IF(P$1="",0,IF(1+операции!P$421=0,0,(операции!P$404)/(1+операции!P$421)))*IF(отчеты!P22=0,0,P22/отчеты!P22)</f>
        <v>112.49999999999999</v>
      </c>
      <c r="Q101" s="136">
        <f>IF(Q$1="",0,IF(1+операции!Q$421=0,0,(операции!Q$404)/(1+операции!Q$421)))*IF(отчеты!Q22=0,0,Q22/отчеты!Q22)</f>
        <v>127.49999999999996</v>
      </c>
      <c r="R101" s="136">
        <f>IF(R$1="",0,IF(1+операции!R$421=0,0,(операции!R$404)/(1+операции!R$421)))*IF(отчеты!R22=0,0,R22/отчеты!R22)</f>
        <v>149.99999999999997</v>
      </c>
      <c r="S101" s="136">
        <f>IF(S$1="",0,IF(1+операции!S$421=0,0,(операции!S$404)/(1+операции!S$421)))*IF(отчеты!S22=0,0,S22/отчеты!S22)</f>
        <v>165</v>
      </c>
      <c r="T101" s="136">
        <f>IF(T$1="",0,IF(1+операции!T$421=0,0,(операции!T$404)/(1+операции!T$421)))*IF(отчеты!T22=0,0,T22/отчеты!T22)</f>
        <v>187.49999999999989</v>
      </c>
      <c r="U101" s="136">
        <f>IF(U$1="",0,IF(1+операции!U$421=0,0,(операции!U$404)/(1+операции!U$421)))*IF(отчеты!U22=0,0,U22/отчеты!U22)</f>
        <v>224.99999999999994</v>
      </c>
      <c r="V101" s="136">
        <f>IF(V$1="",0,IF(1+операции!V$421=0,0,(операции!V$404)/(1+операции!V$421)))*IF(отчеты!V22=0,0,V22/отчеты!V22)</f>
        <v>277.5</v>
      </c>
      <c r="W101" s="136">
        <f>IF(W$1="",0,IF(1+операции!W$421=0,0,(операции!W$404)/(1+операции!W$421)))*IF(отчеты!W22=0,0,W22/отчеты!W22)</f>
        <v>0</v>
      </c>
      <c r="X101" s="136">
        <f>IF(X$1="",0,IF(1+операции!X$421=0,0,(операции!X$404)/(1+операции!X$421)))*IF(отчеты!X22=0,0,X22/отчеты!X22)</f>
        <v>0</v>
      </c>
      <c r="Y101" s="136">
        <f>IF(Y$1="",0,IF(1+операции!Y$421=0,0,(операции!Y$404)/(1+операции!Y$421)))*IF(отчеты!Y22=0,0,Y22/отчеты!Y22)</f>
        <v>0</v>
      </c>
      <c r="Z101" s="136">
        <f>IF(Z$1="",0,IF(1+операции!Z$421=0,0,(операции!Z$404)/(1+операции!Z$421)))*IF(отчеты!Z22=0,0,Z22/отчеты!Z22)</f>
        <v>0</v>
      </c>
      <c r="AA101" s="136">
        <f>IF(AA$1="",0,IF(1+операции!AA$421=0,0,(операции!AA$404)/(1+операции!AA$421)))*IF(отчеты!AA22=0,0,AA22/отчеты!AA22)</f>
        <v>0</v>
      </c>
      <c r="AB101" s="123"/>
    </row>
    <row r="102" spans="1:28" ht="3.9" hidden="1" customHeight="1" x14ac:dyDescent="0.25">
      <c r="A102" s="149">
        <f>1</f>
        <v>1</v>
      </c>
      <c r="B102" s="131"/>
      <c r="C102" s="2"/>
      <c r="D102" s="2"/>
      <c r="E102" s="2"/>
      <c r="F102" s="2"/>
      <c r="G102" s="2"/>
      <c r="H102" s="2"/>
      <c r="I102" s="28"/>
      <c r="J102" s="2"/>
      <c r="K102" s="28"/>
      <c r="L102" s="2"/>
      <c r="M102" s="52"/>
      <c r="N102" s="2"/>
      <c r="O102" s="2"/>
      <c r="P102" s="36"/>
      <c r="Q102" s="36"/>
      <c r="R102" s="36"/>
      <c r="S102" s="36"/>
      <c r="T102" s="36"/>
      <c r="U102" s="36"/>
      <c r="V102" s="36"/>
      <c r="W102" s="36"/>
      <c r="X102" s="36"/>
      <c r="Y102" s="36"/>
      <c r="Z102" s="36"/>
      <c r="AA102" s="36"/>
      <c r="AB102" s="2"/>
    </row>
    <row r="103" spans="1:28" ht="8.1" hidden="1" customHeight="1" x14ac:dyDescent="0.25">
      <c r="A103" s="149">
        <f>1</f>
        <v>1</v>
      </c>
      <c r="B103" s="131"/>
      <c r="C103" s="2"/>
      <c r="D103" s="2"/>
      <c r="E103" s="2"/>
      <c r="F103" s="2"/>
      <c r="G103" s="2"/>
      <c r="H103" s="2"/>
      <c r="I103" s="28"/>
      <c r="J103" s="2"/>
      <c r="K103" s="28"/>
      <c r="L103" s="2"/>
      <c r="M103" s="52"/>
      <c r="N103" s="2"/>
      <c r="O103" s="2"/>
      <c r="P103" s="36"/>
      <c r="Q103" s="36"/>
      <c r="R103" s="36"/>
      <c r="S103" s="36"/>
      <c r="T103" s="36"/>
      <c r="U103" s="36"/>
      <c r="V103" s="36"/>
      <c r="W103" s="36"/>
      <c r="X103" s="36"/>
      <c r="Y103" s="36"/>
      <c r="Z103" s="36"/>
      <c r="AA103" s="36"/>
      <c r="AB103" s="2"/>
    </row>
    <row r="104" spans="1:28" ht="3.9" hidden="1" customHeight="1" x14ac:dyDescent="0.25">
      <c r="A104" s="149">
        <f>1</f>
        <v>1</v>
      </c>
      <c r="B104" s="131"/>
      <c r="C104" s="2"/>
      <c r="D104" s="2"/>
      <c r="E104" s="2"/>
      <c r="F104" s="2"/>
      <c r="G104" s="2"/>
      <c r="H104" s="2"/>
      <c r="I104" s="28"/>
      <c r="J104" s="2"/>
      <c r="K104" s="28"/>
      <c r="L104" s="2"/>
      <c r="M104" s="52"/>
      <c r="N104" s="2"/>
      <c r="O104" s="2"/>
      <c r="P104" s="36"/>
      <c r="Q104" s="36"/>
      <c r="R104" s="36"/>
      <c r="S104" s="36"/>
      <c r="T104" s="36"/>
      <c r="U104" s="36"/>
      <c r="V104" s="36"/>
      <c r="W104" s="36"/>
      <c r="X104" s="36"/>
      <c r="Y104" s="36"/>
      <c r="Z104" s="36"/>
      <c r="AA104" s="36"/>
      <c r="AB104" s="2"/>
    </row>
    <row r="105" spans="1:28" s="126" customFormat="1" hidden="1" x14ac:dyDescent="0.25">
      <c r="A105" s="149">
        <f>1</f>
        <v>1</v>
      </c>
      <c r="B105" s="132" t="str">
        <f>структура!$J$12</f>
        <v>ОСНО</v>
      </c>
      <c r="C105" s="123"/>
      <c r="D105" s="123"/>
      <c r="E105" s="130" t="str">
        <f>KPI!$E$83</f>
        <v>расходный НДС</v>
      </c>
      <c r="F105" s="130"/>
      <c r="G105" s="130" t="str">
        <f>IF($E105="","",INDEX(KPI!$G:$G,SUMIFS(KPI!$B:$B,KPI!$E:$E,$E105)))</f>
        <v>тыс.руб.</v>
      </c>
      <c r="H105" s="130"/>
      <c r="I105" s="134"/>
      <c r="J105" s="145" t="str">
        <f>структура!$AL$21</f>
        <v>Без НДС</v>
      </c>
      <c r="K105" s="134"/>
      <c r="L105" s="130"/>
      <c r="M105" s="135">
        <f>SUM($O105:$AB105)</f>
        <v>0</v>
      </c>
      <c r="N105" s="123"/>
      <c r="O105" s="123"/>
      <c r="P105" s="136">
        <f>IF(P$1="",0,0)</f>
        <v>0</v>
      </c>
      <c r="Q105" s="136">
        <f t="shared" ref="Q105:AA105" si="1">IF(Q$1="",0,0)</f>
        <v>0</v>
      </c>
      <c r="R105" s="136">
        <f t="shared" si="1"/>
        <v>0</v>
      </c>
      <c r="S105" s="136">
        <f t="shared" si="1"/>
        <v>0</v>
      </c>
      <c r="T105" s="136">
        <f t="shared" si="1"/>
        <v>0</v>
      </c>
      <c r="U105" s="136">
        <f t="shared" si="1"/>
        <v>0</v>
      </c>
      <c r="V105" s="136">
        <f t="shared" si="1"/>
        <v>0</v>
      </c>
      <c r="W105" s="136">
        <f t="shared" si="1"/>
        <v>0</v>
      </c>
      <c r="X105" s="136">
        <f t="shared" si="1"/>
        <v>0</v>
      </c>
      <c r="Y105" s="136">
        <f t="shared" si="1"/>
        <v>0</v>
      </c>
      <c r="Z105" s="136">
        <f t="shared" si="1"/>
        <v>0</v>
      </c>
      <c r="AA105" s="136">
        <f t="shared" si="1"/>
        <v>0</v>
      </c>
      <c r="AB105" s="123"/>
    </row>
    <row r="106" spans="1:28" s="126" customFormat="1" ht="3.9" hidden="1" customHeight="1" x14ac:dyDescent="0.25">
      <c r="A106" s="149">
        <f>1</f>
        <v>1</v>
      </c>
      <c r="B106" s="131"/>
      <c r="C106" s="123"/>
      <c r="D106" s="123"/>
      <c r="E106" s="123"/>
      <c r="F106" s="123"/>
      <c r="G106" s="123"/>
      <c r="H106" s="123"/>
      <c r="I106" s="124"/>
      <c r="J106" s="123"/>
      <c r="K106" s="124"/>
      <c r="L106" s="123"/>
      <c r="M106" s="125"/>
      <c r="N106" s="123"/>
      <c r="O106" s="123"/>
      <c r="P106" s="137"/>
      <c r="Q106" s="137"/>
      <c r="R106" s="137"/>
      <c r="S106" s="137"/>
      <c r="T106" s="137"/>
      <c r="U106" s="137"/>
      <c r="V106" s="137"/>
      <c r="W106" s="137"/>
      <c r="X106" s="137"/>
      <c r="Y106" s="137"/>
      <c r="Z106" s="137"/>
      <c r="AA106" s="137"/>
      <c r="AB106" s="123"/>
    </row>
    <row r="107" spans="1:28" s="126" customFormat="1" hidden="1" x14ac:dyDescent="0.25">
      <c r="A107" s="149">
        <f>1</f>
        <v>1</v>
      </c>
      <c r="B107" s="132" t="str">
        <f>структура!$J$13</f>
        <v>УСН(6%)</v>
      </c>
      <c r="C107" s="123"/>
      <c r="D107" s="123"/>
      <c r="E107" s="130" t="str">
        <f>E105</f>
        <v>расходный НДС</v>
      </c>
      <c r="F107" s="130"/>
      <c r="G107" s="130" t="str">
        <f>IF($E107="","",INDEX(KPI!$G:$G,SUMIFS(KPI!$B:$B,KPI!$E:$E,$E107)))</f>
        <v>тыс.руб.</v>
      </c>
      <c r="H107" s="130"/>
      <c r="I107" s="134"/>
      <c r="J107" s="145" t="str">
        <f>структура!$AL$21</f>
        <v>Без НДС</v>
      </c>
      <c r="K107" s="134"/>
      <c r="L107" s="130"/>
      <c r="M107" s="135">
        <f>SUM($O107:$AB107)</f>
        <v>1235.0815117140748</v>
      </c>
      <c r="N107" s="123"/>
      <c r="O107" s="123"/>
      <c r="P107" s="136">
        <f>IF(P$1="",0,SUMIFS(P$34:P106,$J$34:$J106,$J107,$B$34:$B106,$B107)*операции!$P$421)</f>
        <v>126.59446627196309</v>
      </c>
      <c r="Q107" s="136">
        <f>IF(Q$1="",0,SUMIFS(Q$34:Q106,$J$34:$J106,$J107,$B$34:$B106,$B107)*операции!$P$421)</f>
        <v>142.78901737118903</v>
      </c>
      <c r="R107" s="136">
        <f>IF(R$1="",0,SUMIFS(R$34:R106,$J$34:$J106,$J107,$B$34:$B106,$B107)*операции!$P$421)</f>
        <v>156.93550736159955</v>
      </c>
      <c r="S107" s="136">
        <f>IF(S$1="",0,SUMIFS(S$34:S106,$J$34:$J106,$J107,$B$34:$B106,$B107)*операции!$P$421)</f>
        <v>160.87072359796014</v>
      </c>
      <c r="T107" s="136">
        <f>IF(T$1="",0,SUMIFS(T$34:T106,$J$34:$J106,$J107,$B$34:$B106,$B107)*операции!$P$421)</f>
        <v>181.6930262484627</v>
      </c>
      <c r="U107" s="136">
        <f>IF(U$1="",0,SUMIFS(U$34:U106,$J$34:$J106,$J107,$B$34:$B106,$B107)*операции!$P$421)</f>
        <v>211.60133595051167</v>
      </c>
      <c r="V107" s="136">
        <f>IF(V$1="",0,SUMIFS(V$34:V106,$J$34:$J106,$J107,$B$34:$B106,$B107)*операции!$P$421)</f>
        <v>254.59743491238879</v>
      </c>
      <c r="W107" s="136">
        <f>IF(W$1="",0,SUMIFS(W$34:W106,$J$34:$J106,$J107,$B$34:$B106,$B107)*операции!$P$421)</f>
        <v>0</v>
      </c>
      <c r="X107" s="136">
        <f>IF(X$1="",0,SUMIFS(X$34:X106,$J$34:$J106,$J107,$B$34:$B106,$B107)*операции!$P$421)</f>
        <v>0</v>
      </c>
      <c r="Y107" s="136">
        <f>IF(Y$1="",0,SUMIFS(Y$34:Y106,$J$34:$J106,$J107,$B$34:$B106,$B107)*операции!$P$421)</f>
        <v>0</v>
      </c>
      <c r="Z107" s="136">
        <f>IF(Z$1="",0,SUMIFS(Z$34:Z106,$J$34:$J106,$J107,$B$34:$B106,$B107)*операции!$P$421)</f>
        <v>0</v>
      </c>
      <c r="AA107" s="136">
        <f>IF(AA$1="",0,SUMIFS(AA$34:AA106,$J$34:$J106,$J107,$B$34:$B106,$B107)*операции!$P$421)</f>
        <v>0</v>
      </c>
      <c r="AB107" s="123"/>
    </row>
    <row r="108" spans="1:28" s="126" customFormat="1" ht="3.9" hidden="1" customHeight="1" x14ac:dyDescent="0.25">
      <c r="A108" s="149">
        <f>1</f>
        <v>1</v>
      </c>
      <c r="B108" s="131"/>
      <c r="C108" s="123"/>
      <c r="D108" s="123"/>
      <c r="E108" s="123"/>
      <c r="F108" s="123"/>
      <c r="G108" s="123"/>
      <c r="H108" s="123"/>
      <c r="I108" s="124"/>
      <c r="J108" s="123"/>
      <c r="K108" s="124"/>
      <c r="L108" s="123"/>
      <c r="M108" s="125"/>
      <c r="N108" s="123"/>
      <c r="O108" s="123"/>
      <c r="P108" s="137"/>
      <c r="Q108" s="137"/>
      <c r="R108" s="137"/>
      <c r="S108" s="137"/>
      <c r="T108" s="137"/>
      <c r="U108" s="137"/>
      <c r="V108" s="137"/>
      <c r="W108" s="137"/>
      <c r="X108" s="137"/>
      <c r="Y108" s="137"/>
      <c r="Z108" s="137"/>
      <c r="AA108" s="137"/>
      <c r="AB108" s="123"/>
    </row>
    <row r="109" spans="1:28" s="126" customFormat="1" hidden="1" x14ac:dyDescent="0.25">
      <c r="A109" s="149">
        <f>1</f>
        <v>1</v>
      </c>
      <c r="B109" s="132" t="str">
        <f>структура!$J$14</f>
        <v>УСН(15%)</v>
      </c>
      <c r="C109" s="123"/>
      <c r="D109" s="123"/>
      <c r="E109" s="130" t="str">
        <f>E105</f>
        <v>расходный НДС</v>
      </c>
      <c r="F109" s="130"/>
      <c r="G109" s="130" t="str">
        <f>IF($E109="","",INDEX(KPI!$G:$G,SUMIFS(KPI!$B:$B,KPI!$E:$E,$E109)))</f>
        <v>тыс.руб.</v>
      </c>
      <c r="H109" s="130"/>
      <c r="I109" s="134"/>
      <c r="J109" s="145" t="str">
        <f>структура!$AL$21</f>
        <v>Без НДС</v>
      </c>
      <c r="K109" s="134"/>
      <c r="L109" s="130"/>
      <c r="M109" s="135">
        <f>SUM($O109:$AB109)</f>
        <v>1235.0815117140748</v>
      </c>
      <c r="N109" s="123"/>
      <c r="O109" s="123"/>
      <c r="P109" s="136">
        <f>IF(P$1="",0,SUMIFS(P$34:P108,$J$34:$J108,$J109,$B$34:$B108,$B109)*операции!$P$421)</f>
        <v>126.59446627196309</v>
      </c>
      <c r="Q109" s="136">
        <f>IF(Q$1="",0,SUMIFS(Q$34:Q108,$J$34:$J108,$J109,$B$34:$B108,$B109)*операции!$P$421)</f>
        <v>142.78901737118903</v>
      </c>
      <c r="R109" s="136">
        <f>IF(R$1="",0,SUMIFS(R$34:R108,$J$34:$J108,$J109,$B$34:$B108,$B109)*операции!$P$421)</f>
        <v>156.93550736159955</v>
      </c>
      <c r="S109" s="136">
        <f>IF(S$1="",0,SUMIFS(S$34:S108,$J$34:$J108,$J109,$B$34:$B108,$B109)*операции!$P$421)</f>
        <v>160.87072359796014</v>
      </c>
      <c r="T109" s="136">
        <f>IF(T$1="",0,SUMIFS(T$34:T108,$J$34:$J108,$J109,$B$34:$B108,$B109)*операции!$P$421)</f>
        <v>181.6930262484627</v>
      </c>
      <c r="U109" s="136">
        <f>IF(U$1="",0,SUMIFS(U$34:U108,$J$34:$J108,$J109,$B$34:$B108,$B109)*операции!$P$421)</f>
        <v>211.60133595051167</v>
      </c>
      <c r="V109" s="136">
        <f>IF(V$1="",0,SUMIFS(V$34:V108,$J$34:$J108,$J109,$B$34:$B108,$B109)*операции!$P$421)</f>
        <v>254.59743491238879</v>
      </c>
      <c r="W109" s="136">
        <f>IF(W$1="",0,SUMIFS(W$34:W108,$J$34:$J108,$J109,$B$34:$B108,$B109)*операции!$P$421)</f>
        <v>0</v>
      </c>
      <c r="X109" s="136">
        <f>IF(X$1="",0,SUMIFS(X$34:X108,$J$34:$J108,$J109,$B$34:$B108,$B109)*операции!$P$421)</f>
        <v>0</v>
      </c>
      <c r="Y109" s="136">
        <f>IF(Y$1="",0,SUMIFS(Y$34:Y108,$J$34:$J108,$J109,$B$34:$B108,$B109)*операции!$P$421)</f>
        <v>0</v>
      </c>
      <c r="Z109" s="136">
        <f>IF(Z$1="",0,SUMIFS(Z$34:Z108,$J$34:$J108,$J109,$B$34:$B108,$B109)*операции!$P$421)</f>
        <v>0</v>
      </c>
      <c r="AA109" s="136">
        <f>IF(AA$1="",0,SUMIFS(AA$34:AA108,$J$34:$J108,$J109,$B$34:$B108,$B109)*операции!$P$421)</f>
        <v>0</v>
      </c>
      <c r="AB109" s="123"/>
    </row>
    <row r="110" spans="1:28" s="126" customFormat="1" ht="3.9" hidden="1" customHeight="1" x14ac:dyDescent="0.25">
      <c r="A110" s="149">
        <f>1</f>
        <v>1</v>
      </c>
      <c r="B110" s="131"/>
      <c r="C110" s="123"/>
      <c r="D110" s="123"/>
      <c r="E110" s="123"/>
      <c r="F110" s="123"/>
      <c r="G110" s="123"/>
      <c r="H110" s="123"/>
      <c r="I110" s="124"/>
      <c r="J110" s="123"/>
      <c r="K110" s="124"/>
      <c r="L110" s="123"/>
      <c r="M110" s="125"/>
      <c r="N110" s="123"/>
      <c r="O110" s="123"/>
      <c r="P110" s="137"/>
      <c r="Q110" s="137"/>
      <c r="R110" s="137"/>
      <c r="S110" s="137"/>
      <c r="T110" s="137"/>
      <c r="U110" s="137"/>
      <c r="V110" s="137"/>
      <c r="W110" s="137"/>
      <c r="X110" s="137"/>
      <c r="Y110" s="137"/>
      <c r="Z110" s="137"/>
      <c r="AA110" s="137"/>
      <c r="AB110" s="123"/>
    </row>
    <row r="111" spans="1:28" s="126" customFormat="1" x14ac:dyDescent="0.25">
      <c r="A111" s="149">
        <f>1</f>
        <v>1</v>
      </c>
      <c r="B111" s="132" t="str">
        <f>структура!$J$15</f>
        <v>УСН(6%)-ИП</v>
      </c>
      <c r="C111" s="123"/>
      <c r="D111" s="123"/>
      <c r="E111" s="130" t="str">
        <f>E105</f>
        <v>расходный НДС</v>
      </c>
      <c r="F111" s="130"/>
      <c r="G111" s="130" t="str">
        <f>IF($E111="","",INDEX(KPI!$G:$G,SUMIFS(KPI!$B:$B,KPI!$E:$E,$E111)))</f>
        <v>тыс.руб.</v>
      </c>
      <c r="H111" s="130"/>
      <c r="I111" s="134"/>
      <c r="J111" s="145" t="str">
        <f>структура!$AL$21</f>
        <v>Без НДС</v>
      </c>
      <c r="K111" s="134"/>
      <c r="L111" s="130"/>
      <c r="M111" s="135">
        <f>SUM($O111:$AB111)</f>
        <v>1235.0815117140748</v>
      </c>
      <c r="N111" s="123"/>
      <c r="O111" s="123"/>
      <c r="P111" s="136">
        <f>IF(P$1="",0,SUMIFS(P$34:P110,$J$34:$J110,$J111,$B$34:$B110,$B111)*операции!$P$421)</f>
        <v>126.59446627196309</v>
      </c>
      <c r="Q111" s="136">
        <f>IF(Q$1="",0,SUMIFS(Q$34:Q110,$J$34:$J110,$J111,$B$34:$B110,$B111)*операции!$P$421)</f>
        <v>142.78901737118903</v>
      </c>
      <c r="R111" s="136">
        <f>IF(R$1="",0,SUMIFS(R$34:R110,$J$34:$J110,$J111,$B$34:$B110,$B111)*операции!$P$421)</f>
        <v>156.93550736159955</v>
      </c>
      <c r="S111" s="136">
        <f>IF(S$1="",0,SUMIFS(S$34:S110,$J$34:$J110,$J111,$B$34:$B110,$B111)*операции!$P$421)</f>
        <v>160.87072359796014</v>
      </c>
      <c r="T111" s="136">
        <f>IF(T$1="",0,SUMIFS(T$34:T110,$J$34:$J110,$J111,$B$34:$B110,$B111)*операции!$P$421)</f>
        <v>181.6930262484627</v>
      </c>
      <c r="U111" s="136">
        <f>IF(U$1="",0,SUMIFS(U$34:U110,$J$34:$J110,$J111,$B$34:$B110,$B111)*операции!$P$421)</f>
        <v>211.60133595051167</v>
      </c>
      <c r="V111" s="136">
        <f>IF(V$1="",0,SUMIFS(V$34:V110,$J$34:$J110,$J111,$B$34:$B110,$B111)*операции!$P$421)</f>
        <v>254.59743491238879</v>
      </c>
      <c r="W111" s="136">
        <f>IF(W$1="",0,SUMIFS(W$34:W110,$J$34:$J110,$J111,$B$34:$B110,$B111)*операции!$P$421)</f>
        <v>0</v>
      </c>
      <c r="X111" s="136">
        <f>IF(X$1="",0,SUMIFS(X$34:X110,$J$34:$J110,$J111,$B$34:$B110,$B111)*операции!$P$421)</f>
        <v>0</v>
      </c>
      <c r="Y111" s="136">
        <f>IF(Y$1="",0,SUMIFS(Y$34:Y110,$J$34:$J110,$J111,$B$34:$B110,$B111)*операции!$P$421)</f>
        <v>0</v>
      </c>
      <c r="Z111" s="136">
        <f>IF(Z$1="",0,SUMIFS(Z$34:Z110,$J$34:$J110,$J111,$B$34:$B110,$B111)*операции!$P$421)</f>
        <v>0</v>
      </c>
      <c r="AA111" s="136">
        <f>IF(AA$1="",0,SUMIFS(AA$34:AA110,$J$34:$J110,$J111,$B$34:$B110,$B111)*операции!$P$421)</f>
        <v>0</v>
      </c>
      <c r="AB111" s="123"/>
    </row>
    <row r="112" spans="1:28" ht="3.9" hidden="1" customHeight="1" x14ac:dyDescent="0.25">
      <c r="A112" s="149">
        <f>1</f>
        <v>1</v>
      </c>
      <c r="B112" s="131"/>
      <c r="C112" s="2"/>
      <c r="D112" s="2"/>
      <c r="E112" s="2"/>
      <c r="F112" s="2"/>
      <c r="G112" s="2"/>
      <c r="H112" s="2"/>
      <c r="I112" s="28"/>
      <c r="J112" s="2"/>
      <c r="K112" s="28"/>
      <c r="L112" s="2"/>
      <c r="M112" s="52"/>
      <c r="N112" s="2"/>
      <c r="O112" s="2"/>
      <c r="P112" s="36"/>
      <c r="Q112" s="36"/>
      <c r="R112" s="36"/>
      <c r="S112" s="36"/>
      <c r="T112" s="36"/>
      <c r="U112" s="36"/>
      <c r="V112" s="36"/>
      <c r="W112" s="36"/>
      <c r="X112" s="36"/>
      <c r="Y112" s="36"/>
      <c r="Z112" s="36"/>
      <c r="AA112" s="36"/>
      <c r="AB112" s="2"/>
    </row>
    <row r="113" spans="1:28" ht="8.1" hidden="1" customHeight="1" x14ac:dyDescent="0.25">
      <c r="A113" s="149">
        <f>1</f>
        <v>1</v>
      </c>
      <c r="B113" s="131"/>
      <c r="C113" s="2"/>
      <c r="D113" s="2"/>
      <c r="E113" s="2"/>
      <c r="F113" s="2"/>
      <c r="G113" s="2"/>
      <c r="H113" s="2"/>
      <c r="I113" s="28"/>
      <c r="J113" s="2"/>
      <c r="K113" s="28"/>
      <c r="L113" s="2"/>
      <c r="M113" s="52"/>
      <c r="N113" s="2"/>
      <c r="O113" s="2"/>
      <c r="P113" s="36"/>
      <c r="Q113" s="36"/>
      <c r="R113" s="36"/>
      <c r="S113" s="36"/>
      <c r="T113" s="36"/>
      <c r="U113" s="36"/>
      <c r="V113" s="36"/>
      <c r="W113" s="36"/>
      <c r="X113" s="36"/>
      <c r="Y113" s="36"/>
      <c r="Z113" s="36"/>
      <c r="AA113" s="36"/>
      <c r="AB113" s="2"/>
    </row>
    <row r="114" spans="1:28" ht="3.9" hidden="1" customHeight="1" x14ac:dyDescent="0.25">
      <c r="A114" s="149">
        <f>1</f>
        <v>1</v>
      </c>
      <c r="B114" s="131"/>
      <c r="C114" s="2"/>
      <c r="D114" s="2"/>
      <c r="E114" s="118"/>
      <c r="F114" s="2"/>
      <c r="G114" s="118"/>
      <c r="H114" s="2"/>
      <c r="I114" s="28"/>
      <c r="J114" s="2"/>
      <c r="K114" s="28"/>
      <c r="L114" s="2"/>
      <c r="M114" s="139"/>
      <c r="N114" s="2"/>
      <c r="O114" s="2"/>
      <c r="P114" s="36"/>
      <c r="Q114" s="36"/>
      <c r="R114" s="36"/>
      <c r="S114" s="36"/>
      <c r="T114" s="36"/>
      <c r="U114" s="36"/>
      <c r="V114" s="36"/>
      <c r="W114" s="36"/>
      <c r="X114" s="36"/>
      <c r="Y114" s="36"/>
      <c r="Z114" s="36"/>
      <c r="AA114" s="36"/>
      <c r="AB114" s="2"/>
    </row>
    <row r="115" spans="1:28" ht="8.1" hidden="1" customHeight="1" x14ac:dyDescent="0.25">
      <c r="A115" s="149">
        <f>1</f>
        <v>1</v>
      </c>
      <c r="B115" s="131"/>
      <c r="C115" s="2"/>
      <c r="D115" s="2"/>
      <c r="E115" s="2"/>
      <c r="F115" s="2"/>
      <c r="G115" s="2"/>
      <c r="H115" s="2"/>
      <c r="I115" s="28"/>
      <c r="J115" s="2"/>
      <c r="K115" s="28"/>
      <c r="L115" s="2"/>
      <c r="M115" s="52"/>
      <c r="N115" s="2"/>
      <c r="O115" s="2"/>
      <c r="P115" s="36"/>
      <c r="Q115" s="36"/>
      <c r="R115" s="36"/>
      <c r="S115" s="36"/>
      <c r="T115" s="36"/>
      <c r="U115" s="36"/>
      <c r="V115" s="36"/>
      <c r="W115" s="36"/>
      <c r="X115" s="36"/>
      <c r="Y115" s="36"/>
      <c r="Z115" s="36"/>
      <c r="AA115" s="36"/>
      <c r="AB115" s="2"/>
    </row>
    <row r="116" spans="1:28" ht="3.9" hidden="1" customHeight="1" x14ac:dyDescent="0.25">
      <c r="A116" s="149">
        <f>1</f>
        <v>1</v>
      </c>
      <c r="B116" s="131"/>
      <c r="C116" s="2"/>
      <c r="D116" s="2"/>
      <c r="E116" s="2"/>
      <c r="F116" s="2"/>
      <c r="G116" s="2"/>
      <c r="H116" s="2"/>
      <c r="I116" s="28"/>
      <c r="J116" s="2"/>
      <c r="K116" s="28"/>
      <c r="L116" s="2"/>
      <c r="M116" s="52"/>
      <c r="N116" s="2"/>
      <c r="O116" s="2"/>
      <c r="P116" s="36"/>
      <c r="Q116" s="36"/>
      <c r="R116" s="36"/>
      <c r="S116" s="36"/>
      <c r="T116" s="36"/>
      <c r="U116" s="36"/>
      <c r="V116" s="36"/>
      <c r="W116" s="36"/>
      <c r="X116" s="36"/>
      <c r="Y116" s="36"/>
      <c r="Z116" s="36"/>
      <c r="AA116" s="36"/>
      <c r="AB116" s="2"/>
    </row>
    <row r="117" spans="1:28" s="5" customFormat="1" hidden="1" x14ac:dyDescent="0.25">
      <c r="A117" s="150">
        <f>1</f>
        <v>1</v>
      </c>
      <c r="B117" s="129" t="str">
        <f>структура!$J$12</f>
        <v>ОСНО</v>
      </c>
      <c r="C117" s="3"/>
      <c r="D117" s="3"/>
      <c r="E117" s="89" t="str">
        <f>KPI!$E$84</f>
        <v>амортизация кап/затрат</v>
      </c>
      <c r="F117" s="89"/>
      <c r="G117" s="89" t="str">
        <f>IF($E117="","",INDEX(KPI!$G:$G,SUMIFS(KPI!$B:$B,KPI!$E:$E,$E117)))</f>
        <v>тыс.руб.</v>
      </c>
      <c r="H117" s="89"/>
      <c r="I117" s="90"/>
      <c r="J117" s="89" t="str">
        <f>структура!$AL$21</f>
        <v>Без НДС</v>
      </c>
      <c r="K117" s="90"/>
      <c r="L117" s="89"/>
      <c r="M117" s="92">
        <f>SUM($O117:$AB117)</f>
        <v>3023.232500000001</v>
      </c>
      <c r="N117" s="3"/>
      <c r="O117" s="3"/>
      <c r="P117" s="93">
        <f>IF(P$1="",0,IF(1+операции!P$421=0,0,(операции!P$449+операции!P$464)/(1+операции!P$421)))*IF(капитал!$M$26+капитал!$M$78+капитал!$M$109=0,0,(капитал!$J$87/1000)/(капитал!$M$26+капитал!$M$78+капитал!$M$109))</f>
        <v>441.48163856357388</v>
      </c>
      <c r="Q117" s="93">
        <f>IF(Q$1="",0,IF(1+операции!Q$421=0,0,(операции!Q$449+операции!Q$464)/(1+операции!Q$421)))*IF(капитал!$M$26+капитал!$M$78+капитал!$M$109=0,0,(капитал!$J$87/1000)/(капитал!$M$26+капитал!$M$78+капитал!$M$109))</f>
        <v>441.48163856357388</v>
      </c>
      <c r="R117" s="93">
        <f>IF(R$1="",0,IF(1+операции!R$421=0,0,(операции!R$449+операции!R$464)/(1+операции!R$421)))*IF(капитал!$M$26+капитал!$M$78+капитал!$M$109=0,0,(капитал!$J$87/1000)/(капитал!$M$26+капитал!$M$78+капитал!$M$109))</f>
        <v>441.48163856357388</v>
      </c>
      <c r="S117" s="93">
        <f>IF(S$1="",0,IF(1+операции!S$421=0,0,(операции!S$449+операции!S$464)/(1+операции!S$421)))*IF(капитал!$M$26+капитал!$M$78+капитал!$M$109=0,0,(капитал!$J$87/1000)/(капитал!$M$26+капитал!$M$78+капитал!$M$109))</f>
        <v>441.48163856357388</v>
      </c>
      <c r="T117" s="93">
        <f>IF(T$1="",0,IF(1+операции!T$421=0,0,(операции!T$449+операции!T$464)/(1+операции!T$421)))*IF(капитал!$M$26+капитал!$M$78+капитал!$M$109=0,0,(капитал!$J$87/1000)/(капитал!$M$26+капитал!$M$78+капитал!$M$109))</f>
        <v>441.48163856357388</v>
      </c>
      <c r="U117" s="93">
        <f>IF(U$1="",0,IF(1+операции!U$421=0,0,(операции!U$449+операции!U$464)/(1+операции!U$421)))*IF(капитал!$M$26+капитал!$M$78+капитал!$M$109=0,0,(капитал!$J$87/1000)/(капитал!$M$26+капитал!$M$78+капитал!$M$109))</f>
        <v>407.91215359106582</v>
      </c>
      <c r="V117" s="93">
        <f>IF(V$1="",0,IF(1+операции!V$421=0,0,(операции!V$449+операции!V$464)/(1+операции!V$421)))*IF(капитал!$M$26+капитал!$M$78+капитал!$M$109=0,0,(капитал!$J$87/1000)/(капитал!$M$26+капитал!$M$78+капитал!$M$109))</f>
        <v>407.91215359106582</v>
      </c>
      <c r="W117" s="93">
        <f>IF(W$1="",0,IF(1+операции!W$421=0,0,(операции!W$449+операции!W$464)/(1+операции!W$421)))*IF(капитал!$M$26+капитал!$M$78+капитал!$M$109=0,0,(капитал!$J$87/1000)/(капитал!$M$26+капитал!$M$78+капитал!$M$109))</f>
        <v>0</v>
      </c>
      <c r="X117" s="93">
        <f>IF(X$1="",0,IF(1+операции!X$421=0,0,(операции!X$449+операции!X$464)/(1+операции!X$421)))*IF(капитал!$M$26+капитал!$M$78+капитал!$M$109=0,0,(капитал!$J$87/1000)/(капитал!$M$26+капитал!$M$78+капитал!$M$109))</f>
        <v>0</v>
      </c>
      <c r="Y117" s="93">
        <f>IF(Y$1="",0,IF(1+операции!Y$421=0,0,(операции!Y$449+операции!Y$464)/(1+операции!Y$421)))*IF(капитал!$M$26+капитал!$M$78+капитал!$M$109=0,0,(капитал!$J$87/1000)/(капитал!$M$26+капитал!$M$78+капитал!$M$109))</f>
        <v>0</v>
      </c>
      <c r="Z117" s="93">
        <f>IF(Z$1="",0,IF(1+операции!Z$421=0,0,(операции!Z$449+операции!Z$464)/(1+операции!Z$421)))*IF(капитал!$M$26+капитал!$M$78+капитал!$M$109=0,0,(капитал!$J$87/1000)/(капитал!$M$26+капитал!$M$78+капитал!$M$109))</f>
        <v>0</v>
      </c>
      <c r="AA117" s="93">
        <f>IF(AA$1="",0,IF(1+операции!AA$421=0,0,(операции!AA$449+операции!AA$464)/(1+операции!AA$421)))*IF(капитал!$M$26+капитал!$M$78+капитал!$M$109=0,0,(капитал!$J$87/1000)/(капитал!$M$26+капитал!$M$78+капитал!$M$109))</f>
        <v>0</v>
      </c>
      <c r="AB117" s="3"/>
    </row>
    <row r="118" spans="1:28" s="5" customFormat="1" ht="3.9" hidden="1" customHeight="1" x14ac:dyDescent="0.25">
      <c r="A118" s="150">
        <f>1</f>
        <v>1</v>
      </c>
      <c r="B118" s="128"/>
      <c r="C118" s="3"/>
      <c r="D118" s="3"/>
      <c r="E118" s="3"/>
      <c r="F118" s="3"/>
      <c r="G118" s="3"/>
      <c r="H118" s="3"/>
      <c r="I118" s="28"/>
      <c r="J118" s="3"/>
      <c r="K118" s="28"/>
      <c r="L118" s="3"/>
      <c r="M118" s="55"/>
      <c r="N118" s="3"/>
      <c r="O118" s="3"/>
      <c r="P118" s="46"/>
      <c r="Q118" s="46"/>
      <c r="R118" s="46"/>
      <c r="S118" s="46"/>
      <c r="T118" s="46"/>
      <c r="U118" s="46"/>
      <c r="V118" s="46"/>
      <c r="W118" s="46"/>
      <c r="X118" s="46"/>
      <c r="Y118" s="46"/>
      <c r="Z118" s="46"/>
      <c r="AA118" s="46"/>
      <c r="AB118" s="3"/>
    </row>
    <row r="119" spans="1:28" s="5" customFormat="1" hidden="1" x14ac:dyDescent="0.25">
      <c r="A119" s="150">
        <f>1</f>
        <v>1</v>
      </c>
      <c r="B119" s="129" t="str">
        <f>структура!$J$13</f>
        <v>УСН(6%)</v>
      </c>
      <c r="C119" s="3"/>
      <c r="D119" s="3"/>
      <c r="E119" s="89" t="str">
        <f>E117</f>
        <v>амортизация кап/затрат</v>
      </c>
      <c r="F119" s="89"/>
      <c r="G119" s="89" t="str">
        <f>IF($E119="","",INDEX(KPI!$G:$G,SUMIFS(KPI!$B:$B,KPI!$E:$E,$E119)))</f>
        <v>тыс.руб.</v>
      </c>
      <c r="H119" s="89"/>
      <c r="I119" s="90"/>
      <c r="J119" s="89"/>
      <c r="K119" s="90"/>
      <c r="L119" s="89"/>
      <c r="M119" s="92">
        <f>SUM($O119:$AB119)</f>
        <v>3627.8790000000017</v>
      </c>
      <c r="N119" s="3"/>
      <c r="O119" s="3"/>
      <c r="P119" s="93">
        <f>IF(P$1="",0,операции!P$449+операции!P$464)*IF(капитал!$M$26+капитал!$M$78+капитал!$M$109=0,0,(капитал!$J$87/1000)/(капитал!$M$26+капитал!$M$78+капитал!$M$109))</f>
        <v>529.77796627628868</v>
      </c>
      <c r="Q119" s="93">
        <f>IF(Q$1="",0,операции!Q$449+операции!Q$464)*IF(капитал!$M$26+капитал!$M$78+капитал!$M$109=0,0,(капитал!$J$87/1000)/(капитал!$M$26+капитал!$M$78+капитал!$M$109))</f>
        <v>529.77796627628868</v>
      </c>
      <c r="R119" s="93">
        <f>IF(R$1="",0,операции!R$449+операции!R$464)*IF(капитал!$M$26+капитал!$M$78+капитал!$M$109=0,0,(капитал!$J$87/1000)/(капитал!$M$26+капитал!$M$78+капитал!$M$109))</f>
        <v>529.77796627628868</v>
      </c>
      <c r="S119" s="93">
        <f>IF(S$1="",0,операции!S$449+операции!S$464)*IF(капитал!$M$26+капитал!$M$78+капитал!$M$109=0,0,(капитал!$J$87/1000)/(капитал!$M$26+капитал!$M$78+капитал!$M$109))</f>
        <v>529.77796627628868</v>
      </c>
      <c r="T119" s="93">
        <f>IF(T$1="",0,операции!T$449+операции!T$464)*IF(капитал!$M$26+капитал!$M$78+капитал!$M$109=0,0,(капитал!$J$87/1000)/(капитал!$M$26+капитал!$M$78+капитал!$M$109))</f>
        <v>529.77796627628868</v>
      </c>
      <c r="U119" s="93">
        <f>IF(U$1="",0,операции!U$449+операции!U$464)*IF(капитал!$M$26+капитал!$M$78+капитал!$M$109=0,0,(капитал!$J$87/1000)/(капитал!$M$26+капитал!$M$78+капитал!$M$109))</f>
        <v>489.49458430927893</v>
      </c>
      <c r="V119" s="93">
        <f>IF(V$1="",0,операции!V$449+операции!V$464)*IF(капитал!$M$26+капитал!$M$78+капитал!$M$109=0,0,(капитал!$J$87/1000)/(капитал!$M$26+капитал!$M$78+капитал!$M$109))</f>
        <v>489.49458430927893</v>
      </c>
      <c r="W119" s="93">
        <f>IF(W$1="",0,операции!W$449+операции!W$464)*IF(капитал!$M$26+капитал!$M$78+капитал!$M$109=0,0,(капитал!$J$87/1000)/(капитал!$M$26+капитал!$M$78+капитал!$M$109))</f>
        <v>0</v>
      </c>
      <c r="X119" s="93">
        <f>IF(X$1="",0,операции!X$449+операции!X$464)*IF(капитал!$M$26+капитал!$M$78+капитал!$M$109=0,0,(капитал!$J$87/1000)/(капитал!$M$26+капитал!$M$78+капитал!$M$109))</f>
        <v>0</v>
      </c>
      <c r="Y119" s="93">
        <f>IF(Y$1="",0,операции!Y$449+операции!Y$464)*IF(капитал!$M$26+капитал!$M$78+капитал!$M$109=0,0,(капитал!$J$87/1000)/(капитал!$M$26+капитал!$M$78+капитал!$M$109))</f>
        <v>0</v>
      </c>
      <c r="Z119" s="93">
        <f>IF(Z$1="",0,операции!Z$449+операции!Z$464)*IF(капитал!$M$26+капитал!$M$78+капитал!$M$109=0,0,(капитал!$J$87/1000)/(капитал!$M$26+капитал!$M$78+капитал!$M$109))</f>
        <v>0</v>
      </c>
      <c r="AA119" s="93">
        <f>IF(AA$1="",0,операции!AA$449+операции!AA$464)*IF(капитал!$M$26+капитал!$M$78+капитал!$M$109=0,0,(капитал!$J$87/1000)/(капитал!$M$26+капитал!$M$78+капитал!$M$109))</f>
        <v>0</v>
      </c>
      <c r="AB119" s="3"/>
    </row>
    <row r="120" spans="1:28" s="5" customFormat="1" ht="3.9" hidden="1" customHeight="1" x14ac:dyDescent="0.25">
      <c r="A120" s="150">
        <f>1</f>
        <v>1</v>
      </c>
      <c r="B120" s="128"/>
      <c r="C120" s="3"/>
      <c r="D120" s="3"/>
      <c r="E120" s="3"/>
      <c r="F120" s="3"/>
      <c r="G120" s="3"/>
      <c r="H120" s="3"/>
      <c r="I120" s="28"/>
      <c r="J120" s="3"/>
      <c r="K120" s="28"/>
      <c r="L120" s="3"/>
      <c r="M120" s="55"/>
      <c r="N120" s="3"/>
      <c r="O120" s="3"/>
      <c r="P120" s="46"/>
      <c r="Q120" s="46"/>
      <c r="R120" s="46"/>
      <c r="S120" s="46"/>
      <c r="T120" s="46"/>
      <c r="U120" s="46"/>
      <c r="V120" s="46"/>
      <c r="W120" s="46"/>
      <c r="X120" s="46"/>
      <c r="Y120" s="46"/>
      <c r="Z120" s="46"/>
      <c r="AA120" s="46"/>
      <c r="AB120" s="3"/>
    </row>
    <row r="121" spans="1:28" s="5" customFormat="1" hidden="1" x14ac:dyDescent="0.25">
      <c r="A121" s="150">
        <f>1</f>
        <v>1</v>
      </c>
      <c r="B121" s="129" t="str">
        <f>структура!$J$14</f>
        <v>УСН(15%)</v>
      </c>
      <c r="C121" s="3"/>
      <c r="D121" s="3"/>
      <c r="E121" s="89" t="str">
        <f>E117</f>
        <v>амортизация кап/затрат</v>
      </c>
      <c r="F121" s="89"/>
      <c r="G121" s="89" t="str">
        <f>IF($E121="","",INDEX(KPI!$G:$G,SUMIFS(KPI!$B:$B,KPI!$E:$E,$E121)))</f>
        <v>тыс.руб.</v>
      </c>
      <c r="H121" s="89"/>
      <c r="I121" s="90"/>
      <c r="J121" s="89"/>
      <c r="K121" s="90"/>
      <c r="L121" s="89"/>
      <c r="M121" s="92">
        <f>SUM($O121:$AB121)</f>
        <v>3627.8790000000017</v>
      </c>
      <c r="N121" s="3"/>
      <c r="O121" s="3"/>
      <c r="P121" s="93">
        <f>IF(P$1="",0,операции!P$449+операции!P$464)*IF(капитал!$M$26+капитал!$M$78+капитал!$M$109=0,0,(капитал!$J$87/1000)/(капитал!$M$26+капитал!$M$78+капитал!$M$109))</f>
        <v>529.77796627628868</v>
      </c>
      <c r="Q121" s="93">
        <f>IF(Q$1="",0,операции!Q$449+операции!Q$464)*IF(капитал!$M$26+капитал!$M$78+капитал!$M$109=0,0,(капитал!$J$87/1000)/(капитал!$M$26+капитал!$M$78+капитал!$M$109))</f>
        <v>529.77796627628868</v>
      </c>
      <c r="R121" s="93">
        <f>IF(R$1="",0,операции!R$449+операции!R$464)*IF(капитал!$M$26+капитал!$M$78+капитал!$M$109=0,0,(капитал!$J$87/1000)/(капитал!$M$26+капитал!$M$78+капитал!$M$109))</f>
        <v>529.77796627628868</v>
      </c>
      <c r="S121" s="93">
        <f>IF(S$1="",0,операции!S$449+операции!S$464)*IF(капитал!$M$26+капитал!$M$78+капитал!$M$109=0,0,(капитал!$J$87/1000)/(капитал!$M$26+капитал!$M$78+капитал!$M$109))</f>
        <v>529.77796627628868</v>
      </c>
      <c r="T121" s="93">
        <f>IF(T$1="",0,операции!T$449+операции!T$464)*IF(капитал!$M$26+капитал!$M$78+капитал!$M$109=0,0,(капитал!$J$87/1000)/(капитал!$M$26+капитал!$M$78+капитал!$M$109))</f>
        <v>529.77796627628868</v>
      </c>
      <c r="U121" s="93">
        <f>IF(U$1="",0,операции!U$449+операции!U$464)*IF(капитал!$M$26+капитал!$M$78+капитал!$M$109=0,0,(капитал!$J$87/1000)/(капитал!$M$26+капитал!$M$78+капитал!$M$109))</f>
        <v>489.49458430927893</v>
      </c>
      <c r="V121" s="93">
        <f>IF(V$1="",0,операции!V$449+операции!V$464)*IF(капитал!$M$26+капитал!$M$78+капитал!$M$109=0,0,(капитал!$J$87/1000)/(капитал!$M$26+капитал!$M$78+капитал!$M$109))</f>
        <v>489.49458430927893</v>
      </c>
      <c r="W121" s="93">
        <f>IF(W$1="",0,операции!W$449+операции!W$464)*IF(капитал!$M$26+капитал!$M$78+капитал!$M$109=0,0,(капитал!$J$87/1000)/(капитал!$M$26+капитал!$M$78+капитал!$M$109))</f>
        <v>0</v>
      </c>
      <c r="X121" s="93">
        <f>IF(X$1="",0,операции!X$449+операции!X$464)*IF(капитал!$M$26+капитал!$M$78+капитал!$M$109=0,0,(капитал!$J$87/1000)/(капитал!$M$26+капитал!$M$78+капитал!$M$109))</f>
        <v>0</v>
      </c>
      <c r="Y121" s="93">
        <f>IF(Y$1="",0,операции!Y$449+операции!Y$464)*IF(капитал!$M$26+капитал!$M$78+капитал!$M$109=0,0,(капитал!$J$87/1000)/(капитал!$M$26+капитал!$M$78+капитал!$M$109))</f>
        <v>0</v>
      </c>
      <c r="Z121" s="93">
        <f>IF(Z$1="",0,операции!Z$449+операции!Z$464)*IF(капитал!$M$26+капитал!$M$78+капитал!$M$109=0,0,(капитал!$J$87/1000)/(капитал!$M$26+капитал!$M$78+капитал!$M$109))</f>
        <v>0</v>
      </c>
      <c r="AA121" s="93">
        <f>IF(AA$1="",0,операции!AA$449+операции!AA$464)*IF(капитал!$M$26+капитал!$M$78+капитал!$M$109=0,0,(капитал!$J$87/1000)/(капитал!$M$26+капитал!$M$78+капитал!$M$109))</f>
        <v>0</v>
      </c>
      <c r="AB121" s="3"/>
    </row>
    <row r="122" spans="1:28" s="5" customFormat="1" ht="3.9" hidden="1" customHeight="1" x14ac:dyDescent="0.25">
      <c r="A122" s="150">
        <f>1</f>
        <v>1</v>
      </c>
      <c r="B122" s="128"/>
      <c r="C122" s="3"/>
      <c r="D122" s="3"/>
      <c r="E122" s="3"/>
      <c r="F122" s="3"/>
      <c r="G122" s="3"/>
      <c r="H122" s="3"/>
      <c r="I122" s="28"/>
      <c r="J122" s="3"/>
      <c r="K122" s="28"/>
      <c r="L122" s="3"/>
      <c r="M122" s="55"/>
      <c r="N122" s="3"/>
      <c r="O122" s="3"/>
      <c r="P122" s="46"/>
      <c r="Q122" s="46"/>
      <c r="R122" s="46"/>
      <c r="S122" s="46"/>
      <c r="T122" s="46"/>
      <c r="U122" s="46"/>
      <c r="V122" s="46"/>
      <c r="W122" s="46"/>
      <c r="X122" s="46"/>
      <c r="Y122" s="46"/>
      <c r="Z122" s="46"/>
      <c r="AA122" s="46"/>
      <c r="AB122" s="3"/>
    </row>
    <row r="123" spans="1:28" s="5" customFormat="1" x14ac:dyDescent="0.25">
      <c r="A123" s="150">
        <f>1</f>
        <v>1</v>
      </c>
      <c r="B123" s="129" t="str">
        <f>структура!$J$15</f>
        <v>УСН(6%)-ИП</v>
      </c>
      <c r="C123" s="3"/>
      <c r="D123" s="3"/>
      <c r="E123" s="89" t="str">
        <f>E117</f>
        <v>амортизация кап/затрат</v>
      </c>
      <c r="F123" s="89"/>
      <c r="G123" s="89" t="str">
        <f>IF($E123="","",INDEX(KPI!$G:$G,SUMIFS(KPI!$B:$B,KPI!$E:$E,$E123)))</f>
        <v>тыс.руб.</v>
      </c>
      <c r="H123" s="89"/>
      <c r="I123" s="90"/>
      <c r="J123" s="89"/>
      <c r="K123" s="90"/>
      <c r="L123" s="89"/>
      <c r="M123" s="92">
        <f>SUM($O123:$AB123)</f>
        <v>3627.8790000000017</v>
      </c>
      <c r="N123" s="3"/>
      <c r="O123" s="3"/>
      <c r="P123" s="93">
        <f>IF(P$1="",0,операции!P$449+операции!P$464)*IF(капитал!$M$26+капитал!$M$78+капитал!$M$109=0,0,(капитал!$J$87/1000)/(капитал!$M$26+капитал!$M$78+капитал!$M$109))</f>
        <v>529.77796627628868</v>
      </c>
      <c r="Q123" s="93">
        <f>IF(Q$1="",0,операции!Q$449+операции!Q$464)*IF(капитал!$M$26+капитал!$M$78+капитал!$M$109=0,0,(капитал!$J$87/1000)/(капитал!$M$26+капитал!$M$78+капитал!$M$109))</f>
        <v>529.77796627628868</v>
      </c>
      <c r="R123" s="93">
        <f>IF(R$1="",0,операции!R$449+операции!R$464)*IF(капитал!$M$26+капитал!$M$78+капитал!$M$109=0,0,(капитал!$J$87/1000)/(капитал!$M$26+капитал!$M$78+капитал!$M$109))</f>
        <v>529.77796627628868</v>
      </c>
      <c r="S123" s="93">
        <f>IF(S$1="",0,операции!S$449+операции!S$464)*IF(капитал!$M$26+капитал!$M$78+капитал!$M$109=0,0,(капитал!$J$87/1000)/(капитал!$M$26+капитал!$M$78+капитал!$M$109))</f>
        <v>529.77796627628868</v>
      </c>
      <c r="T123" s="93">
        <f>IF(T$1="",0,операции!T$449+операции!T$464)*IF(капитал!$M$26+капитал!$M$78+капитал!$M$109=0,0,(капитал!$J$87/1000)/(капитал!$M$26+капитал!$M$78+капитал!$M$109))</f>
        <v>529.77796627628868</v>
      </c>
      <c r="U123" s="93">
        <f>IF(U$1="",0,операции!U$449+операции!U$464)*IF(капитал!$M$26+капитал!$M$78+капитал!$M$109=0,0,(капитал!$J$87/1000)/(капитал!$M$26+капитал!$M$78+капитал!$M$109))</f>
        <v>489.49458430927893</v>
      </c>
      <c r="V123" s="93">
        <f>IF(V$1="",0,операции!V$449+операции!V$464)*IF(капитал!$M$26+капитал!$M$78+капитал!$M$109=0,0,(капитал!$J$87/1000)/(капитал!$M$26+капитал!$M$78+капитал!$M$109))</f>
        <v>489.49458430927893</v>
      </c>
      <c r="W123" s="93">
        <f>IF(W$1="",0,операции!W$449+операции!W$464)*IF(капитал!$M$26+капитал!$M$78+капитал!$M$109=0,0,(капитал!$J$87/1000)/(капитал!$M$26+капитал!$M$78+капитал!$M$109))</f>
        <v>0</v>
      </c>
      <c r="X123" s="93">
        <f>IF(X$1="",0,операции!X$449+операции!X$464)*IF(капитал!$M$26+капитал!$M$78+капитал!$M$109=0,0,(капитал!$J$87/1000)/(капитал!$M$26+капитал!$M$78+капитал!$M$109))</f>
        <v>0</v>
      </c>
      <c r="Y123" s="93">
        <f>IF(Y$1="",0,операции!Y$449+операции!Y$464)*IF(капитал!$M$26+капитал!$M$78+капитал!$M$109=0,0,(капитал!$J$87/1000)/(капитал!$M$26+капитал!$M$78+капитал!$M$109))</f>
        <v>0</v>
      </c>
      <c r="Z123" s="93">
        <f>IF(Z$1="",0,операции!Z$449+операции!Z$464)*IF(капитал!$M$26+капитал!$M$78+капитал!$M$109=0,0,(капитал!$J$87/1000)/(капитал!$M$26+капитал!$M$78+капитал!$M$109))</f>
        <v>0</v>
      </c>
      <c r="AA123" s="93">
        <f>IF(AA$1="",0,операции!AA$449+операции!AA$464)*IF(капитал!$M$26+капитал!$M$78+капитал!$M$109=0,0,(капитал!$J$87/1000)/(капитал!$M$26+капитал!$M$78+капитал!$M$109))</f>
        <v>0</v>
      </c>
      <c r="AB123" s="3"/>
    </row>
    <row r="124" spans="1:28" ht="3.9" hidden="1" customHeight="1" x14ac:dyDescent="0.25">
      <c r="A124" s="149">
        <f>1</f>
        <v>1</v>
      </c>
      <c r="B124" s="131"/>
      <c r="C124" s="2"/>
      <c r="D124" s="2"/>
      <c r="E124" s="143"/>
      <c r="F124" s="2"/>
      <c r="G124" s="143"/>
      <c r="H124" s="2"/>
      <c r="I124" s="28"/>
      <c r="J124" s="2"/>
      <c r="K124" s="28"/>
      <c r="L124" s="2"/>
      <c r="M124" s="144"/>
      <c r="N124" s="2"/>
      <c r="O124" s="2"/>
      <c r="P124" s="36"/>
      <c r="Q124" s="36"/>
      <c r="R124" s="36"/>
      <c r="S124" s="36"/>
      <c r="T124" s="36"/>
      <c r="U124" s="36"/>
      <c r="V124" s="36"/>
      <c r="W124" s="36"/>
      <c r="X124" s="36"/>
      <c r="Y124" s="36"/>
      <c r="Z124" s="36"/>
      <c r="AA124" s="36"/>
      <c r="AB124" s="2"/>
    </row>
    <row r="125" spans="1:28" ht="8.1" hidden="1" customHeight="1" x14ac:dyDescent="0.25">
      <c r="A125" s="149">
        <f>1</f>
        <v>1</v>
      </c>
      <c r="B125" s="131"/>
      <c r="C125" s="2"/>
      <c r="D125" s="2"/>
      <c r="E125" s="2"/>
      <c r="F125" s="2"/>
      <c r="G125" s="2"/>
      <c r="H125" s="2"/>
      <c r="I125" s="28"/>
      <c r="J125" s="2"/>
      <c r="K125" s="28"/>
      <c r="L125" s="2"/>
      <c r="M125" s="52"/>
      <c r="N125" s="2"/>
      <c r="O125" s="2"/>
      <c r="P125" s="36"/>
      <c r="Q125" s="36"/>
      <c r="R125" s="36"/>
      <c r="S125" s="36"/>
      <c r="T125" s="36"/>
      <c r="U125" s="36"/>
      <c r="V125" s="36"/>
      <c r="W125" s="36"/>
      <c r="X125" s="36"/>
      <c r="Y125" s="36"/>
      <c r="Z125" s="36"/>
      <c r="AA125" s="36"/>
      <c r="AB125" s="2"/>
    </row>
    <row r="126" spans="1:28" ht="3.9" hidden="1" customHeight="1" x14ac:dyDescent="0.25">
      <c r="A126" s="149">
        <f>1</f>
        <v>1</v>
      </c>
      <c r="B126" s="131"/>
      <c r="C126" s="2"/>
      <c r="D126" s="2"/>
      <c r="E126" s="2"/>
      <c r="F126" s="2"/>
      <c r="G126" s="2"/>
      <c r="H126" s="2"/>
      <c r="I126" s="28"/>
      <c r="J126" s="2"/>
      <c r="K126" s="28"/>
      <c r="L126" s="2"/>
      <c r="M126" s="52"/>
      <c r="N126" s="2"/>
      <c r="O126" s="2"/>
      <c r="P126" s="36"/>
      <c r="Q126" s="36"/>
      <c r="R126" s="36"/>
      <c r="S126" s="36"/>
      <c r="T126" s="36"/>
      <c r="U126" s="36"/>
      <c r="V126" s="36"/>
      <c r="W126" s="36"/>
      <c r="X126" s="36"/>
      <c r="Y126" s="36"/>
      <c r="Z126" s="36"/>
      <c r="AA126" s="36"/>
      <c r="AB126" s="2"/>
    </row>
    <row r="127" spans="1:28" s="5" customFormat="1" hidden="1" x14ac:dyDescent="0.25">
      <c r="A127" s="150">
        <f>1</f>
        <v>1</v>
      </c>
      <c r="B127" s="129" t="str">
        <f>структура!$J$12</f>
        <v>ОСНО</v>
      </c>
      <c r="C127" s="3"/>
      <c r="D127" s="3"/>
      <c r="E127" s="89" t="str">
        <f>KPI!$E$86</f>
        <v>налог на прибыль</v>
      </c>
      <c r="F127" s="89"/>
      <c r="G127" s="89" t="str">
        <f>IF($E127="","",INDEX(KPI!$G:$G,SUMIFS(KPI!$B:$B,KPI!$E:$E,$E127)))</f>
        <v>тыс.руб.</v>
      </c>
      <c r="H127" s="89"/>
      <c r="I127" s="90"/>
      <c r="J127" s="89"/>
      <c r="K127" s="90"/>
      <c r="L127" s="89"/>
      <c r="M127" s="92">
        <f>SUM($O127:$AB127)</f>
        <v>2009.3850959476288</v>
      </c>
      <c r="N127" s="3"/>
      <c r="O127" s="3"/>
      <c r="P127" s="93">
        <f>IF(P$1="",0,(P$16-P$26-P$117)*операции!P$424)</f>
        <v>-100.73177860443435</v>
      </c>
      <c r="Q127" s="93">
        <f>IF(Q$1="",0,(Q$16-Q$26-Q$117)*операции!Q$424)</f>
        <v>-16.926329703660453</v>
      </c>
      <c r="R127" s="93">
        <f>IF(R$1="",0,(R$16-R$26-R$117)*операции!R$424)</f>
        <v>118.9271803059292</v>
      </c>
      <c r="S127" s="93">
        <f>IF(S$1="",0,(S$16-S$26-S$117)*операции!S$424)</f>
        <v>214.99196406956858</v>
      </c>
      <c r="T127" s="93">
        <f>IF(T$1="",0,(T$16-T$26-T$117)*операции!T$424)</f>
        <v>344.16966141906585</v>
      </c>
      <c r="U127" s="93">
        <f>IF(U$1="",0,(U$16-U$26-U$117)*операции!U$424)</f>
        <v>570.9752487115187</v>
      </c>
      <c r="V127" s="93">
        <f>IF(V$1="",0,(V$16-V$26-V$117)*операции!V$424)</f>
        <v>877.97914974964124</v>
      </c>
      <c r="W127" s="93">
        <f>IF(W$1="",0,(W$16-W$26-W$117)*операции!W$424)</f>
        <v>0</v>
      </c>
      <c r="X127" s="93">
        <f>IF(X$1="",0,(X$16-X$26-X$117)*операции!X$424)</f>
        <v>0</v>
      </c>
      <c r="Y127" s="93">
        <f>IF(Y$1="",0,(Y$16-Y$26-Y$117)*операции!Y$424)</f>
        <v>0</v>
      </c>
      <c r="Z127" s="93">
        <f>IF(Z$1="",0,(Z$16-Z$26-Z$117)*операции!Z$424)</f>
        <v>0</v>
      </c>
      <c r="AA127" s="93">
        <f>IF(AA$1="",0,(AA$16-AA$26-AA$117)*операции!AA$424)</f>
        <v>0</v>
      </c>
      <c r="AB127" s="3"/>
    </row>
    <row r="128" spans="1:28" s="5" customFormat="1" ht="3.9" hidden="1" customHeight="1" x14ac:dyDescent="0.25">
      <c r="A128" s="150">
        <f>1</f>
        <v>1</v>
      </c>
      <c r="B128" s="128"/>
      <c r="C128" s="3"/>
      <c r="D128" s="3"/>
      <c r="E128" s="3"/>
      <c r="F128" s="3"/>
      <c r="G128" s="3"/>
      <c r="H128" s="3"/>
      <c r="I128" s="28"/>
      <c r="J128" s="3"/>
      <c r="K128" s="28"/>
      <c r="L128" s="3"/>
      <c r="M128" s="55"/>
      <c r="N128" s="3"/>
      <c r="O128" s="3"/>
      <c r="P128" s="46"/>
      <c r="Q128" s="46"/>
      <c r="R128" s="46"/>
      <c r="S128" s="46"/>
      <c r="T128" s="46"/>
      <c r="U128" s="46"/>
      <c r="V128" s="46"/>
      <c r="W128" s="46"/>
      <c r="X128" s="46"/>
      <c r="Y128" s="46"/>
      <c r="Z128" s="46"/>
      <c r="AA128" s="46"/>
      <c r="AB128" s="3"/>
    </row>
    <row r="129" spans="1:28" s="5" customFormat="1" hidden="1" x14ac:dyDescent="0.25">
      <c r="A129" s="150">
        <f>1</f>
        <v>1</v>
      </c>
      <c r="B129" s="129" t="str">
        <f>структура!$J$13</f>
        <v>УСН(6%)</v>
      </c>
      <c r="C129" s="3"/>
      <c r="D129" s="3"/>
      <c r="E129" s="89" t="str">
        <f>KPI!$E$87</f>
        <v>налог УСН</v>
      </c>
      <c r="F129" s="89"/>
      <c r="G129" s="89" t="str">
        <f>IF($E129="","",INDEX(KPI!$G:$G,SUMIFS(KPI!$B:$B,KPI!$E:$E,$E129)))</f>
        <v>тыс.руб.</v>
      </c>
      <c r="H129" s="89"/>
      <c r="I129" s="90"/>
      <c r="J129" s="89"/>
      <c r="K129" s="90"/>
      <c r="L129" s="89"/>
      <c r="M129" s="92">
        <f>SUM($O129:$AB129)</f>
        <v>1493.9999999999998</v>
      </c>
      <c r="N129" s="3"/>
      <c r="O129" s="3"/>
      <c r="P129" s="93">
        <f>IF(P$1="",0,IF(P$78&gt;операции!P$436*операции!P$427*P$18,операции!P$436*операции!P$427*P$18,(P$18-P$78)*операции!P$427))</f>
        <v>134.99999999999997</v>
      </c>
      <c r="Q129" s="93">
        <f>IF(Q$1="",0,IF(Q$78&gt;операции!Q$436*операции!Q$427*Q$18,операции!Q$436*операции!Q$427*Q$18,(Q$18-Q$78)*операции!Q$427))</f>
        <v>152.99999999999997</v>
      </c>
      <c r="R129" s="93">
        <f>IF(R$1="",0,IF(R$78&gt;операции!R$436*операции!R$427*R$18,операции!R$436*операции!R$427*R$18,(R$18-R$78)*операции!R$427))</f>
        <v>179.99999999999997</v>
      </c>
      <c r="S129" s="93">
        <f>IF(S$1="",0,IF(S$78&gt;операции!S$436*операции!S$427*S$18,операции!S$436*операции!S$427*S$18,(S$18-S$78)*операции!S$427))</f>
        <v>197.99999999999997</v>
      </c>
      <c r="T129" s="93">
        <f>IF(T$1="",0,IF(T$78&gt;операции!T$436*операции!T$427*T$18,операции!T$436*операции!T$427*T$18,(T$18-T$78)*операции!T$427))</f>
        <v>224.99999999999994</v>
      </c>
      <c r="U129" s="93">
        <f>IF(U$1="",0,IF(U$78&gt;операции!U$436*операции!U$427*U$18,операции!U$436*операции!U$427*U$18,(U$18-U$78)*операции!U$427))</f>
        <v>269.99999999999994</v>
      </c>
      <c r="V129" s="93">
        <f>IF(V$1="",0,IF(V$78&gt;операции!V$436*операции!V$427*V$18,операции!V$436*операции!V$427*V$18,(V$18-V$78)*операции!V$427))</f>
        <v>332.99999999999994</v>
      </c>
      <c r="W129" s="93">
        <f>IF(W$1="",0,IF(W$78&gt;операции!W$436*операции!W$427*W$18,операции!W$436*операции!W$427*W$18,(W$18-W$78)*операции!W$427))</f>
        <v>0</v>
      </c>
      <c r="X129" s="93">
        <f>IF(X$1="",0,IF(X$78&gt;операции!X$436*операции!X$427*X$18,операции!X$436*операции!X$427*X$18,(X$18-X$78)*операции!X$427))</f>
        <v>0</v>
      </c>
      <c r="Y129" s="93">
        <f>IF(Y$1="",0,IF(Y$78&gt;операции!Y$436*операции!Y$427*Y$18,операции!Y$436*операции!Y$427*Y$18,(Y$18-Y$78)*операции!Y$427))</f>
        <v>0</v>
      </c>
      <c r="Z129" s="93">
        <f>IF(Z$1="",0,IF(Z$78&gt;операции!Z$436*операции!Z$427*Z$18,операции!Z$436*операции!Z$427*Z$18,(Z$18-Z$78)*операции!Z$427))</f>
        <v>0</v>
      </c>
      <c r="AA129" s="93">
        <f>IF(AA$1="",0,IF(AA$78&gt;операции!AA$436*операции!AA$427*AA$18,операции!AA$436*операции!AA$427*AA$18,(AA$18-AA$78)*операции!AA$427))</f>
        <v>0</v>
      </c>
      <c r="AB129" s="3"/>
    </row>
    <row r="130" spans="1:28" s="5" customFormat="1" ht="3.9" hidden="1" customHeight="1" x14ac:dyDescent="0.25">
      <c r="A130" s="150">
        <f>1</f>
        <v>1</v>
      </c>
      <c r="B130" s="128"/>
      <c r="C130" s="3"/>
      <c r="D130" s="3"/>
      <c r="E130" s="3"/>
      <c r="F130" s="3"/>
      <c r="G130" s="3"/>
      <c r="H130" s="3"/>
      <c r="I130" s="28"/>
      <c r="J130" s="3"/>
      <c r="K130" s="28"/>
      <c r="L130" s="3"/>
      <c r="M130" s="55"/>
      <c r="N130" s="3"/>
      <c r="O130" s="3"/>
      <c r="P130" s="46"/>
      <c r="Q130" s="46"/>
      <c r="R130" s="46"/>
      <c r="S130" s="46"/>
      <c r="T130" s="46"/>
      <c r="U130" s="46"/>
      <c r="V130" s="46"/>
      <c r="W130" s="46"/>
      <c r="X130" s="46"/>
      <c r="Y130" s="46"/>
      <c r="Z130" s="46"/>
      <c r="AA130" s="46"/>
      <c r="AB130" s="3"/>
    </row>
    <row r="131" spans="1:28" s="5" customFormat="1" hidden="1" x14ac:dyDescent="0.25">
      <c r="A131" s="150">
        <f>1</f>
        <v>1</v>
      </c>
      <c r="B131" s="129" t="str">
        <f>структура!$J$14</f>
        <v>УСН(15%)</v>
      </c>
      <c r="C131" s="3"/>
      <c r="D131" s="3"/>
      <c r="E131" s="89" t="str">
        <f>KPI!$E$87</f>
        <v>налог УСН</v>
      </c>
      <c r="F131" s="89"/>
      <c r="G131" s="89" t="str">
        <f>IF($E131="","",INDEX(KPI!$G:$G,SUMIFS(KPI!$B:$B,KPI!$E:$E,$E131)))</f>
        <v>тыс.руб.</v>
      </c>
      <c r="H131" s="89"/>
      <c r="I131" s="90"/>
      <c r="J131" s="89"/>
      <c r="K131" s="90"/>
      <c r="L131" s="89"/>
      <c r="M131" s="92">
        <f>SUM($O131:$AB131)</f>
        <v>3020.2614702036099</v>
      </c>
      <c r="N131" s="3"/>
      <c r="O131" s="3"/>
      <c r="P131" s="93">
        <f>IF(P$1="",0,IF((P$20-P$30)*операции!P$430&lt;операции!P$439*P$20,операции!P$439*P$20,(P$20-P$30)*операции!P$430))</f>
        <v>84.184241890415791</v>
      </c>
      <c r="Q131" s="93">
        <f>IF(Q$1="",0,IF((Q$20-Q$30)*операции!Q$430&lt;операции!Q$439*Q$20,операции!Q$439*Q$20,(Q$20-Q$30)*операции!Q$430))</f>
        <v>159.60914590111238</v>
      </c>
      <c r="R131" s="93">
        <f>IF(R$1="",0,IF((R$20-R$30)*операции!R$430&lt;операции!R$439*R$20,операции!R$439*R$20,(R$20-R$30)*операции!R$430))</f>
        <v>281.87730490974297</v>
      </c>
      <c r="S131" s="93">
        <f>IF(S$1="",0,IF((S$20-S$30)*операции!S$430&lt;операции!S$439*S$20,операции!S$439*S$20,(S$20-S$30)*операции!S$430))</f>
        <v>368.33561029701849</v>
      </c>
      <c r="T131" s="93">
        <f>IF(T$1="",0,IF((T$20-T$30)*операции!T$430&lt;операции!T$439*T$20,операции!T$439*T$20,(T$20-T$30)*операции!T$430))</f>
        <v>484.59553791156583</v>
      </c>
      <c r="U131" s="93">
        <f>IF(U$1="",0,IF((U$20-U$30)*операции!U$430&lt;операции!U$439*U$20,операции!U$439*U$20,(U$20-U$30)*операции!U$430))</f>
        <v>682.67805917972203</v>
      </c>
      <c r="V131" s="93">
        <f>IF(V$1="",0,IF((V$20-V$30)*операции!V$430&lt;операции!V$439*V$20,операции!V$439*V$20,(V$20-V$30)*операции!V$430))</f>
        <v>958.98157011403237</v>
      </c>
      <c r="W131" s="93">
        <f>IF(W$1="",0,IF((W$20-W$30)*операции!W$430&lt;операции!W$439*W$20,операции!W$439*W$20,(W$20-W$30)*операции!W$430))</f>
        <v>0</v>
      </c>
      <c r="X131" s="93">
        <f>IF(X$1="",0,IF((X$20-X$30)*операции!X$430&lt;операции!X$439*X$20,операции!X$439*X$20,(X$20-X$30)*операции!X$430))</f>
        <v>0</v>
      </c>
      <c r="Y131" s="93">
        <f>IF(Y$1="",0,IF((Y$20-Y$30)*операции!Y$430&lt;операции!Y$439*Y$20,операции!Y$439*Y$20,(Y$20-Y$30)*операции!Y$430))</f>
        <v>0</v>
      </c>
      <c r="Z131" s="93">
        <f>IF(Z$1="",0,IF((Z$20-Z$30)*операции!Z$430&lt;операции!Z$439*Z$20,операции!Z$439*Z$20,(Z$20-Z$30)*операции!Z$430))</f>
        <v>0</v>
      </c>
      <c r="AA131" s="93">
        <f>IF(AA$1="",0,IF((AA$20-AA$30)*операции!AA$430&lt;операции!AA$439*AA$20,операции!AA$439*AA$20,(AA$20-AA$30)*операции!AA$430))</f>
        <v>0</v>
      </c>
      <c r="AB131" s="3"/>
    </row>
    <row r="132" spans="1:28" s="5" customFormat="1" ht="3.9" hidden="1" customHeight="1" x14ac:dyDescent="0.25">
      <c r="A132" s="150">
        <f>1</f>
        <v>1</v>
      </c>
      <c r="B132" s="128"/>
      <c r="C132" s="3"/>
      <c r="D132" s="3"/>
      <c r="E132" s="3"/>
      <c r="F132" s="3"/>
      <c r="G132" s="3"/>
      <c r="H132" s="3"/>
      <c r="I132" s="28"/>
      <c r="J132" s="3"/>
      <c r="K132" s="28"/>
      <c r="L132" s="3"/>
      <c r="M132" s="55"/>
      <c r="N132" s="3"/>
      <c r="O132" s="3"/>
      <c r="P132" s="46"/>
      <c r="Q132" s="46"/>
      <c r="R132" s="46"/>
      <c r="S132" s="46"/>
      <c r="T132" s="46"/>
      <c r="U132" s="46"/>
      <c r="V132" s="46"/>
      <c r="W132" s="46"/>
      <c r="X132" s="46"/>
      <c r="Y132" s="46"/>
      <c r="Z132" s="46"/>
      <c r="AA132" s="46"/>
      <c r="AB132" s="3"/>
    </row>
    <row r="133" spans="1:28" s="5" customFormat="1" x14ac:dyDescent="0.25">
      <c r="A133" s="150">
        <f>1</f>
        <v>1</v>
      </c>
      <c r="B133" s="129" t="str">
        <f>структура!$J$15</f>
        <v>УСН(6%)-ИП</v>
      </c>
      <c r="C133" s="3"/>
      <c r="D133" s="3"/>
      <c r="E133" s="89" t="str">
        <f>KPI!$E$87</f>
        <v>налог УСН</v>
      </c>
      <c r="F133" s="89"/>
      <c r="G133" s="89" t="str">
        <f>IF($E133="","",INDEX(KPI!$G:$G,SUMIFS(KPI!$B:$B,KPI!$E:$E,$E133)))</f>
        <v>тыс.руб.</v>
      </c>
      <c r="H133" s="89"/>
      <c r="I133" s="90"/>
      <c r="J133" s="89"/>
      <c r="K133" s="90"/>
      <c r="L133" s="89"/>
      <c r="M133" s="92">
        <f>SUM($O133:$AB133)</f>
        <v>827.99999999999977</v>
      </c>
      <c r="N133" s="3"/>
      <c r="O133" s="3"/>
      <c r="P133" s="93">
        <f>IF(P$1="",0,IF(P$78&gt;операции!P$436*операции!P$433*P$18,операции!P$436*операции!P$433*P$18,(P$18-P$78)*операции!P$433))</f>
        <v>0</v>
      </c>
      <c r="Q133" s="93">
        <f>IF(Q$1="",0,IF(Q$78&gt;операции!Q$436*операции!Q$433*Q$18,операции!Q$436*операции!Q$433*Q$18,(Q$18-Q$78)*операции!Q$433))</f>
        <v>0</v>
      </c>
      <c r="R133" s="93">
        <f>IF(R$1="",0,IF(R$78&gt;операции!R$436*операции!R$433*R$18,операции!R$436*операции!R$433*R$18,(R$18-R$78)*операции!R$433))</f>
        <v>0</v>
      </c>
      <c r="S133" s="93">
        <f>IF(S$1="",0,IF(S$78&gt;операции!S$436*операции!S$433*S$18,операции!S$436*операции!S$433*S$18,(S$18-S$78)*операции!S$433))</f>
        <v>0</v>
      </c>
      <c r="T133" s="93">
        <f>IF(T$1="",0,IF(T$78&gt;операции!T$436*операции!T$433*T$18,операции!T$436*операции!T$433*T$18,(T$18-T$78)*операции!T$433))</f>
        <v>224.99999999999994</v>
      </c>
      <c r="U133" s="93">
        <f>IF(U$1="",0,IF(U$78&gt;операции!U$436*операции!U$433*U$18,операции!U$436*операции!U$433*U$18,(U$18-U$78)*операции!U$433))</f>
        <v>269.99999999999994</v>
      </c>
      <c r="V133" s="93">
        <f>IF(V$1="",0,IF(V$78&gt;операции!V$436*операции!V$433*V$18,операции!V$436*операции!V$433*V$18,(V$18-V$78)*операции!V$433))</f>
        <v>332.99999999999994</v>
      </c>
      <c r="W133" s="93">
        <f>IF(W$1="",0,IF(W$78&gt;операции!W$436*операции!W$433*W$18,операции!W$436*операции!W$433*W$18,(W$18-W$78)*операции!W$433))</f>
        <v>0</v>
      </c>
      <c r="X133" s="93">
        <f>IF(X$1="",0,IF(X$78&gt;операции!X$436*операции!X$433*X$18,операции!X$436*операции!X$433*X$18,(X$18-X$78)*операции!X$433))</f>
        <v>0</v>
      </c>
      <c r="Y133" s="93">
        <f>IF(Y$1="",0,IF(Y$78&gt;операции!Y$436*операции!Y$433*Y$18,операции!Y$436*операции!Y$433*Y$18,(Y$18-Y$78)*операции!Y$433))</f>
        <v>0</v>
      </c>
      <c r="Z133" s="93">
        <f>IF(Z$1="",0,IF(Z$78&gt;операции!Z$436*операции!Z$433*Z$18,операции!Z$436*операции!Z$433*Z$18,(Z$18-Z$78)*операции!Z$433))</f>
        <v>0</v>
      </c>
      <c r="AA133" s="93">
        <f>IF(AA$1="",0,IF(AA$78&gt;операции!AA$436*операции!AA$433*AA$18,операции!AA$436*операции!AA$433*AA$18,(AA$18-AA$78)*операции!AA$433))</f>
        <v>0</v>
      </c>
      <c r="AB133" s="3"/>
    </row>
    <row r="134" spans="1:28" ht="3.9" hidden="1" customHeight="1" x14ac:dyDescent="0.25">
      <c r="A134" s="149">
        <f>1</f>
        <v>1</v>
      </c>
      <c r="B134" s="131"/>
      <c r="C134" s="2"/>
      <c r="D134" s="2"/>
      <c r="E134" s="119"/>
      <c r="F134" s="2"/>
      <c r="G134" s="119"/>
      <c r="H134" s="2"/>
      <c r="I134" s="28"/>
      <c r="J134" s="2"/>
      <c r="K134" s="28"/>
      <c r="L134" s="2"/>
      <c r="M134" s="142"/>
      <c r="N134" s="2"/>
      <c r="O134" s="2"/>
      <c r="P134" s="36"/>
      <c r="Q134" s="36"/>
      <c r="R134" s="36"/>
      <c r="S134" s="36"/>
      <c r="T134" s="36"/>
      <c r="U134" s="36"/>
      <c r="V134" s="36"/>
      <c r="W134" s="36"/>
      <c r="X134" s="36"/>
      <c r="Y134" s="36"/>
      <c r="Z134" s="36"/>
      <c r="AA134" s="36"/>
      <c r="AB134" s="2"/>
    </row>
    <row r="135" spans="1:28" ht="8.1" hidden="1" customHeight="1" x14ac:dyDescent="0.25">
      <c r="A135" s="149">
        <f>1</f>
        <v>1</v>
      </c>
      <c r="B135" s="131"/>
      <c r="C135" s="2"/>
      <c r="D135" s="2"/>
      <c r="E135" s="2"/>
      <c r="F135" s="2"/>
      <c r="G135" s="2"/>
      <c r="H135" s="2"/>
      <c r="I135" s="28"/>
      <c r="J135" s="2"/>
      <c r="K135" s="28"/>
      <c r="L135" s="2"/>
      <c r="M135" s="52"/>
      <c r="N135" s="2"/>
      <c r="O135" s="2"/>
      <c r="P135" s="36"/>
      <c r="Q135" s="36"/>
      <c r="R135" s="36"/>
      <c r="S135" s="36"/>
      <c r="T135" s="36"/>
      <c r="U135" s="36"/>
      <c r="V135" s="36"/>
      <c r="W135" s="36"/>
      <c r="X135" s="36"/>
      <c r="Y135" s="36"/>
      <c r="Z135" s="36"/>
      <c r="AA135" s="36"/>
      <c r="AB135" s="2"/>
    </row>
    <row r="136" spans="1:28" ht="3.9" hidden="1" customHeight="1" x14ac:dyDescent="0.25">
      <c r="A136" s="149">
        <f>1</f>
        <v>1</v>
      </c>
      <c r="B136" s="131"/>
      <c r="C136" s="2"/>
      <c r="D136" s="2"/>
      <c r="E136" s="2"/>
      <c r="F136" s="2"/>
      <c r="G136" s="2"/>
      <c r="H136" s="2"/>
      <c r="I136" s="28"/>
      <c r="J136" s="2"/>
      <c r="K136" s="28"/>
      <c r="L136" s="2"/>
      <c r="M136" s="52"/>
      <c r="N136" s="2"/>
      <c r="O136" s="2"/>
      <c r="P136" s="36"/>
      <c r="Q136" s="36"/>
      <c r="R136" s="36"/>
      <c r="S136" s="36"/>
      <c r="T136" s="36"/>
      <c r="U136" s="36"/>
      <c r="V136" s="36"/>
      <c r="W136" s="36"/>
      <c r="X136" s="36"/>
      <c r="Y136" s="36"/>
      <c r="Z136" s="36"/>
      <c r="AA136" s="36"/>
      <c r="AB136" s="2"/>
    </row>
    <row r="137" spans="1:28" s="5" customFormat="1" hidden="1" x14ac:dyDescent="0.25">
      <c r="A137" s="150">
        <f>1</f>
        <v>1</v>
      </c>
      <c r="B137" s="129" t="str">
        <f>структура!$J$12</f>
        <v>ОСНО</v>
      </c>
      <c r="C137" s="3"/>
      <c r="D137" s="3"/>
      <c r="E137" s="89" t="str">
        <f>KPI!$E$88</f>
        <v>прибыль</v>
      </c>
      <c r="F137" s="89"/>
      <c r="G137" s="89" t="str">
        <f>IF($E137="","",INDEX(KPI!$G:$G,SUMIFS(KPI!$B:$B,KPI!$E:$E,$E137)))</f>
        <v>тыс.руб.</v>
      </c>
      <c r="H137" s="89"/>
      <c r="I137" s="90"/>
      <c r="J137" s="89"/>
      <c r="K137" s="90"/>
      <c r="L137" s="89"/>
      <c r="M137" s="92">
        <f>SUM($O137:$AB137)</f>
        <v>8037.5403837905142</v>
      </c>
      <c r="N137" s="3"/>
      <c r="O137" s="3"/>
      <c r="P137" s="93">
        <f>IF(P$1="",0,P16-P26-P117-P127)</f>
        <v>-402.92711441773741</v>
      </c>
      <c r="Q137" s="93">
        <f t="shared" ref="Q137:AA137" si="2">IF(Q$1="",0,Q16-Q26-Q117-Q127)</f>
        <v>-67.705318814641799</v>
      </c>
      <c r="R137" s="93">
        <f t="shared" si="2"/>
        <v>475.70872122371674</v>
      </c>
      <c r="S137" s="93">
        <f t="shared" si="2"/>
        <v>859.96785627827433</v>
      </c>
      <c r="T137" s="93">
        <f t="shared" si="2"/>
        <v>1376.6786456762634</v>
      </c>
      <c r="U137" s="93">
        <f t="shared" si="2"/>
        <v>2283.9009948460744</v>
      </c>
      <c r="V137" s="93">
        <f t="shared" si="2"/>
        <v>3511.9165989985645</v>
      </c>
      <c r="W137" s="93">
        <f t="shared" si="2"/>
        <v>0</v>
      </c>
      <c r="X137" s="93">
        <f t="shared" si="2"/>
        <v>0</v>
      </c>
      <c r="Y137" s="93">
        <f t="shared" si="2"/>
        <v>0</v>
      </c>
      <c r="Z137" s="93">
        <f t="shared" si="2"/>
        <v>0</v>
      </c>
      <c r="AA137" s="93">
        <f t="shared" si="2"/>
        <v>0</v>
      </c>
      <c r="AB137" s="3"/>
    </row>
    <row r="138" spans="1:28" s="5" customFormat="1" ht="3.9" hidden="1" customHeight="1" x14ac:dyDescent="0.25">
      <c r="A138" s="150">
        <f>1</f>
        <v>1</v>
      </c>
      <c r="B138" s="128"/>
      <c r="C138" s="3"/>
      <c r="D138" s="3"/>
      <c r="E138" s="3"/>
      <c r="F138" s="3"/>
      <c r="G138" s="3"/>
      <c r="H138" s="3"/>
      <c r="I138" s="28"/>
      <c r="J138" s="3"/>
      <c r="K138" s="28"/>
      <c r="L138" s="3"/>
      <c r="M138" s="55"/>
      <c r="N138" s="3"/>
      <c r="O138" s="3"/>
      <c r="P138" s="46"/>
      <c r="Q138" s="46"/>
      <c r="R138" s="46"/>
      <c r="S138" s="46"/>
      <c r="T138" s="46"/>
      <c r="U138" s="46"/>
      <c r="V138" s="46"/>
      <c r="W138" s="46"/>
      <c r="X138" s="46"/>
      <c r="Y138" s="46"/>
      <c r="Z138" s="46"/>
      <c r="AA138" s="46"/>
      <c r="AB138" s="3"/>
    </row>
    <row r="139" spans="1:28" s="5" customFormat="1" hidden="1" x14ac:dyDescent="0.25">
      <c r="A139" s="150">
        <f>1</f>
        <v>1</v>
      </c>
      <c r="B139" s="129" t="str">
        <f>структура!$J$13</f>
        <v>УСН(6%)</v>
      </c>
      <c r="C139" s="3"/>
      <c r="D139" s="3"/>
      <c r="E139" s="89" t="str">
        <f>E137</f>
        <v>прибыль</v>
      </c>
      <c r="F139" s="89"/>
      <c r="G139" s="89" t="str">
        <f>IF($E139="","",INDEX(KPI!$G:$G,SUMIFS(KPI!$B:$B,KPI!$E:$E,$E139)))</f>
        <v>тыс.руб.</v>
      </c>
      <c r="H139" s="89"/>
      <c r="I139" s="90"/>
      <c r="J139" s="89"/>
      <c r="K139" s="90"/>
      <c r="L139" s="89"/>
      <c r="M139" s="92">
        <f>SUM($O139:$AB139)</f>
        <v>15013.197468024066</v>
      </c>
      <c r="N139" s="3"/>
      <c r="O139" s="3"/>
      <c r="P139" s="93">
        <f>IF(P$1="",0,P18-P28-P119-P129)</f>
        <v>-103.54968700685001</v>
      </c>
      <c r="Q139" s="93">
        <f t="shared" ref="Q139:AA139" si="3">IF(Q$1="",0,Q18-Q28-Q119-Q129)</f>
        <v>381.283006397794</v>
      </c>
      <c r="R139" s="93">
        <f t="shared" si="3"/>
        <v>1169.4040664553313</v>
      </c>
      <c r="S139" s="93">
        <f t="shared" si="3"/>
        <v>1727.792769037168</v>
      </c>
      <c r="T139" s="93">
        <f t="shared" si="3"/>
        <v>2475.8589531341504</v>
      </c>
      <c r="U139" s="93">
        <f t="shared" si="3"/>
        <v>3791.6924768888675</v>
      </c>
      <c r="V139" s="93">
        <f t="shared" si="3"/>
        <v>5570.7158831176039</v>
      </c>
      <c r="W139" s="93">
        <f t="shared" si="3"/>
        <v>0</v>
      </c>
      <c r="X139" s="93">
        <f t="shared" si="3"/>
        <v>0</v>
      </c>
      <c r="Y139" s="93">
        <f t="shared" si="3"/>
        <v>0</v>
      </c>
      <c r="Z139" s="93">
        <f t="shared" si="3"/>
        <v>0</v>
      </c>
      <c r="AA139" s="93">
        <f t="shared" si="3"/>
        <v>0</v>
      </c>
      <c r="AB139" s="3"/>
    </row>
    <row r="140" spans="1:28" s="5" customFormat="1" ht="3.9" hidden="1" customHeight="1" x14ac:dyDescent="0.25">
      <c r="A140" s="150">
        <f>1</f>
        <v>1</v>
      </c>
      <c r="B140" s="128"/>
      <c r="C140" s="3"/>
      <c r="D140" s="3"/>
      <c r="E140" s="3"/>
      <c r="F140" s="3"/>
      <c r="G140" s="3"/>
      <c r="H140" s="3"/>
      <c r="I140" s="28"/>
      <c r="J140" s="3"/>
      <c r="K140" s="28"/>
      <c r="L140" s="3"/>
      <c r="M140" s="55"/>
      <c r="N140" s="3"/>
      <c r="O140" s="3"/>
      <c r="P140" s="46"/>
      <c r="Q140" s="46"/>
      <c r="R140" s="46"/>
      <c r="S140" s="46"/>
      <c r="T140" s="46"/>
      <c r="U140" s="46"/>
      <c r="V140" s="46"/>
      <c r="W140" s="46"/>
      <c r="X140" s="46"/>
      <c r="Y140" s="46"/>
      <c r="Z140" s="46"/>
      <c r="AA140" s="46"/>
      <c r="AB140" s="3"/>
    </row>
    <row r="141" spans="1:28" s="5" customFormat="1" hidden="1" x14ac:dyDescent="0.25">
      <c r="A141" s="150">
        <f>1</f>
        <v>1</v>
      </c>
      <c r="B141" s="129" t="str">
        <f>структура!$J$14</f>
        <v>УСН(15%)</v>
      </c>
      <c r="C141" s="3"/>
      <c r="D141" s="3"/>
      <c r="E141" s="89" t="str">
        <f>E137</f>
        <v>прибыль</v>
      </c>
      <c r="F141" s="89"/>
      <c r="G141" s="89" t="str">
        <f>IF($E141="","",INDEX(KPI!$G:$G,SUMIFS(KPI!$B:$B,KPI!$E:$E,$E141)))</f>
        <v>тыс.руб.</v>
      </c>
      <c r="H141" s="89"/>
      <c r="I141" s="90"/>
      <c r="J141" s="89"/>
      <c r="K141" s="90"/>
      <c r="L141" s="89"/>
      <c r="M141" s="92">
        <f>SUM($O141:$AB141)</f>
        <v>13486.935997820456</v>
      </c>
      <c r="N141" s="3"/>
      <c r="O141" s="3"/>
      <c r="P141" s="93">
        <f>IF(P$1="",0,P20-P30-P121-P131)</f>
        <v>-52.733928897265827</v>
      </c>
      <c r="Q141" s="93">
        <f t="shared" ref="Q141:AA141" si="4">IF(Q$1="",0,Q20-Q30-Q121-Q131)</f>
        <v>374.67386049668164</v>
      </c>
      <c r="R141" s="93">
        <f t="shared" si="4"/>
        <v>1067.5267615455882</v>
      </c>
      <c r="S141" s="93">
        <f t="shared" si="4"/>
        <v>1557.4571587401495</v>
      </c>
      <c r="T141" s="93">
        <f t="shared" si="4"/>
        <v>2216.2634152225846</v>
      </c>
      <c r="U141" s="93">
        <f t="shared" si="4"/>
        <v>3379.0144177091456</v>
      </c>
      <c r="V141" s="93">
        <f t="shared" si="4"/>
        <v>4944.7343130035715</v>
      </c>
      <c r="W141" s="93">
        <f t="shared" si="4"/>
        <v>0</v>
      </c>
      <c r="X141" s="93">
        <f t="shared" si="4"/>
        <v>0</v>
      </c>
      <c r="Y141" s="93">
        <f t="shared" si="4"/>
        <v>0</v>
      </c>
      <c r="Z141" s="93">
        <f t="shared" si="4"/>
        <v>0</v>
      </c>
      <c r="AA141" s="93">
        <f t="shared" si="4"/>
        <v>0</v>
      </c>
      <c r="AB141" s="3"/>
    </row>
    <row r="142" spans="1:28" s="5" customFormat="1" ht="3.9" hidden="1" customHeight="1" x14ac:dyDescent="0.25">
      <c r="A142" s="150">
        <f>1</f>
        <v>1</v>
      </c>
      <c r="B142" s="128"/>
      <c r="C142" s="3"/>
      <c r="D142" s="3"/>
      <c r="E142" s="3"/>
      <c r="F142" s="3"/>
      <c r="G142" s="3"/>
      <c r="H142" s="3"/>
      <c r="I142" s="28"/>
      <c r="J142" s="3"/>
      <c r="K142" s="28"/>
      <c r="L142" s="3"/>
      <c r="M142" s="55"/>
      <c r="N142" s="3"/>
      <c r="O142" s="3"/>
      <c r="P142" s="46"/>
      <c r="Q142" s="46"/>
      <c r="R142" s="46"/>
      <c r="S142" s="46"/>
      <c r="T142" s="46"/>
      <c r="U142" s="46"/>
      <c r="V142" s="46"/>
      <c r="W142" s="46"/>
      <c r="X142" s="46"/>
      <c r="Y142" s="46"/>
      <c r="Z142" s="46"/>
      <c r="AA142" s="46"/>
      <c r="AB142" s="3"/>
    </row>
    <row r="143" spans="1:28" s="5" customFormat="1" x14ac:dyDescent="0.25">
      <c r="A143" s="150">
        <f>1</f>
        <v>1</v>
      </c>
      <c r="B143" s="129" t="str">
        <f>структура!$J$15</f>
        <v>УСН(6%)-ИП</v>
      </c>
      <c r="C143" s="3"/>
      <c r="D143" s="3"/>
      <c r="E143" s="89" t="str">
        <f>E137</f>
        <v>прибыль</v>
      </c>
      <c r="F143" s="89"/>
      <c r="G143" s="89" t="str">
        <f>IF($E143="","",INDEX(KPI!$G:$G,SUMIFS(KPI!$B:$B,KPI!$E:$E,$E143)))</f>
        <v>тыс.руб.</v>
      </c>
      <c r="H143" s="89"/>
      <c r="I143" s="90"/>
      <c r="J143" s="89"/>
      <c r="K143" s="90"/>
      <c r="L143" s="89"/>
      <c r="M143" s="92">
        <f>SUM($O143:$AB143)</f>
        <v>15679.197468024066</v>
      </c>
      <c r="N143" s="3"/>
      <c r="O143" s="3"/>
      <c r="P143" s="93">
        <f>IF(P$1="",0,P22-P32-P123-P133)</f>
        <v>31.450312993149964</v>
      </c>
      <c r="Q143" s="93">
        <f t="shared" ref="Q143:AA143" si="5">IF(Q$1="",0,Q22-Q32-Q123-Q133)</f>
        <v>534.283006397794</v>
      </c>
      <c r="R143" s="93">
        <f t="shared" si="5"/>
        <v>1349.4040664553313</v>
      </c>
      <c r="S143" s="93">
        <f t="shared" si="5"/>
        <v>1925.792769037168</v>
      </c>
      <c r="T143" s="93">
        <f t="shared" si="5"/>
        <v>2475.8589531341504</v>
      </c>
      <c r="U143" s="93">
        <f t="shared" si="5"/>
        <v>3791.6924768888675</v>
      </c>
      <c r="V143" s="93">
        <f t="shared" si="5"/>
        <v>5570.7158831176039</v>
      </c>
      <c r="W143" s="93">
        <f t="shared" si="5"/>
        <v>0</v>
      </c>
      <c r="X143" s="93">
        <f t="shared" si="5"/>
        <v>0</v>
      </c>
      <c r="Y143" s="93">
        <f t="shared" si="5"/>
        <v>0</v>
      </c>
      <c r="Z143" s="93">
        <f t="shared" si="5"/>
        <v>0</v>
      </c>
      <c r="AA143" s="93">
        <f t="shared" si="5"/>
        <v>0</v>
      </c>
      <c r="AB143" s="3"/>
    </row>
    <row r="144" spans="1:28" ht="3.9" hidden="1" customHeight="1" x14ac:dyDescent="0.25">
      <c r="A144" s="149">
        <f>1</f>
        <v>1</v>
      </c>
      <c r="B144" s="131"/>
      <c r="C144" s="2"/>
      <c r="D144" s="2"/>
      <c r="E144" s="117"/>
      <c r="F144" s="2"/>
      <c r="G144" s="117"/>
      <c r="H144" s="2"/>
      <c r="I144" s="28"/>
      <c r="J144" s="2"/>
      <c r="K144" s="28"/>
      <c r="L144" s="2"/>
      <c r="M144" s="138"/>
      <c r="N144" s="2"/>
      <c r="O144" s="2"/>
      <c r="P144" s="36"/>
      <c r="Q144" s="36"/>
      <c r="R144" s="36"/>
      <c r="S144" s="36"/>
      <c r="T144" s="36"/>
      <c r="U144" s="36"/>
      <c r="V144" s="36"/>
      <c r="W144" s="36"/>
      <c r="X144" s="36"/>
      <c r="Y144" s="36"/>
      <c r="Z144" s="36"/>
      <c r="AA144" s="36"/>
      <c r="AB144" s="2"/>
    </row>
    <row r="145" spans="1:28" ht="8.1" hidden="1" customHeight="1" x14ac:dyDescent="0.25">
      <c r="A145" s="149">
        <f>1</f>
        <v>1</v>
      </c>
      <c r="B145" s="131"/>
      <c r="C145" s="2"/>
      <c r="D145" s="2"/>
      <c r="E145" s="2"/>
      <c r="F145" s="2"/>
      <c r="G145" s="2"/>
      <c r="H145" s="2"/>
      <c r="I145" s="28"/>
      <c r="J145" s="2"/>
      <c r="K145" s="28"/>
      <c r="L145" s="2"/>
      <c r="M145" s="52"/>
      <c r="N145" s="2"/>
      <c r="O145" s="2"/>
      <c r="P145" s="36"/>
      <c r="Q145" s="36"/>
      <c r="R145" s="36"/>
      <c r="S145" s="36"/>
      <c r="T145" s="36"/>
      <c r="U145" s="36"/>
      <c r="V145" s="36"/>
      <c r="W145" s="36"/>
      <c r="X145" s="36"/>
      <c r="Y145" s="36"/>
      <c r="Z145" s="36"/>
      <c r="AA145" s="36"/>
      <c r="AB145" s="2"/>
    </row>
    <row r="146" spans="1:28" s="5" customFormat="1" hidden="1" x14ac:dyDescent="0.25">
      <c r="A146" s="150">
        <f>1</f>
        <v>1</v>
      </c>
      <c r="B146" s="131"/>
      <c r="C146" s="3"/>
      <c r="D146" s="3"/>
      <c r="E146" s="3"/>
      <c r="F146" s="3"/>
      <c r="G146" s="3"/>
      <c r="H146" s="3"/>
      <c r="I146" s="28"/>
      <c r="J146" s="3"/>
      <c r="K146" s="28"/>
      <c r="L146" s="3"/>
      <c r="M146" s="55"/>
      <c r="N146" s="3"/>
      <c r="O146" s="3"/>
      <c r="P146" s="46"/>
      <c r="Q146" s="46"/>
      <c r="R146" s="46"/>
      <c r="S146" s="46"/>
      <c r="T146" s="46"/>
      <c r="U146" s="46"/>
      <c r="V146" s="46"/>
      <c r="W146" s="46"/>
      <c r="X146" s="46"/>
      <c r="Y146" s="46"/>
      <c r="Z146" s="46"/>
      <c r="AA146" s="46"/>
      <c r="AB146" s="3"/>
    </row>
    <row r="147" spans="1:28" ht="3.9" hidden="1" customHeight="1" x14ac:dyDescent="0.25">
      <c r="A147" s="149">
        <f>1</f>
        <v>1</v>
      </c>
      <c r="B147" s="131"/>
      <c r="C147" s="2"/>
      <c r="D147" s="2"/>
      <c r="E147" s="2"/>
      <c r="F147" s="2"/>
      <c r="G147" s="2"/>
      <c r="H147" s="2"/>
      <c r="I147" s="28"/>
      <c r="J147" s="2"/>
      <c r="K147" s="28"/>
      <c r="L147" s="2"/>
      <c r="M147" s="52"/>
      <c r="N147" s="2"/>
      <c r="O147" s="2"/>
      <c r="P147" s="36"/>
      <c r="Q147" s="36"/>
      <c r="R147" s="36"/>
      <c r="S147" s="36"/>
      <c r="T147" s="36"/>
      <c r="U147" s="36"/>
      <c r="V147" s="36"/>
      <c r="W147" s="36"/>
      <c r="X147" s="36"/>
      <c r="Y147" s="36"/>
      <c r="Z147" s="36"/>
      <c r="AA147" s="36"/>
      <c r="AB147" s="2"/>
    </row>
    <row r="148" spans="1:28" s="5" customFormat="1" hidden="1" x14ac:dyDescent="0.25">
      <c r="A148" s="150">
        <f>1</f>
        <v>1</v>
      </c>
      <c r="B148" s="131"/>
      <c r="C148" s="3"/>
      <c r="D148" s="3"/>
      <c r="E148" s="181" t="s">
        <v>275</v>
      </c>
      <c r="F148" s="3"/>
      <c r="G148" s="3"/>
      <c r="H148" s="3"/>
      <c r="I148" s="28"/>
      <c r="J148" s="3"/>
      <c r="K148" s="28"/>
      <c r="L148" s="3"/>
      <c r="M148" s="55"/>
      <c r="N148" s="3"/>
      <c r="O148" s="3"/>
      <c r="P148" s="46"/>
      <c r="Q148" s="46"/>
      <c r="R148" s="46"/>
      <c r="S148" s="46"/>
      <c r="T148" s="46"/>
      <c r="U148" s="46"/>
      <c r="V148" s="46"/>
      <c r="W148" s="46"/>
      <c r="X148" s="46"/>
      <c r="Y148" s="46"/>
      <c r="Z148" s="46"/>
      <c r="AA148" s="46"/>
      <c r="AB148" s="3"/>
    </row>
    <row r="149" spans="1:28" ht="3.9" hidden="1" customHeight="1" x14ac:dyDescent="0.25">
      <c r="A149" s="149">
        <f>1</f>
        <v>1</v>
      </c>
      <c r="B149" s="131"/>
      <c r="C149" s="2"/>
      <c r="D149" s="2"/>
      <c r="E149" s="2"/>
      <c r="F149" s="2"/>
      <c r="G149" s="2"/>
      <c r="H149" s="2"/>
      <c r="I149" s="28"/>
      <c r="J149" s="2"/>
      <c r="K149" s="28"/>
      <c r="L149" s="2"/>
      <c r="M149" s="52"/>
      <c r="N149" s="2"/>
      <c r="O149" s="2"/>
      <c r="P149" s="36"/>
      <c r="Q149" s="36"/>
      <c r="R149" s="36"/>
      <c r="S149" s="36"/>
      <c r="T149" s="36"/>
      <c r="U149" s="36"/>
      <c r="V149" s="36"/>
      <c r="W149" s="36"/>
      <c r="X149" s="36"/>
      <c r="Y149" s="36"/>
      <c r="Z149" s="36"/>
      <c r="AA149" s="36"/>
      <c r="AB149" s="2"/>
    </row>
    <row r="150" spans="1:28" ht="8.1" hidden="1" customHeight="1" x14ac:dyDescent="0.25">
      <c r="A150" s="149">
        <f>1</f>
        <v>1</v>
      </c>
      <c r="B150" s="131"/>
      <c r="C150" s="2"/>
      <c r="D150" s="2"/>
      <c r="E150" s="2"/>
      <c r="F150" s="2"/>
      <c r="G150" s="2"/>
      <c r="H150" s="2"/>
      <c r="I150" s="28"/>
      <c r="J150" s="2"/>
      <c r="K150" s="28"/>
      <c r="L150" s="2"/>
      <c r="M150" s="52"/>
      <c r="N150" s="2"/>
      <c r="O150" s="2"/>
      <c r="P150" s="36"/>
      <c r="Q150" s="36"/>
      <c r="R150" s="36"/>
      <c r="S150" s="36"/>
      <c r="T150" s="36"/>
      <c r="U150" s="36"/>
      <c r="V150" s="36"/>
      <c r="W150" s="36"/>
      <c r="X150" s="36"/>
      <c r="Y150" s="36"/>
      <c r="Z150" s="36"/>
      <c r="AA150" s="36"/>
      <c r="AB150" s="2"/>
    </row>
    <row r="151" spans="1:28" ht="3.9" hidden="1" customHeight="1" x14ac:dyDescent="0.25">
      <c r="A151" s="149">
        <f>1</f>
        <v>1</v>
      </c>
      <c r="B151" s="131"/>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2"/>
    </row>
    <row r="152" spans="1:28" s="157" customFormat="1" hidden="1" x14ac:dyDescent="0.25">
      <c r="A152" s="150">
        <f>1</f>
        <v>1</v>
      </c>
      <c r="B152" s="156" t="str">
        <f>структура!$J$12</f>
        <v>ОСНО</v>
      </c>
      <c r="C152" s="155"/>
      <c r="D152" s="155"/>
      <c r="E152" s="220" t="str">
        <f>KPI!$E$97</f>
        <v>Возмещение НДС по кап/затратам</v>
      </c>
      <c r="F152" s="220"/>
      <c r="G152" s="220" t="str">
        <f>IF($E152="","",INDEX(KPI!$G:$G,SUMIFS(KPI!$B:$B,KPI!$E:$E,$E152)))</f>
        <v>тыс.руб.</v>
      </c>
      <c r="H152" s="220"/>
      <c r="I152" s="221"/>
      <c r="J152" s="220"/>
      <c r="K152" s="221"/>
      <c r="L152" s="220"/>
      <c r="M152" s="222">
        <f>SUM($O152:$AB152)</f>
        <v>604.64650000000006</v>
      </c>
      <c r="N152" s="155"/>
      <c r="O152" s="155"/>
      <c r="P152" s="223">
        <f>IF(P$1="",0,IF(1+операции!$P$421=0,0,операции!$P$421*(капитал!$M$102+капитал!$M$109)/(1+операции!$P$421)))*IF(капитал!$M$26+капитал!$M$78+капитал!$M$109=0,0,(капитал!$J$87/1000)/(капитал!$M$26+капитал!$M$78+капитал!$M$109))</f>
        <v>604.64650000000006</v>
      </c>
      <c r="Q152" s="223"/>
      <c r="R152" s="223"/>
      <c r="S152" s="223"/>
      <c r="T152" s="223"/>
      <c r="U152" s="223"/>
      <c r="V152" s="223"/>
      <c r="W152" s="223"/>
      <c r="X152" s="223"/>
      <c r="Y152" s="223"/>
      <c r="Z152" s="223"/>
      <c r="AA152" s="223"/>
      <c r="AB152" s="155"/>
    </row>
    <row r="153" spans="1:28" ht="3.9" hidden="1" customHeight="1" x14ac:dyDescent="0.25">
      <c r="A153" s="149">
        <f>1</f>
        <v>1</v>
      </c>
      <c r="B153" s="131"/>
      <c r="C153" s="2"/>
      <c r="D153" s="2"/>
      <c r="E153" s="117"/>
      <c r="F153" s="2"/>
      <c r="G153" s="117"/>
      <c r="H153" s="2"/>
      <c r="I153" s="28"/>
      <c r="J153" s="2"/>
      <c r="K153" s="28"/>
      <c r="L153" s="2"/>
      <c r="M153" s="138"/>
      <c r="N153" s="2"/>
      <c r="O153" s="2"/>
      <c r="P153" s="36"/>
      <c r="Q153" s="36"/>
      <c r="R153" s="36"/>
      <c r="S153" s="36"/>
      <c r="T153" s="36"/>
      <c r="U153" s="36"/>
      <c r="V153" s="36"/>
      <c r="W153" s="36"/>
      <c r="X153" s="36"/>
      <c r="Y153" s="36"/>
      <c r="Z153" s="36"/>
      <c r="AA153" s="36"/>
      <c r="AB153" s="2"/>
    </row>
    <row r="154" spans="1:28" ht="3.9" hidden="1" customHeight="1" x14ac:dyDescent="0.25">
      <c r="A154" s="149">
        <f>1</f>
        <v>1</v>
      </c>
      <c r="B154" s="131"/>
      <c r="C154" s="2"/>
      <c r="D154" s="2"/>
      <c r="E154" s="2"/>
      <c r="F154" s="2"/>
      <c r="G154" s="2"/>
      <c r="H154" s="2"/>
      <c r="I154" s="28"/>
      <c r="J154" s="2"/>
      <c r="K154" s="28"/>
      <c r="L154" s="2"/>
      <c r="M154" s="52"/>
      <c r="N154" s="2"/>
      <c r="O154" s="2"/>
      <c r="P154" s="36"/>
      <c r="Q154" s="36"/>
      <c r="R154" s="36"/>
      <c r="S154" s="36"/>
      <c r="T154" s="36"/>
      <c r="U154" s="36"/>
      <c r="V154" s="36"/>
      <c r="W154" s="36"/>
      <c r="X154" s="36"/>
      <c r="Y154" s="36"/>
      <c r="Z154" s="36"/>
      <c r="AA154" s="36"/>
      <c r="AB154" s="2"/>
    </row>
    <row r="155" spans="1:28" s="5" customFormat="1" hidden="1" x14ac:dyDescent="0.25">
      <c r="A155" s="150">
        <f>1</f>
        <v>1</v>
      </c>
      <c r="B155" s="129" t="str">
        <f>структура!$J$12</f>
        <v>ОСНО</v>
      </c>
      <c r="C155" s="3"/>
      <c r="D155" s="3"/>
      <c r="E155" s="147" t="str">
        <f>KPI!$E$89</f>
        <v>приток денежных средств</v>
      </c>
      <c r="F155" s="147"/>
      <c r="G155" s="147" t="str">
        <f>IF($E155="","",INDEX(KPI!$G:$G,SUMIFS(KPI!$B:$B,KPI!$E:$E,$E155)))</f>
        <v>тыс.руб.</v>
      </c>
      <c r="H155" s="147"/>
      <c r="I155" s="170"/>
      <c r="J155" s="147"/>
      <c r="K155" s="170"/>
      <c r="L155" s="147"/>
      <c r="M155" s="171">
        <f>SUM($O155:$AB155)</f>
        <v>50404.646499999995</v>
      </c>
      <c r="N155" s="3"/>
      <c r="O155" s="3"/>
      <c r="P155" s="172">
        <f>IF(P$1="",0,P$16*(1+операции!P$421)+P152)</f>
        <v>5104.6464999999989</v>
      </c>
      <c r="Q155" s="172">
        <f>IF(Q$1="",0,Q$16*(1+операции!Q$421))</f>
        <v>5099.9999999999991</v>
      </c>
      <c r="R155" s="172">
        <f>IF(R$1="",0,R$16*(1+операции!R$421))</f>
        <v>5999.9999999999991</v>
      </c>
      <c r="S155" s="172">
        <f>IF(S$1="",0,S$16*(1+операции!S$421))</f>
        <v>6599.9999999999991</v>
      </c>
      <c r="T155" s="172">
        <f>IF(T$1="",0,T$16*(1+операции!T$421))</f>
        <v>7499.9999999999982</v>
      </c>
      <c r="U155" s="172">
        <f>IF(U$1="",0,U$16*(1+операции!U$421))</f>
        <v>8999.9999999999982</v>
      </c>
      <c r="V155" s="172">
        <f>IF(V$1="",0,V$16*(1+операции!V$421))</f>
        <v>11099.999999999998</v>
      </c>
      <c r="W155" s="172">
        <f>IF(W$1="",0,W$16*(1+операции!W$421))</f>
        <v>0</v>
      </c>
      <c r="X155" s="172">
        <f>IF(X$1="",0,X$16*(1+операции!X$421))</f>
        <v>0</v>
      </c>
      <c r="Y155" s="172">
        <f>IF(Y$1="",0,Y$16*(1+операции!Y$421))</f>
        <v>0</v>
      </c>
      <c r="Z155" s="172">
        <f>IF(Z$1="",0,Z$16*(1+операции!Z$421))</f>
        <v>0</v>
      </c>
      <c r="AA155" s="172">
        <f>IF(AA$1="",0,AA$16*(1+операции!AA$421))</f>
        <v>0</v>
      </c>
      <c r="AB155" s="3"/>
    </row>
    <row r="156" spans="1:28" s="5" customFormat="1" ht="3.9" hidden="1" customHeight="1" x14ac:dyDescent="0.25">
      <c r="A156" s="150">
        <f>1</f>
        <v>1</v>
      </c>
      <c r="B156" s="128"/>
      <c r="C156" s="3"/>
      <c r="D156" s="3"/>
      <c r="E156" s="3"/>
      <c r="F156" s="3"/>
      <c r="G156" s="3"/>
      <c r="H156" s="3"/>
      <c r="I156" s="28"/>
      <c r="J156" s="3"/>
      <c r="K156" s="28"/>
      <c r="L156" s="3"/>
      <c r="M156" s="55"/>
      <c r="N156" s="3"/>
      <c r="O156" s="3"/>
      <c r="P156" s="46"/>
      <c r="Q156" s="46"/>
      <c r="R156" s="46"/>
      <c r="S156" s="46"/>
      <c r="T156" s="46"/>
      <c r="U156" s="46"/>
      <c r="V156" s="46"/>
      <c r="W156" s="46"/>
      <c r="X156" s="46"/>
      <c r="Y156" s="46"/>
      <c r="Z156" s="46"/>
      <c r="AA156" s="46"/>
      <c r="AB156" s="3"/>
    </row>
    <row r="157" spans="1:28" s="5" customFormat="1" hidden="1" x14ac:dyDescent="0.25">
      <c r="A157" s="150">
        <f>1</f>
        <v>1</v>
      </c>
      <c r="B157" s="129" t="str">
        <f>структура!$J$13</f>
        <v>УСН(6%)</v>
      </c>
      <c r="C157" s="3"/>
      <c r="D157" s="3"/>
      <c r="E157" s="147" t="str">
        <f>E155</f>
        <v>приток денежных средств</v>
      </c>
      <c r="F157" s="147"/>
      <c r="G157" s="147" t="str">
        <f>IF($E157="","",INDEX(KPI!$G:$G,SUMIFS(KPI!$B:$B,KPI!$E:$E,$E157)))</f>
        <v>тыс.руб.</v>
      </c>
      <c r="H157" s="147"/>
      <c r="I157" s="170"/>
      <c r="J157" s="147"/>
      <c r="K157" s="170"/>
      <c r="L157" s="147"/>
      <c r="M157" s="171">
        <f>SUM($O157:$AB157)</f>
        <v>49799.999999999993</v>
      </c>
      <c r="N157" s="3"/>
      <c r="O157" s="3"/>
      <c r="P157" s="172">
        <f>IF(P$1="",0,P18)</f>
        <v>4499.9999999999991</v>
      </c>
      <c r="Q157" s="172">
        <f t="shared" ref="Q157:AA157" si="6">IF(Q$1="",0,Q18)</f>
        <v>5099.9999999999991</v>
      </c>
      <c r="R157" s="172">
        <f t="shared" si="6"/>
        <v>5999.9999999999991</v>
      </c>
      <c r="S157" s="172">
        <f t="shared" si="6"/>
        <v>6599.9999999999991</v>
      </c>
      <c r="T157" s="172">
        <f t="shared" si="6"/>
        <v>7499.9999999999982</v>
      </c>
      <c r="U157" s="172">
        <f t="shared" si="6"/>
        <v>8999.9999999999982</v>
      </c>
      <c r="V157" s="172">
        <f t="shared" si="6"/>
        <v>11099.999999999998</v>
      </c>
      <c r="W157" s="172">
        <f t="shared" si="6"/>
        <v>0</v>
      </c>
      <c r="X157" s="172">
        <f t="shared" si="6"/>
        <v>0</v>
      </c>
      <c r="Y157" s="172">
        <f t="shared" si="6"/>
        <v>0</v>
      </c>
      <c r="Z157" s="172">
        <f t="shared" si="6"/>
        <v>0</v>
      </c>
      <c r="AA157" s="172">
        <f t="shared" si="6"/>
        <v>0</v>
      </c>
      <c r="AB157" s="3"/>
    </row>
    <row r="158" spans="1:28" s="5" customFormat="1" ht="3.9" hidden="1" customHeight="1" x14ac:dyDescent="0.25">
      <c r="A158" s="150">
        <f>1</f>
        <v>1</v>
      </c>
      <c r="B158" s="128"/>
      <c r="C158" s="3"/>
      <c r="D158" s="3"/>
      <c r="E158" s="3"/>
      <c r="F158" s="3"/>
      <c r="G158" s="3"/>
      <c r="H158" s="3"/>
      <c r="I158" s="28"/>
      <c r="J158" s="3"/>
      <c r="K158" s="28"/>
      <c r="L158" s="3"/>
      <c r="M158" s="55"/>
      <c r="N158" s="3"/>
      <c r="O158" s="3"/>
      <c r="P158" s="46"/>
      <c r="Q158" s="46"/>
      <c r="R158" s="46"/>
      <c r="S158" s="46"/>
      <c r="T158" s="46"/>
      <c r="U158" s="46"/>
      <c r="V158" s="46"/>
      <c r="W158" s="46"/>
      <c r="X158" s="46"/>
      <c r="Y158" s="46"/>
      <c r="Z158" s="46"/>
      <c r="AA158" s="46"/>
      <c r="AB158" s="3"/>
    </row>
    <row r="159" spans="1:28" s="5" customFormat="1" hidden="1" x14ac:dyDescent="0.25">
      <c r="A159" s="150">
        <f>1</f>
        <v>1</v>
      </c>
      <c r="B159" s="129" t="str">
        <f>структура!$J$14</f>
        <v>УСН(15%)</v>
      </c>
      <c r="C159" s="3"/>
      <c r="D159" s="3"/>
      <c r="E159" s="147" t="str">
        <f>E155</f>
        <v>приток денежных средств</v>
      </c>
      <c r="F159" s="147"/>
      <c r="G159" s="147" t="str">
        <f>IF($E159="","",INDEX(KPI!$G:$G,SUMIFS(KPI!$B:$B,KPI!$E:$E,$E159)))</f>
        <v>тыс.руб.</v>
      </c>
      <c r="H159" s="147"/>
      <c r="I159" s="170"/>
      <c r="J159" s="147"/>
      <c r="K159" s="170"/>
      <c r="L159" s="147"/>
      <c r="M159" s="171">
        <f>SUM($O159:$AB159)</f>
        <v>49799.999999999993</v>
      </c>
      <c r="N159" s="3"/>
      <c r="O159" s="3"/>
      <c r="P159" s="172">
        <f>IF(P$1="",0,P20)</f>
        <v>4499.9999999999991</v>
      </c>
      <c r="Q159" s="172">
        <f t="shared" ref="Q159:AA159" si="7">IF(Q$1="",0,Q20)</f>
        <v>5099.9999999999991</v>
      </c>
      <c r="R159" s="172">
        <f t="shared" si="7"/>
        <v>5999.9999999999991</v>
      </c>
      <c r="S159" s="172">
        <f t="shared" si="7"/>
        <v>6599.9999999999991</v>
      </c>
      <c r="T159" s="172">
        <f t="shared" si="7"/>
        <v>7499.9999999999982</v>
      </c>
      <c r="U159" s="172">
        <f t="shared" si="7"/>
        <v>8999.9999999999982</v>
      </c>
      <c r="V159" s="172">
        <f t="shared" si="7"/>
        <v>11099.999999999998</v>
      </c>
      <c r="W159" s="172">
        <f t="shared" si="7"/>
        <v>0</v>
      </c>
      <c r="X159" s="172">
        <f t="shared" si="7"/>
        <v>0</v>
      </c>
      <c r="Y159" s="172">
        <f t="shared" si="7"/>
        <v>0</v>
      </c>
      <c r="Z159" s="172">
        <f t="shared" si="7"/>
        <v>0</v>
      </c>
      <c r="AA159" s="172">
        <f t="shared" si="7"/>
        <v>0</v>
      </c>
      <c r="AB159" s="3"/>
    </row>
    <row r="160" spans="1:28" s="5" customFormat="1" ht="3.9" hidden="1" customHeight="1" x14ac:dyDescent="0.25">
      <c r="A160" s="150">
        <f>1</f>
        <v>1</v>
      </c>
      <c r="B160" s="128"/>
      <c r="C160" s="3"/>
      <c r="D160" s="3"/>
      <c r="E160" s="3"/>
      <c r="F160" s="3"/>
      <c r="G160" s="3"/>
      <c r="H160" s="3"/>
      <c r="I160" s="28"/>
      <c r="J160" s="3"/>
      <c r="K160" s="28"/>
      <c r="L160" s="3"/>
      <c r="M160" s="55"/>
      <c r="N160" s="3"/>
      <c r="O160" s="3"/>
      <c r="P160" s="46"/>
      <c r="Q160" s="46"/>
      <c r="R160" s="46"/>
      <c r="S160" s="46"/>
      <c r="T160" s="46"/>
      <c r="U160" s="46"/>
      <c r="V160" s="46"/>
      <c r="W160" s="46"/>
      <c r="X160" s="46"/>
      <c r="Y160" s="46"/>
      <c r="Z160" s="46"/>
      <c r="AA160" s="46"/>
      <c r="AB160" s="3"/>
    </row>
    <row r="161" spans="1:28" s="5" customFormat="1" x14ac:dyDescent="0.25">
      <c r="A161" s="150">
        <f>1</f>
        <v>1</v>
      </c>
      <c r="B161" s="129" t="str">
        <f>структура!$J$15</f>
        <v>УСН(6%)-ИП</v>
      </c>
      <c r="C161" s="3"/>
      <c r="D161" s="3"/>
      <c r="E161" s="147" t="str">
        <f>E155</f>
        <v>приток денежных средств</v>
      </c>
      <c r="F161" s="147"/>
      <c r="G161" s="147" t="str">
        <f>IF($E161="","",INDEX(KPI!$G:$G,SUMIFS(KPI!$B:$B,KPI!$E:$E,$E161)))</f>
        <v>тыс.руб.</v>
      </c>
      <c r="H161" s="147"/>
      <c r="I161" s="170"/>
      <c r="J161" s="147"/>
      <c r="K161" s="170"/>
      <c r="L161" s="147"/>
      <c r="M161" s="171">
        <f>SUM($O161:$AB161)</f>
        <v>49799.999999999993</v>
      </c>
      <c r="N161" s="3"/>
      <c r="O161" s="3"/>
      <c r="P161" s="172">
        <f>IF(P$1="",0,P22)</f>
        <v>4499.9999999999991</v>
      </c>
      <c r="Q161" s="172">
        <f t="shared" ref="Q161:AA161" si="8">IF(Q$1="",0,Q22)</f>
        <v>5099.9999999999991</v>
      </c>
      <c r="R161" s="172">
        <f t="shared" si="8"/>
        <v>5999.9999999999991</v>
      </c>
      <c r="S161" s="172">
        <f t="shared" si="8"/>
        <v>6599.9999999999991</v>
      </c>
      <c r="T161" s="172">
        <f t="shared" si="8"/>
        <v>7499.9999999999982</v>
      </c>
      <c r="U161" s="172">
        <f t="shared" si="8"/>
        <v>8999.9999999999982</v>
      </c>
      <c r="V161" s="172">
        <f t="shared" si="8"/>
        <v>11099.999999999998</v>
      </c>
      <c r="W161" s="172">
        <f t="shared" si="8"/>
        <v>0</v>
      </c>
      <c r="X161" s="172">
        <f t="shared" si="8"/>
        <v>0</v>
      </c>
      <c r="Y161" s="172">
        <f t="shared" si="8"/>
        <v>0</v>
      </c>
      <c r="Z161" s="172">
        <f t="shared" si="8"/>
        <v>0</v>
      </c>
      <c r="AA161" s="172">
        <f t="shared" si="8"/>
        <v>0</v>
      </c>
      <c r="AB161" s="3"/>
    </row>
    <row r="162" spans="1:28" ht="3.9" hidden="1" customHeight="1" x14ac:dyDescent="0.25">
      <c r="A162" s="149">
        <f>1</f>
        <v>1</v>
      </c>
      <c r="B162" s="131"/>
      <c r="C162" s="2"/>
      <c r="D162" s="2"/>
      <c r="E162" s="117"/>
      <c r="F162" s="2"/>
      <c r="G162" s="117"/>
      <c r="H162" s="2"/>
      <c r="I162" s="28"/>
      <c r="J162" s="2"/>
      <c r="K162" s="28"/>
      <c r="L162" s="2"/>
      <c r="M162" s="138"/>
      <c r="N162" s="2"/>
      <c r="O162" s="2"/>
      <c r="P162" s="36"/>
      <c r="Q162" s="36"/>
      <c r="R162" s="36"/>
      <c r="S162" s="36"/>
      <c r="T162" s="36"/>
      <c r="U162" s="36"/>
      <c r="V162" s="36"/>
      <c r="W162" s="36"/>
      <c r="X162" s="36"/>
      <c r="Y162" s="36"/>
      <c r="Z162" s="36"/>
      <c r="AA162" s="36"/>
      <c r="AB162" s="2"/>
    </row>
    <row r="163" spans="1:28" ht="8.1" hidden="1" customHeight="1" x14ac:dyDescent="0.25">
      <c r="A163" s="149">
        <f>1</f>
        <v>1</v>
      </c>
      <c r="B163" s="131"/>
      <c r="C163" s="2"/>
      <c r="D163" s="2"/>
      <c r="E163" s="2"/>
      <c r="F163" s="2"/>
      <c r="G163" s="2"/>
      <c r="H163" s="2"/>
      <c r="I163" s="28"/>
      <c r="J163" s="2"/>
      <c r="K163" s="28"/>
      <c r="L163" s="2"/>
      <c r="M163" s="52"/>
      <c r="N163" s="2"/>
      <c r="O163" s="2"/>
      <c r="P163" s="36"/>
      <c r="Q163" s="36"/>
      <c r="R163" s="36"/>
      <c r="S163" s="36"/>
      <c r="T163" s="36"/>
      <c r="U163" s="36"/>
      <c r="V163" s="36"/>
      <c r="W163" s="36"/>
      <c r="X163" s="36"/>
      <c r="Y163" s="36"/>
      <c r="Z163" s="36"/>
      <c r="AA163" s="36"/>
      <c r="AB163" s="2"/>
    </row>
    <row r="164" spans="1:28" ht="3.9" hidden="1" customHeight="1" x14ac:dyDescent="0.25">
      <c r="A164" s="149">
        <f>1</f>
        <v>1</v>
      </c>
      <c r="B164" s="131"/>
      <c r="C164" s="2"/>
      <c r="D164" s="2"/>
      <c r="E164" s="2"/>
      <c r="F164" s="2"/>
      <c r="G164" s="2"/>
      <c r="H164" s="2"/>
      <c r="I164" s="28"/>
      <c r="J164" s="2"/>
      <c r="K164" s="28"/>
      <c r="L164" s="2"/>
      <c r="M164" s="52"/>
      <c r="N164" s="2"/>
      <c r="O164" s="2"/>
      <c r="P164" s="36"/>
      <c r="Q164" s="36"/>
      <c r="R164" s="36"/>
      <c r="S164" s="36"/>
      <c r="T164" s="36"/>
      <c r="U164" s="36"/>
      <c r="V164" s="36"/>
      <c r="W164" s="36"/>
      <c r="X164" s="36"/>
      <c r="Y164" s="36"/>
      <c r="Z164" s="36"/>
      <c r="AA164" s="36"/>
      <c r="AB164" s="2"/>
    </row>
    <row r="165" spans="1:28" s="5" customFormat="1" hidden="1" x14ac:dyDescent="0.25">
      <c r="A165" s="150">
        <f>1</f>
        <v>1</v>
      </c>
      <c r="B165" s="129" t="str">
        <f>структура!$J$12</f>
        <v>ОСНО</v>
      </c>
      <c r="C165" s="3"/>
      <c r="D165" s="3"/>
      <c r="E165" s="173" t="str">
        <f>KPI!$E$90</f>
        <v>отток денежных средств</v>
      </c>
      <c r="F165" s="173"/>
      <c r="G165" s="173" t="str">
        <f>IF($E165="","",INDEX(KPI!$G:$G,SUMIFS(KPI!$B:$B,KPI!$E:$E,$E165)))</f>
        <v>тыс.руб.</v>
      </c>
      <c r="H165" s="173"/>
      <c r="I165" s="174"/>
      <c r="J165" s="173"/>
      <c r="K165" s="174"/>
      <c r="L165" s="173"/>
      <c r="M165" s="175">
        <f>SUM($O165:$AB165)</f>
        <v>36221.039176568345</v>
      </c>
      <c r="N165" s="3"/>
      <c r="O165" s="3"/>
      <c r="P165" s="176">
        <f>IF(P$1="",0,ФОТ!P$26+ФОТ!P$59+операции!P$265*IF(аренда!$M$41+аренда!$M$43=0,0,P$11/(аренда!$M$41+аренда!$M$43))+(операции!P$232+операции!P$315+операции!P$386+операции!P$404)*IF(отчеты!P16=0,0,P16/отчеты!P16))</f>
        <v>3893.9654959266873</v>
      </c>
      <c r="Q165" s="176">
        <f>IF(Q$1="",0,ФОТ!Q$26+ФОТ!Q$59+операции!Q$265*IF(аренда!$M$41+аренда!$M$43=0,0,Q$11/(аренда!$M$41+аренда!$M$43))+(операции!Q$232+операции!Q$315+операции!Q$386+операции!Q$404)*IF(отчеты!Q16=0,0,Q16/отчеты!Q16)+P$16*операции!P$421-P$107+P$127)</f>
        <v>4558.6127824495188</v>
      </c>
      <c r="R165" s="176">
        <f>IF(R$1="",0,ФОТ!R$26+ФОТ!R$59+операции!R$265*IF(аренда!$M$41+аренда!$M$43=0,0,R$11/(аренда!$M$41+аренда!$M$43))+(операции!R$232+операции!R$315+операции!R$386+операции!R$404)*IF(отчеты!R16=0,0,R16/отчеты!R16)+Q$16*операции!Q$421-Q$107+Q$127)</f>
        <v>4811.1026201935292</v>
      </c>
      <c r="S165" s="176">
        <f>IF(S$1="",0,ФОТ!S$26+ФОТ!S$59+операции!S$265*IF(аренда!$M$41+аренда!$M$43=0,0,S$11/(аренда!$M$41+аренда!$M$43))+(операции!S$232+операции!S$315+операции!S$386+операции!S$404)*IF(отчеты!S16=0,0,S16/отчеты!S16)+R$16*операции!R$421-R$107+R$127)</f>
        <v>5106.4209376308718</v>
      </c>
      <c r="T165" s="176">
        <f>IF(T$1="",0,ФОТ!T$26+ФОТ!T$59+операции!T$265*IF(аренда!$M$41+аренда!$M$43=0,0,T$11/(аренда!$M$41+аренда!$M$43))+(операции!T$232+операции!T$315+операции!T$386+операции!T$404)*IF(отчеты!T16=0,0,T16/отчеты!T16)+S$16*операции!S$421-S$107+S$127)</f>
        <v>5423.4843210611671</v>
      </c>
      <c r="U165" s="176">
        <f>IF(U$1="",0,ФОТ!U$26+ФОТ!U$59+операции!U$265*IF(аренда!$M$41+аренда!$M$43=0,0,U$11/(аренда!$M$41+аренда!$M$43))+(операции!U$232+операции!U$315+операции!U$386+операции!U$404)*IF(отчеты!U16=0,0,U16/отчеты!U16)+T$16*операции!T$421-T$107+T$127)</f>
        <v>5861.2895739724545</v>
      </c>
      <c r="V165" s="176">
        <f>IF(V$1="",0,ФОТ!V$26+ФОТ!V$59+операции!V$265*IF(аренда!$M$41+аренда!$M$43=0,0,V$11/(аренда!$M$41+аренда!$M$43))+(операции!V$232+операции!V$315+операции!V$386+операции!V$404)*IF(отчеты!V16=0,0,V16/отчеты!V16)+U$16*операции!U$421-U$107+U$127)</f>
        <v>6566.1634453341212</v>
      </c>
      <c r="W165" s="176">
        <f>IF(W$1="",0,ФОТ!W$26+ФОТ!W$59+операции!W$265*IF(аренда!$M$41+аренда!$M$43=0,0,W$11/(аренда!$M$41+аренда!$M$43))+(операции!W$232+операции!W$315+операции!W$386+операции!W$404)*IF(отчеты!W16=0,0,W16/отчеты!W16)+V$16*операции!V$421-V$107+V$127)</f>
        <v>0</v>
      </c>
      <c r="X165" s="176">
        <f>IF(X$1="",0,ФОТ!X$26+ФОТ!X$59+операции!X$265*IF(аренда!$M$41+аренда!$M$43=0,0,X$11/(аренда!$M$41+аренда!$M$43))+(операции!X$232+операции!X$315+операции!X$386+операции!X$404)*IF(отчеты!X16=0,0,X16/отчеты!X16)+W$16*операции!W$421-W$107+W$127)</f>
        <v>0</v>
      </c>
      <c r="Y165" s="176">
        <f>IF(Y$1="",0,ФОТ!Y$26+ФОТ!Y$59+операции!Y$265*IF(аренда!$M$41+аренда!$M$43=0,0,Y$11/(аренда!$M$41+аренда!$M$43))+(операции!Y$232+операции!Y$315+операции!Y$386+операции!Y$404)*IF(отчеты!Y16=0,0,Y16/отчеты!Y16)+X$16*операции!X$421-X$107+X$127)</f>
        <v>0</v>
      </c>
      <c r="Z165" s="176">
        <f>IF(Z$1="",0,ФОТ!Z$26+ФОТ!Z$59+операции!Z$265*IF(аренда!$M$41+аренда!$M$43=0,0,Z$11/(аренда!$M$41+аренда!$M$43))+(операции!Z$232+операции!Z$315+операции!Z$386+операции!Z$404)*IF(отчеты!Z16=0,0,Z16/отчеты!Z16)+Y$16*операции!Y$421-Y$107+Y$127)</f>
        <v>0</v>
      </c>
      <c r="AA165" s="176">
        <f>IF(AA$1="",0,ФОТ!AA$26+ФОТ!AA$59+операции!AA$265*IF(аренда!$M$41+аренда!$M$43=0,0,AA$11/(аренда!$M$41+аренда!$M$43))+(операции!AA$232+операции!AA$315+операции!AA$386+операции!AA$404)*IF(отчеты!AA16=0,0,AA16/отчеты!AA16)+Z$16*операции!Z$421-Z$107+Z$127)</f>
        <v>0</v>
      </c>
      <c r="AB165" s="3"/>
    </row>
    <row r="166" spans="1:28" s="5" customFormat="1" ht="3.9" hidden="1" customHeight="1" x14ac:dyDescent="0.25">
      <c r="A166" s="150">
        <f>1</f>
        <v>1</v>
      </c>
      <c r="B166" s="128"/>
      <c r="C166" s="3"/>
      <c r="D166" s="3"/>
      <c r="E166" s="3"/>
      <c r="F166" s="3"/>
      <c r="G166" s="3"/>
      <c r="H166" s="3"/>
      <c r="I166" s="28"/>
      <c r="J166" s="3"/>
      <c r="K166" s="28"/>
      <c r="L166" s="3"/>
      <c r="M166" s="55"/>
      <c r="N166" s="3"/>
      <c r="O166" s="3"/>
      <c r="P166" s="46"/>
      <c r="Q166" s="46"/>
      <c r="R166" s="46"/>
      <c r="S166" s="46"/>
      <c r="T166" s="46"/>
      <c r="U166" s="46"/>
      <c r="V166" s="46"/>
      <c r="W166" s="46"/>
      <c r="X166" s="46"/>
      <c r="Y166" s="46"/>
      <c r="Z166" s="46"/>
      <c r="AA166" s="46"/>
      <c r="AB166" s="3"/>
    </row>
    <row r="167" spans="1:28" s="5" customFormat="1" hidden="1" x14ac:dyDescent="0.25">
      <c r="A167" s="150">
        <f>1</f>
        <v>1</v>
      </c>
      <c r="B167" s="129" t="str">
        <f>структура!$J$13</f>
        <v>УСН(6%)</v>
      </c>
      <c r="C167" s="3"/>
      <c r="D167" s="3"/>
      <c r="E167" s="173" t="str">
        <f>E165</f>
        <v>отток денежных средств</v>
      </c>
      <c r="F167" s="173"/>
      <c r="G167" s="173" t="str">
        <f>IF($E167="","",INDEX(KPI!$G:$G,SUMIFS(KPI!$B:$B,KPI!$E:$E,$E167)))</f>
        <v>тыс.руб.</v>
      </c>
      <c r="H167" s="173"/>
      <c r="I167" s="174"/>
      <c r="J167" s="173"/>
      <c r="K167" s="174"/>
      <c r="L167" s="173"/>
      <c r="M167" s="175">
        <f>SUM($O167:$AB167)</f>
        <v>30781.117307172048</v>
      </c>
      <c r="N167" s="3"/>
      <c r="O167" s="3"/>
      <c r="P167" s="176">
        <f>IF(P$1="",0,ФОТ!P$26+ФОТ!P$59+операции!P$265*IF(аренда!$M$41+аренда!$M$43=0,0,P$11/(аренда!$M$41+аренда!$M$43))+(операции!P$232+операции!P$315+операции!P$386+операции!P$404)*IF(отчеты!P18=0,0,P18/отчеты!P18))</f>
        <v>3893.9654959266873</v>
      </c>
      <c r="Q167" s="176">
        <f>IF(Q$1="",0,ФОТ!Q$26+ФОТ!Q$59+операции!Q$265*IF(аренда!$M$41+аренда!$M$43=0,0,Q$11/(аренда!$M$41+аренда!$M$43))+(операции!Q$232+операции!Q$315+операции!Q$386+операции!Q$404)*IF(отчеты!Q18=0,0,Q18/отчеты!Q18)+P$129)</f>
        <v>4170.939027325916</v>
      </c>
      <c r="R167" s="176">
        <f>IF(R$1="",0,ФОТ!R$26+ФОТ!R$59+операции!R$265*IF(аренда!$M$41+аренда!$M$43=0,0,R$11/(аренда!$M$41+аренда!$M$43))+(операции!R$232+операции!R$315+операции!R$386+операции!R$404)*IF(отчеты!R18=0,0,R18/отчеты!R18)+Q$129)</f>
        <v>4273.8179672683791</v>
      </c>
      <c r="S167" s="176">
        <f>IF(S$1="",0,ФОТ!S$26+ФОТ!S$59+операции!S$265*IF(аренда!$M$41+аренда!$M$43=0,0,S$11/(аренда!$M$41+аренда!$M$43))+(операции!S$232+операции!S$315+операции!S$386+операции!S$404)*IF(отчеты!S18=0,0,S18/отчеты!S18)+R$129)</f>
        <v>4324.4292646865424</v>
      </c>
      <c r="T167" s="176">
        <f>IF(T$1="",0,ФОТ!T$26+ФОТ!T$59+операции!T$265*IF(аренда!$M$41+аренда!$M$43=0,0,T$11/(аренда!$M$41+аренда!$M$43))+(операции!T$232+операции!T$315+операции!T$386+операции!T$404)*IF(отчеты!T18=0,0,T18/отчеты!T18)+S$129)</f>
        <v>4467.3630805895582</v>
      </c>
      <c r="U167" s="176">
        <f>IF(U$1="",0,ФОТ!U$26+ФОТ!U$59+операции!U$265*IF(аренда!$M$41+аренда!$M$43=0,0,U$11/(аренда!$M$41+аренда!$M$43))+(операции!U$232+операции!U$315+операции!U$386+операции!U$404)*IF(отчеты!U18=0,0,U18/отчеты!U18)+T$129)</f>
        <v>4673.8129388018515</v>
      </c>
      <c r="V167" s="176">
        <f>IF(V$1="",0,ФОТ!V$26+ФОТ!V$59+операции!V$265*IF(аренда!$M$41+аренда!$M$43=0,0,V$11/(аренда!$M$41+аренда!$M$43))+(операции!V$232+операции!V$315+операции!V$386+операции!V$404)*IF(отчеты!V18=0,0,V18/отчеты!V18)+U$129)</f>
        <v>4976.7895325731142</v>
      </c>
      <c r="W167" s="176">
        <f>IF(W$1="",0,ФОТ!W$26+ФОТ!W$59+операции!W$265*IF(аренда!$M$41+аренда!$M$43=0,0,W$11/(аренда!$M$41+аренда!$M$43))+(операции!W$232+операции!W$315+операции!W$386+операции!W$404)*IF(отчеты!W18=0,0,W18/отчеты!W18)+V$129)</f>
        <v>0</v>
      </c>
      <c r="X167" s="176">
        <f>IF(X$1="",0,ФОТ!X$26+ФОТ!X$59+операции!X$265*IF(аренда!$M$41+аренда!$M$43=0,0,X$11/(аренда!$M$41+аренда!$M$43))+(операции!X$232+операции!X$315+операции!X$386+операции!X$404)*IF(отчеты!X18=0,0,X18/отчеты!X18)+W$129)</f>
        <v>0</v>
      </c>
      <c r="Y167" s="176">
        <f>IF(Y$1="",0,ФОТ!Y$26+ФОТ!Y$59+операции!Y$265*IF(аренда!$M$41+аренда!$M$43=0,0,Y$11/(аренда!$M$41+аренда!$M$43))+(операции!Y$232+операции!Y$315+операции!Y$386+операции!Y$404)*IF(отчеты!Y18=0,0,Y18/отчеты!Y18)+X$129)</f>
        <v>0</v>
      </c>
      <c r="Z167" s="176">
        <f>IF(Z$1="",0,ФОТ!Z$26+ФОТ!Z$59+операции!Z$265*IF(аренда!$M$41+аренда!$M$43=0,0,Z$11/(аренда!$M$41+аренда!$M$43))+(операции!Z$232+операции!Z$315+операции!Z$386+операции!Z$404)*IF(отчеты!Z18=0,0,Z18/отчеты!Z18)+Y$129)</f>
        <v>0</v>
      </c>
      <c r="AA167" s="176">
        <f>IF(AA$1="",0,ФОТ!AA$26+ФОТ!AA$59+операции!AA$265*IF(аренда!$M$41+аренда!$M$43=0,0,AA$11/(аренда!$M$41+аренда!$M$43))+(операции!AA$232+операции!AA$315+операции!AA$386+операции!AA$404)*IF(отчеты!AA18=0,0,AA18/отчеты!AA18)+Z$129)</f>
        <v>0</v>
      </c>
      <c r="AB167" s="3"/>
    </row>
    <row r="168" spans="1:28" s="5" customFormat="1" ht="3.9" hidden="1" customHeight="1" x14ac:dyDescent="0.25">
      <c r="A168" s="150">
        <f>1</f>
        <v>1</v>
      </c>
      <c r="B168" s="128"/>
      <c r="C168" s="3"/>
      <c r="D168" s="3"/>
      <c r="E168" s="3"/>
      <c r="F168" s="3"/>
      <c r="G168" s="3"/>
      <c r="H168" s="3"/>
      <c r="I168" s="28"/>
      <c r="J168" s="3"/>
      <c r="K168" s="28"/>
      <c r="L168" s="3"/>
      <c r="M168" s="55"/>
      <c r="N168" s="3"/>
      <c r="O168" s="3"/>
      <c r="P168" s="46"/>
      <c r="Q168" s="46"/>
      <c r="R168" s="46"/>
      <c r="S168" s="46"/>
      <c r="T168" s="46"/>
      <c r="U168" s="46"/>
      <c r="V168" s="46"/>
      <c r="W168" s="46"/>
      <c r="X168" s="46"/>
      <c r="Y168" s="46"/>
      <c r="Z168" s="46"/>
      <c r="AA168" s="46"/>
      <c r="AB168" s="3"/>
    </row>
    <row r="169" spans="1:28" s="5" customFormat="1" hidden="1" x14ac:dyDescent="0.25">
      <c r="A169" s="150">
        <f>1</f>
        <v>1</v>
      </c>
      <c r="B169" s="129" t="str">
        <f>структура!$J$14</f>
        <v>УСН(15%)</v>
      </c>
      <c r="C169" s="3"/>
      <c r="D169" s="3"/>
      <c r="E169" s="173" t="str">
        <f>E165</f>
        <v>отток денежных средств</v>
      </c>
      <c r="F169" s="173"/>
      <c r="G169" s="173" t="str">
        <f>IF($E169="","",INDEX(KPI!$G:$G,SUMIFS(KPI!$B:$B,KPI!$E:$E,$E169)))</f>
        <v>тыс.руб.</v>
      </c>
      <c r="H169" s="173"/>
      <c r="I169" s="174"/>
      <c r="J169" s="173"/>
      <c r="K169" s="174"/>
      <c r="L169" s="173"/>
      <c r="M169" s="175">
        <f>SUM($O169:$AB169)</f>
        <v>31681.397207261623</v>
      </c>
      <c r="N169" s="3"/>
      <c r="O169" s="3"/>
      <c r="P169" s="176">
        <f>IF(P$1="",0,ФОТ!P$26+ФОТ!P$59+операции!P$265*IF(аренда!$M$41+аренда!$M$43=0,0,P$11/(аренда!$M$41+аренда!$M$43))+(операции!P$232+операции!P$315+операции!P$386+операции!P$404)*IF(отчеты!P20=0,0,P20/отчеты!P20))</f>
        <v>3893.9654959266873</v>
      </c>
      <c r="Q169" s="176">
        <f>IF(Q$1="",0,ФОТ!Q$26+ФОТ!Q$59+операции!Q$265*IF(аренда!$M$41+аренда!$M$43=0,0,Q$11/(аренда!$M$41+аренда!$M$43))+(операции!Q$232+операции!Q$315+операции!Q$386+операции!Q$404)*IF(отчеты!Q20=0,0,Q20/отчеты!Q20)+P$131)</f>
        <v>4120.1232692163321</v>
      </c>
      <c r="R169" s="176">
        <f>IF(R$1="",0,ФОТ!R$26+ФОТ!R$59+операции!R$265*IF(аренда!$M$41+аренда!$M$43=0,0,R$11/(аренда!$M$41+аренда!$M$43))+(операции!R$232+операции!R$315+операции!R$386+операции!R$404)*IF(отчеты!R20=0,0,R20/отчеты!R20)+Q$131)</f>
        <v>4280.4271131694913</v>
      </c>
      <c r="S169" s="176">
        <f>IF(S$1="",0,ФОТ!S$26+ФОТ!S$59+операции!S$265*IF(аренда!$M$41+аренда!$M$43=0,0,S$11/(аренда!$M$41+аренда!$M$43))+(операции!S$232+операции!S$315+операции!S$386+операции!S$404)*IF(отчеты!S20=0,0,S20/отчеты!S20)+R$131)</f>
        <v>4426.306569596285</v>
      </c>
      <c r="T169" s="176">
        <f>IF(T$1="",0,ФОТ!T$26+ФОТ!T$59+операции!T$265*IF(аренда!$M$41+аренда!$M$43=0,0,T$11/(аренда!$M$41+аренда!$M$43))+(операции!T$232+операции!T$315+операции!T$386+операции!T$404)*IF(отчеты!T20=0,0,T20/отчеты!T20)+S$131)</f>
        <v>4637.6986908865765</v>
      </c>
      <c r="U169" s="176">
        <f>IF(U$1="",0,ФОТ!U$26+ФОТ!U$59+операции!U$265*IF(аренда!$M$41+аренда!$M$43=0,0,U$11/(аренда!$M$41+аренда!$M$43))+(операции!U$232+операции!U$315+операции!U$386+операции!U$404)*IF(отчеты!U20=0,0,U20/отчеты!U20)+T$131)</f>
        <v>4933.4084767134173</v>
      </c>
      <c r="V169" s="176">
        <f>IF(V$1="",0,ФОТ!V$26+ФОТ!V$59+операции!V$265*IF(аренда!$M$41+аренда!$M$43=0,0,V$11/(аренда!$M$41+аренда!$M$43))+(операции!V$232+операции!V$315+операции!V$386+операции!V$404)*IF(отчеты!V20=0,0,V20/отчеты!V20)+U$131)</f>
        <v>5389.4675917528366</v>
      </c>
      <c r="W169" s="176">
        <f>IF(W$1="",0,ФОТ!W$26+ФОТ!W$59+операции!W$265*IF(аренда!$M$41+аренда!$M$43=0,0,W$11/(аренда!$M$41+аренда!$M$43))+(операции!W$232+операции!W$315+операции!W$386+операции!W$404)*IF(отчеты!W20=0,0,W20/отчеты!W20)+V$131)</f>
        <v>0</v>
      </c>
      <c r="X169" s="176">
        <f>IF(X$1="",0,ФОТ!X$26+ФОТ!X$59+операции!X$265*IF(аренда!$M$41+аренда!$M$43=0,0,X$11/(аренда!$M$41+аренда!$M$43))+(операции!X$232+операции!X$315+операции!X$386+операции!X$404)*IF(отчеты!X20=0,0,X20/отчеты!X20)+W$131)</f>
        <v>0</v>
      </c>
      <c r="Y169" s="176">
        <f>IF(Y$1="",0,ФОТ!Y$26+ФОТ!Y$59+операции!Y$265*IF(аренда!$M$41+аренда!$M$43=0,0,Y$11/(аренда!$M$41+аренда!$M$43))+(операции!Y$232+операции!Y$315+операции!Y$386+операции!Y$404)*IF(отчеты!Y20=0,0,Y20/отчеты!Y20)+X$131)</f>
        <v>0</v>
      </c>
      <c r="Z169" s="176">
        <f>IF(Z$1="",0,ФОТ!Z$26+ФОТ!Z$59+операции!Z$265*IF(аренда!$M$41+аренда!$M$43=0,0,Z$11/(аренда!$M$41+аренда!$M$43))+(операции!Z$232+операции!Z$315+операции!Z$386+операции!Z$404)*IF(отчеты!Z20=0,0,Z20/отчеты!Z20)+Y$131)</f>
        <v>0</v>
      </c>
      <c r="AA169" s="176">
        <f>IF(AA$1="",0,ФОТ!AA$26+ФОТ!AA$59+операции!AA$265*IF(аренда!$M$41+аренда!$M$43=0,0,AA$11/(аренда!$M$41+аренда!$M$43))+(операции!AA$232+операции!AA$315+операции!AA$386+операции!AA$404)*IF(отчеты!AA20=0,0,AA20/отчеты!AA20)+Z$131)</f>
        <v>0</v>
      </c>
      <c r="AB169" s="3"/>
    </row>
    <row r="170" spans="1:28" s="5" customFormat="1" ht="3.9" hidden="1" customHeight="1" x14ac:dyDescent="0.25">
      <c r="A170" s="150">
        <f>1</f>
        <v>1</v>
      </c>
      <c r="B170" s="128"/>
      <c r="C170" s="3"/>
      <c r="D170" s="3"/>
      <c r="E170" s="3"/>
      <c r="F170" s="3"/>
      <c r="G170" s="3"/>
      <c r="H170" s="3"/>
      <c r="I170" s="28"/>
      <c r="J170" s="3"/>
      <c r="K170" s="28"/>
      <c r="L170" s="3"/>
      <c r="M170" s="55"/>
      <c r="N170" s="3"/>
      <c r="O170" s="3"/>
      <c r="P170" s="46"/>
      <c r="Q170" s="46"/>
      <c r="R170" s="46"/>
      <c r="S170" s="46"/>
      <c r="T170" s="46"/>
      <c r="U170" s="46"/>
      <c r="V170" s="46"/>
      <c r="W170" s="46"/>
      <c r="X170" s="46"/>
      <c r="Y170" s="46"/>
      <c r="Z170" s="46"/>
      <c r="AA170" s="46"/>
      <c r="AB170" s="3"/>
    </row>
    <row r="171" spans="1:28" s="5" customFormat="1" x14ac:dyDescent="0.25">
      <c r="A171" s="150">
        <f>1</f>
        <v>1</v>
      </c>
      <c r="B171" s="129" t="str">
        <f>структура!$J$15</f>
        <v>УСН(6%)-ИП</v>
      </c>
      <c r="C171" s="3"/>
      <c r="D171" s="3"/>
      <c r="E171" s="173" t="str">
        <f>E165</f>
        <v>отток денежных средств</v>
      </c>
      <c r="F171" s="173"/>
      <c r="G171" s="173" t="str">
        <f>IF($E171="","",INDEX(KPI!$G:$G,SUMIFS(KPI!$B:$B,KPI!$E:$E,$E171)))</f>
        <v>тыс.руб.</v>
      </c>
      <c r="H171" s="173"/>
      <c r="I171" s="174"/>
      <c r="J171" s="173"/>
      <c r="K171" s="174"/>
      <c r="L171" s="173"/>
      <c r="M171" s="175">
        <f>SUM($O171:$AB171)</f>
        <v>30115.117307172048</v>
      </c>
      <c r="N171" s="3"/>
      <c r="O171" s="3"/>
      <c r="P171" s="176">
        <f>IF(P$1="",0,ФОТ!P$26+ФОТ!P$59+операции!P$265*IF(аренда!$M$41+аренда!$M$43=0,0,P$11/(аренда!$M$41+аренда!$M$43))+(операции!P$232+операции!P$315+операции!P$386+операции!P$404)*IF(отчеты!P22=0,0,P22/отчеты!P22))</f>
        <v>3893.9654959266873</v>
      </c>
      <c r="Q171" s="176">
        <f>IF(Q$1="",0,ФОТ!Q$26+ФОТ!Q$59+операции!Q$265*IF(аренда!$M$41+аренда!$M$43=0,0,Q$11/(аренда!$M$41+аренда!$M$43))+(операции!Q$232+операции!Q$315+операции!Q$386+операции!Q$404)*IF(отчеты!Q22=0,0,Q22/отчеты!Q22)+P$133)</f>
        <v>4035.939027325916</v>
      </c>
      <c r="R171" s="176">
        <f>IF(R$1="",0,ФОТ!R$26+ФОТ!R$59+операции!R$265*IF(аренда!$M$41+аренда!$M$43=0,0,R$11/(аренда!$M$41+аренда!$M$43))+(операции!R$232+операции!R$315+операции!R$386+операции!R$404)*IF(отчеты!R22=0,0,R22/отчеты!R22)+Q$133)</f>
        <v>4120.8179672683791</v>
      </c>
      <c r="S171" s="176">
        <f>IF(S$1="",0,ФОТ!S$26+ФОТ!S$59+операции!S$265*IF(аренда!$M$41+аренда!$M$43=0,0,S$11/(аренда!$M$41+аренда!$M$43))+(операции!S$232+операции!S$315+операции!S$386+операции!S$404)*IF(отчеты!S22=0,0,S22/отчеты!S22)+R$133)</f>
        <v>4144.4292646865424</v>
      </c>
      <c r="T171" s="176">
        <f>IF(T$1="",0,ФОТ!T$26+ФОТ!T$59+операции!T$265*IF(аренда!$M$41+аренда!$M$43=0,0,T$11/(аренда!$M$41+аренда!$M$43))+(операции!T$232+операции!T$315+операции!T$386+операции!T$404)*IF(отчеты!T22=0,0,T22/отчеты!T22)+S$133)</f>
        <v>4269.3630805895582</v>
      </c>
      <c r="U171" s="176">
        <f>IF(U$1="",0,ФОТ!U$26+ФОТ!U$59+операции!U$265*IF(аренда!$M$41+аренда!$M$43=0,0,U$11/(аренда!$M$41+аренда!$M$43))+(операции!U$232+операции!U$315+операции!U$386+операции!U$404)*IF(отчеты!U22=0,0,U22/отчеты!U22)+T$133)</f>
        <v>4673.8129388018515</v>
      </c>
      <c r="V171" s="176">
        <f>IF(V$1="",0,ФОТ!V$26+ФОТ!V$59+операции!V$265*IF(аренда!$M$41+аренда!$M$43=0,0,V$11/(аренда!$M$41+аренда!$M$43))+(операции!V$232+операции!V$315+операции!V$386+операции!V$404)*IF(отчеты!V22=0,0,V22/отчеты!V22)+U$133)</f>
        <v>4976.7895325731142</v>
      </c>
      <c r="W171" s="176">
        <f>IF(W$1="",0,ФОТ!W$26+ФОТ!W$59+операции!W$265*IF(аренда!$M$41+аренда!$M$43=0,0,W$11/(аренда!$M$41+аренда!$M$43))+(операции!W$232+операции!W$315+операции!W$386+операции!W$404)*IF(отчеты!W22=0,0,W22/отчеты!W22)+V$133)</f>
        <v>0</v>
      </c>
      <c r="X171" s="176">
        <f>IF(X$1="",0,ФОТ!X$26+ФОТ!X$59+операции!X$265*IF(аренда!$M$41+аренда!$M$43=0,0,X$11/(аренда!$M$41+аренда!$M$43))+(операции!X$232+операции!X$315+операции!X$386+операции!X$404)*IF(отчеты!X22=0,0,X22/отчеты!X22)+W$133)</f>
        <v>0</v>
      </c>
      <c r="Y171" s="176">
        <f>IF(Y$1="",0,ФОТ!Y$26+ФОТ!Y$59+операции!Y$265*IF(аренда!$M$41+аренда!$M$43=0,0,Y$11/(аренда!$M$41+аренда!$M$43))+(операции!Y$232+операции!Y$315+операции!Y$386+операции!Y$404)*IF(отчеты!Y22=0,0,Y22/отчеты!Y22)+X$133)</f>
        <v>0</v>
      </c>
      <c r="Z171" s="176">
        <f>IF(Z$1="",0,ФОТ!Z$26+ФОТ!Z$59+операции!Z$265*IF(аренда!$M$41+аренда!$M$43=0,0,Z$11/(аренда!$M$41+аренда!$M$43))+(операции!Z$232+операции!Z$315+операции!Z$386+операции!Z$404)*IF(отчеты!Z22=0,0,Z22/отчеты!Z22)+Y$133)</f>
        <v>0</v>
      </c>
      <c r="AA171" s="176">
        <f>IF(AA$1="",0,ФОТ!AA$26+ФОТ!AA$59+операции!AA$265*IF(аренда!$M$41+аренда!$M$43=0,0,AA$11/(аренда!$M$41+аренда!$M$43))+(операции!AA$232+операции!AA$315+операции!AA$386+операции!AA$404)*IF(отчеты!AA22=0,0,AA22/отчеты!AA22)+Z$133)</f>
        <v>0</v>
      </c>
      <c r="AB171" s="3"/>
    </row>
    <row r="172" spans="1:28" ht="3.9" hidden="1" customHeight="1" x14ac:dyDescent="0.25">
      <c r="A172" s="149">
        <f>1</f>
        <v>1</v>
      </c>
      <c r="B172" s="131"/>
      <c r="C172" s="2"/>
      <c r="D172" s="2"/>
      <c r="E172" s="118"/>
      <c r="F172" s="2"/>
      <c r="G172" s="118"/>
      <c r="H172" s="2"/>
      <c r="I172" s="28"/>
      <c r="J172" s="2"/>
      <c r="K172" s="28"/>
      <c r="L172" s="2"/>
      <c r="M172" s="139"/>
      <c r="N172" s="2"/>
      <c r="O172" s="2"/>
      <c r="P172" s="36"/>
      <c r="Q172" s="36"/>
      <c r="R172" s="36"/>
      <c r="S172" s="36"/>
      <c r="T172" s="36"/>
      <c r="U172" s="36"/>
      <c r="V172" s="36"/>
      <c r="W172" s="36"/>
      <c r="X172" s="36"/>
      <c r="Y172" s="36"/>
      <c r="Z172" s="36"/>
      <c r="AA172" s="36"/>
      <c r="AB172" s="2"/>
    </row>
    <row r="173" spans="1:28" ht="8.1" hidden="1" customHeight="1" x14ac:dyDescent="0.25">
      <c r="A173" s="149">
        <f>1</f>
        <v>1</v>
      </c>
      <c r="B173" s="131"/>
      <c r="C173" s="2"/>
      <c r="D173" s="2"/>
      <c r="E173" s="2"/>
      <c r="F173" s="2"/>
      <c r="G173" s="2"/>
      <c r="H173" s="2"/>
      <c r="I173" s="28"/>
      <c r="J173" s="2"/>
      <c r="K173" s="28"/>
      <c r="L173" s="2"/>
      <c r="M173" s="52"/>
      <c r="N173" s="2"/>
      <c r="O173" s="2"/>
      <c r="P173" s="36"/>
      <c r="Q173" s="36"/>
      <c r="R173" s="36"/>
      <c r="S173" s="36"/>
      <c r="T173" s="36"/>
      <c r="U173" s="36"/>
      <c r="V173" s="36"/>
      <c r="W173" s="36"/>
      <c r="X173" s="36"/>
      <c r="Y173" s="36"/>
      <c r="Z173" s="36"/>
      <c r="AA173" s="36"/>
      <c r="AB173" s="2"/>
    </row>
    <row r="174" spans="1:28" ht="3.9" hidden="1" customHeight="1" x14ac:dyDescent="0.25">
      <c r="A174" s="149">
        <f>1</f>
        <v>1</v>
      </c>
      <c r="B174" s="131"/>
      <c r="C174" s="2"/>
      <c r="D174" s="2"/>
      <c r="E174" s="2"/>
      <c r="F174" s="2"/>
      <c r="G174" s="2"/>
      <c r="H174" s="2"/>
      <c r="I174" s="28"/>
      <c r="J174" s="2"/>
      <c r="K174" s="28"/>
      <c r="L174" s="2"/>
      <c r="M174" s="52"/>
      <c r="N174" s="2"/>
      <c r="O174" s="2"/>
      <c r="P174" s="36"/>
      <c r="Q174" s="36"/>
      <c r="R174" s="36"/>
      <c r="S174" s="36"/>
      <c r="T174" s="36"/>
      <c r="U174" s="36"/>
      <c r="V174" s="36"/>
      <c r="W174" s="36"/>
      <c r="X174" s="36"/>
      <c r="Y174" s="36"/>
      <c r="Z174" s="36"/>
      <c r="AA174" s="36"/>
      <c r="AB174" s="2"/>
    </row>
    <row r="175" spans="1:28" s="5" customFormat="1" hidden="1" x14ac:dyDescent="0.25">
      <c r="A175" s="150">
        <f>1</f>
        <v>1</v>
      </c>
      <c r="B175" s="129" t="str">
        <f>структура!$J$12</f>
        <v>ОСНО</v>
      </c>
      <c r="C175" s="3"/>
      <c r="D175" s="3"/>
      <c r="E175" s="146" t="str">
        <f>KPI!$E$91</f>
        <v>финансовый поток (CF)</v>
      </c>
      <c r="F175" s="146"/>
      <c r="G175" s="146" t="str">
        <f>IF($E175="","",INDEX(KPI!$G:$G,SUMIFS(KPI!$B:$B,KPI!$E:$E,$E175)))</f>
        <v>тыс.руб.</v>
      </c>
      <c r="H175" s="146"/>
      <c r="I175" s="177"/>
      <c r="J175" s="146"/>
      <c r="K175" s="177"/>
      <c r="L175" s="146"/>
      <c r="M175" s="178">
        <f>SUM($O175:$AB175)</f>
        <v>14183.607323431641</v>
      </c>
      <c r="N175" s="3"/>
      <c r="O175" s="3"/>
      <c r="P175" s="179">
        <f>IF(P$1="",0,P155-P165)</f>
        <v>1210.6810040733117</v>
      </c>
      <c r="Q175" s="179">
        <f>IF(Q$1="",0,Q155-Q165)</f>
        <v>541.38721755048027</v>
      </c>
      <c r="R175" s="179">
        <f t="shared" ref="R175:AA175" si="9">IF(R$1="",0,R155-R165)</f>
        <v>1188.8973798064699</v>
      </c>
      <c r="S175" s="179">
        <f t="shared" si="9"/>
        <v>1493.5790623691273</v>
      </c>
      <c r="T175" s="179">
        <f t="shared" si="9"/>
        <v>2076.5156789388311</v>
      </c>
      <c r="U175" s="179">
        <f t="shared" si="9"/>
        <v>3138.7104260275437</v>
      </c>
      <c r="V175" s="179">
        <f t="shared" si="9"/>
        <v>4533.836554665877</v>
      </c>
      <c r="W175" s="179">
        <f t="shared" si="9"/>
        <v>0</v>
      </c>
      <c r="X175" s="179">
        <f t="shared" si="9"/>
        <v>0</v>
      </c>
      <c r="Y175" s="179">
        <f t="shared" si="9"/>
        <v>0</v>
      </c>
      <c r="Z175" s="179">
        <f t="shared" si="9"/>
        <v>0</v>
      </c>
      <c r="AA175" s="179">
        <f t="shared" si="9"/>
        <v>0</v>
      </c>
      <c r="AB175" s="3"/>
    </row>
    <row r="176" spans="1:28" s="5" customFormat="1" ht="3.9" hidden="1" customHeight="1" x14ac:dyDescent="0.25">
      <c r="A176" s="150">
        <f>1</f>
        <v>1</v>
      </c>
      <c r="B176" s="128"/>
      <c r="C176" s="3"/>
      <c r="D176" s="3"/>
      <c r="E176" s="3"/>
      <c r="F176" s="3"/>
      <c r="G176" s="3"/>
      <c r="H176" s="3"/>
      <c r="I176" s="28"/>
      <c r="J176" s="3"/>
      <c r="K176" s="28"/>
      <c r="L176" s="3"/>
      <c r="M176" s="55"/>
      <c r="N176" s="3"/>
      <c r="O176" s="3"/>
      <c r="P176" s="46"/>
      <c r="Q176" s="46"/>
      <c r="R176" s="46"/>
      <c r="S176" s="46"/>
      <c r="T176" s="46"/>
      <c r="U176" s="46"/>
      <c r="V176" s="46"/>
      <c r="W176" s="46"/>
      <c r="X176" s="46"/>
      <c r="Y176" s="46"/>
      <c r="Z176" s="46"/>
      <c r="AA176" s="46"/>
      <c r="AB176" s="3"/>
    </row>
    <row r="177" spans="1:28" s="5" customFormat="1" hidden="1" x14ac:dyDescent="0.25">
      <c r="A177" s="150">
        <f>1</f>
        <v>1</v>
      </c>
      <c r="B177" s="129" t="str">
        <f>структура!$J$13</f>
        <v>УСН(6%)</v>
      </c>
      <c r="C177" s="3"/>
      <c r="D177" s="3"/>
      <c r="E177" s="146" t="str">
        <f>E175</f>
        <v>финансовый поток (CF)</v>
      </c>
      <c r="F177" s="146"/>
      <c r="G177" s="146" t="str">
        <f>IF($E177="","",INDEX(KPI!$G:$G,SUMIFS(KPI!$B:$B,KPI!$E:$E,$E177)))</f>
        <v>тыс.руб.</v>
      </c>
      <c r="H177" s="146"/>
      <c r="I177" s="177"/>
      <c r="J177" s="146"/>
      <c r="K177" s="177"/>
      <c r="L177" s="146"/>
      <c r="M177" s="178">
        <f>SUM($O177:$AB177)</f>
        <v>19018.882692827941</v>
      </c>
      <c r="N177" s="3"/>
      <c r="O177" s="3"/>
      <c r="P177" s="179">
        <f>IF(P$1="",0,P157-P167)</f>
        <v>606.03450407331184</v>
      </c>
      <c r="Q177" s="179">
        <f>IF(Q$1="",0,Q157-Q167)</f>
        <v>929.06097267408313</v>
      </c>
      <c r="R177" s="179">
        <f t="shared" ref="R177:AA177" si="10">IF(R$1="",0,R157-R167)</f>
        <v>1726.18203273162</v>
      </c>
      <c r="S177" s="179">
        <f t="shared" si="10"/>
        <v>2275.5707353134567</v>
      </c>
      <c r="T177" s="179">
        <f t="shared" si="10"/>
        <v>3032.63691941044</v>
      </c>
      <c r="U177" s="179">
        <f t="shared" si="10"/>
        <v>4326.1870611981467</v>
      </c>
      <c r="V177" s="179">
        <f t="shared" si="10"/>
        <v>6123.210467426884</v>
      </c>
      <c r="W177" s="179">
        <f t="shared" si="10"/>
        <v>0</v>
      </c>
      <c r="X177" s="179">
        <f t="shared" si="10"/>
        <v>0</v>
      </c>
      <c r="Y177" s="179">
        <f t="shared" si="10"/>
        <v>0</v>
      </c>
      <c r="Z177" s="179">
        <f t="shared" si="10"/>
        <v>0</v>
      </c>
      <c r="AA177" s="179">
        <f t="shared" si="10"/>
        <v>0</v>
      </c>
      <c r="AB177" s="3"/>
    </row>
    <row r="178" spans="1:28" s="5" customFormat="1" ht="3.9" hidden="1" customHeight="1" x14ac:dyDescent="0.25">
      <c r="A178" s="150">
        <f>1</f>
        <v>1</v>
      </c>
      <c r="B178" s="128"/>
      <c r="C178" s="3"/>
      <c r="D178" s="3"/>
      <c r="E178" s="3"/>
      <c r="F178" s="3"/>
      <c r="G178" s="3"/>
      <c r="H178" s="3"/>
      <c r="I178" s="28"/>
      <c r="J178" s="3"/>
      <c r="K178" s="28"/>
      <c r="L178" s="3"/>
      <c r="M178" s="55"/>
      <c r="N178" s="3"/>
      <c r="O178" s="3"/>
      <c r="P178" s="46"/>
      <c r="Q178" s="46"/>
      <c r="R178" s="46"/>
      <c r="S178" s="46"/>
      <c r="T178" s="46"/>
      <c r="U178" s="46"/>
      <c r="V178" s="46"/>
      <c r="W178" s="46"/>
      <c r="X178" s="46"/>
      <c r="Y178" s="46"/>
      <c r="Z178" s="46"/>
      <c r="AA178" s="46"/>
      <c r="AB178" s="3"/>
    </row>
    <row r="179" spans="1:28" s="5" customFormat="1" hidden="1" x14ac:dyDescent="0.25">
      <c r="A179" s="150">
        <f>1</f>
        <v>1</v>
      </c>
      <c r="B179" s="129" t="str">
        <f>структура!$J$14</f>
        <v>УСН(15%)</v>
      </c>
      <c r="C179" s="3"/>
      <c r="D179" s="3"/>
      <c r="E179" s="146" t="str">
        <f>E175</f>
        <v>финансовый поток (CF)</v>
      </c>
      <c r="F179" s="146"/>
      <c r="G179" s="146" t="str">
        <f>IF($E179="","",INDEX(KPI!$G:$G,SUMIFS(KPI!$B:$B,KPI!$E:$E,$E179)))</f>
        <v>тыс.руб.</v>
      </c>
      <c r="H179" s="146"/>
      <c r="I179" s="177"/>
      <c r="J179" s="146"/>
      <c r="K179" s="177"/>
      <c r="L179" s="146"/>
      <c r="M179" s="178">
        <f>SUM($O179:$AB179)</f>
        <v>18118.602792738362</v>
      </c>
      <c r="N179" s="3"/>
      <c r="O179" s="3"/>
      <c r="P179" s="179">
        <f>IF(P$1="",0,P159-P169)</f>
        <v>606.03450407331184</v>
      </c>
      <c r="Q179" s="179">
        <f t="shared" ref="Q179:AA179" si="11">IF(Q$1="",0,Q159-Q169)</f>
        <v>979.87673078366697</v>
      </c>
      <c r="R179" s="179">
        <f t="shared" si="11"/>
        <v>1719.5728868305077</v>
      </c>
      <c r="S179" s="179">
        <f t="shared" si="11"/>
        <v>2173.693430403714</v>
      </c>
      <c r="T179" s="179">
        <f t="shared" si="11"/>
        <v>2862.3013091134217</v>
      </c>
      <c r="U179" s="179">
        <f t="shared" si="11"/>
        <v>4066.5915232865809</v>
      </c>
      <c r="V179" s="179">
        <f t="shared" si="11"/>
        <v>5710.5324082471616</v>
      </c>
      <c r="W179" s="179">
        <f t="shared" si="11"/>
        <v>0</v>
      </c>
      <c r="X179" s="179">
        <f t="shared" si="11"/>
        <v>0</v>
      </c>
      <c r="Y179" s="179">
        <f t="shared" si="11"/>
        <v>0</v>
      </c>
      <c r="Z179" s="179">
        <f t="shared" si="11"/>
        <v>0</v>
      </c>
      <c r="AA179" s="179">
        <f t="shared" si="11"/>
        <v>0</v>
      </c>
      <c r="AB179" s="3"/>
    </row>
    <row r="180" spans="1:28" s="5" customFormat="1" ht="3.9" hidden="1" customHeight="1" x14ac:dyDescent="0.25">
      <c r="A180" s="150">
        <f>1</f>
        <v>1</v>
      </c>
      <c r="B180" s="128"/>
      <c r="C180" s="3"/>
      <c r="D180" s="3"/>
      <c r="E180" s="3"/>
      <c r="F180" s="3"/>
      <c r="G180" s="3"/>
      <c r="H180" s="3"/>
      <c r="I180" s="28"/>
      <c r="J180" s="3"/>
      <c r="K180" s="28"/>
      <c r="L180" s="3"/>
      <c r="M180" s="55"/>
      <c r="N180" s="3"/>
      <c r="O180" s="3"/>
      <c r="P180" s="46"/>
      <c r="Q180" s="46"/>
      <c r="R180" s="46"/>
      <c r="S180" s="46"/>
      <c r="T180" s="46"/>
      <c r="U180" s="46"/>
      <c r="V180" s="46"/>
      <c r="W180" s="46"/>
      <c r="X180" s="46"/>
      <c r="Y180" s="46"/>
      <c r="Z180" s="46"/>
      <c r="AA180" s="46"/>
      <c r="AB180" s="3"/>
    </row>
    <row r="181" spans="1:28" s="5" customFormat="1" x14ac:dyDescent="0.25">
      <c r="A181" s="150">
        <f>1</f>
        <v>1</v>
      </c>
      <c r="B181" s="129" t="str">
        <f>структура!$J$15</f>
        <v>УСН(6%)-ИП</v>
      </c>
      <c r="C181" s="3"/>
      <c r="D181" s="3"/>
      <c r="E181" s="146" t="str">
        <f>E175</f>
        <v>финансовый поток (CF)</v>
      </c>
      <c r="F181" s="146"/>
      <c r="G181" s="146" t="str">
        <f>IF($E181="","",INDEX(KPI!$G:$G,SUMIFS(KPI!$B:$B,KPI!$E:$E,$E181)))</f>
        <v>тыс.руб.</v>
      </c>
      <c r="H181" s="146"/>
      <c r="I181" s="177"/>
      <c r="J181" s="146"/>
      <c r="K181" s="177"/>
      <c r="L181" s="146"/>
      <c r="M181" s="178">
        <f>SUM($O181:$AB181)</f>
        <v>19684.882692827941</v>
      </c>
      <c r="N181" s="3"/>
      <c r="O181" s="3"/>
      <c r="P181" s="179">
        <f>IF(P$1="",0,P161-P171)</f>
        <v>606.03450407331184</v>
      </c>
      <c r="Q181" s="179">
        <f t="shared" ref="Q181:AA181" si="12">IF(Q$1="",0,Q161-Q171)</f>
        <v>1064.0609726740831</v>
      </c>
      <c r="R181" s="179">
        <f t="shared" si="12"/>
        <v>1879.18203273162</v>
      </c>
      <c r="S181" s="179">
        <f t="shared" si="12"/>
        <v>2455.5707353134567</v>
      </c>
      <c r="T181" s="179">
        <f t="shared" si="12"/>
        <v>3230.63691941044</v>
      </c>
      <c r="U181" s="179">
        <f t="shared" si="12"/>
        <v>4326.1870611981467</v>
      </c>
      <c r="V181" s="179">
        <f t="shared" si="12"/>
        <v>6123.210467426884</v>
      </c>
      <c r="W181" s="179">
        <f t="shared" si="12"/>
        <v>0</v>
      </c>
      <c r="X181" s="179">
        <f t="shared" si="12"/>
        <v>0</v>
      </c>
      <c r="Y181" s="179">
        <f t="shared" si="12"/>
        <v>0</v>
      </c>
      <c r="Z181" s="179">
        <f t="shared" si="12"/>
        <v>0</v>
      </c>
      <c r="AA181" s="179">
        <f t="shared" si="12"/>
        <v>0</v>
      </c>
      <c r="AB181" s="3"/>
    </row>
    <row r="182" spans="1:28" ht="3.9" hidden="1" customHeight="1" x14ac:dyDescent="0.25">
      <c r="A182" s="149">
        <f>1</f>
        <v>1</v>
      </c>
      <c r="B182" s="131"/>
      <c r="C182" s="2"/>
      <c r="D182" s="2"/>
      <c r="E182" s="119"/>
      <c r="F182" s="2"/>
      <c r="G182" s="119"/>
      <c r="H182" s="2"/>
      <c r="I182" s="28"/>
      <c r="J182" s="2"/>
      <c r="K182" s="28"/>
      <c r="L182" s="2"/>
      <c r="M182" s="142"/>
      <c r="N182" s="2"/>
      <c r="O182" s="2"/>
      <c r="P182" s="36"/>
      <c r="Q182" s="36"/>
      <c r="R182" s="36"/>
      <c r="S182" s="36"/>
      <c r="T182" s="36"/>
      <c r="U182" s="36"/>
      <c r="V182" s="36"/>
      <c r="W182" s="36"/>
      <c r="X182" s="36"/>
      <c r="Y182" s="36"/>
      <c r="Z182" s="36"/>
      <c r="AA182" s="36"/>
      <c r="AB182" s="2"/>
    </row>
    <row r="183" spans="1:28" ht="8.1" hidden="1" customHeight="1" x14ac:dyDescent="0.25">
      <c r="A183" s="149">
        <f>1</f>
        <v>1</v>
      </c>
      <c r="B183" s="131"/>
      <c r="C183" s="2"/>
      <c r="D183" s="2"/>
      <c r="E183" s="2"/>
      <c r="F183" s="2"/>
      <c r="G183" s="2"/>
      <c r="H183" s="2"/>
      <c r="I183" s="28"/>
      <c r="J183" s="2"/>
      <c r="K183" s="28"/>
      <c r="L183" s="2"/>
      <c r="M183" s="52"/>
      <c r="N183" s="2"/>
      <c r="O183" s="2"/>
      <c r="P183" s="36"/>
      <c r="Q183" s="36"/>
      <c r="R183" s="36"/>
      <c r="S183" s="36"/>
      <c r="T183" s="36"/>
      <c r="U183" s="36"/>
      <c r="V183" s="36"/>
      <c r="W183" s="36"/>
      <c r="X183" s="36"/>
      <c r="Y183" s="36"/>
      <c r="Z183" s="36"/>
      <c r="AA183" s="36"/>
      <c r="AB183" s="2"/>
    </row>
    <row r="184" spans="1:28" s="5" customFormat="1" hidden="1" x14ac:dyDescent="0.25">
      <c r="A184" s="150">
        <f>1</f>
        <v>1</v>
      </c>
      <c r="B184" s="131"/>
      <c r="C184" s="3"/>
      <c r="D184" s="3"/>
      <c r="E184" s="3"/>
      <c r="F184" s="3"/>
      <c r="G184" s="3"/>
      <c r="H184" s="3"/>
      <c r="I184" s="28"/>
      <c r="J184" s="3"/>
      <c r="K184" s="28"/>
      <c r="L184" s="3"/>
      <c r="M184" s="55"/>
      <c r="N184" s="3"/>
      <c r="O184" s="3"/>
      <c r="P184" s="46"/>
      <c r="Q184" s="46"/>
      <c r="R184" s="46"/>
      <c r="S184" s="46"/>
      <c r="T184" s="46"/>
      <c r="U184" s="46"/>
      <c r="V184" s="46"/>
      <c r="W184" s="46"/>
      <c r="X184" s="46"/>
      <c r="Y184" s="46"/>
      <c r="Z184" s="46"/>
      <c r="AA184" s="46"/>
      <c r="AB184" s="3"/>
    </row>
    <row r="185" spans="1:28" ht="3.9" hidden="1" customHeight="1" x14ac:dyDescent="0.25">
      <c r="A185" s="149">
        <f>1</f>
        <v>1</v>
      </c>
      <c r="B185" s="131"/>
      <c r="C185" s="2"/>
      <c r="D185" s="2"/>
      <c r="E185" s="2"/>
      <c r="F185" s="2"/>
      <c r="G185" s="2"/>
      <c r="H185" s="2"/>
      <c r="I185" s="28"/>
      <c r="J185" s="2"/>
      <c r="K185" s="28"/>
      <c r="L185" s="2"/>
      <c r="M185" s="52"/>
      <c r="N185" s="2"/>
      <c r="O185" s="2"/>
      <c r="P185" s="36"/>
      <c r="Q185" s="36"/>
      <c r="R185" s="36"/>
      <c r="S185" s="36"/>
      <c r="T185" s="36"/>
      <c r="U185" s="36"/>
      <c r="V185" s="36"/>
      <c r="W185" s="36"/>
      <c r="X185" s="36"/>
      <c r="Y185" s="36"/>
      <c r="Z185" s="36"/>
      <c r="AA185" s="36"/>
      <c r="AB185" s="2"/>
    </row>
    <row r="186" spans="1:28" s="5" customFormat="1" hidden="1" x14ac:dyDescent="0.25">
      <c r="A186" s="150">
        <f>1</f>
        <v>1</v>
      </c>
      <c r="B186" s="131"/>
      <c r="C186" s="3"/>
      <c r="D186" s="3"/>
      <c r="E186" s="181" t="s">
        <v>286</v>
      </c>
      <c r="F186" s="3"/>
      <c r="G186" s="3"/>
      <c r="H186" s="3"/>
      <c r="I186" s="28"/>
      <c r="J186" s="3"/>
      <c r="K186" s="28"/>
      <c r="L186" s="3"/>
      <c r="M186" s="55"/>
      <c r="N186" s="3"/>
      <c r="O186" s="3"/>
      <c r="P186" s="46"/>
      <c r="Q186" s="46"/>
      <c r="R186" s="46"/>
      <c r="S186" s="46"/>
      <c r="T186" s="46"/>
      <c r="U186" s="46"/>
      <c r="V186" s="46"/>
      <c r="W186" s="46"/>
      <c r="X186" s="46"/>
      <c r="Y186" s="46"/>
      <c r="Z186" s="46"/>
      <c r="AA186" s="46"/>
      <c r="AB186" s="3"/>
    </row>
    <row r="187" spans="1:28" ht="3.9" hidden="1" customHeight="1" x14ac:dyDescent="0.25">
      <c r="A187" s="149">
        <f>1</f>
        <v>1</v>
      </c>
      <c r="B187" s="131"/>
      <c r="C187" s="2"/>
      <c r="D187" s="2"/>
      <c r="E187" s="2"/>
      <c r="F187" s="2"/>
      <c r="G187" s="2"/>
      <c r="H187" s="2"/>
      <c r="I187" s="28"/>
      <c r="J187" s="2"/>
      <c r="K187" s="28"/>
      <c r="L187" s="2"/>
      <c r="M187" s="52"/>
      <c r="N187" s="2"/>
      <c r="O187" s="2"/>
      <c r="P187" s="36"/>
      <c r="Q187" s="36"/>
      <c r="R187" s="36"/>
      <c r="S187" s="36"/>
      <c r="T187" s="36"/>
      <c r="U187" s="36"/>
      <c r="V187" s="36"/>
      <c r="W187" s="36"/>
      <c r="X187" s="36"/>
      <c r="Y187" s="36"/>
      <c r="Z187" s="36"/>
      <c r="AA187" s="36"/>
      <c r="AB187" s="2"/>
    </row>
    <row r="188" spans="1:28" ht="8.1" hidden="1" customHeight="1" x14ac:dyDescent="0.25">
      <c r="A188" s="149">
        <f>1</f>
        <v>1</v>
      </c>
      <c r="B188" s="131"/>
      <c r="C188" s="2"/>
      <c r="D188" s="2"/>
      <c r="E188" s="2"/>
      <c r="F188" s="2"/>
      <c r="G188" s="2"/>
      <c r="H188" s="2"/>
      <c r="I188" s="28"/>
      <c r="J188" s="2"/>
      <c r="K188" s="28"/>
      <c r="L188" s="2"/>
      <c r="M188" s="52"/>
      <c r="N188" s="2"/>
      <c r="O188" s="2"/>
      <c r="P188" s="36"/>
      <c r="Q188" s="36"/>
      <c r="R188" s="36"/>
      <c r="S188" s="36"/>
      <c r="T188" s="36"/>
      <c r="U188" s="36"/>
      <c r="V188" s="36"/>
      <c r="W188" s="36"/>
      <c r="X188" s="36"/>
      <c r="Y188" s="36"/>
      <c r="Z188" s="36"/>
      <c r="AA188" s="36"/>
      <c r="AB188" s="2"/>
    </row>
    <row r="189" spans="1:28" ht="3.9" hidden="1" customHeight="1" thickBot="1" x14ac:dyDescent="0.3">
      <c r="A189" s="149">
        <f>1</f>
        <v>1</v>
      </c>
      <c r="B189" s="131"/>
      <c r="C189" s="2"/>
      <c r="D189" s="2"/>
      <c r="E189" s="2"/>
      <c r="F189" s="2"/>
      <c r="G189" s="2"/>
      <c r="H189" s="2"/>
      <c r="I189" s="28"/>
      <c r="J189" s="2"/>
      <c r="K189" s="28"/>
      <c r="L189" s="2"/>
      <c r="M189" s="52"/>
      <c r="N189" s="2"/>
      <c r="O189" s="2"/>
      <c r="P189" s="36"/>
      <c r="Q189" s="36"/>
      <c r="R189" s="36"/>
      <c r="S189" s="36"/>
      <c r="T189" s="36"/>
      <c r="U189" s="36"/>
      <c r="V189" s="36"/>
      <c r="W189" s="36"/>
      <c r="X189" s="36"/>
      <c r="Y189" s="36"/>
      <c r="Z189" s="36"/>
      <c r="AA189" s="36"/>
      <c r="AB189" s="2"/>
    </row>
    <row r="190" spans="1:28" s="5" customFormat="1" ht="12.6" hidden="1" thickBot="1" x14ac:dyDescent="0.3">
      <c r="A190" s="150">
        <f>1</f>
        <v>1</v>
      </c>
      <c r="B190" s="129"/>
      <c r="C190" s="3"/>
      <c r="D190" s="3"/>
      <c r="E190" s="183" t="str">
        <f>KPI!$E$98</f>
        <v>Инвестиционные вложения</v>
      </c>
      <c r="F190" s="183"/>
      <c r="G190" s="183" t="str">
        <f>IF($E190="","",INDEX(KPI!$G:$G,SUMIFS(KPI!$B:$B,KPI!$E:$E,$E190)))</f>
        <v>тыс.руб.</v>
      </c>
      <c r="H190" s="183"/>
      <c r="I190" s="184"/>
      <c r="J190" s="183"/>
      <c r="K190" s="184"/>
      <c r="L190" s="183"/>
      <c r="M190" s="186">
        <f>капитал!$J$20*IF(аренда!$M$41+аренда!$M$43=0,0,P$11/(аренда!$M$41+аренда!$M$43))+(капитал!$J$87/1000)</f>
        <v>9977.8790000000008</v>
      </c>
      <c r="N190" s="3"/>
      <c r="O190" s="3"/>
      <c r="P190" s="46"/>
      <c r="Q190" s="46"/>
      <c r="R190" s="46"/>
      <c r="S190" s="46"/>
      <c r="T190" s="46"/>
      <c r="U190" s="46"/>
      <c r="V190" s="46"/>
      <c r="W190" s="46"/>
      <c r="X190" s="46"/>
      <c r="Y190" s="46"/>
      <c r="Z190" s="46"/>
      <c r="AA190" s="46"/>
      <c r="AB190" s="3"/>
    </row>
    <row r="191" spans="1:28" ht="3.9" hidden="1" customHeight="1" x14ac:dyDescent="0.25">
      <c r="A191" s="149">
        <f>1</f>
        <v>1</v>
      </c>
      <c r="B191" s="131"/>
      <c r="C191" s="2"/>
      <c r="D191" s="2"/>
      <c r="E191" s="140"/>
      <c r="F191" s="2"/>
      <c r="G191" s="140"/>
      <c r="H191" s="2"/>
      <c r="I191" s="28"/>
      <c r="J191" s="2"/>
      <c r="K191" s="28"/>
      <c r="L191" s="2"/>
      <c r="M191" s="141"/>
      <c r="N191" s="2"/>
      <c r="O191" s="2"/>
      <c r="P191" s="36"/>
      <c r="Q191" s="36"/>
      <c r="R191" s="36"/>
      <c r="S191" s="36"/>
      <c r="T191" s="36"/>
      <c r="U191" s="36"/>
      <c r="V191" s="36"/>
      <c r="W191" s="36"/>
      <c r="X191" s="36"/>
      <c r="Y191" s="36"/>
      <c r="Z191" s="36"/>
      <c r="AA191" s="36"/>
      <c r="AB191" s="2"/>
    </row>
    <row r="192" spans="1:28" ht="3.9" hidden="1" customHeight="1" x14ac:dyDescent="0.25">
      <c r="A192" s="149">
        <f>1</f>
        <v>1</v>
      </c>
      <c r="B192" s="131"/>
      <c r="C192" s="2"/>
      <c r="D192" s="2"/>
      <c r="E192" s="2"/>
      <c r="F192" s="2"/>
      <c r="G192" s="2"/>
      <c r="H192" s="2"/>
      <c r="I192" s="28"/>
      <c r="J192" s="2"/>
      <c r="K192" s="28"/>
      <c r="L192" s="2"/>
      <c r="M192" s="52"/>
      <c r="N192" s="2"/>
      <c r="O192" s="2"/>
      <c r="P192" s="36"/>
      <c r="Q192" s="36"/>
      <c r="R192" s="36"/>
      <c r="S192" s="36"/>
      <c r="T192" s="36"/>
      <c r="U192" s="36"/>
      <c r="V192" s="36"/>
      <c r="W192" s="36"/>
      <c r="X192" s="36"/>
      <c r="Y192" s="36"/>
      <c r="Z192" s="36"/>
      <c r="AA192" s="36"/>
      <c r="AB192" s="2"/>
    </row>
    <row r="193" spans="1:28" s="5" customFormat="1" hidden="1" x14ac:dyDescent="0.25">
      <c r="A193" s="150">
        <f>1</f>
        <v>1</v>
      </c>
      <c r="B193" s="129"/>
      <c r="C193" s="3"/>
      <c r="D193" s="3"/>
      <c r="E193" s="3" t="str">
        <f>KPI!$E$99</f>
        <v>Коэффициент дисконтиования</v>
      </c>
      <c r="F193" s="3"/>
      <c r="G193" s="3" t="str">
        <f>IF($E193="","",INDEX(KPI!$G:$G,SUMIFS(KPI!$B:$B,KPI!$E:$E,$E193)))</f>
        <v>%</v>
      </c>
      <c r="H193" s="3"/>
      <c r="I193" s="28"/>
      <c r="J193" s="3"/>
      <c r="K193" s="28"/>
      <c r="L193" s="3"/>
      <c r="M193" s="55"/>
      <c r="N193" s="3"/>
      <c r="O193" s="3"/>
      <c r="P193" s="185">
        <f>IF(P$1="",0,(1+операции!P$445))</f>
        <v>1.1000000000000001</v>
      </c>
      <c r="Q193" s="185">
        <f>IF(Q$1="",0,P193*(1+операции!Q$445))</f>
        <v>1.2100000000000002</v>
      </c>
      <c r="R193" s="185">
        <f>IF(R$1="",0,Q193*(1+операции!R$445))</f>
        <v>1.3310000000000004</v>
      </c>
      <c r="S193" s="185">
        <f>IF(S$1="",0,R193*(1+операции!S$445))</f>
        <v>1.4641000000000006</v>
      </c>
      <c r="T193" s="185">
        <f>IF(T$1="",0,S193*(1+операции!T$445))</f>
        <v>1.6105100000000008</v>
      </c>
      <c r="U193" s="185">
        <f>IF(U$1="",0,T193*(1+операции!U$445))</f>
        <v>1.7715610000000011</v>
      </c>
      <c r="V193" s="185">
        <f>IF(V$1="",0,U193*(1+операции!V$445))</f>
        <v>1.9487171000000014</v>
      </c>
      <c r="W193" s="185">
        <f>IF(W$1="",0,V193*(1+операции!W$445))</f>
        <v>0</v>
      </c>
      <c r="X193" s="185">
        <f>IF(X$1="",0,W193*(1+операции!X$445))</f>
        <v>0</v>
      </c>
      <c r="Y193" s="185">
        <f>IF(Y$1="",0,X193*(1+операции!Y$445))</f>
        <v>0</v>
      </c>
      <c r="Z193" s="185">
        <f>IF(Z$1="",0,Y193*(1+операции!Z$445))</f>
        <v>0</v>
      </c>
      <c r="AA193" s="185">
        <f>IF(AA$1="",0,Z193*(1+операции!AA$445))</f>
        <v>0</v>
      </c>
      <c r="AB193" s="3"/>
    </row>
    <row r="194" spans="1:28" s="5" customFormat="1" ht="3.9" hidden="1" customHeight="1" x14ac:dyDescent="0.25">
      <c r="A194" s="150">
        <f>1</f>
        <v>1</v>
      </c>
      <c r="B194" s="128"/>
      <c r="C194" s="3"/>
      <c r="D194" s="3"/>
      <c r="E194" s="3"/>
      <c r="F194" s="3"/>
      <c r="G194" s="3"/>
      <c r="H194" s="3"/>
      <c r="I194" s="28"/>
      <c r="J194" s="3"/>
      <c r="K194" s="28"/>
      <c r="L194" s="3"/>
      <c r="M194" s="55"/>
      <c r="N194" s="3"/>
      <c r="O194" s="3"/>
      <c r="P194" s="46"/>
      <c r="Q194" s="46"/>
      <c r="R194" s="46"/>
      <c r="S194" s="46"/>
      <c r="T194" s="46"/>
      <c r="U194" s="46"/>
      <c r="V194" s="46"/>
      <c r="W194" s="46"/>
      <c r="X194" s="46"/>
      <c r="Y194" s="46"/>
      <c r="Z194" s="46"/>
      <c r="AA194" s="46"/>
      <c r="AB194" s="3"/>
    </row>
    <row r="195" spans="1:28" ht="3.9" hidden="1" customHeight="1" x14ac:dyDescent="0.25">
      <c r="A195" s="149">
        <f>1</f>
        <v>1</v>
      </c>
      <c r="B195" s="131"/>
      <c r="C195" s="2"/>
      <c r="D195" s="2"/>
      <c r="E195" s="2"/>
      <c r="F195" s="2"/>
      <c r="G195" s="2"/>
      <c r="H195" s="2"/>
      <c r="I195" s="28"/>
      <c r="J195" s="2"/>
      <c r="K195" s="28"/>
      <c r="L195" s="2"/>
      <c r="M195" s="52"/>
      <c r="N195" s="2"/>
      <c r="O195" s="2"/>
      <c r="P195" s="36"/>
      <c r="Q195" s="36"/>
      <c r="R195" s="36"/>
      <c r="S195" s="36"/>
      <c r="T195" s="36"/>
      <c r="U195" s="36"/>
      <c r="V195" s="36"/>
      <c r="W195" s="36"/>
      <c r="X195" s="36"/>
      <c r="Y195" s="36"/>
      <c r="Z195" s="36"/>
      <c r="AA195" s="36"/>
      <c r="AB195" s="2"/>
    </row>
    <row r="196" spans="1:28" s="5" customFormat="1" hidden="1" x14ac:dyDescent="0.25">
      <c r="A196" s="150">
        <f>1</f>
        <v>1</v>
      </c>
      <c r="B196" s="129" t="str">
        <f>структура!$J$12</f>
        <v>ОСНО</v>
      </c>
      <c r="C196" s="3"/>
      <c r="D196" s="3"/>
      <c r="E196" s="146" t="str">
        <f>KPI!$E$100</f>
        <v>NPV(CF)</v>
      </c>
      <c r="F196" s="146"/>
      <c r="G196" s="146" t="str">
        <f>IF($E196="","",INDEX(KPI!$G:$G,SUMIFS(KPI!$B:$B,KPI!$E:$E,$E196)))</f>
        <v>тыс.руб.</v>
      </c>
      <c r="H196" s="146"/>
      <c r="I196" s="177"/>
      <c r="J196" s="146"/>
      <c r="K196" s="177"/>
      <c r="L196" s="146"/>
      <c r="M196" s="178">
        <f>SUM($O196:$AB196)</f>
        <v>8849.0654485427658</v>
      </c>
      <c r="N196" s="3"/>
      <c r="O196" s="3"/>
      <c r="P196" s="179">
        <f>IF(P$1="",0,IF(P$193=0,0,P175/P$193))</f>
        <v>1100.6190946121014</v>
      </c>
      <c r="Q196" s="179">
        <f t="shared" ref="Q196:AA196" si="13">IF(Q$1="",0,IF(Q$193=0,0,Q175/Q$193))</f>
        <v>447.427452521058</v>
      </c>
      <c r="R196" s="179">
        <f t="shared" si="13"/>
        <v>893.23619820170507</v>
      </c>
      <c r="S196" s="179">
        <f t="shared" si="13"/>
        <v>1020.1345962496597</v>
      </c>
      <c r="T196" s="179">
        <f t="shared" si="13"/>
        <v>1289.3528627197784</v>
      </c>
      <c r="U196" s="179">
        <f t="shared" si="13"/>
        <v>1771.7202094805325</v>
      </c>
      <c r="V196" s="179">
        <f t="shared" si="13"/>
        <v>2326.5750347579306</v>
      </c>
      <c r="W196" s="179">
        <f t="shared" si="13"/>
        <v>0</v>
      </c>
      <c r="X196" s="179">
        <f t="shared" si="13"/>
        <v>0</v>
      </c>
      <c r="Y196" s="179">
        <f t="shared" si="13"/>
        <v>0</v>
      </c>
      <c r="Z196" s="179">
        <f t="shared" si="13"/>
        <v>0</v>
      </c>
      <c r="AA196" s="179">
        <f t="shared" si="13"/>
        <v>0</v>
      </c>
      <c r="AB196" s="3"/>
    </row>
    <row r="197" spans="1:28" s="5" customFormat="1" ht="3.9" hidden="1" customHeight="1" x14ac:dyDescent="0.25">
      <c r="A197" s="150">
        <f>1</f>
        <v>1</v>
      </c>
      <c r="B197" s="128"/>
      <c r="C197" s="3"/>
      <c r="D197" s="3"/>
      <c r="E197" s="3"/>
      <c r="F197" s="3"/>
      <c r="G197" s="3"/>
      <c r="H197" s="3"/>
      <c r="I197" s="28"/>
      <c r="J197" s="3"/>
      <c r="K197" s="28"/>
      <c r="L197" s="3"/>
      <c r="M197" s="55"/>
      <c r="N197" s="3"/>
      <c r="O197" s="3"/>
      <c r="P197" s="46"/>
      <c r="Q197" s="46"/>
      <c r="R197" s="46"/>
      <c r="S197" s="46"/>
      <c r="T197" s="46"/>
      <c r="U197" s="46"/>
      <c r="V197" s="46"/>
      <c r="W197" s="46"/>
      <c r="X197" s="46"/>
      <c r="Y197" s="46"/>
      <c r="Z197" s="46"/>
      <c r="AA197" s="46"/>
      <c r="AB197" s="3"/>
    </row>
    <row r="198" spans="1:28" s="5" customFormat="1" hidden="1" x14ac:dyDescent="0.25">
      <c r="A198" s="150">
        <f>1</f>
        <v>1</v>
      </c>
      <c r="B198" s="129" t="str">
        <f>структура!$J$13</f>
        <v>УСН(6%)</v>
      </c>
      <c r="C198" s="3"/>
      <c r="D198" s="3"/>
      <c r="E198" s="146" t="str">
        <f>E196</f>
        <v>NPV(CF)</v>
      </c>
      <c r="F198" s="146"/>
      <c r="G198" s="146" t="str">
        <f>IF($E198="","",INDEX(KPI!$G:$G,SUMIFS(KPI!$B:$B,KPI!$E:$E,$E198)))</f>
        <v>тыс.руб.</v>
      </c>
      <c r="H198" s="146"/>
      <c r="I198" s="177"/>
      <c r="J198" s="146"/>
      <c r="K198" s="177"/>
      <c r="L198" s="146"/>
      <c r="M198" s="178">
        <f>SUM($O198:$AB198)</f>
        <v>11637.134886961272</v>
      </c>
      <c r="N198" s="3"/>
      <c r="O198" s="3"/>
      <c r="P198" s="179">
        <f>IF(P$1="",0,IF(P$193=0,0,P177/P$193))</f>
        <v>550.94045824846523</v>
      </c>
      <c r="Q198" s="179">
        <f t="shared" ref="Q198:AA198" si="14">IF(Q$1="",0,IF(Q$193=0,0,Q177/Q$193))</f>
        <v>767.81898568106033</v>
      </c>
      <c r="R198" s="179">
        <f t="shared" si="14"/>
        <v>1296.9061102416374</v>
      </c>
      <c r="S198" s="179">
        <f t="shared" si="14"/>
        <v>1554.245430854078</v>
      </c>
      <c r="T198" s="179">
        <f t="shared" si="14"/>
        <v>1883.02892835837</v>
      </c>
      <c r="U198" s="179">
        <f t="shared" si="14"/>
        <v>2442.0198125823181</v>
      </c>
      <c r="V198" s="179">
        <f t="shared" si="14"/>
        <v>3142.175160995344</v>
      </c>
      <c r="W198" s="179">
        <f t="shared" si="14"/>
        <v>0</v>
      </c>
      <c r="X198" s="179">
        <f t="shared" si="14"/>
        <v>0</v>
      </c>
      <c r="Y198" s="179">
        <f t="shared" si="14"/>
        <v>0</v>
      </c>
      <c r="Z198" s="179">
        <f t="shared" si="14"/>
        <v>0</v>
      </c>
      <c r="AA198" s="179">
        <f t="shared" si="14"/>
        <v>0</v>
      </c>
      <c r="AB198" s="3"/>
    </row>
    <row r="199" spans="1:28" s="5" customFormat="1" ht="3.9" hidden="1" customHeight="1" x14ac:dyDescent="0.25">
      <c r="A199" s="150">
        <f>1</f>
        <v>1</v>
      </c>
      <c r="B199" s="128"/>
      <c r="C199" s="3"/>
      <c r="D199" s="3"/>
      <c r="E199" s="3"/>
      <c r="F199" s="3"/>
      <c r="G199" s="3"/>
      <c r="H199" s="3"/>
      <c r="I199" s="28"/>
      <c r="J199" s="3"/>
      <c r="K199" s="28"/>
      <c r="L199" s="3"/>
      <c r="M199" s="55"/>
      <c r="N199" s="3"/>
      <c r="O199" s="3"/>
      <c r="P199" s="46"/>
      <c r="Q199" s="46"/>
      <c r="R199" s="46"/>
      <c r="S199" s="46"/>
      <c r="T199" s="46"/>
      <c r="U199" s="46"/>
      <c r="V199" s="46"/>
      <c r="W199" s="46"/>
      <c r="X199" s="46"/>
      <c r="Y199" s="46"/>
      <c r="Z199" s="46"/>
      <c r="AA199" s="46"/>
      <c r="AB199" s="3"/>
    </row>
    <row r="200" spans="1:28" s="5" customFormat="1" hidden="1" x14ac:dyDescent="0.25">
      <c r="A200" s="150">
        <f>1</f>
        <v>1</v>
      </c>
      <c r="B200" s="129" t="str">
        <f>структура!$J$14</f>
        <v>УСН(15%)</v>
      </c>
      <c r="C200" s="3"/>
      <c r="D200" s="3"/>
      <c r="E200" s="146" t="str">
        <f>E196</f>
        <v>NPV(CF)</v>
      </c>
      <c r="F200" s="146"/>
      <c r="G200" s="146" t="str">
        <f>IF($E200="","",INDEX(KPI!$G:$G,SUMIFS(KPI!$B:$B,KPI!$E:$E,$E200)))</f>
        <v>тыс.руб.</v>
      </c>
      <c r="H200" s="146"/>
      <c r="I200" s="177"/>
      <c r="J200" s="146"/>
      <c r="K200" s="177"/>
      <c r="L200" s="146"/>
      <c r="M200" s="178">
        <f>SUM($O200:$AB200)</f>
        <v>11140.51323977736</v>
      </c>
      <c r="N200" s="3"/>
      <c r="O200" s="3"/>
      <c r="P200" s="179">
        <f>IF(P$1="",0,IF(P$193=0,0,P179/P$193))</f>
        <v>550.94045824846523</v>
      </c>
      <c r="Q200" s="179">
        <f t="shared" ref="Q200:AA200" si="15">IF(Q$1="",0,IF(Q$193=0,0,Q179/Q$193))</f>
        <v>809.81547998650149</v>
      </c>
      <c r="R200" s="179">
        <f t="shared" si="15"/>
        <v>1291.9405611048139</v>
      </c>
      <c r="S200" s="179">
        <f t="shared" si="15"/>
        <v>1484.6618608043939</v>
      </c>
      <c r="T200" s="179">
        <f t="shared" si="15"/>
        <v>1777.2639158486568</v>
      </c>
      <c r="U200" s="179">
        <f t="shared" si="15"/>
        <v>2295.4848990729524</v>
      </c>
      <c r="V200" s="179">
        <f t="shared" si="15"/>
        <v>2930.4060647115775</v>
      </c>
      <c r="W200" s="179">
        <f t="shared" si="15"/>
        <v>0</v>
      </c>
      <c r="X200" s="179">
        <f t="shared" si="15"/>
        <v>0</v>
      </c>
      <c r="Y200" s="179">
        <f t="shared" si="15"/>
        <v>0</v>
      </c>
      <c r="Z200" s="179">
        <f t="shared" si="15"/>
        <v>0</v>
      </c>
      <c r="AA200" s="179">
        <f t="shared" si="15"/>
        <v>0</v>
      </c>
      <c r="AB200" s="3"/>
    </row>
    <row r="201" spans="1:28" s="5" customFormat="1" ht="3.9" hidden="1" customHeight="1" x14ac:dyDescent="0.25">
      <c r="A201" s="150">
        <f>1</f>
        <v>1</v>
      </c>
      <c r="B201" s="128"/>
      <c r="C201" s="3"/>
      <c r="D201" s="3"/>
      <c r="E201" s="3"/>
      <c r="F201" s="3"/>
      <c r="G201" s="3"/>
      <c r="H201" s="3"/>
      <c r="I201" s="28"/>
      <c r="J201" s="3"/>
      <c r="K201" s="28"/>
      <c r="L201" s="3"/>
      <c r="M201" s="55"/>
      <c r="N201" s="3"/>
      <c r="O201" s="3"/>
      <c r="P201" s="46"/>
      <c r="Q201" s="46"/>
      <c r="R201" s="46"/>
      <c r="S201" s="46"/>
      <c r="T201" s="46"/>
      <c r="U201" s="46"/>
      <c r="V201" s="46"/>
      <c r="W201" s="46"/>
      <c r="X201" s="46"/>
      <c r="Y201" s="46"/>
      <c r="Z201" s="46"/>
      <c r="AA201" s="46"/>
      <c r="AB201" s="3"/>
    </row>
    <row r="202" spans="1:28" s="5" customFormat="1" x14ac:dyDescent="0.25">
      <c r="A202" s="150">
        <f>1</f>
        <v>1</v>
      </c>
      <c r="B202" s="129" t="str">
        <f>структура!$J$15</f>
        <v>УСН(6%)-ИП</v>
      </c>
      <c r="C202" s="3"/>
      <c r="D202" s="3"/>
      <c r="E202" s="146" t="str">
        <f>E196</f>
        <v>NPV(CF)</v>
      </c>
      <c r="F202" s="146"/>
      <c r="G202" s="146" t="str">
        <f>IF($E202="","",INDEX(KPI!$G:$G,SUMIFS(KPI!$B:$B,KPI!$E:$E,$E202)))</f>
        <v>тыс.руб.</v>
      </c>
      <c r="H202" s="146"/>
      <c r="I202" s="177"/>
      <c r="J202" s="146"/>
      <c r="K202" s="177"/>
      <c r="L202" s="146"/>
      <c r="M202" s="178">
        <f>SUM($O202:$AB202)</f>
        <v>12109.541143364524</v>
      </c>
      <c r="N202" s="3"/>
      <c r="O202" s="3"/>
      <c r="P202" s="179">
        <f>IF(P$1="",0,IF(P$193=0,0,P181/P$193))</f>
        <v>550.94045824846523</v>
      </c>
      <c r="Q202" s="179">
        <f t="shared" ref="Q202:AA202" si="16">IF(Q$1="",0,IF(Q$193=0,0,Q181/Q$193))</f>
        <v>879.3892336149446</v>
      </c>
      <c r="R202" s="179">
        <f t="shared" si="16"/>
        <v>1411.8572747795788</v>
      </c>
      <c r="S202" s="179">
        <f t="shared" si="16"/>
        <v>1677.1878528197908</v>
      </c>
      <c r="T202" s="179">
        <f t="shared" si="16"/>
        <v>2005.9713503240828</v>
      </c>
      <c r="U202" s="179">
        <f t="shared" si="16"/>
        <v>2442.0198125823181</v>
      </c>
      <c r="V202" s="179">
        <f t="shared" si="16"/>
        <v>3142.175160995344</v>
      </c>
      <c r="W202" s="179">
        <f t="shared" si="16"/>
        <v>0</v>
      </c>
      <c r="X202" s="179">
        <f t="shared" si="16"/>
        <v>0</v>
      </c>
      <c r="Y202" s="179">
        <f t="shared" si="16"/>
        <v>0</v>
      </c>
      <c r="Z202" s="179">
        <f t="shared" si="16"/>
        <v>0</v>
      </c>
      <c r="AA202" s="179">
        <f t="shared" si="16"/>
        <v>0</v>
      </c>
      <c r="AB202" s="3"/>
    </row>
    <row r="203" spans="1:28" ht="3.9" hidden="1" customHeight="1" x14ac:dyDescent="0.25">
      <c r="A203" s="149">
        <f>1</f>
        <v>1</v>
      </c>
      <c r="B203" s="131"/>
      <c r="C203" s="2"/>
      <c r="D203" s="2"/>
      <c r="E203" s="119"/>
      <c r="F203" s="2"/>
      <c r="G203" s="119"/>
      <c r="H203" s="2"/>
      <c r="I203" s="28"/>
      <c r="J203" s="2"/>
      <c r="K203" s="28"/>
      <c r="L203" s="2"/>
      <c r="M203" s="142"/>
      <c r="N203" s="2"/>
      <c r="O203" s="2"/>
      <c r="P203" s="36"/>
      <c r="Q203" s="36"/>
      <c r="R203" s="36"/>
      <c r="S203" s="36"/>
      <c r="T203" s="36"/>
      <c r="U203" s="36"/>
      <c r="V203" s="36"/>
      <c r="W203" s="36"/>
      <c r="X203" s="36"/>
      <c r="Y203" s="36"/>
      <c r="Z203" s="36"/>
      <c r="AA203" s="36"/>
      <c r="AB203" s="2"/>
    </row>
    <row r="204" spans="1:28" ht="8.1" hidden="1" customHeight="1" x14ac:dyDescent="0.25">
      <c r="A204" s="149">
        <f>1</f>
        <v>1</v>
      </c>
      <c r="B204" s="131"/>
      <c r="C204" s="2"/>
      <c r="D204" s="2"/>
      <c r="E204" s="2"/>
      <c r="F204" s="2"/>
      <c r="G204" s="2"/>
      <c r="H204" s="2"/>
      <c r="I204" s="28"/>
      <c r="J204" s="2"/>
      <c r="K204" s="28"/>
      <c r="L204" s="2"/>
      <c r="M204" s="52"/>
      <c r="N204" s="2"/>
      <c r="O204" s="2"/>
      <c r="P204" s="36"/>
      <c r="Q204" s="36"/>
      <c r="R204" s="36"/>
      <c r="S204" s="36"/>
      <c r="T204" s="36"/>
      <c r="U204" s="36"/>
      <c r="V204" s="36"/>
      <c r="W204" s="36"/>
      <c r="X204" s="36"/>
      <c r="Y204" s="36"/>
      <c r="Z204" s="36"/>
      <c r="AA204" s="36"/>
      <c r="AB204" s="2"/>
    </row>
    <row r="205" spans="1:28" ht="3.9" hidden="1" customHeight="1" x14ac:dyDescent="0.25">
      <c r="A205" s="149">
        <f>1</f>
        <v>1</v>
      </c>
      <c r="B205" s="131"/>
      <c r="C205" s="2"/>
      <c r="D205" s="2"/>
      <c r="E205" s="2"/>
      <c r="F205" s="2"/>
      <c r="G205" s="2"/>
      <c r="H205" s="2"/>
      <c r="I205" s="28"/>
      <c r="J205" s="2"/>
      <c r="K205" s="28"/>
      <c r="L205" s="2"/>
      <c r="M205" s="52"/>
      <c r="N205" s="2"/>
      <c r="O205" s="2"/>
      <c r="P205" s="36"/>
      <c r="Q205" s="36"/>
      <c r="R205" s="36"/>
      <c r="S205" s="36"/>
      <c r="T205" s="36"/>
      <c r="U205" s="36"/>
      <c r="V205" s="36"/>
      <c r="W205" s="36"/>
      <c r="X205" s="36"/>
      <c r="Y205" s="36"/>
      <c r="Z205" s="36"/>
      <c r="AA205" s="36"/>
      <c r="AB205" s="2"/>
    </row>
    <row r="206" spans="1:28" s="5" customFormat="1" hidden="1" x14ac:dyDescent="0.25">
      <c r="A206" s="150">
        <f>1</f>
        <v>1</v>
      </c>
      <c r="B206" s="129" t="str">
        <f>структура!$J$12</f>
        <v>ОСНО</v>
      </c>
      <c r="C206" s="3"/>
      <c r="D206" s="3"/>
      <c r="E206" s="147" t="str">
        <f>KPI!$E$101</f>
        <v>NPV(CF)-Inv</v>
      </c>
      <c r="F206" s="147"/>
      <c r="G206" s="147" t="str">
        <f>IF($E206="","",INDEX(KPI!$G:$G,SUMIFS(KPI!$B:$B,KPI!$E:$E,$E206)))</f>
        <v>тыс.руб.</v>
      </c>
      <c r="H206" s="147"/>
      <c r="I206" s="170"/>
      <c r="J206" s="147"/>
      <c r="K206" s="170"/>
      <c r="L206" s="147"/>
      <c r="M206" s="171">
        <f>M196-M$190</f>
        <v>-1128.813551457235</v>
      </c>
      <c r="N206" s="3"/>
      <c r="O206" s="3"/>
      <c r="P206" s="46"/>
      <c r="Q206" s="46"/>
      <c r="R206" s="46"/>
      <c r="S206" s="46"/>
      <c r="T206" s="46"/>
      <c r="U206" s="46"/>
      <c r="V206" s="46"/>
      <c r="W206" s="46"/>
      <c r="X206" s="46"/>
      <c r="Y206" s="46"/>
      <c r="Z206" s="46"/>
      <c r="AA206" s="46"/>
      <c r="AB206" s="3"/>
    </row>
    <row r="207" spans="1:28" s="5" customFormat="1" ht="3.9" hidden="1" customHeight="1" x14ac:dyDescent="0.25">
      <c r="A207" s="150">
        <f>1</f>
        <v>1</v>
      </c>
      <c r="B207" s="128"/>
      <c r="C207" s="3"/>
      <c r="D207" s="3"/>
      <c r="E207" s="3"/>
      <c r="F207" s="3"/>
      <c r="G207" s="3"/>
      <c r="H207" s="3"/>
      <c r="I207" s="28"/>
      <c r="J207" s="3"/>
      <c r="K207" s="28"/>
      <c r="L207" s="3"/>
      <c r="M207" s="55"/>
      <c r="N207" s="3"/>
      <c r="O207" s="3"/>
      <c r="P207" s="46"/>
      <c r="Q207" s="46"/>
      <c r="R207" s="46"/>
      <c r="S207" s="46"/>
      <c r="T207" s="46"/>
      <c r="U207" s="46"/>
      <c r="V207" s="46"/>
      <c r="W207" s="46"/>
      <c r="X207" s="46"/>
      <c r="Y207" s="46"/>
      <c r="Z207" s="46"/>
      <c r="AA207" s="46"/>
      <c r="AB207" s="3"/>
    </row>
    <row r="208" spans="1:28" s="5" customFormat="1" hidden="1" x14ac:dyDescent="0.25">
      <c r="A208" s="150">
        <f>1</f>
        <v>1</v>
      </c>
      <c r="B208" s="129" t="str">
        <f>структура!$J$13</f>
        <v>УСН(6%)</v>
      </c>
      <c r="C208" s="3"/>
      <c r="D208" s="3"/>
      <c r="E208" s="147" t="str">
        <f>E206</f>
        <v>NPV(CF)-Inv</v>
      </c>
      <c r="F208" s="147"/>
      <c r="G208" s="147" t="str">
        <f>IF($E208="","",INDEX(KPI!$G:$G,SUMIFS(KPI!$B:$B,KPI!$E:$E,$E208)))</f>
        <v>тыс.руб.</v>
      </c>
      <c r="H208" s="147"/>
      <c r="I208" s="170"/>
      <c r="J208" s="147"/>
      <c r="K208" s="170"/>
      <c r="L208" s="147"/>
      <c r="M208" s="171">
        <f>M198-M$190</f>
        <v>1659.2558869612712</v>
      </c>
      <c r="N208" s="3"/>
      <c r="O208" s="3"/>
      <c r="P208" s="46"/>
      <c r="Q208" s="46"/>
      <c r="R208" s="46"/>
      <c r="S208" s="46"/>
      <c r="T208" s="46"/>
      <c r="U208" s="46"/>
      <c r="V208" s="46"/>
      <c r="W208" s="46"/>
      <c r="X208" s="46"/>
      <c r="Y208" s="46"/>
      <c r="Z208" s="46"/>
      <c r="AA208" s="46"/>
      <c r="AB208" s="3"/>
    </row>
    <row r="209" spans="1:28" s="5" customFormat="1" ht="3.9" hidden="1" customHeight="1" x14ac:dyDescent="0.25">
      <c r="A209" s="150">
        <f>1</f>
        <v>1</v>
      </c>
      <c r="B209" s="128"/>
      <c r="C209" s="3"/>
      <c r="D209" s="3"/>
      <c r="E209" s="3"/>
      <c r="F209" s="3"/>
      <c r="G209" s="3"/>
      <c r="H209" s="3"/>
      <c r="I209" s="28"/>
      <c r="J209" s="3"/>
      <c r="K209" s="28"/>
      <c r="L209" s="3"/>
      <c r="M209" s="55"/>
      <c r="N209" s="3"/>
      <c r="O209" s="3"/>
      <c r="P209" s="46"/>
      <c r="Q209" s="46"/>
      <c r="R209" s="46"/>
      <c r="S209" s="46"/>
      <c r="T209" s="46"/>
      <c r="U209" s="46"/>
      <c r="V209" s="46"/>
      <c r="W209" s="46"/>
      <c r="X209" s="46"/>
      <c r="Y209" s="46"/>
      <c r="Z209" s="46"/>
      <c r="AA209" s="46"/>
      <c r="AB209" s="3"/>
    </row>
    <row r="210" spans="1:28" s="5" customFormat="1" hidden="1" x14ac:dyDescent="0.25">
      <c r="A210" s="150">
        <f>1</f>
        <v>1</v>
      </c>
      <c r="B210" s="129" t="str">
        <f>структура!$J$14</f>
        <v>УСН(15%)</v>
      </c>
      <c r="C210" s="3"/>
      <c r="D210" s="3"/>
      <c r="E210" s="147" t="str">
        <f>E206</f>
        <v>NPV(CF)-Inv</v>
      </c>
      <c r="F210" s="147"/>
      <c r="G210" s="147" t="str">
        <f>IF($E210="","",INDEX(KPI!$G:$G,SUMIFS(KPI!$B:$B,KPI!$E:$E,$E210)))</f>
        <v>тыс.руб.</v>
      </c>
      <c r="H210" s="147"/>
      <c r="I210" s="170"/>
      <c r="J210" s="147"/>
      <c r="K210" s="170"/>
      <c r="L210" s="147"/>
      <c r="M210" s="171">
        <f>M200-M$190</f>
        <v>1162.6342397773587</v>
      </c>
      <c r="N210" s="3"/>
      <c r="O210" s="3"/>
      <c r="P210" s="46"/>
      <c r="Q210" s="46"/>
      <c r="R210" s="46"/>
      <c r="S210" s="46"/>
      <c r="T210" s="46"/>
      <c r="U210" s="46"/>
      <c r="V210" s="46"/>
      <c r="W210" s="46"/>
      <c r="X210" s="46"/>
      <c r="Y210" s="46"/>
      <c r="Z210" s="46"/>
      <c r="AA210" s="46"/>
      <c r="AB210" s="3"/>
    </row>
    <row r="211" spans="1:28" s="5" customFormat="1" ht="3.9" hidden="1" customHeight="1" x14ac:dyDescent="0.25">
      <c r="A211" s="150">
        <f>1</f>
        <v>1</v>
      </c>
      <c r="B211" s="128"/>
      <c r="C211" s="3"/>
      <c r="D211" s="3"/>
      <c r="E211" s="3"/>
      <c r="F211" s="3"/>
      <c r="G211" s="3"/>
      <c r="H211" s="3"/>
      <c r="I211" s="28"/>
      <c r="J211" s="3"/>
      <c r="K211" s="28"/>
      <c r="L211" s="3"/>
      <c r="M211" s="55"/>
      <c r="N211" s="3"/>
      <c r="O211" s="3"/>
      <c r="P211" s="46"/>
      <c r="Q211" s="46"/>
      <c r="R211" s="46"/>
      <c r="S211" s="46"/>
      <c r="T211" s="46"/>
      <c r="U211" s="46"/>
      <c r="V211" s="46"/>
      <c r="W211" s="46"/>
      <c r="X211" s="46"/>
      <c r="Y211" s="46"/>
      <c r="Z211" s="46"/>
      <c r="AA211" s="46"/>
      <c r="AB211" s="3"/>
    </row>
    <row r="212" spans="1:28" s="5" customFormat="1" x14ac:dyDescent="0.25">
      <c r="A212" s="150">
        <f>1</f>
        <v>1</v>
      </c>
      <c r="B212" s="129" t="str">
        <f>структура!$J$15</f>
        <v>УСН(6%)-ИП</v>
      </c>
      <c r="C212" s="3"/>
      <c r="D212" s="3"/>
      <c r="E212" s="147" t="str">
        <f>E206</f>
        <v>NPV(CF)-Inv</v>
      </c>
      <c r="F212" s="147"/>
      <c r="G212" s="147" t="str">
        <f>IF($E212="","",INDEX(KPI!$G:$G,SUMIFS(KPI!$B:$B,KPI!$E:$E,$E212)))</f>
        <v>тыс.руб.</v>
      </c>
      <c r="H212" s="147"/>
      <c r="I212" s="170"/>
      <c r="J212" s="147"/>
      <c r="K212" s="170"/>
      <c r="L212" s="147"/>
      <c r="M212" s="171">
        <f>M202-M$190</f>
        <v>2131.6621433645232</v>
      </c>
      <c r="N212" s="3"/>
      <c r="O212" s="3"/>
      <c r="P212" s="46"/>
      <c r="Q212" s="46"/>
      <c r="R212" s="46"/>
      <c r="S212" s="46"/>
      <c r="T212" s="46"/>
      <c r="U212" s="46"/>
      <c r="V212" s="46"/>
      <c r="W212" s="46"/>
      <c r="X212" s="46"/>
      <c r="Y212" s="46"/>
      <c r="Z212" s="46"/>
      <c r="AA212" s="46"/>
      <c r="AB212" s="3"/>
    </row>
    <row r="213" spans="1:28" ht="3.9" hidden="1" customHeight="1" x14ac:dyDescent="0.25">
      <c r="A213" s="149">
        <f>1</f>
        <v>1</v>
      </c>
      <c r="B213" s="131"/>
      <c r="C213" s="2"/>
      <c r="D213" s="2"/>
      <c r="E213" s="117"/>
      <c r="F213" s="2"/>
      <c r="G213" s="117"/>
      <c r="H213" s="2"/>
      <c r="I213" s="28"/>
      <c r="J213" s="2"/>
      <c r="K213" s="28"/>
      <c r="L213" s="2"/>
      <c r="M213" s="138"/>
      <c r="N213" s="2"/>
      <c r="O213" s="2"/>
      <c r="P213" s="36"/>
      <c r="Q213" s="36"/>
      <c r="R213" s="36"/>
      <c r="S213" s="36"/>
      <c r="T213" s="36"/>
      <c r="U213" s="36"/>
      <c r="V213" s="36"/>
      <c r="W213" s="36"/>
      <c r="X213" s="36"/>
      <c r="Y213" s="36"/>
      <c r="Z213" s="36"/>
      <c r="AA213" s="36"/>
      <c r="AB213" s="2"/>
    </row>
    <row r="214" spans="1:28" ht="8.1" hidden="1" customHeight="1" x14ac:dyDescent="0.25">
      <c r="A214" s="149">
        <f>1</f>
        <v>1</v>
      </c>
      <c r="B214" s="131"/>
      <c r="C214" s="2"/>
      <c r="D214" s="2"/>
      <c r="E214" s="2"/>
      <c r="F214" s="2"/>
      <c r="G214" s="2"/>
      <c r="H214" s="2"/>
      <c r="I214" s="28"/>
      <c r="J214" s="2"/>
      <c r="K214" s="28"/>
      <c r="L214" s="2"/>
      <c r="M214" s="52"/>
      <c r="N214" s="2"/>
      <c r="O214" s="2"/>
      <c r="P214" s="36"/>
      <c r="Q214" s="36"/>
      <c r="R214" s="36"/>
      <c r="S214" s="36"/>
      <c r="T214" s="36"/>
      <c r="U214" s="36"/>
      <c r="V214" s="36"/>
      <c r="W214" s="36"/>
      <c r="X214" s="36"/>
      <c r="Y214" s="36"/>
      <c r="Z214" s="36"/>
      <c r="AA214" s="36"/>
      <c r="AB214" s="2"/>
    </row>
    <row r="215" spans="1:28" ht="3.9" hidden="1" customHeight="1" x14ac:dyDescent="0.25">
      <c r="A215" s="149">
        <f>1</f>
        <v>1</v>
      </c>
      <c r="B215" s="131"/>
      <c r="C215" s="2"/>
      <c r="D215" s="2"/>
      <c r="E215" s="2"/>
      <c r="F215" s="2"/>
      <c r="G215" s="2"/>
      <c r="H215" s="2"/>
      <c r="I215" s="28"/>
      <c r="J215" s="2"/>
      <c r="K215" s="28"/>
      <c r="L215" s="2"/>
      <c r="M215" s="52"/>
      <c r="N215" s="2"/>
      <c r="O215" s="2"/>
      <c r="P215" s="36"/>
      <c r="Q215" s="36"/>
      <c r="R215" s="36"/>
      <c r="S215" s="36"/>
      <c r="T215" s="36"/>
      <c r="U215" s="36"/>
      <c r="V215" s="36"/>
      <c r="W215" s="36"/>
      <c r="X215" s="36"/>
      <c r="Y215" s="36"/>
      <c r="Z215" s="36"/>
      <c r="AA215" s="36"/>
      <c r="AB215" s="2"/>
    </row>
    <row r="216" spans="1:28" s="5" customFormat="1" hidden="1" x14ac:dyDescent="0.25">
      <c r="A216" s="150">
        <f>1</f>
        <v>1</v>
      </c>
      <c r="B216" s="129" t="str">
        <f>структура!$J$12</f>
        <v>ОСНО</v>
      </c>
      <c r="C216" s="3"/>
      <c r="D216" s="3"/>
      <c r="E216" s="147" t="str">
        <f>KPI!$E$102</f>
        <v>PI</v>
      </c>
      <c r="F216" s="147"/>
      <c r="G216" s="147" t="str">
        <f>IF($E216="","",INDEX(KPI!$G:$G,SUMIFS(KPI!$B:$B,KPI!$E:$E,$E216)))</f>
        <v>разы</v>
      </c>
      <c r="H216" s="147"/>
      <c r="I216" s="170"/>
      <c r="J216" s="147"/>
      <c r="K216" s="170"/>
      <c r="L216" s="147"/>
      <c r="M216" s="187">
        <f>IF(M$190=0,0,M196/M$190)</f>
        <v>0.88686838641185817</v>
      </c>
      <c r="N216" s="3"/>
      <c r="O216" s="3"/>
      <c r="P216" s="46"/>
      <c r="Q216" s="46"/>
      <c r="R216" s="46"/>
      <c r="S216" s="46"/>
      <c r="T216" s="46"/>
      <c r="U216" s="46"/>
      <c r="V216" s="46"/>
      <c r="W216" s="46"/>
      <c r="X216" s="46"/>
      <c r="Y216" s="46"/>
      <c r="Z216" s="46"/>
      <c r="AA216" s="46"/>
      <c r="AB216" s="3"/>
    </row>
    <row r="217" spans="1:28" s="5" customFormat="1" ht="3.9" hidden="1" customHeight="1" x14ac:dyDescent="0.25">
      <c r="A217" s="150">
        <f>1</f>
        <v>1</v>
      </c>
      <c r="B217" s="128"/>
      <c r="C217" s="3"/>
      <c r="D217" s="3"/>
      <c r="E217" s="3"/>
      <c r="F217" s="3"/>
      <c r="G217" s="3"/>
      <c r="H217" s="3"/>
      <c r="I217" s="28"/>
      <c r="J217" s="3"/>
      <c r="K217" s="28"/>
      <c r="L217" s="3"/>
      <c r="M217" s="55"/>
      <c r="N217" s="3"/>
      <c r="O217" s="3"/>
      <c r="P217" s="46"/>
      <c r="Q217" s="46"/>
      <c r="R217" s="46"/>
      <c r="S217" s="46"/>
      <c r="T217" s="46"/>
      <c r="U217" s="46"/>
      <c r="V217" s="46"/>
      <c r="W217" s="46"/>
      <c r="X217" s="46"/>
      <c r="Y217" s="46"/>
      <c r="Z217" s="46"/>
      <c r="AA217" s="46"/>
      <c r="AB217" s="3"/>
    </row>
    <row r="218" spans="1:28" s="5" customFormat="1" hidden="1" x14ac:dyDescent="0.25">
      <c r="A218" s="150">
        <f>1</f>
        <v>1</v>
      </c>
      <c r="B218" s="129" t="str">
        <f>структура!$J$13</f>
        <v>УСН(6%)</v>
      </c>
      <c r="C218" s="3"/>
      <c r="D218" s="3"/>
      <c r="E218" s="147" t="str">
        <f>E216</f>
        <v>PI</v>
      </c>
      <c r="F218" s="147"/>
      <c r="G218" s="147" t="str">
        <f>IF($E218="","",INDEX(KPI!$G:$G,SUMIFS(KPI!$B:$B,KPI!$E:$E,$E218)))</f>
        <v>разы</v>
      </c>
      <c r="H218" s="147"/>
      <c r="I218" s="170"/>
      <c r="J218" s="147"/>
      <c r="K218" s="170"/>
      <c r="L218" s="147"/>
      <c r="M218" s="187">
        <f>IF(M$190=0,0,M198/M$190)</f>
        <v>1.1662934464289727</v>
      </c>
      <c r="N218" s="3"/>
      <c r="O218" s="3"/>
      <c r="P218" s="46"/>
      <c r="Q218" s="46"/>
      <c r="R218" s="46"/>
      <c r="S218" s="46"/>
      <c r="T218" s="46"/>
      <c r="U218" s="46"/>
      <c r="V218" s="46"/>
      <c r="W218" s="46"/>
      <c r="X218" s="46"/>
      <c r="Y218" s="46"/>
      <c r="Z218" s="46"/>
      <c r="AA218" s="46"/>
      <c r="AB218" s="3"/>
    </row>
    <row r="219" spans="1:28" s="5" customFormat="1" ht="3.9" hidden="1" customHeight="1" x14ac:dyDescent="0.25">
      <c r="A219" s="150">
        <f>1</f>
        <v>1</v>
      </c>
      <c r="B219" s="128"/>
      <c r="C219" s="3"/>
      <c r="D219" s="3"/>
      <c r="E219" s="3"/>
      <c r="F219" s="3"/>
      <c r="G219" s="3"/>
      <c r="H219" s="3"/>
      <c r="I219" s="28"/>
      <c r="J219" s="3"/>
      <c r="K219" s="28"/>
      <c r="L219" s="3"/>
      <c r="M219" s="55"/>
      <c r="N219" s="3"/>
      <c r="O219" s="3"/>
      <c r="P219" s="46"/>
      <c r="Q219" s="46"/>
      <c r="R219" s="46"/>
      <c r="S219" s="46"/>
      <c r="T219" s="46"/>
      <c r="U219" s="46"/>
      <c r="V219" s="46"/>
      <c r="W219" s="46"/>
      <c r="X219" s="46"/>
      <c r="Y219" s="46"/>
      <c r="Z219" s="46"/>
      <c r="AA219" s="46"/>
      <c r="AB219" s="3"/>
    </row>
    <row r="220" spans="1:28" s="5" customFormat="1" hidden="1" x14ac:dyDescent="0.25">
      <c r="A220" s="150">
        <f>1</f>
        <v>1</v>
      </c>
      <c r="B220" s="129" t="str">
        <f>структура!$J$14</f>
        <v>УСН(15%)</v>
      </c>
      <c r="C220" s="3"/>
      <c r="D220" s="3"/>
      <c r="E220" s="147" t="str">
        <f>E216</f>
        <v>PI</v>
      </c>
      <c r="F220" s="147"/>
      <c r="G220" s="147" t="str">
        <f>IF($E220="","",INDEX(KPI!$G:$G,SUMIFS(KPI!$B:$B,KPI!$E:$E,$E220)))</f>
        <v>разы</v>
      </c>
      <c r="H220" s="147"/>
      <c r="I220" s="170"/>
      <c r="J220" s="147"/>
      <c r="K220" s="170"/>
      <c r="L220" s="147"/>
      <c r="M220" s="187">
        <f>IF(M$190=0,0,M200/M$190)</f>
        <v>1.116521180481078</v>
      </c>
      <c r="N220" s="3"/>
      <c r="O220" s="3"/>
      <c r="P220" s="46"/>
      <c r="Q220" s="46"/>
      <c r="R220" s="46"/>
      <c r="S220" s="46"/>
      <c r="T220" s="46"/>
      <c r="U220" s="46"/>
      <c r="V220" s="46"/>
      <c r="W220" s="46"/>
      <c r="X220" s="46"/>
      <c r="Y220" s="46"/>
      <c r="Z220" s="46"/>
      <c r="AA220" s="46"/>
      <c r="AB220" s="3"/>
    </row>
    <row r="221" spans="1:28" s="5" customFormat="1" ht="3.9" hidden="1" customHeight="1" x14ac:dyDescent="0.25">
      <c r="A221" s="150">
        <f>1</f>
        <v>1</v>
      </c>
      <c r="B221" s="128"/>
      <c r="C221" s="3"/>
      <c r="D221" s="3"/>
      <c r="E221" s="3"/>
      <c r="F221" s="3"/>
      <c r="G221" s="3"/>
      <c r="H221" s="3"/>
      <c r="I221" s="28"/>
      <c r="J221" s="3"/>
      <c r="K221" s="28"/>
      <c r="L221" s="3"/>
      <c r="M221" s="55"/>
      <c r="N221" s="3"/>
      <c r="O221" s="3"/>
      <c r="P221" s="46"/>
      <c r="Q221" s="46"/>
      <c r="R221" s="46"/>
      <c r="S221" s="46"/>
      <c r="T221" s="46"/>
      <c r="U221" s="46"/>
      <c r="V221" s="46"/>
      <c r="W221" s="46"/>
      <c r="X221" s="46"/>
      <c r="Y221" s="46"/>
      <c r="Z221" s="46"/>
      <c r="AA221" s="46"/>
      <c r="AB221" s="3"/>
    </row>
    <row r="222" spans="1:28" s="5" customFormat="1" x14ac:dyDescent="0.25">
      <c r="A222" s="150">
        <f>1</f>
        <v>1</v>
      </c>
      <c r="B222" s="129" t="str">
        <f>структура!$J$15</f>
        <v>УСН(6%)-ИП</v>
      </c>
      <c r="C222" s="3"/>
      <c r="D222" s="3"/>
      <c r="E222" s="147" t="str">
        <f>E216</f>
        <v>PI</v>
      </c>
      <c r="F222" s="147"/>
      <c r="G222" s="147" t="str">
        <f>IF($E222="","",INDEX(KPI!$G:$G,SUMIFS(KPI!$B:$B,KPI!$E:$E,$E222)))</f>
        <v>разы</v>
      </c>
      <c r="H222" s="147"/>
      <c r="I222" s="170"/>
      <c r="J222" s="147"/>
      <c r="K222" s="170"/>
      <c r="L222" s="147"/>
      <c r="M222" s="187">
        <f>IF(M$190=0,0,M202/M$190)</f>
        <v>1.2136388047364097</v>
      </c>
      <c r="N222" s="3"/>
      <c r="O222" s="3"/>
      <c r="P222" s="46"/>
      <c r="Q222" s="46"/>
      <c r="R222" s="46"/>
      <c r="S222" s="46"/>
      <c r="T222" s="46"/>
      <c r="U222" s="46"/>
      <c r="V222" s="46"/>
      <c r="W222" s="46"/>
      <c r="X222" s="46"/>
      <c r="Y222" s="46"/>
      <c r="Z222" s="46"/>
      <c r="AA222" s="46"/>
      <c r="AB222" s="3"/>
    </row>
    <row r="223" spans="1:28" ht="3.9" hidden="1" customHeight="1" x14ac:dyDescent="0.25">
      <c r="A223" s="149">
        <f>1</f>
        <v>1</v>
      </c>
      <c r="B223" s="131"/>
      <c r="C223" s="2"/>
      <c r="D223" s="2"/>
      <c r="E223" s="117"/>
      <c r="F223" s="2"/>
      <c r="G223" s="117"/>
      <c r="H223" s="2"/>
      <c r="I223" s="28"/>
      <c r="J223" s="2"/>
      <c r="K223" s="28"/>
      <c r="L223" s="2"/>
      <c r="M223" s="138"/>
      <c r="N223" s="2"/>
      <c r="O223" s="2"/>
      <c r="P223" s="36"/>
      <c r="Q223" s="36"/>
      <c r="R223" s="36"/>
      <c r="S223" s="36"/>
      <c r="T223" s="36"/>
      <c r="U223" s="36"/>
      <c r="V223" s="36"/>
      <c r="W223" s="36"/>
      <c r="X223" s="36"/>
      <c r="Y223" s="36"/>
      <c r="Z223" s="36"/>
      <c r="AA223" s="36"/>
      <c r="AB223" s="2"/>
    </row>
    <row r="224" spans="1:28" ht="8.1" hidden="1" customHeight="1" x14ac:dyDescent="0.25">
      <c r="A224" s="149">
        <f>1</f>
        <v>1</v>
      </c>
      <c r="B224" s="131"/>
      <c r="C224" s="2"/>
      <c r="D224" s="2"/>
      <c r="E224" s="2"/>
      <c r="F224" s="2"/>
      <c r="G224" s="2"/>
      <c r="H224" s="2"/>
      <c r="I224" s="28"/>
      <c r="J224" s="2"/>
      <c r="K224" s="28"/>
      <c r="L224" s="2"/>
      <c r="M224" s="52"/>
      <c r="N224" s="2"/>
      <c r="O224" s="2"/>
      <c r="P224" s="36"/>
      <c r="Q224" s="36"/>
      <c r="R224" s="36"/>
      <c r="S224" s="36"/>
      <c r="T224" s="36"/>
      <c r="U224" s="36"/>
      <c r="V224" s="36"/>
      <c r="W224" s="36"/>
      <c r="X224" s="36"/>
      <c r="Y224" s="36"/>
      <c r="Z224" s="36"/>
      <c r="AA224" s="36"/>
      <c r="AB224" s="2"/>
    </row>
    <row r="225" spans="1:28" ht="3.9" hidden="1" customHeight="1" x14ac:dyDescent="0.25">
      <c r="A225" s="149">
        <f>1</f>
        <v>1</v>
      </c>
      <c r="B225" s="131"/>
      <c r="C225" s="2"/>
      <c r="D225" s="2"/>
      <c r="E225" s="2"/>
      <c r="F225" s="2"/>
      <c r="G225" s="2"/>
      <c r="H225" s="2"/>
      <c r="I225" s="28"/>
      <c r="J225" s="2"/>
      <c r="K225" s="28"/>
      <c r="L225" s="2"/>
      <c r="M225" s="52"/>
      <c r="N225" s="2"/>
      <c r="O225" s="2"/>
      <c r="P225" s="36"/>
      <c r="Q225" s="36"/>
      <c r="R225" s="36"/>
      <c r="S225" s="36"/>
      <c r="T225" s="36"/>
      <c r="U225" s="36"/>
      <c r="V225" s="36"/>
      <c r="W225" s="36"/>
      <c r="X225" s="36"/>
      <c r="Y225" s="36"/>
      <c r="Z225" s="36"/>
      <c r="AA225" s="36"/>
      <c r="AB225" s="2"/>
    </row>
    <row r="226" spans="1:28" s="5" customFormat="1" hidden="1" x14ac:dyDescent="0.25">
      <c r="A226" s="150">
        <f>1</f>
        <v>1</v>
      </c>
      <c r="B226" s="129" t="str">
        <f>структура!$J$12</f>
        <v>ОСНО</v>
      </c>
      <c r="C226" s="3"/>
      <c r="D226" s="3"/>
      <c r="E226" s="147" t="str">
        <f>KPI!$E$103</f>
        <v>ROI</v>
      </c>
      <c r="F226" s="147"/>
      <c r="G226" s="147" t="str">
        <f>IF($E226="","",INDEX(KPI!$G:$G,SUMIFS(KPI!$B:$B,KPI!$E:$E,$E226)))</f>
        <v>%</v>
      </c>
      <c r="H226" s="147"/>
      <c r="I226" s="170"/>
      <c r="J226" s="147"/>
      <c r="K226" s="170"/>
      <c r="L226" s="147"/>
      <c r="M226" s="188">
        <f>IF(M$190=0,0,M206/M$190)</f>
        <v>-0.11313161358814182</v>
      </c>
      <c r="N226" s="3"/>
      <c r="O226" s="3"/>
      <c r="P226" s="46"/>
      <c r="Q226" s="46"/>
      <c r="R226" s="46"/>
      <c r="S226" s="46"/>
      <c r="T226" s="46"/>
      <c r="U226" s="46"/>
      <c r="V226" s="46"/>
      <c r="W226" s="46"/>
      <c r="X226" s="46"/>
      <c r="Y226" s="46"/>
      <c r="Z226" s="46"/>
      <c r="AA226" s="46"/>
      <c r="AB226" s="3"/>
    </row>
    <row r="227" spans="1:28" s="5" customFormat="1" ht="3.9" hidden="1" customHeight="1" x14ac:dyDescent="0.25">
      <c r="A227" s="150">
        <f>1</f>
        <v>1</v>
      </c>
      <c r="B227" s="128"/>
      <c r="C227" s="3"/>
      <c r="D227" s="3"/>
      <c r="E227" s="3"/>
      <c r="F227" s="3"/>
      <c r="G227" s="3"/>
      <c r="H227" s="3"/>
      <c r="I227" s="28"/>
      <c r="J227" s="3"/>
      <c r="K227" s="28"/>
      <c r="L227" s="3"/>
      <c r="M227" s="55"/>
      <c r="N227" s="3"/>
      <c r="O227" s="3"/>
      <c r="P227" s="46"/>
      <c r="Q227" s="46"/>
      <c r="R227" s="46"/>
      <c r="S227" s="46"/>
      <c r="T227" s="46"/>
      <c r="U227" s="46"/>
      <c r="V227" s="46"/>
      <c r="W227" s="46"/>
      <c r="X227" s="46"/>
      <c r="Y227" s="46"/>
      <c r="Z227" s="46"/>
      <c r="AA227" s="46"/>
      <c r="AB227" s="3"/>
    </row>
    <row r="228" spans="1:28" s="5" customFormat="1" hidden="1" x14ac:dyDescent="0.25">
      <c r="A228" s="150">
        <f>1</f>
        <v>1</v>
      </c>
      <c r="B228" s="129" t="str">
        <f>структура!$J$13</f>
        <v>УСН(6%)</v>
      </c>
      <c r="C228" s="3"/>
      <c r="D228" s="3"/>
      <c r="E228" s="147" t="str">
        <f>E226</f>
        <v>ROI</v>
      </c>
      <c r="F228" s="147"/>
      <c r="G228" s="147" t="str">
        <f>IF($E228="","",INDEX(KPI!$G:$G,SUMIFS(KPI!$B:$B,KPI!$E:$E,$E228)))</f>
        <v>%</v>
      </c>
      <c r="H228" s="147"/>
      <c r="I228" s="170"/>
      <c r="J228" s="147"/>
      <c r="K228" s="170"/>
      <c r="L228" s="147"/>
      <c r="M228" s="188">
        <f>IF(M$190=0,0,M208/M$190)</f>
        <v>0.16629344642897265</v>
      </c>
      <c r="N228" s="3"/>
      <c r="O228" s="3"/>
      <c r="P228" s="46"/>
      <c r="Q228" s="46"/>
      <c r="R228" s="46"/>
      <c r="S228" s="46"/>
      <c r="T228" s="46"/>
      <c r="U228" s="46"/>
      <c r="V228" s="46"/>
      <c r="W228" s="46"/>
      <c r="X228" s="46"/>
      <c r="Y228" s="46"/>
      <c r="Z228" s="46"/>
      <c r="AA228" s="46"/>
      <c r="AB228" s="3"/>
    </row>
    <row r="229" spans="1:28" s="5" customFormat="1" ht="3.9" hidden="1" customHeight="1" x14ac:dyDescent="0.25">
      <c r="A229" s="150">
        <f>1</f>
        <v>1</v>
      </c>
      <c r="B229" s="128"/>
      <c r="C229" s="3"/>
      <c r="D229" s="3"/>
      <c r="E229" s="3"/>
      <c r="F229" s="3"/>
      <c r="G229" s="3"/>
      <c r="H229" s="3"/>
      <c r="I229" s="28"/>
      <c r="J229" s="3"/>
      <c r="K229" s="28"/>
      <c r="L229" s="3"/>
      <c r="M229" s="55"/>
      <c r="N229" s="3"/>
      <c r="O229" s="3"/>
      <c r="P229" s="46"/>
      <c r="Q229" s="46"/>
      <c r="R229" s="46"/>
      <c r="S229" s="46"/>
      <c r="T229" s="46"/>
      <c r="U229" s="46"/>
      <c r="V229" s="46"/>
      <c r="W229" s="46"/>
      <c r="X229" s="46"/>
      <c r="Y229" s="46"/>
      <c r="Z229" s="46"/>
      <c r="AA229" s="46"/>
      <c r="AB229" s="3"/>
    </row>
    <row r="230" spans="1:28" s="5" customFormat="1" hidden="1" x14ac:dyDescent="0.25">
      <c r="A230" s="150">
        <f>1</f>
        <v>1</v>
      </c>
      <c r="B230" s="129" t="str">
        <f>структура!$J$14</f>
        <v>УСН(15%)</v>
      </c>
      <c r="C230" s="3"/>
      <c r="D230" s="3"/>
      <c r="E230" s="147" t="str">
        <f>E226</f>
        <v>ROI</v>
      </c>
      <c r="F230" s="147"/>
      <c r="G230" s="147" t="str">
        <f>IF($E230="","",INDEX(KPI!$G:$G,SUMIFS(KPI!$B:$B,KPI!$E:$E,$E230)))</f>
        <v>%</v>
      </c>
      <c r="H230" s="147"/>
      <c r="I230" s="170"/>
      <c r="J230" s="147"/>
      <c r="K230" s="170"/>
      <c r="L230" s="147"/>
      <c r="M230" s="188">
        <f>IF(M$190=0,0,M210/M$190)</f>
        <v>0.11652118048107805</v>
      </c>
      <c r="N230" s="3"/>
      <c r="O230" s="3"/>
      <c r="P230" s="46"/>
      <c r="Q230" s="46"/>
      <c r="R230" s="46"/>
      <c r="S230" s="46"/>
      <c r="T230" s="46"/>
      <c r="U230" s="46"/>
      <c r="V230" s="46"/>
      <c r="W230" s="46"/>
      <c r="X230" s="46"/>
      <c r="Y230" s="46"/>
      <c r="Z230" s="46"/>
      <c r="AA230" s="46"/>
      <c r="AB230" s="3"/>
    </row>
    <row r="231" spans="1:28" s="5" customFormat="1" ht="3.9" hidden="1" customHeight="1" x14ac:dyDescent="0.25">
      <c r="A231" s="150">
        <f>1</f>
        <v>1</v>
      </c>
      <c r="B231" s="128"/>
      <c r="C231" s="3"/>
      <c r="D231" s="3"/>
      <c r="E231" s="3"/>
      <c r="F231" s="3"/>
      <c r="G231" s="3"/>
      <c r="H231" s="3"/>
      <c r="I231" s="28"/>
      <c r="J231" s="3"/>
      <c r="K231" s="28"/>
      <c r="L231" s="3"/>
      <c r="M231" s="55"/>
      <c r="N231" s="3"/>
      <c r="O231" s="3"/>
      <c r="P231" s="46"/>
      <c r="Q231" s="46"/>
      <c r="R231" s="46"/>
      <c r="S231" s="46"/>
      <c r="T231" s="46"/>
      <c r="U231" s="46"/>
      <c r="V231" s="46"/>
      <c r="W231" s="46"/>
      <c r="X231" s="46"/>
      <c r="Y231" s="46"/>
      <c r="Z231" s="46"/>
      <c r="AA231" s="46"/>
      <c r="AB231" s="3"/>
    </row>
    <row r="232" spans="1:28" s="5" customFormat="1" x14ac:dyDescent="0.25">
      <c r="A232" s="150">
        <f>1</f>
        <v>1</v>
      </c>
      <c r="B232" s="129" t="str">
        <f>структура!$J$15</f>
        <v>УСН(6%)-ИП</v>
      </c>
      <c r="C232" s="3"/>
      <c r="D232" s="3"/>
      <c r="E232" s="147" t="str">
        <f>E226</f>
        <v>ROI</v>
      </c>
      <c r="F232" s="147"/>
      <c r="G232" s="147" t="str">
        <f>IF($E232="","",INDEX(KPI!$G:$G,SUMIFS(KPI!$B:$B,KPI!$E:$E,$E232)))</f>
        <v>%</v>
      </c>
      <c r="H232" s="147"/>
      <c r="I232" s="170"/>
      <c r="J232" s="147"/>
      <c r="K232" s="170"/>
      <c r="L232" s="147"/>
      <c r="M232" s="188">
        <f>IF(M$190=0,0,M212/M$190)</f>
        <v>0.21363880473640973</v>
      </c>
      <c r="N232" s="3"/>
      <c r="O232" s="3"/>
      <c r="P232" s="46"/>
      <c r="Q232" s="46"/>
      <c r="R232" s="46"/>
      <c r="S232" s="46"/>
      <c r="T232" s="46"/>
      <c r="U232" s="46"/>
      <c r="V232" s="46"/>
      <c r="W232" s="46"/>
      <c r="X232" s="46"/>
      <c r="Y232" s="46"/>
      <c r="Z232" s="46"/>
      <c r="AA232" s="46"/>
      <c r="AB232" s="3"/>
    </row>
    <row r="233" spans="1:28" ht="3.9" hidden="1" customHeight="1" x14ac:dyDescent="0.25">
      <c r="A233" s="149">
        <f>1</f>
        <v>1</v>
      </c>
      <c r="B233" s="131"/>
      <c r="C233" s="2"/>
      <c r="D233" s="2"/>
      <c r="E233" s="117"/>
      <c r="F233" s="2"/>
      <c r="G233" s="117"/>
      <c r="H233" s="2"/>
      <c r="I233" s="28"/>
      <c r="J233" s="2"/>
      <c r="K233" s="28"/>
      <c r="L233" s="2"/>
      <c r="M233" s="138"/>
      <c r="N233" s="2"/>
      <c r="O233" s="2"/>
      <c r="P233" s="36"/>
      <c r="Q233" s="36"/>
      <c r="R233" s="36"/>
      <c r="S233" s="36"/>
      <c r="T233" s="36"/>
      <c r="U233" s="36"/>
      <c r="V233" s="36"/>
      <c r="W233" s="36"/>
      <c r="X233" s="36"/>
      <c r="Y233" s="36"/>
      <c r="Z233" s="36"/>
      <c r="AA233" s="36"/>
      <c r="AB233" s="2"/>
    </row>
    <row r="234" spans="1:28" ht="8.1" hidden="1" customHeight="1" x14ac:dyDescent="0.25">
      <c r="A234" s="149">
        <f>1</f>
        <v>1</v>
      </c>
      <c r="B234" s="131"/>
      <c r="C234" s="2"/>
      <c r="D234" s="2"/>
      <c r="E234" s="2"/>
      <c r="F234" s="2"/>
      <c r="G234" s="2"/>
      <c r="H234" s="2"/>
      <c r="I234" s="28"/>
      <c r="J234" s="2"/>
      <c r="K234" s="28"/>
      <c r="L234" s="2"/>
      <c r="M234" s="52"/>
      <c r="N234" s="2"/>
      <c r="O234" s="2"/>
      <c r="P234" s="36"/>
      <c r="Q234" s="36"/>
      <c r="R234" s="36"/>
      <c r="S234" s="36"/>
      <c r="T234" s="36"/>
      <c r="U234" s="36"/>
      <c r="V234" s="36"/>
      <c r="W234" s="36"/>
      <c r="X234" s="36"/>
      <c r="Y234" s="36"/>
      <c r="Z234" s="36"/>
      <c r="AA234" s="36"/>
      <c r="AB234" s="2"/>
    </row>
    <row r="235" spans="1:28" ht="3.9" hidden="1" customHeight="1" x14ac:dyDescent="0.25">
      <c r="A235" s="149">
        <f>1</f>
        <v>1</v>
      </c>
      <c r="B235" s="131"/>
      <c r="C235" s="2"/>
      <c r="D235" s="2"/>
      <c r="E235" s="2"/>
      <c r="F235" s="2"/>
      <c r="G235" s="2"/>
      <c r="H235" s="2"/>
      <c r="I235" s="28"/>
      <c r="J235" s="2"/>
      <c r="K235" s="28"/>
      <c r="L235" s="2"/>
      <c r="M235" s="52"/>
      <c r="N235" s="2"/>
      <c r="O235" s="2"/>
      <c r="P235" s="36"/>
      <c r="Q235" s="36"/>
      <c r="R235" s="36"/>
      <c r="S235" s="36"/>
      <c r="T235" s="36"/>
      <c r="U235" s="36"/>
      <c r="V235" s="36"/>
      <c r="W235" s="36"/>
      <c r="X235" s="36"/>
      <c r="Y235" s="36"/>
      <c r="Z235" s="36"/>
      <c r="AA235" s="36"/>
      <c r="AB235" s="2"/>
    </row>
    <row r="236" spans="1:28" s="157" customFormat="1" hidden="1" x14ac:dyDescent="0.25">
      <c r="A236" s="155">
        <f>1</f>
        <v>1</v>
      </c>
      <c r="B236" s="156" t="str">
        <f>структура!$J$12</f>
        <v>ОСНО</v>
      </c>
      <c r="C236" s="155"/>
      <c r="D236" s="155"/>
      <c r="E236" s="189" t="str">
        <f>KPI!$E$104</f>
        <v>График возврата инвестиций (приведенный)</v>
      </c>
      <c r="F236" s="189"/>
      <c r="G236" s="189" t="str">
        <f>IF($E236="","",INDEX(KPI!$G:$G,SUMIFS(KPI!$B:$B,KPI!$E:$E,$E236)))</f>
        <v>тыс.руб.</v>
      </c>
      <c r="H236" s="189"/>
      <c r="I236" s="190"/>
      <c r="J236" s="189"/>
      <c r="K236" s="190"/>
      <c r="L236" s="189"/>
      <c r="M236" s="191">
        <f>SUM($O236:$AB236)</f>
        <v>0</v>
      </c>
      <c r="N236" s="155"/>
      <c r="O236" s="155"/>
      <c r="P236" s="192">
        <f>IF(P$1="",0,IF($M206&lt;0,0,IF(SUM($O236:O236)=$M$190,0,IF(SUM($O196:P196)&lt;=$M$190,P196,$M$190-SUM($O196:O196)))))</f>
        <v>0</v>
      </c>
      <c r="Q236" s="192">
        <f>IF(Q$1="",0,IF($M206&lt;0,0,IF(SUM($O236:P236)=$M$190,0,IF(SUM($O196:Q196)&lt;=$M$190,Q196,$M$190-SUM($O196:P196)))))</f>
        <v>0</v>
      </c>
      <c r="R236" s="192">
        <f>IF(R$1="",0,IF($M206&lt;0,0,IF(SUM($O236:Q236)=$M$190,0,IF(SUM($O196:R196)&lt;=$M$190,R196,$M$190-SUM($O196:Q196)))))</f>
        <v>0</v>
      </c>
      <c r="S236" s="192">
        <f>IF(S$1="",0,IF($M206&lt;0,0,IF(SUM($O236:R236)=$M$190,0,IF(SUM($O196:S196)&lt;=$M$190,S196,$M$190-SUM($O196:R196)))))</f>
        <v>0</v>
      </c>
      <c r="T236" s="192">
        <f>IF(T$1="",0,IF($M206&lt;0,0,IF(SUM($O236:S236)=$M$190,0,IF(SUM($O196:T196)&lt;=$M$190,T196,$M$190-SUM($O196:S196)))))</f>
        <v>0</v>
      </c>
      <c r="U236" s="192">
        <f>IF(U$1="",0,IF($M206&lt;0,0,IF(SUM($O236:T236)=$M$190,0,IF(SUM($O196:U196)&lt;=$M$190,U196,$M$190-SUM($O196:T196)))))</f>
        <v>0</v>
      </c>
      <c r="V236" s="192">
        <f>IF(V$1="",0,IF($M206&lt;0,0,IF(SUM($O236:U236)=$M$190,0,IF(SUM($O196:V196)&lt;=$M$190,V196,$M$190-SUM($O196:U196)))))</f>
        <v>0</v>
      </c>
      <c r="W236" s="192">
        <f>IF(W$1="",0,IF($M206&lt;0,0,IF(SUM($O236:V236)=$M$190,0,IF(SUM($O196:W196)&lt;=$M$190,W196,$M$190-SUM($O196:V196)))))</f>
        <v>0</v>
      </c>
      <c r="X236" s="192">
        <f>IF(X$1="",0,IF($M206&lt;0,0,IF(SUM($O236:W236)=$M$190,0,IF(SUM($O196:X196)&lt;=$M$190,X196,$M$190-SUM($O196:W196)))))</f>
        <v>0</v>
      </c>
      <c r="Y236" s="192">
        <f>IF(Y$1="",0,IF($M206&lt;0,0,IF(SUM($O236:X236)=$M$190,0,IF(SUM($O196:Y196)&lt;=$M$190,Y196,$M$190-SUM($O196:X196)))))</f>
        <v>0</v>
      </c>
      <c r="Z236" s="192">
        <f>IF(Z$1="",0,IF($M206&lt;0,0,IF(SUM($O236:Y236)=$M$190,0,IF(SUM($O196:Z196)&lt;=$M$190,Z196,$M$190-SUM($O196:Y196)))))</f>
        <v>0</v>
      </c>
      <c r="AA236" s="192">
        <f>IF(AA$1="",0,IF($M206&lt;0,0,IF(SUM($O236:Z236)=$M$190,0,IF(SUM($O196:AA196)&lt;=$M$190,AA196,$M$190-SUM($O196:Z196)))))</f>
        <v>0</v>
      </c>
      <c r="AB236" s="155"/>
    </row>
    <row r="237" spans="1:28" s="5" customFormat="1" ht="3.9" hidden="1" customHeight="1" x14ac:dyDescent="0.25">
      <c r="A237" s="150">
        <f>1</f>
        <v>1</v>
      </c>
      <c r="B237" s="128"/>
      <c r="C237" s="3"/>
      <c r="D237" s="3"/>
      <c r="E237" s="3"/>
      <c r="F237" s="3"/>
      <c r="G237" s="3"/>
      <c r="H237" s="3"/>
      <c r="I237" s="28"/>
      <c r="J237" s="3"/>
      <c r="K237" s="28"/>
      <c r="L237" s="3"/>
      <c r="M237" s="55"/>
      <c r="N237" s="3"/>
      <c r="O237" s="3"/>
      <c r="P237" s="46"/>
      <c r="Q237" s="46"/>
      <c r="R237" s="46"/>
      <c r="S237" s="46"/>
      <c r="T237" s="46"/>
      <c r="U237" s="46"/>
      <c r="V237" s="46"/>
      <c r="W237" s="46"/>
      <c r="X237" s="46"/>
      <c r="Y237" s="46"/>
      <c r="Z237" s="46"/>
      <c r="AA237" s="46"/>
      <c r="AB237" s="3"/>
    </row>
    <row r="238" spans="1:28" s="157" customFormat="1" hidden="1" x14ac:dyDescent="0.25">
      <c r="A238" s="155">
        <f>1</f>
        <v>1</v>
      </c>
      <c r="B238" s="156" t="str">
        <f>структура!$J$13</f>
        <v>УСН(6%)</v>
      </c>
      <c r="C238" s="155"/>
      <c r="D238" s="155"/>
      <c r="E238" s="189" t="str">
        <f>E236</f>
        <v>График возврата инвестиций (приведенный)</v>
      </c>
      <c r="F238" s="189"/>
      <c r="G238" s="189" t="str">
        <f>IF($E238="","",INDEX(KPI!$G:$G,SUMIFS(KPI!$B:$B,KPI!$E:$E,$E238)))</f>
        <v>тыс.руб.</v>
      </c>
      <c r="H238" s="189"/>
      <c r="I238" s="190"/>
      <c r="J238" s="189"/>
      <c r="K238" s="190"/>
      <c r="L238" s="189"/>
      <c r="M238" s="191">
        <f>SUM($O238:$AB238)</f>
        <v>9977.8790000000008</v>
      </c>
      <c r="N238" s="155"/>
      <c r="O238" s="155"/>
      <c r="P238" s="192">
        <f>IF(P$1="",0,IF($M208&lt;0,0,IF(SUM($O238:O238)=$M$190,0,IF(SUM($O198:P198)&lt;=$M$190,P198,$M$190-SUM($O198:O198)))))</f>
        <v>550.94045824846523</v>
      </c>
      <c r="Q238" s="192">
        <f>IF(Q$1="",0,IF($M208&lt;0,0,IF(SUM($O238:P238)=$M$190,0,IF(SUM($O198:Q198)&lt;=$M$190,Q198,$M$190-SUM($O198:P198)))))</f>
        <v>767.81898568106033</v>
      </c>
      <c r="R238" s="192">
        <f>IF(R$1="",0,IF($M208&lt;0,0,IF(SUM($O238:Q238)=$M$190,0,IF(SUM($O198:R198)&lt;=$M$190,R198,$M$190-SUM($O198:Q198)))))</f>
        <v>1296.9061102416374</v>
      </c>
      <c r="S238" s="192">
        <f>IF(S$1="",0,IF($M208&lt;0,0,IF(SUM($O238:R238)=$M$190,0,IF(SUM($O198:S198)&lt;=$M$190,S198,$M$190-SUM($O198:R198)))))</f>
        <v>1554.245430854078</v>
      </c>
      <c r="T238" s="192">
        <f>IF(T$1="",0,IF($M208&lt;0,0,IF(SUM($O238:S238)=$M$190,0,IF(SUM($O198:T198)&lt;=$M$190,T198,$M$190-SUM($O198:S198)))))</f>
        <v>1883.02892835837</v>
      </c>
      <c r="U238" s="192">
        <f>IF(U$1="",0,IF($M208&lt;0,0,IF(SUM($O238:T238)=$M$190,0,IF(SUM($O198:U198)&lt;=$M$190,U198,$M$190-SUM($O198:T198)))))</f>
        <v>2442.0198125823181</v>
      </c>
      <c r="V238" s="192">
        <f>IF(V$1="",0,IF($M208&lt;0,0,IF(SUM($O238:U238)=$M$190,0,IF(SUM($O198:V198)&lt;=$M$190,V198,$M$190-SUM($O198:U198)))))</f>
        <v>1482.9192740340732</v>
      </c>
      <c r="W238" s="192">
        <f>IF(W$1="",0,IF($M208&lt;0,0,IF(SUM($O238:V238)=$M$190,0,IF(SUM($O198:W198)&lt;=$M$190,W198,$M$190-SUM($O198:V198)))))</f>
        <v>0</v>
      </c>
      <c r="X238" s="192">
        <f>IF(X$1="",0,IF($M208&lt;0,0,IF(SUM($O238:W238)=$M$190,0,IF(SUM($O198:X198)&lt;=$M$190,X198,$M$190-SUM($O198:W198)))))</f>
        <v>0</v>
      </c>
      <c r="Y238" s="192">
        <f>IF(Y$1="",0,IF($M208&lt;0,0,IF(SUM($O238:X238)=$M$190,0,IF(SUM($O198:Y198)&lt;=$M$190,Y198,$M$190-SUM($O198:X198)))))</f>
        <v>0</v>
      </c>
      <c r="Z238" s="192">
        <f>IF(Z$1="",0,IF($M208&lt;0,0,IF(SUM($O238:Y238)=$M$190,0,IF(SUM($O198:Z198)&lt;=$M$190,Z198,$M$190-SUM($O198:Y198)))))</f>
        <v>0</v>
      </c>
      <c r="AA238" s="192">
        <f>IF(AA$1="",0,IF($M208&lt;0,0,IF(SUM($O238:Z238)=$M$190,0,IF(SUM($O198:AA198)&lt;=$M$190,AA198,$M$190-SUM($O198:Z198)))))</f>
        <v>0</v>
      </c>
      <c r="AB238" s="155"/>
    </row>
    <row r="239" spans="1:28" s="5" customFormat="1" ht="3.9" hidden="1" customHeight="1" x14ac:dyDescent="0.25">
      <c r="A239" s="150">
        <f>1</f>
        <v>1</v>
      </c>
      <c r="B239" s="128"/>
      <c r="C239" s="3"/>
      <c r="D239" s="3"/>
      <c r="E239" s="3"/>
      <c r="F239" s="3"/>
      <c r="G239" s="3"/>
      <c r="H239" s="3"/>
      <c r="I239" s="28"/>
      <c r="J239" s="3"/>
      <c r="K239" s="28"/>
      <c r="L239" s="3"/>
      <c r="M239" s="55"/>
      <c r="N239" s="3"/>
      <c r="O239" s="3"/>
      <c r="P239" s="46"/>
      <c r="Q239" s="46"/>
      <c r="R239" s="46"/>
      <c r="S239" s="46"/>
      <c r="T239" s="46"/>
      <c r="U239" s="46"/>
      <c r="V239" s="46"/>
      <c r="W239" s="46"/>
      <c r="X239" s="46"/>
      <c r="Y239" s="46"/>
      <c r="Z239" s="46"/>
      <c r="AA239" s="46"/>
      <c r="AB239" s="3"/>
    </row>
    <row r="240" spans="1:28" s="157" customFormat="1" hidden="1" x14ac:dyDescent="0.25">
      <c r="A240" s="155">
        <f>1</f>
        <v>1</v>
      </c>
      <c r="B240" s="156" t="str">
        <f>структура!$J$14</f>
        <v>УСН(15%)</v>
      </c>
      <c r="C240" s="155"/>
      <c r="D240" s="155"/>
      <c r="E240" s="189" t="str">
        <f>E236</f>
        <v>График возврата инвестиций (приведенный)</v>
      </c>
      <c r="F240" s="189"/>
      <c r="G240" s="189" t="str">
        <f>IF($E240="","",INDEX(KPI!$G:$G,SUMIFS(KPI!$B:$B,KPI!$E:$E,$E240)))</f>
        <v>тыс.руб.</v>
      </c>
      <c r="H240" s="189"/>
      <c r="I240" s="190"/>
      <c r="J240" s="189"/>
      <c r="K240" s="190"/>
      <c r="L240" s="189"/>
      <c r="M240" s="191">
        <f>SUM($O240:$AB240)</f>
        <v>9977.8790000000008</v>
      </c>
      <c r="N240" s="155"/>
      <c r="O240" s="155"/>
      <c r="P240" s="192">
        <f>IF(P$1="",0,IF($M210&lt;0,0,IF(SUM($O240:O240)=$M$190,0,IF(SUM($O200:P200)&lt;=$M$190,P200,$M$190-SUM($O200:O200)))))</f>
        <v>550.94045824846523</v>
      </c>
      <c r="Q240" s="192">
        <f>IF(Q$1="",0,IF($M210&lt;0,0,IF(SUM($O240:P240)=$M$190,0,IF(SUM($O200:Q200)&lt;=$M$190,Q200,$M$190-SUM($O200:P200)))))</f>
        <v>809.81547998650149</v>
      </c>
      <c r="R240" s="192">
        <f>IF(R$1="",0,IF($M210&lt;0,0,IF(SUM($O240:Q240)=$M$190,0,IF(SUM($O200:R200)&lt;=$M$190,R200,$M$190-SUM($O200:Q200)))))</f>
        <v>1291.9405611048139</v>
      </c>
      <c r="S240" s="192">
        <f>IF(S$1="",0,IF($M210&lt;0,0,IF(SUM($O240:R240)=$M$190,0,IF(SUM($O200:S200)&lt;=$M$190,S200,$M$190-SUM($O200:R200)))))</f>
        <v>1484.6618608043939</v>
      </c>
      <c r="T240" s="192">
        <f>IF(T$1="",0,IF($M210&lt;0,0,IF(SUM($O240:S240)=$M$190,0,IF(SUM($O200:T200)&lt;=$M$190,T200,$M$190-SUM($O200:S200)))))</f>
        <v>1777.2639158486568</v>
      </c>
      <c r="U240" s="192">
        <f>IF(U$1="",0,IF($M210&lt;0,0,IF(SUM($O240:T240)=$M$190,0,IF(SUM($O200:U200)&lt;=$M$190,U200,$M$190-SUM($O200:T200)))))</f>
        <v>2295.4848990729524</v>
      </c>
      <c r="V240" s="192">
        <f>IF(V$1="",0,IF($M210&lt;0,0,IF(SUM($O240:U240)=$M$190,0,IF(SUM($O200:V200)&lt;=$M$190,V200,$M$190-SUM($O200:U200)))))</f>
        <v>1767.7718249342179</v>
      </c>
      <c r="W240" s="192">
        <f>IF(W$1="",0,IF($M210&lt;0,0,IF(SUM($O240:V240)=$M$190,0,IF(SUM($O200:W200)&lt;=$M$190,W200,$M$190-SUM($O200:V200)))))</f>
        <v>0</v>
      </c>
      <c r="X240" s="192">
        <f>IF(X$1="",0,IF($M210&lt;0,0,IF(SUM($O240:W240)=$M$190,0,IF(SUM($O200:X200)&lt;=$M$190,X200,$M$190-SUM($O200:W200)))))</f>
        <v>0</v>
      </c>
      <c r="Y240" s="192">
        <f>IF(Y$1="",0,IF($M210&lt;0,0,IF(SUM($O240:X240)=$M$190,0,IF(SUM($O200:Y200)&lt;=$M$190,Y200,$M$190-SUM($O200:X200)))))</f>
        <v>0</v>
      </c>
      <c r="Z240" s="192">
        <f>IF(Z$1="",0,IF($M210&lt;0,0,IF(SUM($O240:Y240)=$M$190,0,IF(SUM($O200:Z200)&lt;=$M$190,Z200,$M$190-SUM($O200:Y200)))))</f>
        <v>0</v>
      </c>
      <c r="AA240" s="192">
        <f>IF(AA$1="",0,IF($M210&lt;0,0,IF(SUM($O240:Z240)=$M$190,0,IF(SUM($O200:AA200)&lt;=$M$190,AA200,$M$190-SUM($O200:Z200)))))</f>
        <v>0</v>
      </c>
      <c r="AB240" s="155"/>
    </row>
    <row r="241" spans="1:28" s="5" customFormat="1" ht="3.9" hidden="1" customHeight="1" x14ac:dyDescent="0.25">
      <c r="A241" s="150">
        <f>1</f>
        <v>1</v>
      </c>
      <c r="B241" s="128"/>
      <c r="C241" s="3"/>
      <c r="D241" s="3"/>
      <c r="E241" s="3"/>
      <c r="F241" s="3"/>
      <c r="G241" s="3"/>
      <c r="H241" s="3"/>
      <c r="I241" s="28"/>
      <c r="J241" s="3"/>
      <c r="K241" s="28"/>
      <c r="L241" s="3"/>
      <c r="M241" s="55"/>
      <c r="N241" s="3"/>
      <c r="O241" s="3"/>
      <c r="P241" s="46"/>
      <c r="Q241" s="46"/>
      <c r="R241" s="46"/>
      <c r="S241" s="46"/>
      <c r="T241" s="46"/>
      <c r="U241" s="46"/>
      <c r="V241" s="46"/>
      <c r="W241" s="46"/>
      <c r="X241" s="46"/>
      <c r="Y241" s="46"/>
      <c r="Z241" s="46"/>
      <c r="AA241" s="46"/>
      <c r="AB241" s="3"/>
    </row>
    <row r="242" spans="1:28" s="157" customFormat="1" x14ac:dyDescent="0.25">
      <c r="A242" s="155">
        <f>1</f>
        <v>1</v>
      </c>
      <c r="B242" s="156" t="str">
        <f>структура!$J$15</f>
        <v>УСН(6%)-ИП</v>
      </c>
      <c r="C242" s="155"/>
      <c r="D242" s="155"/>
      <c r="E242" s="189" t="str">
        <f>E236</f>
        <v>График возврата инвестиций (приведенный)</v>
      </c>
      <c r="F242" s="189"/>
      <c r="G242" s="189" t="str">
        <f>IF($E242="","",INDEX(KPI!$G:$G,SUMIFS(KPI!$B:$B,KPI!$E:$E,$E242)))</f>
        <v>тыс.руб.</v>
      </c>
      <c r="H242" s="189"/>
      <c r="I242" s="190"/>
      <c r="J242" s="189"/>
      <c r="K242" s="190"/>
      <c r="L242" s="189"/>
      <c r="M242" s="191">
        <f>SUM($O242:$AB242)</f>
        <v>9977.8790000000008</v>
      </c>
      <c r="N242" s="155"/>
      <c r="O242" s="155"/>
      <c r="P242" s="192">
        <f>IF(P$1="",0,IF($M212&lt;0,0,IF(SUM($O242:O242)=$M$190,0,IF(SUM($O202:P202)&lt;=$M$190,P202,$M$190-SUM($O202:O202)))))</f>
        <v>550.94045824846523</v>
      </c>
      <c r="Q242" s="192">
        <f>IF(Q$1="",0,IF($M212&lt;0,0,IF(SUM($O242:P242)=$M$190,0,IF(SUM($O202:Q202)&lt;=$M$190,Q202,$M$190-SUM($O202:P202)))))</f>
        <v>879.3892336149446</v>
      </c>
      <c r="R242" s="192">
        <f>IF(R$1="",0,IF($M212&lt;0,0,IF(SUM($O242:Q242)=$M$190,0,IF(SUM($O202:R202)&lt;=$M$190,R202,$M$190-SUM($O202:Q202)))))</f>
        <v>1411.8572747795788</v>
      </c>
      <c r="S242" s="192">
        <f>IF(S$1="",0,IF($M212&lt;0,0,IF(SUM($O242:R242)=$M$190,0,IF(SUM($O202:S202)&lt;=$M$190,S202,$M$190-SUM($O202:R202)))))</f>
        <v>1677.1878528197908</v>
      </c>
      <c r="T242" s="192">
        <f>IF(T$1="",0,IF($M212&lt;0,0,IF(SUM($O242:S242)=$M$190,0,IF(SUM($O202:T202)&lt;=$M$190,T202,$M$190-SUM($O202:S202)))))</f>
        <v>2005.9713503240828</v>
      </c>
      <c r="U242" s="192">
        <f>IF(U$1="",0,IF($M212&lt;0,0,IF(SUM($O242:T242)=$M$190,0,IF(SUM($O202:U202)&lt;=$M$190,U202,$M$190-SUM($O202:T202)))))</f>
        <v>2442.0198125823181</v>
      </c>
      <c r="V242" s="192">
        <f>IF(V$1="",0,IF($M212&lt;0,0,IF(SUM($O242:U242)=$M$190,0,IF(SUM($O202:V202)&lt;=$M$190,V202,$M$190-SUM($O202:U202)))))</f>
        <v>1010.5130176308212</v>
      </c>
      <c r="W242" s="192">
        <f>IF(W$1="",0,IF($M212&lt;0,0,IF(SUM($O242:V242)=$M$190,0,IF(SUM($O202:W202)&lt;=$M$190,W202,$M$190-SUM($O202:V202)))))</f>
        <v>0</v>
      </c>
      <c r="X242" s="192">
        <f>IF(X$1="",0,IF($M212&lt;0,0,IF(SUM($O242:W242)=$M$190,0,IF(SUM($O202:X202)&lt;=$M$190,X202,$M$190-SUM($O202:W202)))))</f>
        <v>0</v>
      </c>
      <c r="Y242" s="192">
        <f>IF(Y$1="",0,IF($M212&lt;0,0,IF(SUM($O242:X242)=$M$190,0,IF(SUM($O202:Y202)&lt;=$M$190,Y202,$M$190-SUM($O202:X202)))))</f>
        <v>0</v>
      </c>
      <c r="Z242" s="192">
        <f>IF(Z$1="",0,IF($M212&lt;0,0,IF(SUM($O242:Y242)=$M$190,0,IF(SUM($O202:Z202)&lt;=$M$190,Z202,$M$190-SUM($O202:Y202)))))</f>
        <v>0</v>
      </c>
      <c r="AA242" s="192">
        <f>IF(AA$1="",0,IF($M212&lt;0,0,IF(SUM($O242:Z242)=$M$190,0,IF(SUM($O202:AA202)&lt;=$M$190,AA202,$M$190-SUM($O202:Z202)))))</f>
        <v>0</v>
      </c>
      <c r="AB242" s="155"/>
    </row>
    <row r="243" spans="1:28" ht="3.9" hidden="1" customHeight="1" x14ac:dyDescent="0.25">
      <c r="A243" s="149">
        <f>1</f>
        <v>1</v>
      </c>
      <c r="B243" s="131"/>
      <c r="C243" s="2"/>
      <c r="D243" s="2"/>
      <c r="E243" s="119"/>
      <c r="F243" s="2"/>
      <c r="G243" s="119"/>
      <c r="H243" s="2"/>
      <c r="I243" s="28"/>
      <c r="J243" s="2"/>
      <c r="K243" s="28"/>
      <c r="L243" s="2"/>
      <c r="M243" s="142"/>
      <c r="N243" s="2"/>
      <c r="O243" s="2"/>
      <c r="P243" s="36"/>
      <c r="Q243" s="36"/>
      <c r="R243" s="36"/>
      <c r="S243" s="36"/>
      <c r="T243" s="36"/>
      <c r="U243" s="36"/>
      <c r="V243" s="36"/>
      <c r="W243" s="36"/>
      <c r="X243" s="36"/>
      <c r="Y243" s="36"/>
      <c r="Z243" s="36"/>
      <c r="AA243" s="36"/>
      <c r="AB243" s="2"/>
    </row>
    <row r="244" spans="1:28" ht="8.1" hidden="1" customHeight="1" x14ac:dyDescent="0.25">
      <c r="A244" s="149">
        <f>1</f>
        <v>1</v>
      </c>
      <c r="B244" s="131"/>
      <c r="C244" s="2"/>
      <c r="D244" s="2"/>
      <c r="E244" s="2"/>
      <c r="F244" s="2"/>
      <c r="G244" s="2"/>
      <c r="H244" s="2"/>
      <c r="I244" s="28"/>
      <c r="J244" s="2"/>
      <c r="K244" s="28"/>
      <c r="L244" s="2"/>
      <c r="M244" s="52"/>
      <c r="N244" s="2"/>
      <c r="O244" s="2"/>
      <c r="P244" s="36"/>
      <c r="Q244" s="36"/>
      <c r="R244" s="36"/>
      <c r="S244" s="36"/>
      <c r="T244" s="36"/>
      <c r="U244" s="36"/>
      <c r="V244" s="36"/>
      <c r="W244" s="36"/>
      <c r="X244" s="36"/>
      <c r="Y244" s="36"/>
      <c r="Z244" s="36"/>
      <c r="AA244" s="36"/>
      <c r="AB244" s="2"/>
    </row>
    <row r="245" spans="1:28" ht="3.9" hidden="1" customHeight="1" x14ac:dyDescent="0.25">
      <c r="A245" s="149">
        <f>1</f>
        <v>1</v>
      </c>
      <c r="B245" s="131"/>
      <c r="C245" s="2"/>
      <c r="D245" s="2"/>
      <c r="E245" s="2"/>
      <c r="F245" s="2"/>
      <c r="G245" s="2"/>
      <c r="H245" s="2"/>
      <c r="I245" s="28"/>
      <c r="J245" s="2"/>
      <c r="K245" s="28"/>
      <c r="L245" s="2"/>
      <c r="M245" s="52"/>
      <c r="N245" s="2"/>
      <c r="O245" s="2"/>
      <c r="P245" s="36"/>
      <c r="Q245" s="36"/>
      <c r="R245" s="36"/>
      <c r="S245" s="36"/>
      <c r="T245" s="36"/>
      <c r="U245" s="36"/>
      <c r="V245" s="36"/>
      <c r="W245" s="36"/>
      <c r="X245" s="36"/>
      <c r="Y245" s="36"/>
      <c r="Z245" s="36"/>
      <c r="AA245" s="36"/>
      <c r="AB245" s="2"/>
    </row>
    <row r="246" spans="1:28" s="5" customFormat="1" hidden="1" x14ac:dyDescent="0.25">
      <c r="A246" s="150">
        <f>1</f>
        <v>1</v>
      </c>
      <c r="B246" s="129" t="str">
        <f>структура!$J$12</f>
        <v>ОСНО</v>
      </c>
      <c r="C246" s="3"/>
      <c r="D246" s="3"/>
      <c r="E246" s="147" t="str">
        <f>KPI!$E$105</f>
        <v>приведенный средневзвешенный срок окуп-ти</v>
      </c>
      <c r="F246" s="147"/>
      <c r="G246" s="147" t="str">
        <f>IF($E246="","",INDEX(KPI!$G:$G,SUMIFS(KPI!$B:$B,KPI!$E:$E,$E246)))</f>
        <v>лет</v>
      </c>
      <c r="H246" s="147"/>
      <c r="I246" s="170"/>
      <c r="J246" s="147"/>
      <c r="K246" s="170"/>
      <c r="L246" s="147"/>
      <c r="M246" s="187" t="str">
        <f>IF(OR($M206&lt;0,$M236=0),"&gt;"&amp;MAX($1:$1),SUMPRODUCT($O$2:$AB$2,$O236:$AB236)/$M236)</f>
        <v>&gt;7</v>
      </c>
      <c r="N246" s="3"/>
      <c r="O246" s="3"/>
      <c r="P246" s="46"/>
      <c r="Q246" s="46"/>
      <c r="R246" s="46"/>
      <c r="S246" s="46"/>
      <c r="T246" s="46"/>
      <c r="U246" s="46"/>
      <c r="V246" s="46"/>
      <c r="W246" s="46"/>
      <c r="X246" s="46"/>
      <c r="Y246" s="46"/>
      <c r="Z246" s="46"/>
      <c r="AA246" s="46"/>
      <c r="AB246" s="3"/>
    </row>
    <row r="247" spans="1:28" s="5" customFormat="1" ht="3.9" hidden="1" customHeight="1" x14ac:dyDescent="0.25">
      <c r="A247" s="150">
        <f>1</f>
        <v>1</v>
      </c>
      <c r="B247" s="128"/>
      <c r="C247" s="3"/>
      <c r="D247" s="3"/>
      <c r="E247" s="3"/>
      <c r="F247" s="3"/>
      <c r="G247" s="3"/>
      <c r="H247" s="3"/>
      <c r="I247" s="28"/>
      <c r="J247" s="3"/>
      <c r="K247" s="28"/>
      <c r="L247" s="3"/>
      <c r="M247" s="55"/>
      <c r="N247" s="3"/>
      <c r="O247" s="3"/>
      <c r="P247" s="46"/>
      <c r="Q247" s="46"/>
      <c r="R247" s="46"/>
      <c r="S247" s="46"/>
      <c r="T247" s="46"/>
      <c r="U247" s="46"/>
      <c r="V247" s="46"/>
      <c r="W247" s="46"/>
      <c r="X247" s="46"/>
      <c r="Y247" s="46"/>
      <c r="Z247" s="46"/>
      <c r="AA247" s="46"/>
      <c r="AB247" s="3"/>
    </row>
    <row r="248" spans="1:28" s="5" customFormat="1" hidden="1" x14ac:dyDescent="0.25">
      <c r="A248" s="150">
        <f>1</f>
        <v>1</v>
      </c>
      <c r="B248" s="129" t="str">
        <f>структура!$J$13</f>
        <v>УСН(6%)</v>
      </c>
      <c r="C248" s="3"/>
      <c r="D248" s="3"/>
      <c r="E248" s="147" t="str">
        <f>E246</f>
        <v>приведенный средневзвешенный срок окуп-ти</v>
      </c>
      <c r="F248" s="147"/>
      <c r="G248" s="147" t="str">
        <f>IF($E248="","",INDEX(KPI!$G:$G,SUMIFS(KPI!$B:$B,KPI!$E:$E,$E248)))</f>
        <v>лет</v>
      </c>
      <c r="H248" s="147"/>
      <c r="I248" s="170"/>
      <c r="J248" s="147"/>
      <c r="K248" s="170"/>
      <c r="L248" s="147"/>
      <c r="M248" s="187">
        <f>IF(OR($M208&lt;0,$M238=0),"&gt;"&amp;MAX($1:$1),SUMPRODUCT($O$2:$AB$2,$O238:$AB238)/$M238)</f>
        <v>4.674538237963807</v>
      </c>
      <c r="N248" s="3"/>
      <c r="O248" s="3"/>
      <c r="P248" s="46"/>
      <c r="Q248" s="46"/>
      <c r="R248" s="46"/>
      <c r="S248" s="46"/>
      <c r="T248" s="46"/>
      <c r="U248" s="46"/>
      <c r="V248" s="46"/>
      <c r="W248" s="46"/>
      <c r="X248" s="46"/>
      <c r="Y248" s="46"/>
      <c r="Z248" s="46"/>
      <c r="AA248" s="46"/>
      <c r="AB248" s="3"/>
    </row>
    <row r="249" spans="1:28" s="5" customFormat="1" ht="3.9" hidden="1" customHeight="1" x14ac:dyDescent="0.25">
      <c r="A249" s="150">
        <f>1</f>
        <v>1</v>
      </c>
      <c r="B249" s="128"/>
      <c r="C249" s="3"/>
      <c r="D249" s="3"/>
      <c r="E249" s="3"/>
      <c r="F249" s="3"/>
      <c r="G249" s="3"/>
      <c r="H249" s="3"/>
      <c r="I249" s="28"/>
      <c r="J249" s="3"/>
      <c r="K249" s="28"/>
      <c r="L249" s="3"/>
      <c r="M249" s="55"/>
      <c r="N249" s="3"/>
      <c r="O249" s="3"/>
      <c r="P249" s="46"/>
      <c r="Q249" s="46"/>
      <c r="R249" s="46"/>
      <c r="S249" s="46"/>
      <c r="T249" s="46"/>
      <c r="U249" s="46"/>
      <c r="V249" s="46"/>
      <c r="W249" s="46"/>
      <c r="X249" s="46"/>
      <c r="Y249" s="46"/>
      <c r="Z249" s="46"/>
      <c r="AA249" s="46"/>
      <c r="AB249" s="3"/>
    </row>
    <row r="250" spans="1:28" s="5" customFormat="1" hidden="1" x14ac:dyDescent="0.25">
      <c r="A250" s="150">
        <f>1</f>
        <v>1</v>
      </c>
      <c r="B250" s="129" t="str">
        <f>структура!$J$14</f>
        <v>УСН(15%)</v>
      </c>
      <c r="C250" s="3"/>
      <c r="D250" s="3"/>
      <c r="E250" s="147" t="str">
        <f>E246</f>
        <v>приведенный средневзвешенный срок окуп-ти</v>
      </c>
      <c r="F250" s="147"/>
      <c r="G250" s="147" t="str">
        <f>IF($E250="","",INDEX(KPI!$G:$G,SUMIFS(KPI!$B:$B,KPI!$E:$E,$E250)))</f>
        <v>лет</v>
      </c>
      <c r="H250" s="147"/>
      <c r="I250" s="170"/>
      <c r="J250" s="147"/>
      <c r="K250" s="170"/>
      <c r="L250" s="147"/>
      <c r="M250" s="187">
        <f>IF(OR($M210&lt;0,$M240=0),"&gt;"&amp;MAX($1:$1),SUMPRODUCT($O$2:$AB$2,$O240:$AB240)/$M240)</f>
        <v>4.7122912888574815</v>
      </c>
      <c r="N250" s="3"/>
      <c r="O250" s="3"/>
      <c r="P250" s="46"/>
      <c r="Q250" s="46"/>
      <c r="R250" s="46"/>
      <c r="S250" s="46"/>
      <c r="T250" s="46"/>
      <c r="U250" s="46"/>
      <c r="V250" s="46"/>
      <c r="W250" s="46"/>
      <c r="X250" s="46"/>
      <c r="Y250" s="46"/>
      <c r="Z250" s="46"/>
      <c r="AA250" s="46"/>
      <c r="AB250" s="3"/>
    </row>
    <row r="251" spans="1:28" s="5" customFormat="1" ht="3.9" hidden="1" customHeight="1" x14ac:dyDescent="0.25">
      <c r="A251" s="150">
        <f>1</f>
        <v>1</v>
      </c>
      <c r="B251" s="128"/>
      <c r="C251" s="3"/>
      <c r="D251" s="3"/>
      <c r="E251" s="3"/>
      <c r="F251" s="3"/>
      <c r="G251" s="3"/>
      <c r="H251" s="3"/>
      <c r="I251" s="28"/>
      <c r="J251" s="3"/>
      <c r="K251" s="28"/>
      <c r="L251" s="3"/>
      <c r="M251" s="55"/>
      <c r="N251" s="3"/>
      <c r="O251" s="3"/>
      <c r="P251" s="46"/>
      <c r="Q251" s="46"/>
      <c r="R251" s="46"/>
      <c r="S251" s="46"/>
      <c r="T251" s="46"/>
      <c r="U251" s="46"/>
      <c r="V251" s="46"/>
      <c r="W251" s="46"/>
      <c r="X251" s="46"/>
      <c r="Y251" s="46"/>
      <c r="Z251" s="46"/>
      <c r="AA251" s="46"/>
      <c r="AB251" s="3"/>
    </row>
    <row r="252" spans="1:28" s="5" customFormat="1" x14ac:dyDescent="0.25">
      <c r="A252" s="150">
        <f>1</f>
        <v>1</v>
      </c>
      <c r="B252" s="129" t="str">
        <f>структура!$J$15</f>
        <v>УСН(6%)-ИП</v>
      </c>
      <c r="C252" s="3"/>
      <c r="D252" s="3"/>
      <c r="E252" s="147" t="str">
        <f>E246</f>
        <v>приведенный средневзвешенный срок окуп-ти</v>
      </c>
      <c r="F252" s="147"/>
      <c r="G252" s="147" t="str">
        <f>IF($E252="","",INDEX(KPI!$G:$G,SUMIFS(KPI!$B:$B,KPI!$E:$E,$E252)))</f>
        <v>лет</v>
      </c>
      <c r="H252" s="147"/>
      <c r="I252" s="170"/>
      <c r="J252" s="147"/>
      <c r="K252" s="170"/>
      <c r="L252" s="147"/>
      <c r="M252" s="187">
        <f>IF(OR($M212&lt;0,$M242=0),"&gt;"&amp;MAX($1:$1),SUMPRODUCT($O$2:$AB$2,$O242:$AB242)/$M242)</f>
        <v>4.5109395405202166</v>
      </c>
      <c r="N252" s="3"/>
      <c r="O252" s="3"/>
      <c r="P252" s="46"/>
      <c r="Q252" s="46"/>
      <c r="R252" s="46"/>
      <c r="S252" s="46"/>
      <c r="T252" s="46"/>
      <c r="U252" s="46"/>
      <c r="V252" s="46"/>
      <c r="W252" s="46"/>
      <c r="X252" s="46"/>
      <c r="Y252" s="46"/>
      <c r="Z252" s="46"/>
      <c r="AA252" s="46"/>
      <c r="AB252" s="3"/>
    </row>
    <row r="253" spans="1:28" ht="3.9" hidden="1" customHeight="1" x14ac:dyDescent="0.25">
      <c r="A253" s="149">
        <f>1</f>
        <v>1</v>
      </c>
      <c r="B253" s="131"/>
      <c r="C253" s="2"/>
      <c r="D253" s="2"/>
      <c r="E253" s="117"/>
      <c r="F253" s="2"/>
      <c r="G253" s="117"/>
      <c r="H253" s="2"/>
      <c r="I253" s="28"/>
      <c r="J253" s="2"/>
      <c r="K253" s="28"/>
      <c r="L253" s="2"/>
      <c r="M253" s="138"/>
      <c r="N253" s="2"/>
      <c r="O253" s="2"/>
      <c r="P253" s="36"/>
      <c r="Q253" s="36"/>
      <c r="R253" s="36"/>
      <c r="S253" s="36"/>
      <c r="T253" s="36"/>
      <c r="U253" s="36"/>
      <c r="V253" s="36"/>
      <c r="W253" s="36"/>
      <c r="X253" s="36"/>
      <c r="Y253" s="36"/>
      <c r="Z253" s="36"/>
      <c r="AA253" s="36"/>
      <c r="AB253" s="2"/>
    </row>
    <row r="254" spans="1:28" ht="8.1" hidden="1" customHeight="1" x14ac:dyDescent="0.25">
      <c r="A254" s="149">
        <f>1</f>
        <v>1</v>
      </c>
      <c r="B254" s="131"/>
      <c r="C254" s="2"/>
      <c r="D254" s="2"/>
      <c r="E254" s="2"/>
      <c r="F254" s="2"/>
      <c r="G254" s="2"/>
      <c r="H254" s="2"/>
      <c r="I254" s="28"/>
      <c r="J254" s="2"/>
      <c r="K254" s="28"/>
      <c r="L254" s="2"/>
      <c r="M254" s="52"/>
      <c r="N254" s="2"/>
      <c r="O254" s="2"/>
      <c r="P254" s="36"/>
      <c r="Q254" s="36"/>
      <c r="R254" s="36"/>
      <c r="S254" s="36"/>
      <c r="T254" s="36"/>
      <c r="U254" s="36"/>
      <c r="V254" s="36"/>
      <c r="W254" s="36"/>
      <c r="X254" s="36"/>
      <c r="Y254" s="36"/>
      <c r="Z254" s="36"/>
      <c r="AA254" s="36"/>
      <c r="AB254" s="2"/>
    </row>
    <row r="255" spans="1:28" ht="3.9" hidden="1" customHeight="1" x14ac:dyDescent="0.25">
      <c r="A255" s="149">
        <f>1</f>
        <v>1</v>
      </c>
      <c r="B255" s="131"/>
      <c r="C255" s="2"/>
      <c r="D255" s="2"/>
      <c r="E255" s="2"/>
      <c r="F255" s="2"/>
      <c r="G255" s="2"/>
      <c r="H255" s="2"/>
      <c r="I255" s="28"/>
      <c r="J255" s="2"/>
      <c r="K255" s="28"/>
      <c r="L255" s="2"/>
      <c r="M255" s="52"/>
      <c r="N255" s="2"/>
      <c r="O255" s="2"/>
      <c r="P255" s="36"/>
      <c r="Q255" s="36"/>
      <c r="R255" s="36"/>
      <c r="S255" s="36"/>
      <c r="T255" s="36"/>
      <c r="U255" s="36"/>
      <c r="V255" s="36"/>
      <c r="W255" s="36"/>
      <c r="X255" s="36"/>
      <c r="Y255" s="36"/>
      <c r="Z255" s="36"/>
      <c r="AA255" s="36"/>
      <c r="AB255" s="2"/>
    </row>
    <row r="256" spans="1:28" s="5" customFormat="1" hidden="1" x14ac:dyDescent="0.25">
      <c r="A256" s="150">
        <f>1</f>
        <v>1</v>
      </c>
      <c r="B256" s="129" t="str">
        <f>структура!$J$12</f>
        <v>ОСНО</v>
      </c>
      <c r="C256" s="3"/>
      <c r="D256" s="3"/>
      <c r="E256" s="146" t="str">
        <f>KPI!$E$107</f>
        <v>IRR</v>
      </c>
      <c r="F256" s="146"/>
      <c r="G256" s="146" t="str">
        <f>IF($E256="","",INDEX(KPI!$G:$G,SUMIFS(KPI!$B:$B,KPI!$E:$E,$E256)))</f>
        <v>%</v>
      </c>
      <c r="H256" s="146"/>
      <c r="I256" s="177"/>
      <c r="J256" s="146"/>
      <c r="K256" s="177"/>
      <c r="L256" s="146"/>
      <c r="M256" s="292">
        <f>IRR(P256:AA256)</f>
        <v>7.2889447632327631E-2</v>
      </c>
      <c r="N256" s="3"/>
      <c r="O256" s="3"/>
      <c r="P256" s="179">
        <f>-$M$190</f>
        <v>-9977.8790000000008</v>
      </c>
      <c r="Q256" s="179">
        <f>P175</f>
        <v>1210.6810040733117</v>
      </c>
      <c r="R256" s="179">
        <f t="shared" ref="R256:AA256" si="17">Q175</f>
        <v>541.38721755048027</v>
      </c>
      <c r="S256" s="179">
        <f t="shared" si="17"/>
        <v>1188.8973798064699</v>
      </c>
      <c r="T256" s="179">
        <f t="shared" si="17"/>
        <v>1493.5790623691273</v>
      </c>
      <c r="U256" s="179">
        <f t="shared" si="17"/>
        <v>2076.5156789388311</v>
      </c>
      <c r="V256" s="179">
        <f t="shared" si="17"/>
        <v>3138.7104260275437</v>
      </c>
      <c r="W256" s="179">
        <f t="shared" si="17"/>
        <v>4533.836554665877</v>
      </c>
      <c r="X256" s="179">
        <f t="shared" si="17"/>
        <v>0</v>
      </c>
      <c r="Y256" s="179">
        <f t="shared" si="17"/>
        <v>0</v>
      </c>
      <c r="Z256" s="179">
        <f t="shared" si="17"/>
        <v>0</v>
      </c>
      <c r="AA256" s="179">
        <f t="shared" si="17"/>
        <v>0</v>
      </c>
      <c r="AB256" s="3"/>
    </row>
    <row r="257" spans="1:28" s="5" customFormat="1" ht="3.9" hidden="1" customHeight="1" x14ac:dyDescent="0.25">
      <c r="A257" s="150">
        <f>1</f>
        <v>1</v>
      </c>
      <c r="B257" s="128"/>
      <c r="C257" s="3"/>
      <c r="D257" s="3"/>
      <c r="E257" s="3"/>
      <c r="F257" s="3"/>
      <c r="G257" s="3"/>
      <c r="H257" s="3"/>
      <c r="I257" s="28"/>
      <c r="J257" s="3"/>
      <c r="K257" s="28"/>
      <c r="L257" s="3"/>
      <c r="M257" s="55"/>
      <c r="N257" s="3"/>
      <c r="O257" s="3"/>
      <c r="P257" s="46"/>
      <c r="Q257" s="46"/>
      <c r="R257" s="46"/>
      <c r="S257" s="46"/>
      <c r="T257" s="46"/>
      <c r="U257" s="46"/>
      <c r="V257" s="46"/>
      <c r="W257" s="46"/>
      <c r="X257" s="46"/>
      <c r="Y257" s="46"/>
      <c r="Z257" s="46"/>
      <c r="AA257" s="46"/>
      <c r="AB257" s="3"/>
    </row>
    <row r="258" spans="1:28" s="5" customFormat="1" hidden="1" x14ac:dyDescent="0.25">
      <c r="A258" s="150">
        <f>1</f>
        <v>1</v>
      </c>
      <c r="B258" s="129" t="str">
        <f>структура!$J$13</f>
        <v>УСН(6%)</v>
      </c>
      <c r="C258" s="3"/>
      <c r="D258" s="3"/>
      <c r="E258" s="146" t="str">
        <f>E256</f>
        <v>IRR</v>
      </c>
      <c r="F258" s="146"/>
      <c r="G258" s="146" t="str">
        <f>IF($E258="","",INDEX(KPI!$G:$G,SUMIFS(KPI!$B:$B,KPI!$E:$E,$E258)))</f>
        <v>%</v>
      </c>
      <c r="H258" s="146"/>
      <c r="I258" s="177"/>
      <c r="J258" s="146"/>
      <c r="K258" s="177"/>
      <c r="L258" s="146"/>
      <c r="M258" s="292">
        <f>IRR(P258:AA258)</f>
        <v>0.13468171581349897</v>
      </c>
      <c r="N258" s="3"/>
      <c r="O258" s="3"/>
      <c r="P258" s="179">
        <f>-$M$190</f>
        <v>-9977.8790000000008</v>
      </c>
      <c r="Q258" s="179">
        <f>P177</f>
        <v>606.03450407331184</v>
      </c>
      <c r="R258" s="179">
        <f t="shared" ref="R258:AA258" si="18">Q177</f>
        <v>929.06097267408313</v>
      </c>
      <c r="S258" s="179">
        <f t="shared" si="18"/>
        <v>1726.18203273162</v>
      </c>
      <c r="T258" s="179">
        <f t="shared" si="18"/>
        <v>2275.5707353134567</v>
      </c>
      <c r="U258" s="179">
        <f t="shared" si="18"/>
        <v>3032.63691941044</v>
      </c>
      <c r="V258" s="179">
        <f t="shared" si="18"/>
        <v>4326.1870611981467</v>
      </c>
      <c r="W258" s="179">
        <f t="shared" si="18"/>
        <v>6123.210467426884</v>
      </c>
      <c r="X258" s="179">
        <f t="shared" si="18"/>
        <v>0</v>
      </c>
      <c r="Y258" s="179">
        <f t="shared" si="18"/>
        <v>0</v>
      </c>
      <c r="Z258" s="179">
        <f t="shared" si="18"/>
        <v>0</v>
      </c>
      <c r="AA258" s="179">
        <f t="shared" si="18"/>
        <v>0</v>
      </c>
      <c r="AB258" s="3"/>
    </row>
    <row r="259" spans="1:28" s="5" customFormat="1" ht="3.9" hidden="1" customHeight="1" x14ac:dyDescent="0.25">
      <c r="A259" s="150">
        <f>1</f>
        <v>1</v>
      </c>
      <c r="B259" s="128"/>
      <c r="C259" s="3"/>
      <c r="D259" s="3"/>
      <c r="E259" s="3"/>
      <c r="F259" s="3"/>
      <c r="G259" s="3"/>
      <c r="H259" s="3"/>
      <c r="I259" s="28"/>
      <c r="J259" s="3"/>
      <c r="K259" s="28"/>
      <c r="L259" s="3"/>
      <c r="M259" s="55"/>
      <c r="N259" s="3"/>
      <c r="O259" s="3"/>
      <c r="P259" s="46"/>
      <c r="Q259" s="46"/>
      <c r="R259" s="46"/>
      <c r="S259" s="46"/>
      <c r="T259" s="46"/>
      <c r="U259" s="46"/>
      <c r="V259" s="46"/>
      <c r="W259" s="46"/>
      <c r="X259" s="46"/>
      <c r="Y259" s="46"/>
      <c r="Z259" s="46"/>
      <c r="AA259" s="46"/>
      <c r="AB259" s="3"/>
    </row>
    <row r="260" spans="1:28" s="5" customFormat="1" hidden="1" x14ac:dyDescent="0.25">
      <c r="A260" s="150">
        <f>1</f>
        <v>1</v>
      </c>
      <c r="B260" s="129" t="str">
        <f>структура!$J$14</f>
        <v>УСН(15%)</v>
      </c>
      <c r="C260" s="3"/>
      <c r="D260" s="3"/>
      <c r="E260" s="146" t="str">
        <f>E256</f>
        <v>IRR</v>
      </c>
      <c r="F260" s="146"/>
      <c r="G260" s="146" t="str">
        <f>IF($E260="","",INDEX(KPI!$G:$G,SUMIFS(KPI!$B:$B,KPI!$E:$E,$E260)))</f>
        <v>%</v>
      </c>
      <c r="H260" s="146"/>
      <c r="I260" s="177"/>
      <c r="J260" s="146"/>
      <c r="K260" s="177"/>
      <c r="L260" s="146"/>
      <c r="M260" s="292">
        <f>IRR(P260:AA260)</f>
        <v>0.1249522461466217</v>
      </c>
      <c r="N260" s="3"/>
      <c r="O260" s="3"/>
      <c r="P260" s="179">
        <f>-$M$190</f>
        <v>-9977.8790000000008</v>
      </c>
      <c r="Q260" s="179">
        <f>P179</f>
        <v>606.03450407331184</v>
      </c>
      <c r="R260" s="179">
        <f t="shared" ref="R260:AA260" si="19">Q179</f>
        <v>979.87673078366697</v>
      </c>
      <c r="S260" s="179">
        <f t="shared" si="19"/>
        <v>1719.5728868305077</v>
      </c>
      <c r="T260" s="179">
        <f t="shared" si="19"/>
        <v>2173.693430403714</v>
      </c>
      <c r="U260" s="179">
        <f t="shared" si="19"/>
        <v>2862.3013091134217</v>
      </c>
      <c r="V260" s="179">
        <f t="shared" si="19"/>
        <v>4066.5915232865809</v>
      </c>
      <c r="W260" s="179">
        <f t="shared" si="19"/>
        <v>5710.5324082471616</v>
      </c>
      <c r="X260" s="179">
        <f t="shared" si="19"/>
        <v>0</v>
      </c>
      <c r="Y260" s="179">
        <f t="shared" si="19"/>
        <v>0</v>
      </c>
      <c r="Z260" s="179">
        <f t="shared" si="19"/>
        <v>0</v>
      </c>
      <c r="AA260" s="179">
        <f t="shared" si="19"/>
        <v>0</v>
      </c>
      <c r="AB260" s="3"/>
    </row>
    <row r="261" spans="1:28" s="5" customFormat="1" ht="3.9" hidden="1" customHeight="1" x14ac:dyDescent="0.25">
      <c r="A261" s="150">
        <f>1</f>
        <v>1</v>
      </c>
      <c r="B261" s="128"/>
      <c r="C261" s="3"/>
      <c r="D261" s="3"/>
      <c r="E261" s="3"/>
      <c r="F261" s="3"/>
      <c r="G261" s="3"/>
      <c r="H261" s="3"/>
      <c r="I261" s="28"/>
      <c r="J261" s="3"/>
      <c r="K261" s="28"/>
      <c r="L261" s="3"/>
      <c r="M261" s="55"/>
      <c r="N261" s="3"/>
      <c r="O261" s="3"/>
      <c r="P261" s="46"/>
      <c r="Q261" s="46"/>
      <c r="R261" s="46"/>
      <c r="S261" s="46"/>
      <c r="T261" s="46"/>
      <c r="U261" s="46"/>
      <c r="V261" s="46"/>
      <c r="W261" s="46"/>
      <c r="X261" s="46"/>
      <c r="Y261" s="46"/>
      <c r="Z261" s="46"/>
      <c r="AA261" s="46"/>
      <c r="AB261" s="3"/>
    </row>
    <row r="262" spans="1:28" s="5" customFormat="1" x14ac:dyDescent="0.25">
      <c r="A262" s="150">
        <f>1</f>
        <v>1</v>
      </c>
      <c r="B262" s="129" t="str">
        <f>структура!$J$15</f>
        <v>УСН(6%)-ИП</v>
      </c>
      <c r="C262" s="3"/>
      <c r="D262" s="3"/>
      <c r="E262" s="146" t="str">
        <f>E256</f>
        <v>IRR</v>
      </c>
      <c r="F262" s="146"/>
      <c r="G262" s="146" t="str">
        <f>IF($E262="","",INDEX(KPI!$G:$G,SUMIFS(KPI!$B:$B,KPI!$E:$E,$E262)))</f>
        <v>%</v>
      </c>
      <c r="H262" s="146"/>
      <c r="I262" s="177"/>
      <c r="J262" s="146"/>
      <c r="K262" s="177"/>
      <c r="L262" s="146"/>
      <c r="M262" s="292">
        <f>IRR(P262:AA262)</f>
        <v>0.14448110797115854</v>
      </c>
      <c r="N262" s="3"/>
      <c r="O262" s="3"/>
      <c r="P262" s="179">
        <f>-$M$190</f>
        <v>-9977.8790000000008</v>
      </c>
      <c r="Q262" s="179">
        <f>P181</f>
        <v>606.03450407331184</v>
      </c>
      <c r="R262" s="179">
        <f t="shared" ref="R262:AA262" si="20">Q181</f>
        <v>1064.0609726740831</v>
      </c>
      <c r="S262" s="179">
        <f t="shared" si="20"/>
        <v>1879.18203273162</v>
      </c>
      <c r="T262" s="179">
        <f t="shared" si="20"/>
        <v>2455.5707353134567</v>
      </c>
      <c r="U262" s="179">
        <f t="shared" si="20"/>
        <v>3230.63691941044</v>
      </c>
      <c r="V262" s="179">
        <f t="shared" si="20"/>
        <v>4326.1870611981467</v>
      </c>
      <c r="W262" s="179">
        <f t="shared" si="20"/>
        <v>6123.210467426884</v>
      </c>
      <c r="X262" s="179">
        <f t="shared" si="20"/>
        <v>0</v>
      </c>
      <c r="Y262" s="179">
        <f t="shared" si="20"/>
        <v>0</v>
      </c>
      <c r="Z262" s="179">
        <f t="shared" si="20"/>
        <v>0</v>
      </c>
      <c r="AA262" s="179">
        <f t="shared" si="20"/>
        <v>0</v>
      </c>
      <c r="AB262" s="3"/>
    </row>
    <row r="263" spans="1:28" ht="3.9" hidden="1" customHeight="1" x14ac:dyDescent="0.25">
      <c r="A263" s="149">
        <f>1</f>
        <v>1</v>
      </c>
      <c r="B263" s="131"/>
      <c r="C263" s="2"/>
      <c r="D263" s="2"/>
      <c r="E263" s="119"/>
      <c r="F263" s="2"/>
      <c r="G263" s="119"/>
      <c r="H263" s="2"/>
      <c r="I263" s="28"/>
      <c r="J263" s="2"/>
      <c r="K263" s="28"/>
      <c r="L263" s="2"/>
      <c r="M263" s="142"/>
      <c r="N263" s="2"/>
      <c r="O263" s="2"/>
      <c r="P263" s="36"/>
      <c r="Q263" s="36"/>
      <c r="R263" s="36"/>
      <c r="S263" s="36"/>
      <c r="T263" s="36"/>
      <c r="U263" s="36"/>
      <c r="V263" s="36"/>
      <c r="W263" s="36"/>
      <c r="X263" s="36"/>
      <c r="Y263" s="36"/>
      <c r="Z263" s="36"/>
      <c r="AA263" s="36"/>
      <c r="AB263" s="2"/>
    </row>
    <row r="264" spans="1:28" ht="8.1" hidden="1" customHeight="1" x14ac:dyDescent="0.25">
      <c r="A264" s="149">
        <f>1</f>
        <v>1</v>
      </c>
      <c r="B264" s="131"/>
      <c r="C264" s="2"/>
      <c r="D264" s="2"/>
      <c r="E264" s="2"/>
      <c r="F264" s="2"/>
      <c r="G264" s="2"/>
      <c r="H264" s="2"/>
      <c r="I264" s="28"/>
      <c r="J264" s="2"/>
      <c r="K264" s="28"/>
      <c r="L264" s="2"/>
      <c r="M264" s="52"/>
      <c r="N264" s="2"/>
      <c r="O264" s="2"/>
      <c r="P264" s="36"/>
      <c r="Q264" s="36"/>
      <c r="R264" s="36"/>
      <c r="S264" s="36"/>
      <c r="T264" s="36"/>
      <c r="U264" s="36"/>
      <c r="V264" s="36"/>
      <c r="W264" s="36"/>
      <c r="X264" s="36"/>
      <c r="Y264" s="36"/>
      <c r="Z264" s="36"/>
      <c r="AA264" s="36"/>
      <c r="AB264" s="2"/>
    </row>
    <row r="265" spans="1:28" s="5" customFormat="1" hidden="1" x14ac:dyDescent="0.25">
      <c r="A265" s="150">
        <f>1</f>
        <v>1</v>
      </c>
      <c r="B265" s="131"/>
      <c r="C265" s="3"/>
      <c r="D265" s="3"/>
      <c r="E265" s="3"/>
      <c r="F265" s="3"/>
      <c r="G265" s="3"/>
      <c r="H265" s="3"/>
      <c r="I265" s="28"/>
      <c r="J265" s="3"/>
      <c r="K265" s="28"/>
      <c r="L265" s="3"/>
      <c r="M265" s="55"/>
      <c r="N265" s="3"/>
      <c r="O265" s="3"/>
      <c r="P265" s="46"/>
      <c r="Q265" s="46"/>
      <c r="R265" s="46"/>
      <c r="S265" s="46"/>
      <c r="T265" s="46"/>
      <c r="U265" s="46"/>
      <c r="V265" s="46"/>
      <c r="W265" s="46"/>
      <c r="X265" s="46"/>
      <c r="Y265" s="46"/>
      <c r="Z265" s="46"/>
      <c r="AA265" s="46"/>
      <c r="AB265" s="3"/>
    </row>
    <row r="266" spans="1:28" ht="3.9" hidden="1" customHeight="1" x14ac:dyDescent="0.25">
      <c r="A266" s="149">
        <f>1</f>
        <v>1</v>
      </c>
      <c r="B266" s="131"/>
      <c r="C266" s="2"/>
      <c r="D266" s="2"/>
      <c r="E266" s="2"/>
      <c r="F266" s="2"/>
      <c r="G266" s="2"/>
      <c r="H266" s="2"/>
      <c r="I266" s="28"/>
      <c r="J266" s="2"/>
      <c r="K266" s="28"/>
      <c r="L266" s="2"/>
      <c r="M266" s="52"/>
      <c r="N266" s="2"/>
      <c r="O266" s="2"/>
      <c r="P266" s="36"/>
      <c r="Q266" s="36"/>
      <c r="R266" s="36"/>
      <c r="S266" s="36"/>
      <c r="T266" s="36"/>
      <c r="U266" s="36"/>
      <c r="V266" s="36"/>
      <c r="W266" s="36"/>
      <c r="X266" s="36"/>
      <c r="Y266" s="36"/>
      <c r="Z266" s="36"/>
      <c r="AA266" s="36"/>
      <c r="AB266" s="2"/>
    </row>
    <row r="267" spans="1:28" hidden="1" x14ac:dyDescent="0.25">
      <c r="A267" s="149">
        <f>1</f>
        <v>1</v>
      </c>
      <c r="B267" s="131"/>
      <c r="C267" s="2"/>
      <c r="D267" s="2"/>
      <c r="E267" s="2"/>
      <c r="F267" s="2"/>
      <c r="G267" s="2"/>
      <c r="H267" s="2"/>
      <c r="I267" s="28"/>
      <c r="J267" s="2"/>
      <c r="K267" s="28"/>
      <c r="L267" s="2"/>
      <c r="M267" s="52"/>
      <c r="N267" s="2"/>
      <c r="O267" s="2"/>
      <c r="P267" s="36"/>
      <c r="Q267" s="36"/>
      <c r="R267" s="36"/>
      <c r="S267" s="36"/>
      <c r="T267" s="36"/>
      <c r="U267" s="36"/>
      <c r="V267" s="36"/>
      <c r="W267" s="36"/>
      <c r="X267" s="36"/>
      <c r="Y267" s="36"/>
      <c r="Z267" s="36"/>
      <c r="AA267" s="36"/>
      <c r="AB267" s="2"/>
    </row>
    <row r="268" spans="1:28" hidden="1" x14ac:dyDescent="0.25">
      <c r="A268" s="149">
        <f>1</f>
        <v>1</v>
      </c>
      <c r="B268" s="131"/>
      <c r="C268" s="2"/>
      <c r="D268" s="2"/>
      <c r="E268" s="2"/>
      <c r="F268" s="2"/>
      <c r="G268" s="2"/>
      <c r="H268" s="2"/>
      <c r="I268" s="28"/>
      <c r="J268" s="2"/>
      <c r="K268" s="28"/>
      <c r="L268" s="2"/>
      <c r="M268" s="52"/>
      <c r="N268" s="2"/>
      <c r="O268" s="2"/>
      <c r="P268" s="36"/>
      <c r="Q268" s="36"/>
      <c r="R268" s="36"/>
      <c r="S268" s="36"/>
      <c r="T268" s="36"/>
      <c r="U268" s="36"/>
      <c r="V268" s="36"/>
      <c r="W268" s="36"/>
      <c r="X268" s="36"/>
      <c r="Y268" s="36"/>
      <c r="Z268" s="36"/>
      <c r="AA268" s="36"/>
      <c r="AB268" s="2"/>
    </row>
    <row r="269" spans="1:28" hidden="1" x14ac:dyDescent="0.25">
      <c r="A269" s="149">
        <f>1</f>
        <v>1</v>
      </c>
      <c r="B269" s="131"/>
      <c r="C269" s="2"/>
      <c r="D269" s="2"/>
      <c r="E269" s="2"/>
      <c r="F269" s="2"/>
      <c r="G269" s="2"/>
      <c r="H269" s="2"/>
      <c r="I269" s="28"/>
      <c r="J269" s="2"/>
      <c r="K269" s="28"/>
      <c r="L269" s="2"/>
      <c r="M269" s="52"/>
      <c r="N269" s="2"/>
      <c r="O269" s="2"/>
      <c r="P269" s="36"/>
      <c r="Q269" s="36"/>
      <c r="R269" s="36"/>
      <c r="S269" s="36"/>
      <c r="T269" s="36"/>
      <c r="U269" s="36"/>
      <c r="V269" s="36"/>
      <c r="W269" s="36"/>
      <c r="X269" s="36"/>
      <c r="Y269" s="36"/>
      <c r="Z269" s="36"/>
      <c r="AA269" s="36"/>
      <c r="AB269" s="2"/>
    </row>
    <row r="270" spans="1:28" hidden="1" x14ac:dyDescent="0.25">
      <c r="A270" s="149">
        <f>1</f>
        <v>1</v>
      </c>
      <c r="B270" s="131"/>
      <c r="C270" s="2"/>
      <c r="D270" s="2"/>
      <c r="E270" s="2"/>
      <c r="F270" s="2"/>
      <c r="G270" s="2"/>
      <c r="H270" s="2"/>
      <c r="I270" s="28"/>
      <c r="J270" s="2"/>
      <c r="K270" s="28"/>
      <c r="L270" s="2"/>
      <c r="M270" s="52"/>
      <c r="N270" s="2"/>
      <c r="O270" s="2"/>
      <c r="P270" s="36"/>
      <c r="Q270" s="36"/>
      <c r="R270" s="36"/>
      <c r="S270" s="36"/>
      <c r="T270" s="36"/>
      <c r="U270" s="36"/>
      <c r="V270" s="36"/>
      <c r="W270" s="36"/>
      <c r="X270" s="36"/>
      <c r="Y270" s="36"/>
      <c r="Z270" s="36"/>
      <c r="AA270" s="36"/>
      <c r="AB270" s="2"/>
    </row>
    <row r="271" spans="1:28" hidden="1" x14ac:dyDescent="0.25">
      <c r="A271" s="149">
        <f>1</f>
        <v>1</v>
      </c>
      <c r="B271" s="131"/>
      <c r="C271" s="2"/>
      <c r="D271" s="2"/>
      <c r="E271" s="2"/>
      <c r="F271" s="2"/>
      <c r="G271" s="2"/>
      <c r="H271" s="2"/>
      <c r="I271" s="28"/>
      <c r="J271" s="2"/>
      <c r="K271" s="28"/>
      <c r="L271" s="2"/>
      <c r="M271" s="52"/>
      <c r="N271" s="2"/>
      <c r="O271" s="2"/>
      <c r="P271" s="36"/>
      <c r="Q271" s="36"/>
      <c r="R271" s="36"/>
      <c r="S271" s="36"/>
      <c r="T271" s="36"/>
      <c r="U271" s="36"/>
      <c r="V271" s="36"/>
      <c r="W271" s="36"/>
      <c r="X271" s="36"/>
      <c r="Y271" s="36"/>
      <c r="Z271" s="36"/>
      <c r="AA271" s="36"/>
      <c r="AB271" s="2"/>
    </row>
    <row r="272" spans="1:28" hidden="1" x14ac:dyDescent="0.25">
      <c r="A272" s="149">
        <f>1</f>
        <v>1</v>
      </c>
      <c r="B272" s="131"/>
      <c r="C272" s="2"/>
      <c r="D272" s="2"/>
      <c r="E272" s="2"/>
      <c r="F272" s="2"/>
      <c r="G272" s="2"/>
      <c r="H272" s="2"/>
      <c r="I272" s="28"/>
      <c r="J272" s="2"/>
      <c r="K272" s="28"/>
      <c r="L272" s="2"/>
      <c r="M272" s="52"/>
      <c r="N272" s="2"/>
      <c r="O272" s="2"/>
      <c r="P272" s="36"/>
      <c r="Q272" s="36"/>
      <c r="R272" s="36"/>
      <c r="S272" s="36"/>
      <c r="T272" s="36"/>
      <c r="U272" s="36"/>
      <c r="V272" s="36"/>
      <c r="W272" s="36"/>
      <c r="X272" s="36"/>
      <c r="Y272" s="36"/>
      <c r="Z272" s="36"/>
      <c r="AA272" s="36"/>
      <c r="AB272" s="2"/>
    </row>
    <row r="273" spans="1:28" hidden="1" x14ac:dyDescent="0.25">
      <c r="A273" s="149">
        <f>1</f>
        <v>1</v>
      </c>
      <c r="B273" s="131"/>
      <c r="C273" s="2"/>
      <c r="D273" s="2"/>
      <c r="E273" s="2"/>
      <c r="F273" s="2"/>
      <c r="G273" s="2"/>
      <c r="H273" s="2"/>
      <c r="I273" s="28"/>
      <c r="J273" s="2"/>
      <c r="K273" s="28"/>
      <c r="L273" s="2"/>
      <c r="M273" s="52"/>
      <c r="N273" s="2"/>
      <c r="O273" s="2"/>
      <c r="P273" s="36"/>
      <c r="Q273" s="36"/>
      <c r="R273" s="36"/>
      <c r="S273" s="36"/>
      <c r="T273" s="36"/>
      <c r="U273" s="36"/>
      <c r="V273" s="36"/>
      <c r="W273" s="36"/>
      <c r="X273" s="36"/>
      <c r="Y273" s="36"/>
      <c r="Z273" s="36"/>
      <c r="AA273" s="36"/>
      <c r="AB273" s="2"/>
    </row>
    <row r="274" spans="1:28" hidden="1" x14ac:dyDescent="0.25">
      <c r="A274" s="149">
        <f>1</f>
        <v>1</v>
      </c>
      <c r="B274" s="131"/>
      <c r="C274" s="2"/>
      <c r="D274" s="2"/>
      <c r="E274" s="2"/>
      <c r="F274" s="2"/>
      <c r="G274" s="2"/>
      <c r="H274" s="2"/>
      <c r="I274" s="28"/>
      <c r="J274" s="2"/>
      <c r="K274" s="28"/>
      <c r="L274" s="2"/>
      <c r="M274" s="52"/>
      <c r="N274" s="2"/>
      <c r="O274" s="2"/>
      <c r="P274" s="36"/>
      <c r="Q274" s="36"/>
      <c r="R274" s="36"/>
      <c r="S274" s="36"/>
      <c r="T274" s="36"/>
      <c r="U274" s="36"/>
      <c r="V274" s="36"/>
      <c r="W274" s="36"/>
      <c r="X274" s="36"/>
      <c r="Y274" s="36"/>
      <c r="Z274" s="36"/>
      <c r="AA274" s="36"/>
      <c r="AB274" s="2"/>
    </row>
    <row r="275" spans="1:28" hidden="1" x14ac:dyDescent="0.25">
      <c r="A275" s="149">
        <f>1</f>
        <v>1</v>
      </c>
      <c r="B275" s="131"/>
      <c r="C275" s="2"/>
      <c r="D275" s="2"/>
      <c r="E275" s="2"/>
      <c r="F275" s="2"/>
      <c r="G275" s="2"/>
      <c r="H275" s="2"/>
      <c r="I275" s="28"/>
      <c r="J275" s="2"/>
      <c r="K275" s="28"/>
      <c r="L275" s="2"/>
      <c r="M275" s="52"/>
      <c r="N275" s="2"/>
      <c r="O275" s="2"/>
      <c r="P275" s="36"/>
      <c r="Q275" s="36"/>
      <c r="R275" s="36"/>
      <c r="S275" s="36"/>
      <c r="T275" s="36"/>
      <c r="U275" s="36"/>
      <c r="V275" s="36"/>
      <c r="W275" s="36"/>
      <c r="X275" s="36"/>
      <c r="Y275" s="36"/>
      <c r="Z275" s="36"/>
      <c r="AA275" s="36"/>
      <c r="AB275" s="2"/>
    </row>
    <row r="276" spans="1:28" hidden="1" x14ac:dyDescent="0.25">
      <c r="A276" s="149">
        <f>1</f>
        <v>1</v>
      </c>
      <c r="B276" s="131"/>
      <c r="C276" s="2"/>
      <c r="D276" s="2"/>
      <c r="E276" s="2"/>
      <c r="F276" s="2"/>
      <c r="G276" s="2"/>
      <c r="H276" s="2"/>
      <c r="I276" s="28"/>
      <c r="J276" s="2"/>
      <c r="K276" s="28"/>
      <c r="L276" s="2"/>
      <c r="M276" s="52"/>
      <c r="N276" s="2"/>
      <c r="O276" s="2"/>
      <c r="P276" s="36"/>
      <c r="Q276" s="36"/>
      <c r="R276" s="36"/>
      <c r="S276" s="36"/>
      <c r="T276" s="36"/>
      <c r="U276" s="36"/>
      <c r="V276" s="36"/>
      <c r="W276" s="36"/>
      <c r="X276" s="36"/>
      <c r="Y276" s="36"/>
      <c r="Z276" s="36"/>
      <c r="AA276" s="36"/>
      <c r="AB276" s="2"/>
    </row>
    <row r="277" spans="1:28" hidden="1" x14ac:dyDescent="0.25">
      <c r="A277" s="149">
        <f>1</f>
        <v>1</v>
      </c>
      <c r="B277" s="131"/>
      <c r="C277" s="2"/>
      <c r="D277" s="2"/>
      <c r="E277" s="2"/>
      <c r="F277" s="2"/>
      <c r="G277" s="2"/>
      <c r="H277" s="2"/>
      <c r="I277" s="28"/>
      <c r="J277" s="2"/>
      <c r="K277" s="28"/>
      <c r="L277" s="2"/>
      <c r="M277" s="52"/>
      <c r="N277" s="2"/>
      <c r="O277" s="2"/>
      <c r="P277" s="36"/>
      <c r="Q277" s="36"/>
      <c r="R277" s="36"/>
      <c r="S277" s="36"/>
      <c r="T277" s="36"/>
      <c r="U277" s="36"/>
      <c r="V277" s="36"/>
      <c r="W277" s="36"/>
      <c r="X277" s="36"/>
      <c r="Y277" s="36"/>
      <c r="Z277" s="36"/>
      <c r="AA277" s="36"/>
      <c r="AB277" s="2"/>
    </row>
    <row r="278" spans="1:28" x14ac:dyDescent="0.25">
      <c r="P278" s="57"/>
      <c r="Q278" s="57"/>
      <c r="R278" s="57"/>
      <c r="S278" s="57"/>
      <c r="T278" s="57"/>
      <c r="U278" s="57"/>
      <c r="V278" s="57"/>
      <c r="W278" s="57"/>
      <c r="X278" s="57"/>
      <c r="Y278" s="57"/>
      <c r="Z278" s="57"/>
      <c r="AA278" s="57"/>
    </row>
  </sheetData>
  <autoFilter ref="A8:B277">
    <filterColumn colId="1">
      <filters>
        <filter val="УСН(6%)-ИП"/>
      </filters>
    </filterColumn>
  </autoFilter>
  <conditionalFormatting sqref="A2:XFD2 A3:B6 F3:XFD4 F5:F6 H5:XFD6 E1:XFD1 A7:XFD10 A11:D11 H11:O11 AB11:XFD11 A12:XFD1048576">
    <cfRule type="cellIs" dxfId="7594" priority="951" operator="equal">
      <formula>0</formula>
    </cfRule>
  </conditionalFormatting>
  <conditionalFormatting sqref="P16:AA16">
    <cfRule type="expression" dxfId="7593" priority="950">
      <formula>P$1=""</formula>
    </cfRule>
  </conditionalFormatting>
  <conditionalFormatting sqref="P18:AA18">
    <cfRule type="expression" dxfId="7592" priority="949">
      <formula>P$1=""</formula>
    </cfRule>
  </conditionalFormatting>
  <conditionalFormatting sqref="P20:AA20">
    <cfRule type="expression" dxfId="7591" priority="948">
      <formula>P$1=""</formula>
    </cfRule>
  </conditionalFormatting>
  <conditionalFormatting sqref="P22:AA22">
    <cfRule type="expression" dxfId="7590" priority="947">
      <formula>P$1=""</formula>
    </cfRule>
  </conditionalFormatting>
  <conditionalFormatting sqref="P26:AA26">
    <cfRule type="expression" dxfId="7589" priority="946">
      <formula>P$1=""</formula>
    </cfRule>
  </conditionalFormatting>
  <conditionalFormatting sqref="P28:AA28">
    <cfRule type="expression" dxfId="7588" priority="945">
      <formula>P$1=""</formula>
    </cfRule>
  </conditionalFormatting>
  <conditionalFormatting sqref="P30:AA30">
    <cfRule type="expression" dxfId="7587" priority="944">
      <formula>P$1=""</formula>
    </cfRule>
  </conditionalFormatting>
  <conditionalFormatting sqref="P32:AA32">
    <cfRule type="expression" dxfId="7586" priority="943">
      <formula>P$1=""</formula>
    </cfRule>
  </conditionalFormatting>
  <conditionalFormatting sqref="P36:AA36">
    <cfRule type="expression" dxfId="7585" priority="942">
      <formula>P$1=""</formula>
    </cfRule>
  </conditionalFormatting>
  <conditionalFormatting sqref="P38:AA38">
    <cfRule type="expression" dxfId="7584" priority="941">
      <formula>P$1=""</formula>
    </cfRule>
  </conditionalFormatting>
  <conditionalFormatting sqref="P40:AA40">
    <cfRule type="expression" dxfId="7583" priority="940">
      <formula>P$1=""</formula>
    </cfRule>
  </conditionalFormatting>
  <conditionalFormatting sqref="P42:AA42">
    <cfRule type="expression" dxfId="7582" priority="939">
      <formula>P$1=""</formula>
    </cfRule>
  </conditionalFormatting>
  <conditionalFormatting sqref="P42:AA42 P40:AA40 P38:AA38">
    <cfRule type="expression" dxfId="7581" priority="938">
      <formula>P$1=""</formula>
    </cfRule>
  </conditionalFormatting>
  <conditionalFormatting sqref="P46:AB46">
    <cfRule type="expression" dxfId="7580" priority="937">
      <formula>P$1=""</formula>
    </cfRule>
  </conditionalFormatting>
  <conditionalFormatting sqref="P48:AB48">
    <cfRule type="expression" dxfId="7579" priority="936">
      <formula>P$1=""</formula>
    </cfRule>
  </conditionalFormatting>
  <conditionalFormatting sqref="P50:AB50">
    <cfRule type="expression" dxfId="7578" priority="935">
      <formula>P$1=""</formula>
    </cfRule>
  </conditionalFormatting>
  <conditionalFormatting sqref="P52:AB52">
    <cfRule type="expression" dxfId="7577" priority="934">
      <formula>P$1=""</formula>
    </cfRule>
  </conditionalFormatting>
  <conditionalFormatting sqref="P52:AB52 P50:AB50 P48:AB48">
    <cfRule type="expression" dxfId="7576" priority="933">
      <formula>P$1=""</formula>
    </cfRule>
  </conditionalFormatting>
  <conditionalFormatting sqref="P52:AB52 P50:AB50 P48:AB48">
    <cfRule type="expression" dxfId="7575" priority="932">
      <formula>P$1=""</formula>
    </cfRule>
  </conditionalFormatting>
  <conditionalFormatting sqref="P56:AA56">
    <cfRule type="expression" dxfId="7574" priority="931">
      <formula>P$1=""</formula>
    </cfRule>
  </conditionalFormatting>
  <conditionalFormatting sqref="P58:AA58">
    <cfRule type="expression" dxfId="7573" priority="930">
      <formula>P$1=""</formula>
    </cfRule>
  </conditionalFormatting>
  <conditionalFormatting sqref="P60:AA60">
    <cfRule type="expression" dxfId="7572" priority="929">
      <formula>P$1=""</formula>
    </cfRule>
  </conditionalFormatting>
  <conditionalFormatting sqref="P62:AA62">
    <cfRule type="expression" dxfId="7571" priority="928">
      <formula>P$1=""</formula>
    </cfRule>
  </conditionalFormatting>
  <conditionalFormatting sqref="P62:AA62 P60:AA60 P58:AA58">
    <cfRule type="expression" dxfId="7570" priority="927">
      <formula>P$1=""</formula>
    </cfRule>
  </conditionalFormatting>
  <conditionalFormatting sqref="P62:AA62 P60:AA60 P58:AA58">
    <cfRule type="expression" dxfId="7569" priority="926">
      <formula>P$1=""</formula>
    </cfRule>
  </conditionalFormatting>
  <conditionalFormatting sqref="P62:AA62 P60:AA60 P58:AA58">
    <cfRule type="expression" dxfId="7568" priority="925">
      <formula>P$1=""</formula>
    </cfRule>
  </conditionalFormatting>
  <conditionalFormatting sqref="P66:AA66">
    <cfRule type="expression" dxfId="7567" priority="924">
      <formula>P$1=""</formula>
    </cfRule>
  </conditionalFormatting>
  <conditionalFormatting sqref="P68:AA68">
    <cfRule type="expression" dxfId="7566" priority="923">
      <formula>P$1=""</formula>
    </cfRule>
  </conditionalFormatting>
  <conditionalFormatting sqref="P70:AA70">
    <cfRule type="expression" dxfId="7565" priority="922">
      <formula>P$1=""</formula>
    </cfRule>
  </conditionalFormatting>
  <conditionalFormatting sqref="P72:AA72">
    <cfRule type="expression" dxfId="7564" priority="921">
      <formula>P$1=""</formula>
    </cfRule>
  </conditionalFormatting>
  <conditionalFormatting sqref="P72:AA72 P70:AA70 P68:AA68">
    <cfRule type="expression" dxfId="7563" priority="920">
      <formula>P$1=""</formula>
    </cfRule>
  </conditionalFormatting>
  <conditionalFormatting sqref="P72:AA72 P70:AA70 P68:AA68">
    <cfRule type="expression" dxfId="7562" priority="919">
      <formula>P$1=""</formula>
    </cfRule>
  </conditionalFormatting>
  <conditionalFormatting sqref="P72:AA72 P70:AA70 P68:AA68">
    <cfRule type="expression" dxfId="7561" priority="918">
      <formula>P$1=""</formula>
    </cfRule>
  </conditionalFormatting>
  <conditionalFormatting sqref="P72:AA72 P70:AA70 P68:AA68">
    <cfRule type="expression" dxfId="7560" priority="917">
      <formula>P$1=""</formula>
    </cfRule>
  </conditionalFormatting>
  <conditionalFormatting sqref="P76:AA82">
    <cfRule type="expression" dxfId="7559" priority="916">
      <formula>P$1=""</formula>
    </cfRule>
  </conditionalFormatting>
  <conditionalFormatting sqref="P78:AA78">
    <cfRule type="expression" dxfId="7558" priority="915">
      <formula>P$1=""</formula>
    </cfRule>
  </conditionalFormatting>
  <conditionalFormatting sqref="P80:AA80">
    <cfRule type="expression" dxfId="7557" priority="914">
      <formula>P$1=""</formula>
    </cfRule>
  </conditionalFormatting>
  <conditionalFormatting sqref="P82:AA82">
    <cfRule type="expression" dxfId="7556" priority="913">
      <formula>P$1=""</formula>
    </cfRule>
  </conditionalFormatting>
  <conditionalFormatting sqref="P82:AA82 P80:AA80 P78:AA78">
    <cfRule type="expression" dxfId="7555" priority="912">
      <formula>P$1=""</formula>
    </cfRule>
  </conditionalFormatting>
  <conditionalFormatting sqref="P82:AA82 P80:AA80 P78:AA78">
    <cfRule type="expression" dxfId="7554" priority="911">
      <formula>P$1=""</formula>
    </cfRule>
  </conditionalFormatting>
  <conditionalFormatting sqref="P82:AA82 P80:AA80 P78:AA78">
    <cfRule type="expression" dxfId="7553" priority="910">
      <formula>P$1=""</formula>
    </cfRule>
  </conditionalFormatting>
  <conditionalFormatting sqref="P82:AA82 P80:AA80 P78:AA78">
    <cfRule type="expression" dxfId="7552" priority="909">
      <formula>P$1=""</formula>
    </cfRule>
  </conditionalFormatting>
  <conditionalFormatting sqref="P82:AA82 P80:AA80 P78:AA78">
    <cfRule type="expression" dxfId="7551" priority="908">
      <formula>P$1=""</formula>
    </cfRule>
  </conditionalFormatting>
  <conditionalFormatting sqref="P85:AA85">
    <cfRule type="expression" dxfId="7550" priority="907">
      <formula>P$1=""</formula>
    </cfRule>
  </conditionalFormatting>
  <conditionalFormatting sqref="P87:AA87">
    <cfRule type="expression" dxfId="7549" priority="906">
      <formula>P$1=""</formula>
    </cfRule>
  </conditionalFormatting>
  <conditionalFormatting sqref="P89:AA89">
    <cfRule type="expression" dxfId="7548" priority="905">
      <formula>P$1=""</formula>
    </cfRule>
  </conditionalFormatting>
  <conditionalFormatting sqref="P91:AA91">
    <cfRule type="expression" dxfId="7547" priority="904">
      <formula>P$1=""</formula>
    </cfRule>
  </conditionalFormatting>
  <conditionalFormatting sqref="P91:AA91 P89:AA89 P87:AA87">
    <cfRule type="expression" dxfId="7546" priority="903">
      <formula>P$1=""</formula>
    </cfRule>
  </conditionalFormatting>
  <conditionalFormatting sqref="P91:AA91 P89:AA89 P87:AA87">
    <cfRule type="expression" dxfId="7545" priority="902">
      <formula>P$1=""</formula>
    </cfRule>
  </conditionalFormatting>
  <conditionalFormatting sqref="P91:AA91 P89:AA89 P87:AA87">
    <cfRule type="expression" dxfId="7544" priority="901">
      <formula>P$1=""</formula>
    </cfRule>
  </conditionalFormatting>
  <conditionalFormatting sqref="P91:AA91 P89:AA89 P87:AA87">
    <cfRule type="expression" dxfId="7543" priority="900">
      <formula>P$1=""</formula>
    </cfRule>
  </conditionalFormatting>
  <conditionalFormatting sqref="P95:AA95">
    <cfRule type="expression" dxfId="7542" priority="899">
      <formula>P$1=""</formula>
    </cfRule>
  </conditionalFormatting>
  <conditionalFormatting sqref="P97:AA97">
    <cfRule type="expression" dxfId="7541" priority="898">
      <formula>P$1=""</formula>
    </cfRule>
  </conditionalFormatting>
  <conditionalFormatting sqref="P99:AA99">
    <cfRule type="expression" dxfId="7540" priority="897">
      <formula>P$1=""</formula>
    </cfRule>
  </conditionalFormatting>
  <conditionalFormatting sqref="P101:AA101">
    <cfRule type="expression" dxfId="7539" priority="896">
      <formula>P$1=""</formula>
    </cfRule>
  </conditionalFormatting>
  <conditionalFormatting sqref="P101:AA101 P99:AA99 P97:AA97">
    <cfRule type="expression" dxfId="7538" priority="895">
      <formula>P$1=""</formula>
    </cfRule>
  </conditionalFormatting>
  <conditionalFormatting sqref="P101:AA101 P99:AA99 P97:AA97">
    <cfRule type="expression" dxfId="7537" priority="894">
      <formula>P$1=""</formula>
    </cfRule>
  </conditionalFormatting>
  <conditionalFormatting sqref="P101:AA101 P99:AA99 P97:AA97">
    <cfRule type="expression" dxfId="7536" priority="893">
      <formula>P$1=""</formula>
    </cfRule>
  </conditionalFormatting>
  <conditionalFormatting sqref="P101:AA101 P99:AA99 P97:AA97">
    <cfRule type="expression" dxfId="7535" priority="892">
      <formula>P$1=""</formula>
    </cfRule>
  </conditionalFormatting>
  <conditionalFormatting sqref="P101:AA101 P99:AA99 P97:AA97">
    <cfRule type="expression" dxfId="7534" priority="891">
      <formula>P$1=""</formula>
    </cfRule>
  </conditionalFormatting>
  <conditionalFormatting sqref="P105:AA105">
    <cfRule type="expression" dxfId="7533" priority="890">
      <formula>P$1=""</formula>
    </cfRule>
  </conditionalFormatting>
  <conditionalFormatting sqref="P107:AA107">
    <cfRule type="expression" dxfId="7532" priority="889">
      <formula>P$1=""</formula>
    </cfRule>
  </conditionalFormatting>
  <conditionalFormatting sqref="P109:AA109">
    <cfRule type="expression" dxfId="7531" priority="888">
      <formula>P$1=""</formula>
    </cfRule>
  </conditionalFormatting>
  <conditionalFormatting sqref="P111:AA111">
    <cfRule type="expression" dxfId="7530" priority="887">
      <formula>P$1=""</formula>
    </cfRule>
  </conditionalFormatting>
  <conditionalFormatting sqref="P107:AA107 P109:AA109 P111:AA111">
    <cfRule type="expression" dxfId="7529" priority="886">
      <formula>P$1=""</formula>
    </cfRule>
  </conditionalFormatting>
  <conditionalFormatting sqref="P107:AA107 P109:AA109 P111:AA111">
    <cfRule type="expression" dxfId="7528" priority="885">
      <formula>P$1=""</formula>
    </cfRule>
  </conditionalFormatting>
  <conditionalFormatting sqref="P107:AA107 P109:AA109 P111:AA111">
    <cfRule type="expression" dxfId="7527" priority="884">
      <formula>P$1=""</formula>
    </cfRule>
  </conditionalFormatting>
  <conditionalFormatting sqref="P107:AA107 P109:AA109 P111:AA111">
    <cfRule type="expression" dxfId="7526" priority="883">
      <formula>P$1=""</formula>
    </cfRule>
  </conditionalFormatting>
  <conditionalFormatting sqref="P107:AA107 P109:AA109 P111:AA111">
    <cfRule type="expression" dxfId="7525" priority="882">
      <formula>P$1=""</formula>
    </cfRule>
  </conditionalFormatting>
  <conditionalFormatting sqref="P111:AA111 P109:AA109">
    <cfRule type="expression" dxfId="7524" priority="881">
      <formula>P$1=""</formula>
    </cfRule>
  </conditionalFormatting>
  <conditionalFormatting sqref="P117:AA117">
    <cfRule type="expression" dxfId="7523" priority="880">
      <formula>P$1=""</formula>
    </cfRule>
  </conditionalFormatting>
  <conditionalFormatting sqref="P119:AA119">
    <cfRule type="expression" dxfId="7522" priority="879">
      <formula>P$1=""</formula>
    </cfRule>
  </conditionalFormatting>
  <conditionalFormatting sqref="P121:AA121">
    <cfRule type="expression" dxfId="7521" priority="878">
      <formula>P$1=""</formula>
    </cfRule>
  </conditionalFormatting>
  <conditionalFormatting sqref="P123:AA123">
    <cfRule type="expression" dxfId="7520" priority="877">
      <formula>P$1=""</formula>
    </cfRule>
  </conditionalFormatting>
  <conditionalFormatting sqref="P119:AA119 P121:AA121 P123:AA123">
    <cfRule type="expression" dxfId="7519" priority="876">
      <formula>P$1=""</formula>
    </cfRule>
  </conditionalFormatting>
  <conditionalFormatting sqref="P119:AA119 P121:AA121 P123:AA123">
    <cfRule type="expression" dxfId="7518" priority="875">
      <formula>P$1=""</formula>
    </cfRule>
  </conditionalFormatting>
  <conditionalFormatting sqref="P119:AA119 P121:AA121 P123:AA123">
    <cfRule type="expression" dxfId="7517" priority="874">
      <formula>P$1=""</formula>
    </cfRule>
  </conditionalFormatting>
  <conditionalFormatting sqref="P119:AA119 P121:AA121 P123:AA123">
    <cfRule type="expression" dxfId="7516" priority="873">
      <formula>P$1=""</formula>
    </cfRule>
  </conditionalFormatting>
  <conditionalFormatting sqref="P119:AA119 P121:AA121 P123:AA123">
    <cfRule type="expression" dxfId="7515" priority="872">
      <formula>P$1=""</formula>
    </cfRule>
  </conditionalFormatting>
  <conditionalFormatting sqref="P123:AA123 P121:AA121">
    <cfRule type="expression" dxfId="7514" priority="871">
      <formula>P$1=""</formula>
    </cfRule>
  </conditionalFormatting>
  <conditionalFormatting sqref="P32:AA32 P30:AA30 P28:AA28">
    <cfRule type="expression" dxfId="7513" priority="870">
      <formula>P$1=""</formula>
    </cfRule>
  </conditionalFormatting>
  <conditionalFormatting sqref="P119:AA119">
    <cfRule type="expression" dxfId="7512" priority="869">
      <formula>P$1=""</formula>
    </cfRule>
  </conditionalFormatting>
  <conditionalFormatting sqref="P123:AA123 P121:AA121">
    <cfRule type="expression" dxfId="7511" priority="868">
      <formula>P$1=""</formula>
    </cfRule>
  </conditionalFormatting>
  <conditionalFormatting sqref="P123:AA123 P121:AA121">
    <cfRule type="expression" dxfId="7510" priority="867">
      <formula>P$1=""</formula>
    </cfRule>
  </conditionalFormatting>
  <conditionalFormatting sqref="P127:AA127">
    <cfRule type="expression" dxfId="7509" priority="866">
      <formula>P$1=""</formula>
    </cfRule>
  </conditionalFormatting>
  <conditionalFormatting sqref="P129:AA129">
    <cfRule type="expression" dxfId="7508" priority="865">
      <formula>P$1=""</formula>
    </cfRule>
  </conditionalFormatting>
  <conditionalFormatting sqref="P131:AA131">
    <cfRule type="expression" dxfId="7507" priority="864">
      <formula>P$1=""</formula>
    </cfRule>
  </conditionalFormatting>
  <conditionalFormatting sqref="P133:AA133">
    <cfRule type="expression" dxfId="7506" priority="863">
      <formula>P$1=""</formula>
    </cfRule>
  </conditionalFormatting>
  <conditionalFormatting sqref="P131:AA131 P129:AA129 P133:AA133">
    <cfRule type="expression" dxfId="7505" priority="862">
      <formula>P$1=""</formula>
    </cfRule>
  </conditionalFormatting>
  <conditionalFormatting sqref="P131:AA131 P129:AA129 P133:AA133">
    <cfRule type="expression" dxfId="7504" priority="861">
      <formula>P$1=""</formula>
    </cfRule>
  </conditionalFormatting>
  <conditionalFormatting sqref="P131:AA131 P129:AA129 P133:AA133">
    <cfRule type="expression" dxfId="7503" priority="860">
      <formula>P$1=""</formula>
    </cfRule>
  </conditionalFormatting>
  <conditionalFormatting sqref="P131:AA131 P129:AA129 P133:AA133">
    <cfRule type="expression" dxfId="7502" priority="859">
      <formula>P$1=""</formula>
    </cfRule>
  </conditionalFormatting>
  <conditionalFormatting sqref="P131:AA131 P129:AA129 P133:AA133">
    <cfRule type="expression" dxfId="7501" priority="858">
      <formula>P$1=""</formula>
    </cfRule>
  </conditionalFormatting>
  <conditionalFormatting sqref="P131:AA131 P133:AA133">
    <cfRule type="expression" dxfId="7500" priority="857">
      <formula>P$1=""</formula>
    </cfRule>
  </conditionalFormatting>
  <conditionalFormatting sqref="P129:AA129">
    <cfRule type="expression" dxfId="7499" priority="856">
      <formula>P$1=""</formula>
    </cfRule>
  </conditionalFormatting>
  <conditionalFormatting sqref="P131:AA131 P133:AA133">
    <cfRule type="expression" dxfId="7498" priority="855">
      <formula>P$1=""</formula>
    </cfRule>
  </conditionalFormatting>
  <conditionalFormatting sqref="P131:AA131 P133:AA133">
    <cfRule type="expression" dxfId="7497" priority="854">
      <formula>P$1=""</formula>
    </cfRule>
  </conditionalFormatting>
  <conditionalFormatting sqref="P133:AA133">
    <cfRule type="expression" dxfId="7496" priority="853">
      <formula>P$1=""</formula>
    </cfRule>
  </conditionalFormatting>
  <conditionalFormatting sqref="P133:AA133">
    <cfRule type="expression" dxfId="7495" priority="852">
      <formula>P$1=""</formula>
    </cfRule>
  </conditionalFormatting>
  <conditionalFormatting sqref="P133:AA133">
    <cfRule type="expression" dxfId="7494" priority="851">
      <formula>P$1=""</formula>
    </cfRule>
  </conditionalFormatting>
  <conditionalFormatting sqref="P133:AA133">
    <cfRule type="expression" dxfId="7493" priority="850">
      <formula>P$1=""</formula>
    </cfRule>
  </conditionalFormatting>
  <conditionalFormatting sqref="P137:AA137">
    <cfRule type="expression" dxfId="7492" priority="849">
      <formula>P$1=""</formula>
    </cfRule>
  </conditionalFormatting>
  <conditionalFormatting sqref="P139:AA139">
    <cfRule type="expression" dxfId="7491" priority="848">
      <formula>P$1=""</formula>
    </cfRule>
  </conditionalFormatting>
  <conditionalFormatting sqref="P141:AA141">
    <cfRule type="expression" dxfId="7490" priority="847">
      <formula>P$1=""</formula>
    </cfRule>
  </conditionalFormatting>
  <conditionalFormatting sqref="P143:AA143">
    <cfRule type="expression" dxfId="7489" priority="846">
      <formula>P$1=""</formula>
    </cfRule>
  </conditionalFormatting>
  <conditionalFormatting sqref="P139:AA139 P141:AA141 P143:AA143">
    <cfRule type="expression" dxfId="7488" priority="845">
      <formula>P$1=""</formula>
    </cfRule>
  </conditionalFormatting>
  <conditionalFormatting sqref="P139:AA139 P141:AA141 P143:AA143">
    <cfRule type="expression" dxfId="7487" priority="844">
      <formula>P$1=""</formula>
    </cfRule>
  </conditionalFormatting>
  <conditionalFormatting sqref="P139:AA139 P141:AA141 P143:AA143">
    <cfRule type="expression" dxfId="7486" priority="843">
      <formula>P$1=""</formula>
    </cfRule>
  </conditionalFormatting>
  <conditionalFormatting sqref="P139:AA139 P141:AA141 P143:AA143">
    <cfRule type="expression" dxfId="7485" priority="842">
      <formula>P$1=""</formula>
    </cfRule>
  </conditionalFormatting>
  <conditionalFormatting sqref="P139:AA139 P141:AA141 P143:AA143">
    <cfRule type="expression" dxfId="7484" priority="841">
      <formula>P$1=""</formula>
    </cfRule>
  </conditionalFormatting>
  <conditionalFormatting sqref="P141:AA141 P143:AA143">
    <cfRule type="expression" dxfId="7483" priority="840">
      <formula>P$1=""</formula>
    </cfRule>
  </conditionalFormatting>
  <conditionalFormatting sqref="P139:AA139">
    <cfRule type="expression" dxfId="7482" priority="839">
      <formula>P$1=""</formula>
    </cfRule>
  </conditionalFormatting>
  <conditionalFormatting sqref="P141:AA141 P143:AA143">
    <cfRule type="expression" dxfId="7481" priority="838">
      <formula>P$1=""</formula>
    </cfRule>
  </conditionalFormatting>
  <conditionalFormatting sqref="P141:AA141 P143:AA143">
    <cfRule type="expression" dxfId="7480" priority="837">
      <formula>P$1=""</formula>
    </cfRule>
  </conditionalFormatting>
  <conditionalFormatting sqref="P143:AA143">
    <cfRule type="expression" dxfId="7479" priority="836">
      <formula>P$1=""</formula>
    </cfRule>
  </conditionalFormatting>
  <conditionalFormatting sqref="P143:AA143">
    <cfRule type="expression" dxfId="7478" priority="835">
      <formula>P$1=""</formula>
    </cfRule>
  </conditionalFormatting>
  <conditionalFormatting sqref="P143:AA143">
    <cfRule type="expression" dxfId="7477" priority="834">
      <formula>P$1=""</formula>
    </cfRule>
  </conditionalFormatting>
  <conditionalFormatting sqref="P143:AA143">
    <cfRule type="expression" dxfId="7476" priority="833">
      <formula>P$1=""</formula>
    </cfRule>
  </conditionalFormatting>
  <conditionalFormatting sqref="P137:AA137">
    <cfRule type="expression" dxfId="7475" priority="832">
      <formula>P$1=""</formula>
    </cfRule>
  </conditionalFormatting>
  <conditionalFormatting sqref="P137:AA137">
    <cfRule type="expression" dxfId="7474" priority="831">
      <formula>P$1=""</formula>
    </cfRule>
  </conditionalFormatting>
  <conditionalFormatting sqref="P137:AA137">
    <cfRule type="expression" dxfId="7473" priority="830">
      <formula>P$1=""</formula>
    </cfRule>
  </conditionalFormatting>
  <conditionalFormatting sqref="P137:AA137">
    <cfRule type="expression" dxfId="7472" priority="829">
      <formula>P$1=""</formula>
    </cfRule>
  </conditionalFormatting>
  <conditionalFormatting sqref="P137:AA137">
    <cfRule type="expression" dxfId="7471" priority="828">
      <formula>P$1=""</formula>
    </cfRule>
  </conditionalFormatting>
  <conditionalFormatting sqref="P137:AA137">
    <cfRule type="expression" dxfId="7470" priority="827">
      <formula>P$1=""</formula>
    </cfRule>
  </conditionalFormatting>
  <conditionalFormatting sqref="P137:AA137">
    <cfRule type="expression" dxfId="7469" priority="826">
      <formula>P$1=""</formula>
    </cfRule>
  </conditionalFormatting>
  <conditionalFormatting sqref="P143:AA143 P141:AA141">
    <cfRule type="expression" dxfId="7468" priority="825">
      <formula>P$1=""</formula>
    </cfRule>
  </conditionalFormatting>
  <conditionalFormatting sqref="P143:AA143 P141:AA141">
    <cfRule type="expression" dxfId="7467" priority="824">
      <formula>P$1=""</formula>
    </cfRule>
  </conditionalFormatting>
  <conditionalFormatting sqref="P155:AA155">
    <cfRule type="expression" dxfId="7466" priority="823">
      <formula>P$1=""</formula>
    </cfRule>
  </conditionalFormatting>
  <conditionalFormatting sqref="P157:AA157">
    <cfRule type="expression" dxfId="7465" priority="822">
      <formula>P$1=""</formula>
    </cfRule>
  </conditionalFormatting>
  <conditionalFormatting sqref="P159:AA159">
    <cfRule type="expression" dxfId="7464" priority="821">
      <formula>P$1=""</formula>
    </cfRule>
  </conditionalFormatting>
  <conditionalFormatting sqref="P161:AA161">
    <cfRule type="expression" dxfId="7463" priority="820">
      <formula>P$1=""</formula>
    </cfRule>
  </conditionalFormatting>
  <conditionalFormatting sqref="P157:AA157 P159:AA159 P161:AA161">
    <cfRule type="expression" dxfId="7462" priority="819">
      <formula>P$1=""</formula>
    </cfRule>
  </conditionalFormatting>
  <conditionalFormatting sqref="P157:AA157 P159:AA159 P161:AA161">
    <cfRule type="expression" dxfId="7461" priority="818">
      <formula>P$1=""</formula>
    </cfRule>
  </conditionalFormatting>
  <conditionalFormatting sqref="P157:AA157 P159:AA159 P161:AA161">
    <cfRule type="expression" dxfId="7460" priority="817">
      <formula>P$1=""</formula>
    </cfRule>
  </conditionalFormatting>
  <conditionalFormatting sqref="P157:AA157 P159:AA159 P161:AA161">
    <cfRule type="expression" dxfId="7459" priority="816">
      <formula>P$1=""</formula>
    </cfRule>
  </conditionalFormatting>
  <conditionalFormatting sqref="P157:AA157 P159:AA159 P161:AA161">
    <cfRule type="expression" dxfId="7458" priority="815">
      <formula>P$1=""</formula>
    </cfRule>
  </conditionalFormatting>
  <conditionalFormatting sqref="P159:AA159 P161:AA161">
    <cfRule type="expression" dxfId="7457" priority="814">
      <formula>P$1=""</formula>
    </cfRule>
  </conditionalFormatting>
  <conditionalFormatting sqref="P157:AA157">
    <cfRule type="expression" dxfId="7456" priority="813">
      <formula>P$1=""</formula>
    </cfRule>
  </conditionalFormatting>
  <conditionalFormatting sqref="P159:AA159 P161:AA161">
    <cfRule type="expression" dxfId="7455" priority="812">
      <formula>P$1=""</formula>
    </cfRule>
  </conditionalFormatting>
  <conditionalFormatting sqref="P159:AA159 P161:AA161">
    <cfRule type="expression" dxfId="7454" priority="811">
      <formula>P$1=""</formula>
    </cfRule>
  </conditionalFormatting>
  <conditionalFormatting sqref="P161:AA161">
    <cfRule type="expression" dxfId="7453" priority="810">
      <formula>P$1=""</formula>
    </cfRule>
  </conditionalFormatting>
  <conditionalFormatting sqref="P161:AA161">
    <cfRule type="expression" dxfId="7452" priority="809">
      <formula>P$1=""</formula>
    </cfRule>
  </conditionalFormatting>
  <conditionalFormatting sqref="P161:AA161">
    <cfRule type="expression" dxfId="7451" priority="808">
      <formula>P$1=""</formula>
    </cfRule>
  </conditionalFormatting>
  <conditionalFormatting sqref="P161:AA161">
    <cfRule type="expression" dxfId="7450" priority="807">
      <formula>P$1=""</formula>
    </cfRule>
  </conditionalFormatting>
  <conditionalFormatting sqref="P155:AA155">
    <cfRule type="expression" dxfId="7449" priority="806">
      <formula>P$1=""</formula>
    </cfRule>
  </conditionalFormatting>
  <conditionalFormatting sqref="P155:AA155">
    <cfRule type="expression" dxfId="7448" priority="805">
      <formula>P$1=""</formula>
    </cfRule>
  </conditionalFormatting>
  <conditionalFormatting sqref="P155:AA155">
    <cfRule type="expression" dxfId="7447" priority="804">
      <formula>P$1=""</formula>
    </cfRule>
  </conditionalFormatting>
  <conditionalFormatting sqref="P155:AA155">
    <cfRule type="expression" dxfId="7446" priority="803">
      <formula>P$1=""</formula>
    </cfRule>
  </conditionalFormatting>
  <conditionalFormatting sqref="P155:AA155">
    <cfRule type="expression" dxfId="7445" priority="802">
      <formula>P$1=""</formula>
    </cfRule>
  </conditionalFormatting>
  <conditionalFormatting sqref="P155:AA155">
    <cfRule type="expression" dxfId="7444" priority="801">
      <formula>P$1=""</formula>
    </cfRule>
  </conditionalFormatting>
  <conditionalFormatting sqref="P155:AA155">
    <cfRule type="expression" dxfId="7443" priority="800">
      <formula>P$1=""</formula>
    </cfRule>
  </conditionalFormatting>
  <conditionalFormatting sqref="P161:AA161 P159:AA159">
    <cfRule type="expression" dxfId="7442" priority="799">
      <formula>P$1=""</formula>
    </cfRule>
  </conditionalFormatting>
  <conditionalFormatting sqref="P161:AA161 P159:AA159">
    <cfRule type="expression" dxfId="7441" priority="798">
      <formula>P$1=""</formula>
    </cfRule>
  </conditionalFormatting>
  <conditionalFormatting sqref="P161:AA161 P159:AA159">
    <cfRule type="expression" dxfId="7440" priority="797">
      <formula>P$1=""</formula>
    </cfRule>
  </conditionalFormatting>
  <conditionalFormatting sqref="P161:AA161 P159:AA159">
    <cfRule type="expression" dxfId="7439" priority="796">
      <formula>P$1=""</formula>
    </cfRule>
  </conditionalFormatting>
  <conditionalFormatting sqref="P165:AA165">
    <cfRule type="expression" dxfId="7438" priority="795">
      <formula>P$1=""</formula>
    </cfRule>
  </conditionalFormatting>
  <conditionalFormatting sqref="P167:AA167">
    <cfRule type="expression" dxfId="7437" priority="794">
      <formula>P$1=""</formula>
    </cfRule>
  </conditionalFormatting>
  <conditionalFormatting sqref="P169:AA169">
    <cfRule type="expression" dxfId="7436" priority="793">
      <formula>P$1=""</formula>
    </cfRule>
  </conditionalFormatting>
  <conditionalFormatting sqref="P171:AA171">
    <cfRule type="expression" dxfId="7435" priority="792">
      <formula>P$1=""</formula>
    </cfRule>
  </conditionalFormatting>
  <conditionalFormatting sqref="P167:AA167 P169:AA169 P171:AA171">
    <cfRule type="expression" dxfId="7434" priority="791">
      <formula>P$1=""</formula>
    </cfRule>
  </conditionalFormatting>
  <conditionalFormatting sqref="P167:AA167 P169:AA169 P171:AA171">
    <cfRule type="expression" dxfId="7433" priority="790">
      <formula>P$1=""</formula>
    </cfRule>
  </conditionalFormatting>
  <conditionalFormatting sqref="P167:AA167 P169:AA169 P171:AA171">
    <cfRule type="expression" dxfId="7432" priority="789">
      <formula>P$1=""</formula>
    </cfRule>
  </conditionalFormatting>
  <conditionalFormatting sqref="P167:AA167 P169:AA169 P171:AA171">
    <cfRule type="expression" dxfId="7431" priority="788">
      <formula>P$1=""</formula>
    </cfRule>
  </conditionalFormatting>
  <conditionalFormatting sqref="P167:AA167 P169:AA169 P171:AA171">
    <cfRule type="expression" dxfId="7430" priority="787">
      <formula>P$1=""</formula>
    </cfRule>
  </conditionalFormatting>
  <conditionalFormatting sqref="P169:AA169 P171:AA171">
    <cfRule type="expression" dxfId="7429" priority="786">
      <formula>P$1=""</formula>
    </cfRule>
  </conditionalFormatting>
  <conditionalFormatting sqref="P167:AA167">
    <cfRule type="expression" dxfId="7428" priority="785">
      <formula>P$1=""</formula>
    </cfRule>
  </conditionalFormatting>
  <conditionalFormatting sqref="P169:AA169 P171:AA171">
    <cfRule type="expression" dxfId="7427" priority="784">
      <formula>P$1=""</formula>
    </cfRule>
  </conditionalFormatting>
  <conditionalFormatting sqref="P169:AA169 P171:AA171">
    <cfRule type="expression" dxfId="7426" priority="783">
      <formula>P$1=""</formula>
    </cfRule>
  </conditionalFormatting>
  <conditionalFormatting sqref="P171:AA171">
    <cfRule type="expression" dxfId="7425" priority="782">
      <formula>P$1=""</formula>
    </cfRule>
  </conditionalFormatting>
  <conditionalFormatting sqref="P171:AA171">
    <cfRule type="expression" dxfId="7424" priority="781">
      <formula>P$1=""</formula>
    </cfRule>
  </conditionalFormatting>
  <conditionalFormatting sqref="P171:AA171">
    <cfRule type="expression" dxfId="7423" priority="780">
      <formula>P$1=""</formula>
    </cfRule>
  </conditionalFormatting>
  <conditionalFormatting sqref="P171:AA171">
    <cfRule type="expression" dxfId="7422" priority="779">
      <formula>P$1=""</formula>
    </cfRule>
  </conditionalFormatting>
  <conditionalFormatting sqref="P165:AA165">
    <cfRule type="expression" dxfId="7421" priority="778">
      <formula>P$1=""</formula>
    </cfRule>
  </conditionalFormatting>
  <conditionalFormatting sqref="P165:AA165">
    <cfRule type="expression" dxfId="7420" priority="777">
      <formula>P$1=""</formula>
    </cfRule>
  </conditionalFormatting>
  <conditionalFormatting sqref="P165:AA165">
    <cfRule type="expression" dxfId="7419" priority="776">
      <formula>P$1=""</formula>
    </cfRule>
  </conditionalFormatting>
  <conditionalFormatting sqref="P165:AA165">
    <cfRule type="expression" dxfId="7418" priority="775">
      <formula>P$1=""</formula>
    </cfRule>
  </conditionalFormatting>
  <conditionalFormatting sqref="P165:AA165">
    <cfRule type="expression" dxfId="7417" priority="774">
      <formula>P$1=""</formula>
    </cfRule>
  </conditionalFormatting>
  <conditionalFormatting sqref="P165:AA165">
    <cfRule type="expression" dxfId="7416" priority="773">
      <formula>P$1=""</formula>
    </cfRule>
  </conditionalFormatting>
  <conditionalFormatting sqref="P165:AA165">
    <cfRule type="expression" dxfId="7415" priority="772">
      <formula>P$1=""</formula>
    </cfRule>
  </conditionalFormatting>
  <conditionalFormatting sqref="P169:AA169 P171:AA171">
    <cfRule type="expression" dxfId="7414" priority="771">
      <formula>P$1=""</formula>
    </cfRule>
  </conditionalFormatting>
  <conditionalFormatting sqref="P169:AA169 P171:AA171">
    <cfRule type="expression" dxfId="7413" priority="770">
      <formula>P$1=""</formula>
    </cfRule>
  </conditionalFormatting>
  <conditionalFormatting sqref="P169:AA169 P171:AA171">
    <cfRule type="expression" dxfId="7412" priority="769">
      <formula>P$1=""</formula>
    </cfRule>
  </conditionalFormatting>
  <conditionalFormatting sqref="P169:AA169 P171:AA171">
    <cfRule type="expression" dxfId="7411" priority="768">
      <formula>P$1=""</formula>
    </cfRule>
  </conditionalFormatting>
  <conditionalFormatting sqref="P171:AA171 P169:AA169 P167:AA167">
    <cfRule type="expression" dxfId="7410" priority="767">
      <formula>P$1=""</formula>
    </cfRule>
  </conditionalFormatting>
  <conditionalFormatting sqref="P171:AA171 P169:AA169 P167:AA167">
    <cfRule type="expression" dxfId="7409" priority="766">
      <formula>P$1=""</formula>
    </cfRule>
  </conditionalFormatting>
  <conditionalFormatting sqref="P171:AA171 P169:AA169 P167:AA167">
    <cfRule type="expression" dxfId="7408" priority="765">
      <formula>P$1=""</formula>
    </cfRule>
  </conditionalFormatting>
  <conditionalFormatting sqref="P171:AA171 P169:AA169 P167:AA167">
    <cfRule type="expression" dxfId="7407" priority="764">
      <formula>P$1=""</formula>
    </cfRule>
  </conditionalFormatting>
  <conditionalFormatting sqref="P171:AA171 P169:AA169 P167:AA167">
    <cfRule type="expression" dxfId="7406" priority="763">
      <formula>P$1=""</formula>
    </cfRule>
  </conditionalFormatting>
  <conditionalFormatting sqref="P171:AA171 P169:AA169 P167:AA167">
    <cfRule type="expression" dxfId="7405" priority="762">
      <formula>P$1=""</formula>
    </cfRule>
  </conditionalFormatting>
  <conditionalFormatting sqref="P171:AA171 P169:AA169 P167:AA167">
    <cfRule type="expression" dxfId="7404" priority="761">
      <formula>P$1=""</formula>
    </cfRule>
  </conditionalFormatting>
  <conditionalFormatting sqref="P171:AA171 P169:AA169 P167:AA167">
    <cfRule type="expression" dxfId="7403" priority="760">
      <formula>P$1=""</formula>
    </cfRule>
  </conditionalFormatting>
  <conditionalFormatting sqref="Q167:AA167">
    <cfRule type="expression" dxfId="7402" priority="759">
      <formula>Q$1=""</formula>
    </cfRule>
  </conditionalFormatting>
  <conditionalFormatting sqref="Q167:AA167">
    <cfRule type="expression" dxfId="7401" priority="758">
      <formula>Q$1=""</formula>
    </cfRule>
  </conditionalFormatting>
  <conditionalFormatting sqref="Q167:AA167">
    <cfRule type="expression" dxfId="7400" priority="757">
      <formula>Q$1=""</formula>
    </cfRule>
  </conditionalFormatting>
  <conditionalFormatting sqref="Q167:AA167">
    <cfRule type="expression" dxfId="7399" priority="756">
      <formula>Q$1=""</formula>
    </cfRule>
  </conditionalFormatting>
  <conditionalFormatting sqref="Q167:AA167">
    <cfRule type="expression" dxfId="7398" priority="755">
      <formula>Q$1=""</formula>
    </cfRule>
  </conditionalFormatting>
  <conditionalFormatting sqref="Q167:AA167">
    <cfRule type="expression" dxfId="7397" priority="754">
      <formula>Q$1=""</formula>
    </cfRule>
  </conditionalFormatting>
  <conditionalFormatting sqref="Q167:AA167">
    <cfRule type="expression" dxfId="7396" priority="753">
      <formula>Q$1=""</formula>
    </cfRule>
  </conditionalFormatting>
  <conditionalFormatting sqref="Q167:AA167">
    <cfRule type="expression" dxfId="7395" priority="752">
      <formula>Q$1=""</formula>
    </cfRule>
  </conditionalFormatting>
  <conditionalFormatting sqref="Q169:AA169 Q171:AA171">
    <cfRule type="expression" dxfId="7394" priority="751">
      <formula>Q$1=""</formula>
    </cfRule>
  </conditionalFormatting>
  <conditionalFormatting sqref="Q169:AA169 Q171:AA171">
    <cfRule type="expression" dxfId="7393" priority="750">
      <formula>Q$1=""</formula>
    </cfRule>
  </conditionalFormatting>
  <conditionalFormatting sqref="Q169:AA169 Q171:AA171">
    <cfRule type="expression" dxfId="7392" priority="749">
      <formula>Q$1=""</formula>
    </cfRule>
  </conditionalFormatting>
  <conditionalFormatting sqref="Q169:AA169 Q171:AA171">
    <cfRule type="expression" dxfId="7391" priority="748">
      <formula>Q$1=""</formula>
    </cfRule>
  </conditionalFormatting>
  <conditionalFormatting sqref="Q169:AA169 Q171:AA171">
    <cfRule type="expression" dxfId="7390" priority="747">
      <formula>Q$1=""</formula>
    </cfRule>
  </conditionalFormatting>
  <conditionalFormatting sqref="Q169:AA169 Q171:AA171">
    <cfRule type="expression" dxfId="7389" priority="746">
      <formula>Q$1=""</formula>
    </cfRule>
  </conditionalFormatting>
  <conditionalFormatting sqref="Q169:AA169 Q171:AA171">
    <cfRule type="expression" dxfId="7388" priority="745">
      <formula>Q$1=""</formula>
    </cfRule>
  </conditionalFormatting>
  <conditionalFormatting sqref="Q169:AA169 Q171:AA171">
    <cfRule type="expression" dxfId="7387" priority="744">
      <formula>Q$1=""</formula>
    </cfRule>
  </conditionalFormatting>
  <conditionalFormatting sqref="Q169:AA169 Q171:AA171">
    <cfRule type="expression" dxfId="7386" priority="743">
      <formula>Q$1=""</formula>
    </cfRule>
  </conditionalFormatting>
  <conditionalFormatting sqref="Q169:AA169 Q171:AA171">
    <cfRule type="expression" dxfId="7385" priority="742">
      <formula>Q$1=""</formula>
    </cfRule>
  </conditionalFormatting>
  <conditionalFormatting sqref="P175:AA175">
    <cfRule type="expression" dxfId="7384" priority="741">
      <formula>P$1=""</formula>
    </cfRule>
  </conditionalFormatting>
  <conditionalFormatting sqref="P177:AA177">
    <cfRule type="expression" dxfId="7383" priority="740">
      <formula>P$1=""</formula>
    </cfRule>
  </conditionalFormatting>
  <conditionalFormatting sqref="P179:AA179">
    <cfRule type="expression" dxfId="7382" priority="739">
      <formula>P$1=""</formula>
    </cfRule>
  </conditionalFormatting>
  <conditionalFormatting sqref="P181:AA181">
    <cfRule type="expression" dxfId="7381" priority="738">
      <formula>P$1=""</formula>
    </cfRule>
  </conditionalFormatting>
  <conditionalFormatting sqref="P177:AA177 P179:AA179 P181:AA181">
    <cfRule type="expression" dxfId="7380" priority="737">
      <formula>P$1=""</formula>
    </cfRule>
  </conditionalFormatting>
  <conditionalFormatting sqref="P177:AA177 P179:AA179 P181:AA181">
    <cfRule type="expression" dxfId="7379" priority="736">
      <formula>P$1=""</formula>
    </cfRule>
  </conditionalFormatting>
  <conditionalFormatting sqref="P177:AA177 P179:AA179 P181:AA181">
    <cfRule type="expression" dxfId="7378" priority="735">
      <formula>P$1=""</formula>
    </cfRule>
  </conditionalFormatting>
  <conditionalFormatting sqref="P177:AA177 P179:AA179 P181:AA181">
    <cfRule type="expression" dxfId="7377" priority="734">
      <formula>P$1=""</formula>
    </cfRule>
  </conditionalFormatting>
  <conditionalFormatting sqref="P177:AA177 P179:AA179 P181:AA181">
    <cfRule type="expression" dxfId="7376" priority="733">
      <formula>P$1=""</formula>
    </cfRule>
  </conditionalFormatting>
  <conditionalFormatting sqref="P179:AA179 P181:AA181">
    <cfRule type="expression" dxfId="7375" priority="732">
      <formula>P$1=""</formula>
    </cfRule>
  </conditionalFormatting>
  <conditionalFormatting sqref="P177:AA177">
    <cfRule type="expression" dxfId="7374" priority="731">
      <formula>P$1=""</formula>
    </cfRule>
  </conditionalFormatting>
  <conditionalFormatting sqref="P179:AA179 P181:AA181">
    <cfRule type="expression" dxfId="7373" priority="730">
      <formula>P$1=""</formula>
    </cfRule>
  </conditionalFormatting>
  <conditionalFormatting sqref="P179:AA179 P181:AA181">
    <cfRule type="expression" dxfId="7372" priority="729">
      <formula>P$1=""</formula>
    </cfRule>
  </conditionalFormatting>
  <conditionalFormatting sqref="P181:AA181">
    <cfRule type="expression" dxfId="7371" priority="728">
      <formula>P$1=""</formula>
    </cfRule>
  </conditionalFormatting>
  <conditionalFormatting sqref="P181:AA181">
    <cfRule type="expression" dxfId="7370" priority="727">
      <formula>P$1=""</formula>
    </cfRule>
  </conditionalFormatting>
  <conditionalFormatting sqref="P181:AA181">
    <cfRule type="expression" dxfId="7369" priority="726">
      <formula>P$1=""</formula>
    </cfRule>
  </conditionalFormatting>
  <conditionalFormatting sqref="P181:AA181">
    <cfRule type="expression" dxfId="7368" priority="725">
      <formula>P$1=""</formula>
    </cfRule>
  </conditionalFormatting>
  <conditionalFormatting sqref="P175:AA175">
    <cfRule type="expression" dxfId="7367" priority="724">
      <formula>P$1=""</formula>
    </cfRule>
  </conditionalFormatting>
  <conditionalFormatting sqref="P175:AA175">
    <cfRule type="expression" dxfId="7366" priority="723">
      <formula>P$1=""</formula>
    </cfRule>
  </conditionalFormatting>
  <conditionalFormatting sqref="P175:AA175">
    <cfRule type="expression" dxfId="7365" priority="722">
      <formula>P$1=""</formula>
    </cfRule>
  </conditionalFormatting>
  <conditionalFormatting sqref="P175:AA175">
    <cfRule type="expression" dxfId="7364" priority="721">
      <formula>P$1=""</formula>
    </cfRule>
  </conditionalFormatting>
  <conditionalFormatting sqref="P175:AA175">
    <cfRule type="expression" dxfId="7363" priority="720">
      <formula>P$1=""</formula>
    </cfRule>
  </conditionalFormatting>
  <conditionalFormatting sqref="P175:AA175">
    <cfRule type="expression" dxfId="7362" priority="719">
      <formula>P$1=""</formula>
    </cfRule>
  </conditionalFormatting>
  <conditionalFormatting sqref="P175:AA175">
    <cfRule type="expression" dxfId="7361" priority="718">
      <formula>P$1=""</formula>
    </cfRule>
  </conditionalFormatting>
  <conditionalFormatting sqref="P179:AA179 P181:AA181">
    <cfRule type="expression" dxfId="7360" priority="717">
      <formula>P$1=""</formula>
    </cfRule>
  </conditionalFormatting>
  <conditionalFormatting sqref="P179:AA179 P181:AA181">
    <cfRule type="expression" dxfId="7359" priority="716">
      <formula>P$1=""</formula>
    </cfRule>
  </conditionalFormatting>
  <conditionalFormatting sqref="P179:AA179 P181:AA181">
    <cfRule type="expression" dxfId="7358" priority="715">
      <formula>P$1=""</formula>
    </cfRule>
  </conditionalFormatting>
  <conditionalFormatting sqref="P179:AA179 P181:AA181">
    <cfRule type="expression" dxfId="7357" priority="714">
      <formula>P$1=""</formula>
    </cfRule>
  </conditionalFormatting>
  <conditionalFormatting sqref="P177:AA177 P179:AA179 P181:AA181">
    <cfRule type="expression" dxfId="7356" priority="713">
      <formula>P$1=""</formula>
    </cfRule>
  </conditionalFormatting>
  <conditionalFormatting sqref="P177:AA177 P179:AA179 P181:AA181">
    <cfRule type="expression" dxfId="7355" priority="712">
      <formula>P$1=""</formula>
    </cfRule>
  </conditionalFormatting>
  <conditionalFormatting sqref="P177:AA177 P179:AA179 P181:AA181">
    <cfRule type="expression" dxfId="7354" priority="711">
      <formula>P$1=""</formula>
    </cfRule>
  </conditionalFormatting>
  <conditionalFormatting sqref="P177:AA177 P179:AA179 P181:AA181">
    <cfRule type="expression" dxfId="7353" priority="710">
      <formula>P$1=""</formula>
    </cfRule>
  </conditionalFormatting>
  <conditionalFormatting sqref="P177:AA177 P179:AA179 P181:AA181">
    <cfRule type="expression" dxfId="7352" priority="709">
      <formula>P$1=""</formula>
    </cfRule>
  </conditionalFormatting>
  <conditionalFormatting sqref="P177:AA177 P179:AA179 P181:AA181">
    <cfRule type="expression" dxfId="7351" priority="708">
      <formula>P$1=""</formula>
    </cfRule>
  </conditionalFormatting>
  <conditionalFormatting sqref="P177:AA177 P179:AA179 P181:AA181">
    <cfRule type="expression" dxfId="7350" priority="707">
      <formula>P$1=""</formula>
    </cfRule>
  </conditionalFormatting>
  <conditionalFormatting sqref="P177:AA177 P179:AA179 P181:AA181">
    <cfRule type="expression" dxfId="7349" priority="706">
      <formula>P$1=""</formula>
    </cfRule>
  </conditionalFormatting>
  <conditionalFormatting sqref="Q177:AA177">
    <cfRule type="expression" dxfId="7348" priority="705">
      <formula>Q$1=""</formula>
    </cfRule>
  </conditionalFormatting>
  <conditionalFormatting sqref="Q177:AA177">
    <cfRule type="expression" dxfId="7347" priority="704">
      <formula>Q$1=""</formula>
    </cfRule>
  </conditionalFormatting>
  <conditionalFormatting sqref="Q177:AA177">
    <cfRule type="expression" dxfId="7346" priority="703">
      <formula>Q$1=""</formula>
    </cfRule>
  </conditionalFormatting>
  <conditionalFormatting sqref="Q177:AA177">
    <cfRule type="expression" dxfId="7345" priority="702">
      <formula>Q$1=""</formula>
    </cfRule>
  </conditionalFormatting>
  <conditionalFormatting sqref="Q177:AA177">
    <cfRule type="expression" dxfId="7344" priority="701">
      <formula>Q$1=""</formula>
    </cfRule>
  </conditionalFormatting>
  <conditionalFormatting sqref="Q177:AA177">
    <cfRule type="expression" dxfId="7343" priority="700">
      <formula>Q$1=""</formula>
    </cfRule>
  </conditionalFormatting>
  <conditionalFormatting sqref="Q177:AA177">
    <cfRule type="expression" dxfId="7342" priority="699">
      <formula>Q$1=""</formula>
    </cfRule>
  </conditionalFormatting>
  <conditionalFormatting sqref="Q177:AA177">
    <cfRule type="expression" dxfId="7341" priority="698">
      <formula>Q$1=""</formula>
    </cfRule>
  </conditionalFormatting>
  <conditionalFormatting sqref="Q179:AA179 Q181:AA181">
    <cfRule type="expression" dxfId="7340" priority="697">
      <formula>Q$1=""</formula>
    </cfRule>
  </conditionalFormatting>
  <conditionalFormatting sqref="Q179:AA179 Q181:AA181">
    <cfRule type="expression" dxfId="7339" priority="696">
      <formula>Q$1=""</formula>
    </cfRule>
  </conditionalFormatting>
  <conditionalFormatting sqref="Q179:AA179 Q181:AA181">
    <cfRule type="expression" dxfId="7338" priority="695">
      <formula>Q$1=""</formula>
    </cfRule>
  </conditionalFormatting>
  <conditionalFormatting sqref="Q179:AA179 Q181:AA181">
    <cfRule type="expression" dxfId="7337" priority="694">
      <formula>Q$1=""</formula>
    </cfRule>
  </conditionalFormatting>
  <conditionalFormatting sqref="Q179:AA179 Q181:AA181">
    <cfRule type="expression" dxfId="7336" priority="693">
      <formula>Q$1=""</formula>
    </cfRule>
  </conditionalFormatting>
  <conditionalFormatting sqref="Q179:AA179 Q181:AA181">
    <cfRule type="expression" dxfId="7335" priority="692">
      <formula>Q$1=""</formula>
    </cfRule>
  </conditionalFormatting>
  <conditionalFormatting sqref="Q179:AA179 Q181:AA181">
    <cfRule type="expression" dxfId="7334" priority="691">
      <formula>Q$1=""</formula>
    </cfRule>
  </conditionalFormatting>
  <conditionalFormatting sqref="Q179:AA179 Q181:AA181">
    <cfRule type="expression" dxfId="7333" priority="690">
      <formula>Q$1=""</formula>
    </cfRule>
  </conditionalFormatting>
  <conditionalFormatting sqref="Q179:AA179 Q181:AA181">
    <cfRule type="expression" dxfId="7332" priority="689">
      <formula>Q$1=""</formula>
    </cfRule>
  </conditionalFormatting>
  <conditionalFormatting sqref="Q179:AA179 Q181:AA181">
    <cfRule type="expression" dxfId="7331" priority="688">
      <formula>Q$1=""</formula>
    </cfRule>
  </conditionalFormatting>
  <conditionalFormatting sqref="P175:AA175 P179:AA179 P181:AA181">
    <cfRule type="expression" dxfId="7330" priority="687">
      <formula>P$1=""</formula>
    </cfRule>
  </conditionalFormatting>
  <conditionalFormatting sqref="P175:AA175">
    <cfRule type="expression" dxfId="7329" priority="686">
      <formula>P$1=""</formula>
    </cfRule>
  </conditionalFormatting>
  <conditionalFormatting sqref="P175:AA175">
    <cfRule type="expression" dxfId="7328" priority="685">
      <formula>P$1=""</formula>
    </cfRule>
  </conditionalFormatting>
  <conditionalFormatting sqref="P175:AA175">
    <cfRule type="expression" dxfId="7327" priority="684">
      <formula>P$1=""</formula>
    </cfRule>
  </conditionalFormatting>
  <conditionalFormatting sqref="P175:AA175">
    <cfRule type="expression" dxfId="7326" priority="683">
      <formula>P$1=""</formula>
    </cfRule>
  </conditionalFormatting>
  <conditionalFormatting sqref="P175:AA175">
    <cfRule type="expression" dxfId="7325" priority="682">
      <formula>P$1=""</formula>
    </cfRule>
  </conditionalFormatting>
  <conditionalFormatting sqref="P175:AA175 P179:AA179 P181:AA181">
    <cfRule type="expression" dxfId="7324" priority="681">
      <formula>P$1=""</formula>
    </cfRule>
  </conditionalFormatting>
  <conditionalFormatting sqref="P175:AA175">
    <cfRule type="expression" dxfId="7323" priority="680">
      <formula>P$1=""</formula>
    </cfRule>
  </conditionalFormatting>
  <conditionalFormatting sqref="P175:AA175">
    <cfRule type="expression" dxfId="7322" priority="679">
      <formula>P$1=""</formula>
    </cfRule>
  </conditionalFormatting>
  <conditionalFormatting sqref="P175:AA175">
    <cfRule type="expression" dxfId="7321" priority="678">
      <formula>P$1=""</formula>
    </cfRule>
  </conditionalFormatting>
  <conditionalFormatting sqref="P175:AA175">
    <cfRule type="expression" dxfId="7320" priority="677">
      <formula>P$1=""</formula>
    </cfRule>
  </conditionalFormatting>
  <conditionalFormatting sqref="P175:AA175">
    <cfRule type="expression" dxfId="7319" priority="676">
      <formula>P$1=""</formula>
    </cfRule>
  </conditionalFormatting>
  <conditionalFormatting sqref="P175:AA175">
    <cfRule type="expression" dxfId="7318" priority="675">
      <formula>P$1=""</formula>
    </cfRule>
  </conditionalFormatting>
  <conditionalFormatting sqref="P175:AA175">
    <cfRule type="expression" dxfId="7317" priority="674">
      <formula>P$1=""</formula>
    </cfRule>
  </conditionalFormatting>
  <conditionalFormatting sqref="P175:AA175">
    <cfRule type="expression" dxfId="7316" priority="673">
      <formula>P$1=""</formula>
    </cfRule>
  </conditionalFormatting>
  <conditionalFormatting sqref="P152:AA152">
    <cfRule type="expression" dxfId="7315" priority="672">
      <formula>P$1=""</formula>
    </cfRule>
  </conditionalFormatting>
  <conditionalFormatting sqref="P152:AA152">
    <cfRule type="expression" dxfId="7314" priority="671">
      <formula>P$1=""</formula>
    </cfRule>
  </conditionalFormatting>
  <conditionalFormatting sqref="P152:AA152">
    <cfRule type="expression" dxfId="7313" priority="670">
      <formula>P$1=""</formula>
    </cfRule>
  </conditionalFormatting>
  <conditionalFormatting sqref="P152:AA152">
    <cfRule type="expression" dxfId="7312" priority="669">
      <formula>P$1=""</formula>
    </cfRule>
  </conditionalFormatting>
  <conditionalFormatting sqref="P152:AA152">
    <cfRule type="expression" dxfId="7311" priority="668">
      <formula>P$1=""</formula>
    </cfRule>
  </conditionalFormatting>
  <conditionalFormatting sqref="P152:AA152">
    <cfRule type="expression" dxfId="7310" priority="667">
      <formula>P$1=""</formula>
    </cfRule>
  </conditionalFormatting>
  <conditionalFormatting sqref="P152:AA152">
    <cfRule type="expression" dxfId="7309" priority="666">
      <formula>P$1=""</formula>
    </cfRule>
  </conditionalFormatting>
  <conditionalFormatting sqref="P152:AA152">
    <cfRule type="expression" dxfId="7308" priority="665">
      <formula>P$1=""</formula>
    </cfRule>
  </conditionalFormatting>
  <conditionalFormatting sqref="P161:AA161 P159:AA159 P157:AA157">
    <cfRule type="expression" dxfId="7307" priority="664">
      <formula>P$1=""</formula>
    </cfRule>
  </conditionalFormatting>
  <conditionalFormatting sqref="P161:AA161 P159:AA159 P157:AA157">
    <cfRule type="expression" dxfId="7306" priority="663">
      <formula>P$1=""</formula>
    </cfRule>
  </conditionalFormatting>
  <conditionalFormatting sqref="P161:AA161 P159:AA159 P157:AA157">
    <cfRule type="expression" dxfId="7305" priority="662">
      <formula>P$1=""</formula>
    </cfRule>
  </conditionalFormatting>
  <conditionalFormatting sqref="P161:AA161 P159:AA159 P157:AA157">
    <cfRule type="expression" dxfId="7304" priority="661">
      <formula>P$1=""</formula>
    </cfRule>
  </conditionalFormatting>
  <conditionalFormatting sqref="P161:AA161 P159:AA159 P157:AA157">
    <cfRule type="expression" dxfId="7303" priority="660">
      <formula>P$1=""</formula>
    </cfRule>
  </conditionalFormatting>
  <conditionalFormatting sqref="P161:AA161 P159:AA159 P157:AA157">
    <cfRule type="expression" dxfId="7302" priority="659">
      <formula>P$1=""</formula>
    </cfRule>
  </conditionalFormatting>
  <conditionalFormatting sqref="P161:AA161 P159:AA159 P157:AA157">
    <cfRule type="expression" dxfId="7301" priority="658">
      <formula>P$1=""</formula>
    </cfRule>
  </conditionalFormatting>
  <conditionalFormatting sqref="P161:AA161 P159:AA159 P157:AA157">
    <cfRule type="expression" dxfId="7300" priority="657">
      <formula>P$1=""</formula>
    </cfRule>
  </conditionalFormatting>
  <conditionalFormatting sqref="P171:AA171 P169:AA169 P167:AA167">
    <cfRule type="expression" dxfId="7299" priority="656">
      <formula>P$1=""</formula>
    </cfRule>
  </conditionalFormatting>
  <conditionalFormatting sqref="P171:AA171 P169:AA169 P167:AA167">
    <cfRule type="expression" dxfId="7298" priority="655">
      <formula>P$1=""</formula>
    </cfRule>
  </conditionalFormatting>
  <conditionalFormatting sqref="P171:AA171 P169:AA169 P167:AA167">
    <cfRule type="expression" dxfId="7297" priority="654">
      <formula>P$1=""</formula>
    </cfRule>
  </conditionalFormatting>
  <conditionalFormatting sqref="P171:AA171 P169:AA169 P167:AA167">
    <cfRule type="expression" dxfId="7296" priority="653">
      <formula>P$1=""</formula>
    </cfRule>
  </conditionalFormatting>
  <conditionalFormatting sqref="P171:AA171 P169:AA169 P167:AA167">
    <cfRule type="expression" dxfId="7295" priority="652">
      <formula>P$1=""</formula>
    </cfRule>
  </conditionalFormatting>
  <conditionalFormatting sqref="P171:AA171 P169:AA169 P167:AA167">
    <cfRule type="expression" dxfId="7294" priority="651">
      <formula>P$1=""</formula>
    </cfRule>
  </conditionalFormatting>
  <conditionalFormatting sqref="P171:AA171 P169:AA169 P167:AA167">
    <cfRule type="expression" dxfId="7293" priority="650">
      <formula>P$1=""</formula>
    </cfRule>
  </conditionalFormatting>
  <conditionalFormatting sqref="P171:AA171 P169:AA169 P167:AA167">
    <cfRule type="expression" dxfId="7292" priority="649">
      <formula>P$1=""</formula>
    </cfRule>
  </conditionalFormatting>
  <conditionalFormatting sqref="P177:AA177 P179:AA179 P181:AA181">
    <cfRule type="expression" dxfId="7291" priority="648">
      <formula>P$1=""</formula>
    </cfRule>
  </conditionalFormatting>
  <conditionalFormatting sqref="P177:AA177 P179:AA179 P181:AA181">
    <cfRule type="expression" dxfId="7290" priority="647">
      <formula>P$1=""</formula>
    </cfRule>
  </conditionalFormatting>
  <conditionalFormatting sqref="P177:AA177 P179:AA179 P181:AA181">
    <cfRule type="expression" dxfId="7289" priority="646">
      <formula>P$1=""</formula>
    </cfRule>
  </conditionalFormatting>
  <conditionalFormatting sqref="P177:AA177 P179:AA179 P181:AA181">
    <cfRule type="expression" dxfId="7288" priority="645">
      <formula>P$1=""</formula>
    </cfRule>
  </conditionalFormatting>
  <conditionalFormatting sqref="P177:AA177 P179:AA179 P181:AA181">
    <cfRule type="expression" dxfId="7287" priority="644">
      <formula>P$1=""</formula>
    </cfRule>
  </conditionalFormatting>
  <conditionalFormatting sqref="P177:AA177 P179:AA179 P181:AA181">
    <cfRule type="expression" dxfId="7286" priority="643">
      <formula>P$1=""</formula>
    </cfRule>
  </conditionalFormatting>
  <conditionalFormatting sqref="P177:AA177 P179:AA179 P181:AA181">
    <cfRule type="expression" dxfId="7285" priority="642">
      <formula>P$1=""</formula>
    </cfRule>
  </conditionalFormatting>
  <conditionalFormatting sqref="P177:AA177 P179:AA179 P181:AA181">
    <cfRule type="expression" dxfId="7284" priority="641">
      <formula>P$1=""</formula>
    </cfRule>
  </conditionalFormatting>
  <conditionalFormatting sqref="P177:AA177">
    <cfRule type="expression" dxfId="7283" priority="640">
      <formula>P$1=""</formula>
    </cfRule>
  </conditionalFormatting>
  <conditionalFormatting sqref="P177:AA177 P179:AA179 P181:AA181">
    <cfRule type="expression" dxfId="7282" priority="639">
      <formula>P$1=""</formula>
    </cfRule>
  </conditionalFormatting>
  <conditionalFormatting sqref="P177:AA177 P179:AA179 P181:AA181">
    <cfRule type="expression" dxfId="7281" priority="638">
      <formula>P$1=""</formula>
    </cfRule>
  </conditionalFormatting>
  <conditionalFormatting sqref="P177:AA177 P179:AA179 P181:AA181">
    <cfRule type="expression" dxfId="7280" priority="637">
      <formula>P$1=""</formula>
    </cfRule>
  </conditionalFormatting>
  <conditionalFormatting sqref="P177:AA177 P179:AA179 P181:AA181">
    <cfRule type="expression" dxfId="7279" priority="636">
      <formula>P$1=""</formula>
    </cfRule>
  </conditionalFormatting>
  <conditionalFormatting sqref="P177:AA177 P179:AA179 P181:AA181">
    <cfRule type="expression" dxfId="7278" priority="635">
      <formula>P$1=""</formula>
    </cfRule>
  </conditionalFormatting>
  <conditionalFormatting sqref="P177:AA177">
    <cfRule type="expression" dxfId="7277" priority="634">
      <formula>P$1=""</formula>
    </cfRule>
  </conditionalFormatting>
  <conditionalFormatting sqref="P177:AA177 P179:AA179 P181:AA181">
    <cfRule type="expression" dxfId="7276" priority="633">
      <formula>P$1=""</formula>
    </cfRule>
  </conditionalFormatting>
  <conditionalFormatting sqref="P177:AA177 P179:AA179 P181:AA181">
    <cfRule type="expression" dxfId="7275" priority="632">
      <formula>P$1=""</formula>
    </cfRule>
  </conditionalFormatting>
  <conditionalFormatting sqref="P177:AA177 P179:AA179 P181:AA181">
    <cfRule type="expression" dxfId="7274" priority="631">
      <formula>P$1=""</formula>
    </cfRule>
  </conditionalFormatting>
  <conditionalFormatting sqref="P177:AA177 P179:AA179 P181:AA181">
    <cfRule type="expression" dxfId="7273" priority="630">
      <formula>P$1=""</formula>
    </cfRule>
  </conditionalFormatting>
  <conditionalFormatting sqref="P177:AA177 P179:AA179 P181:AA181">
    <cfRule type="expression" dxfId="7272" priority="629">
      <formula>P$1=""</formula>
    </cfRule>
  </conditionalFormatting>
  <conditionalFormatting sqref="P177:AA177 P179:AA179 P181:AA181">
    <cfRule type="expression" dxfId="7271" priority="628">
      <formula>P$1=""</formula>
    </cfRule>
  </conditionalFormatting>
  <conditionalFormatting sqref="P177:AA177 P179:AA179 P181:AA181">
    <cfRule type="expression" dxfId="7270" priority="627">
      <formula>P$1=""</formula>
    </cfRule>
  </conditionalFormatting>
  <conditionalFormatting sqref="P177:AA177 P179:AA179 P181:AA181">
    <cfRule type="expression" dxfId="7269" priority="626">
      <formula>P$1=""</formula>
    </cfRule>
  </conditionalFormatting>
  <conditionalFormatting sqref="P181:AA181 P179:AA179">
    <cfRule type="expression" dxfId="7268" priority="625">
      <formula>P$1=""</formula>
    </cfRule>
  </conditionalFormatting>
  <conditionalFormatting sqref="P181:AA181 P179:AA179">
    <cfRule type="expression" dxfId="7267" priority="624">
      <formula>P$1=""</formula>
    </cfRule>
  </conditionalFormatting>
  <conditionalFormatting sqref="Q181:AA181 Q179:AA179">
    <cfRule type="expression" dxfId="7266" priority="623">
      <formula>Q$1=""</formula>
    </cfRule>
  </conditionalFormatting>
  <conditionalFormatting sqref="Q181:AA181 Q179:AA179">
    <cfRule type="expression" dxfId="7265" priority="622">
      <formula>Q$1=""</formula>
    </cfRule>
  </conditionalFormatting>
  <conditionalFormatting sqref="Q181:AA181 Q179:AA179">
    <cfRule type="expression" dxfId="7264" priority="621">
      <formula>Q$1=""</formula>
    </cfRule>
  </conditionalFormatting>
  <conditionalFormatting sqref="Q181:AA181 Q179:AA179">
    <cfRule type="expression" dxfId="7263" priority="620">
      <formula>Q$1=""</formula>
    </cfRule>
  </conditionalFormatting>
  <conditionalFormatting sqref="Q181:AA181 Q179:AA179">
    <cfRule type="expression" dxfId="7262" priority="619">
      <formula>Q$1=""</formula>
    </cfRule>
  </conditionalFormatting>
  <conditionalFormatting sqref="Q181:AA181 Q179:AA179">
    <cfRule type="expression" dxfId="7261" priority="618">
      <formula>Q$1=""</formula>
    </cfRule>
  </conditionalFormatting>
  <conditionalFormatting sqref="Q181:AA181 Q179:AA179">
    <cfRule type="expression" dxfId="7260" priority="617">
      <formula>Q$1=""</formula>
    </cfRule>
  </conditionalFormatting>
  <conditionalFormatting sqref="Q181:AA181 Q179:AA179">
    <cfRule type="expression" dxfId="7259" priority="616">
      <formula>Q$1=""</formula>
    </cfRule>
  </conditionalFormatting>
  <conditionalFormatting sqref="P181:AA181 P179:AA179">
    <cfRule type="expression" dxfId="7258" priority="615">
      <formula>P$1=""</formula>
    </cfRule>
  </conditionalFormatting>
  <conditionalFormatting sqref="P181:AA181 P179:AA179">
    <cfRule type="expression" dxfId="7257" priority="614">
      <formula>P$1=""</formula>
    </cfRule>
  </conditionalFormatting>
  <conditionalFormatting sqref="P193:AA193">
    <cfRule type="expression" dxfId="7256" priority="613">
      <formula>P$1=""</formula>
    </cfRule>
  </conditionalFormatting>
  <conditionalFormatting sqref="P193:AA193">
    <cfRule type="expression" dxfId="7255" priority="612">
      <formula>P$1=""</formula>
    </cfRule>
  </conditionalFormatting>
  <conditionalFormatting sqref="P193:AA193">
    <cfRule type="expression" dxfId="7254" priority="611">
      <formula>P$1=""</formula>
    </cfRule>
  </conditionalFormatting>
  <conditionalFormatting sqref="P193:AA193">
    <cfRule type="expression" dxfId="7253" priority="610">
      <formula>P$1=""</formula>
    </cfRule>
  </conditionalFormatting>
  <conditionalFormatting sqref="P193:AA193">
    <cfRule type="expression" dxfId="7252" priority="609">
      <formula>P$1=""</formula>
    </cfRule>
  </conditionalFormatting>
  <conditionalFormatting sqref="P193:AA193">
    <cfRule type="expression" dxfId="7251" priority="608">
      <formula>P$1=""</formula>
    </cfRule>
  </conditionalFormatting>
  <conditionalFormatting sqref="P193:AA193">
    <cfRule type="expression" dxfId="7250" priority="607">
      <formula>P$1=""</formula>
    </cfRule>
  </conditionalFormatting>
  <conditionalFormatting sqref="P193:AA193">
    <cfRule type="expression" dxfId="7249" priority="606">
      <formula>P$1=""</formula>
    </cfRule>
  </conditionalFormatting>
  <conditionalFormatting sqref="P206:AA206">
    <cfRule type="expression" dxfId="7248" priority="605">
      <formula>P$1=""</formula>
    </cfRule>
  </conditionalFormatting>
  <conditionalFormatting sqref="P208:AA208">
    <cfRule type="expression" dxfId="7247" priority="604">
      <formula>P$1=""</formula>
    </cfRule>
  </conditionalFormatting>
  <conditionalFormatting sqref="P210:AA210">
    <cfRule type="expression" dxfId="7246" priority="603">
      <formula>P$1=""</formula>
    </cfRule>
  </conditionalFormatting>
  <conditionalFormatting sqref="P212:AA212">
    <cfRule type="expression" dxfId="7245" priority="602">
      <formula>P$1=""</formula>
    </cfRule>
  </conditionalFormatting>
  <conditionalFormatting sqref="P208:AA208 P210:AA210 P212:AA212">
    <cfRule type="expression" dxfId="7244" priority="601">
      <formula>P$1=""</formula>
    </cfRule>
  </conditionalFormatting>
  <conditionalFormatting sqref="P208:AA208 P210:AA210 P212:AA212">
    <cfRule type="expression" dxfId="7243" priority="600">
      <formula>P$1=""</formula>
    </cfRule>
  </conditionalFormatting>
  <conditionalFormatting sqref="P208:AA208 P210:AA210 P212:AA212">
    <cfRule type="expression" dxfId="7242" priority="599">
      <formula>P$1=""</formula>
    </cfRule>
  </conditionalFormatting>
  <conditionalFormatting sqref="P208:AA208 P210:AA210 P212:AA212">
    <cfRule type="expression" dxfId="7241" priority="598">
      <formula>P$1=""</formula>
    </cfRule>
  </conditionalFormatting>
  <conditionalFormatting sqref="P208:AA208 P210:AA210 P212:AA212">
    <cfRule type="expression" dxfId="7240" priority="597">
      <formula>P$1=""</formula>
    </cfRule>
  </conditionalFormatting>
  <conditionalFormatting sqref="P210:AA210 P212:AA212">
    <cfRule type="expression" dxfId="7239" priority="596">
      <formula>P$1=""</formula>
    </cfRule>
  </conditionalFormatting>
  <conditionalFormatting sqref="P208:AA208">
    <cfRule type="expression" dxfId="7238" priority="595">
      <formula>P$1=""</formula>
    </cfRule>
  </conditionalFormatting>
  <conditionalFormatting sqref="P210:AA210 P212:AA212">
    <cfRule type="expression" dxfId="7237" priority="594">
      <formula>P$1=""</formula>
    </cfRule>
  </conditionalFormatting>
  <conditionalFormatting sqref="P210:AA210 P212:AA212">
    <cfRule type="expression" dxfId="7236" priority="593">
      <formula>P$1=""</formula>
    </cfRule>
  </conditionalFormatting>
  <conditionalFormatting sqref="P212:AA212">
    <cfRule type="expression" dxfId="7235" priority="592">
      <formula>P$1=""</formula>
    </cfRule>
  </conditionalFormatting>
  <conditionalFormatting sqref="P212:AA212">
    <cfRule type="expression" dxfId="7234" priority="591">
      <formula>P$1=""</formula>
    </cfRule>
  </conditionalFormatting>
  <conditionalFormatting sqref="P212:AA212">
    <cfRule type="expression" dxfId="7233" priority="590">
      <formula>P$1=""</formula>
    </cfRule>
  </conditionalFormatting>
  <conditionalFormatting sqref="P212:AA212">
    <cfRule type="expression" dxfId="7232" priority="589">
      <formula>P$1=""</formula>
    </cfRule>
  </conditionalFormatting>
  <conditionalFormatting sqref="P206:AA206">
    <cfRule type="expression" dxfId="7231" priority="588">
      <formula>P$1=""</formula>
    </cfRule>
  </conditionalFormatting>
  <conditionalFormatting sqref="P206:AA206">
    <cfRule type="expression" dxfId="7230" priority="587">
      <formula>P$1=""</formula>
    </cfRule>
  </conditionalFormatting>
  <conditionalFormatting sqref="P206:AA206">
    <cfRule type="expression" dxfId="7229" priority="586">
      <formula>P$1=""</formula>
    </cfRule>
  </conditionalFormatting>
  <conditionalFormatting sqref="P206:AA206">
    <cfRule type="expression" dxfId="7228" priority="585">
      <formula>P$1=""</formula>
    </cfRule>
  </conditionalFormatting>
  <conditionalFormatting sqref="P206:AA206">
    <cfRule type="expression" dxfId="7227" priority="584">
      <formula>P$1=""</formula>
    </cfRule>
  </conditionalFormatting>
  <conditionalFormatting sqref="P206:AA206">
    <cfRule type="expression" dxfId="7226" priority="583">
      <formula>P$1=""</formula>
    </cfRule>
  </conditionalFormatting>
  <conditionalFormatting sqref="P206:AA206">
    <cfRule type="expression" dxfId="7225" priority="582">
      <formula>P$1=""</formula>
    </cfRule>
  </conditionalFormatting>
  <conditionalFormatting sqref="P210:AA210 P212:AA212">
    <cfRule type="expression" dxfId="7224" priority="581">
      <formula>P$1=""</formula>
    </cfRule>
  </conditionalFormatting>
  <conditionalFormatting sqref="P210:AA210 P212:AA212">
    <cfRule type="expression" dxfId="7223" priority="580">
      <formula>P$1=""</formula>
    </cfRule>
  </conditionalFormatting>
  <conditionalFormatting sqref="P210:AA210 P212:AA212">
    <cfRule type="expression" dxfId="7222" priority="579">
      <formula>P$1=""</formula>
    </cfRule>
  </conditionalFormatting>
  <conditionalFormatting sqref="P210:AA210 P212:AA212">
    <cfRule type="expression" dxfId="7221" priority="578">
      <formula>P$1=""</formula>
    </cfRule>
  </conditionalFormatting>
  <conditionalFormatting sqref="P212 P210 P208">
    <cfRule type="expression" dxfId="7220" priority="577">
      <formula>P$1=""</formula>
    </cfRule>
  </conditionalFormatting>
  <conditionalFormatting sqref="P212 P210 P208">
    <cfRule type="expression" dxfId="7219" priority="576">
      <formula>P$1=""</formula>
    </cfRule>
  </conditionalFormatting>
  <conditionalFormatting sqref="P212 P210 P208">
    <cfRule type="expression" dxfId="7218" priority="575">
      <formula>P$1=""</formula>
    </cfRule>
  </conditionalFormatting>
  <conditionalFormatting sqref="P236:AA236">
    <cfRule type="expression" dxfId="7217" priority="574">
      <formula>P$1=""</formula>
    </cfRule>
  </conditionalFormatting>
  <conditionalFormatting sqref="P238:AA238">
    <cfRule type="expression" dxfId="7216" priority="573">
      <formula>P$1=""</formula>
    </cfRule>
  </conditionalFormatting>
  <conditionalFormatting sqref="P240:AA240">
    <cfRule type="expression" dxfId="7215" priority="572">
      <formula>P$1=""</formula>
    </cfRule>
  </conditionalFormatting>
  <conditionalFormatting sqref="P242:AA242">
    <cfRule type="expression" dxfId="7214" priority="571">
      <formula>P$1=""</formula>
    </cfRule>
  </conditionalFormatting>
  <conditionalFormatting sqref="P238:AA238 P240:AA240 P242:AA242">
    <cfRule type="expression" dxfId="7213" priority="570">
      <formula>P$1=""</formula>
    </cfRule>
  </conditionalFormatting>
  <conditionalFormatting sqref="P238:AA238 P240:AA240 P242:AA242">
    <cfRule type="expression" dxfId="7212" priority="569">
      <formula>P$1=""</formula>
    </cfRule>
  </conditionalFormatting>
  <conditionalFormatting sqref="P238:AA238 P240:AA240 P242:AA242">
    <cfRule type="expression" dxfId="7211" priority="568">
      <formula>P$1=""</formula>
    </cfRule>
  </conditionalFormatting>
  <conditionalFormatting sqref="P238:AA238 P240:AA240 P242:AA242">
    <cfRule type="expression" dxfId="7210" priority="567">
      <formula>P$1=""</formula>
    </cfRule>
  </conditionalFormatting>
  <conditionalFormatting sqref="P238:AA238 P240:AA240 P242:AA242">
    <cfRule type="expression" dxfId="7209" priority="566">
      <formula>P$1=""</formula>
    </cfRule>
  </conditionalFormatting>
  <conditionalFormatting sqref="P240:AA240 P242:AA242">
    <cfRule type="expression" dxfId="7208" priority="565">
      <formula>P$1=""</formula>
    </cfRule>
  </conditionalFormatting>
  <conditionalFormatting sqref="P238:AA238">
    <cfRule type="expression" dxfId="7207" priority="564">
      <formula>P$1=""</formula>
    </cfRule>
  </conditionalFormatting>
  <conditionalFormatting sqref="P240:AA240 P242:AA242">
    <cfRule type="expression" dxfId="7206" priority="563">
      <formula>P$1=""</formula>
    </cfRule>
  </conditionalFormatting>
  <conditionalFormatting sqref="P240:AA240 P242:AA242">
    <cfRule type="expression" dxfId="7205" priority="562">
      <formula>P$1=""</formula>
    </cfRule>
  </conditionalFormatting>
  <conditionalFormatting sqref="P242:AA242">
    <cfRule type="expression" dxfId="7204" priority="561">
      <formula>P$1=""</formula>
    </cfRule>
  </conditionalFormatting>
  <conditionalFormatting sqref="P242:AA242">
    <cfRule type="expression" dxfId="7203" priority="560">
      <formula>P$1=""</formula>
    </cfRule>
  </conditionalFormatting>
  <conditionalFormatting sqref="P242:AA242">
    <cfRule type="expression" dxfId="7202" priority="559">
      <formula>P$1=""</formula>
    </cfRule>
  </conditionalFormatting>
  <conditionalFormatting sqref="P242:AA242">
    <cfRule type="expression" dxfId="7201" priority="558">
      <formula>P$1=""</formula>
    </cfRule>
  </conditionalFormatting>
  <conditionalFormatting sqref="P236:AA236">
    <cfRule type="expression" dxfId="7200" priority="557">
      <formula>P$1=""</formula>
    </cfRule>
  </conditionalFormatting>
  <conditionalFormatting sqref="P236:AA236">
    <cfRule type="expression" dxfId="7199" priority="556">
      <formula>P$1=""</formula>
    </cfRule>
  </conditionalFormatting>
  <conditionalFormatting sqref="P236:AA236">
    <cfRule type="expression" dxfId="7198" priority="555">
      <formula>P$1=""</formula>
    </cfRule>
  </conditionalFormatting>
  <conditionalFormatting sqref="P236:AA236">
    <cfRule type="expression" dxfId="7197" priority="554">
      <formula>P$1=""</formula>
    </cfRule>
  </conditionalFormatting>
  <conditionalFormatting sqref="P236:AA236">
    <cfRule type="expression" dxfId="7196" priority="553">
      <formula>P$1=""</formula>
    </cfRule>
  </conditionalFormatting>
  <conditionalFormatting sqref="P236:AA236">
    <cfRule type="expression" dxfId="7195" priority="552">
      <formula>P$1=""</formula>
    </cfRule>
  </conditionalFormatting>
  <conditionalFormatting sqref="P236:AA236">
    <cfRule type="expression" dxfId="7194" priority="551">
      <formula>P$1=""</formula>
    </cfRule>
  </conditionalFormatting>
  <conditionalFormatting sqref="P240:AA240 P242:AA242">
    <cfRule type="expression" dxfId="7193" priority="550">
      <formula>P$1=""</formula>
    </cfRule>
  </conditionalFormatting>
  <conditionalFormatting sqref="P240:AA240 P242:AA242">
    <cfRule type="expression" dxfId="7192" priority="549">
      <formula>P$1=""</formula>
    </cfRule>
  </conditionalFormatting>
  <conditionalFormatting sqref="P240:AA240 P242:AA242">
    <cfRule type="expression" dxfId="7191" priority="548">
      <formula>P$1=""</formula>
    </cfRule>
  </conditionalFormatting>
  <conditionalFormatting sqref="P240:AA240 P242:AA242">
    <cfRule type="expression" dxfId="7190" priority="547">
      <formula>P$1=""</formula>
    </cfRule>
  </conditionalFormatting>
  <conditionalFormatting sqref="P238:AA238 P240:AA240 P242:AA242">
    <cfRule type="expression" dxfId="7189" priority="546">
      <formula>P$1=""</formula>
    </cfRule>
  </conditionalFormatting>
  <conditionalFormatting sqref="P238:AA238 P240:AA240 P242:AA242">
    <cfRule type="expression" dxfId="7188" priority="545">
      <formula>P$1=""</formula>
    </cfRule>
  </conditionalFormatting>
  <conditionalFormatting sqref="P238:AA238 P240:AA240 P242:AA242">
    <cfRule type="expression" dxfId="7187" priority="544">
      <formula>P$1=""</formula>
    </cfRule>
  </conditionalFormatting>
  <conditionalFormatting sqref="P238:AA238 P240:AA240 P242:AA242">
    <cfRule type="expression" dxfId="7186" priority="543">
      <formula>P$1=""</formula>
    </cfRule>
  </conditionalFormatting>
  <conditionalFormatting sqref="P238:AA238 P240:AA240 P242:AA242">
    <cfRule type="expression" dxfId="7185" priority="542">
      <formula>P$1=""</formula>
    </cfRule>
  </conditionalFormatting>
  <conditionalFormatting sqref="P238:AA238 P240:AA240 P242:AA242">
    <cfRule type="expression" dxfId="7184" priority="541">
      <formula>P$1=""</formula>
    </cfRule>
  </conditionalFormatting>
  <conditionalFormatting sqref="P238:AA238 P240:AA240 P242:AA242">
    <cfRule type="expression" dxfId="7183" priority="540">
      <formula>P$1=""</formula>
    </cfRule>
  </conditionalFormatting>
  <conditionalFormatting sqref="P238:AA238 P240:AA240 P242:AA242">
    <cfRule type="expression" dxfId="7182" priority="539">
      <formula>P$1=""</formula>
    </cfRule>
  </conditionalFormatting>
  <conditionalFormatting sqref="Q238:AA238">
    <cfRule type="expression" dxfId="7181" priority="538">
      <formula>Q$1=""</formula>
    </cfRule>
  </conditionalFormatting>
  <conditionalFormatting sqref="Q238:AA238">
    <cfRule type="expression" dxfId="7180" priority="537">
      <formula>Q$1=""</formula>
    </cfRule>
  </conditionalFormatting>
  <conditionalFormatting sqref="Q238:AA238">
    <cfRule type="expression" dxfId="7179" priority="536">
      <formula>Q$1=""</formula>
    </cfRule>
  </conditionalFormatting>
  <conditionalFormatting sqref="Q238:AA238">
    <cfRule type="expression" dxfId="7178" priority="535">
      <formula>Q$1=""</formula>
    </cfRule>
  </conditionalFormatting>
  <conditionalFormatting sqref="Q238:AA238">
    <cfRule type="expression" dxfId="7177" priority="534">
      <formula>Q$1=""</formula>
    </cfRule>
  </conditionalFormatting>
  <conditionalFormatting sqref="Q238:AA238">
    <cfRule type="expression" dxfId="7176" priority="533">
      <formula>Q$1=""</formula>
    </cfRule>
  </conditionalFormatting>
  <conditionalFormatting sqref="Q238:AA238">
    <cfRule type="expression" dxfId="7175" priority="532">
      <formula>Q$1=""</formula>
    </cfRule>
  </conditionalFormatting>
  <conditionalFormatting sqref="Q238:AA238">
    <cfRule type="expression" dxfId="7174" priority="531">
      <formula>Q$1=""</formula>
    </cfRule>
  </conditionalFormatting>
  <conditionalFormatting sqref="Q240:AA240 Q242:AA242">
    <cfRule type="expression" dxfId="7173" priority="530">
      <formula>Q$1=""</formula>
    </cfRule>
  </conditionalFormatting>
  <conditionalFormatting sqref="Q240:AA240 Q242:AA242">
    <cfRule type="expression" dxfId="7172" priority="529">
      <formula>Q$1=""</formula>
    </cfRule>
  </conditionalFormatting>
  <conditionalFormatting sqref="Q240:AA240 Q242:AA242">
    <cfRule type="expression" dxfId="7171" priority="528">
      <formula>Q$1=""</formula>
    </cfRule>
  </conditionalFormatting>
  <conditionalFormatting sqref="Q240:AA240 Q242:AA242">
    <cfRule type="expression" dxfId="7170" priority="527">
      <formula>Q$1=""</formula>
    </cfRule>
  </conditionalFormatting>
  <conditionalFormatting sqref="Q240:AA240 Q242:AA242">
    <cfRule type="expression" dxfId="7169" priority="526">
      <formula>Q$1=""</formula>
    </cfRule>
  </conditionalFormatting>
  <conditionalFormatting sqref="Q240:AA240 Q242:AA242">
    <cfRule type="expression" dxfId="7168" priority="525">
      <formula>Q$1=""</formula>
    </cfRule>
  </conditionalFormatting>
  <conditionalFormatting sqref="Q240:AA240 Q242:AA242">
    <cfRule type="expression" dxfId="7167" priority="524">
      <formula>Q$1=""</formula>
    </cfRule>
  </conditionalFormatting>
  <conditionalFormatting sqref="Q240:AA240 Q242:AA242">
    <cfRule type="expression" dxfId="7166" priority="523">
      <formula>Q$1=""</formula>
    </cfRule>
  </conditionalFormatting>
  <conditionalFormatting sqref="Q240:AA240 Q242:AA242">
    <cfRule type="expression" dxfId="7165" priority="522">
      <formula>Q$1=""</formula>
    </cfRule>
  </conditionalFormatting>
  <conditionalFormatting sqref="Q240:AA240 Q242:AA242">
    <cfRule type="expression" dxfId="7164" priority="521">
      <formula>Q$1=""</formula>
    </cfRule>
  </conditionalFormatting>
  <conditionalFormatting sqref="P236:AA236 P240:AA240 P242:AA242">
    <cfRule type="expression" dxfId="7163" priority="520">
      <formula>P$1=""</formula>
    </cfRule>
  </conditionalFormatting>
  <conditionalFormatting sqref="P236:AA236">
    <cfRule type="expression" dxfId="7162" priority="519">
      <formula>P$1=""</formula>
    </cfRule>
  </conditionalFormatting>
  <conditionalFormatting sqref="P236:AA236">
    <cfRule type="expression" dxfId="7161" priority="518">
      <formula>P$1=""</formula>
    </cfRule>
  </conditionalFormatting>
  <conditionalFormatting sqref="P236:AA236">
    <cfRule type="expression" dxfId="7160" priority="517">
      <formula>P$1=""</formula>
    </cfRule>
  </conditionalFormatting>
  <conditionalFormatting sqref="P236:AA236">
    <cfRule type="expression" dxfId="7159" priority="516">
      <formula>P$1=""</formula>
    </cfRule>
  </conditionalFormatting>
  <conditionalFormatting sqref="P236:AA236">
    <cfRule type="expression" dxfId="7158" priority="515">
      <formula>P$1=""</formula>
    </cfRule>
  </conditionalFormatting>
  <conditionalFormatting sqref="P236:AA236 P240:AA240 P242:AA242">
    <cfRule type="expression" dxfId="7157" priority="514">
      <formula>P$1=""</formula>
    </cfRule>
  </conditionalFormatting>
  <conditionalFormatting sqref="P236:AA236">
    <cfRule type="expression" dxfId="7156" priority="513">
      <formula>P$1=""</formula>
    </cfRule>
  </conditionalFormatting>
  <conditionalFormatting sqref="P236:AA236">
    <cfRule type="expression" dxfId="7155" priority="512">
      <formula>P$1=""</formula>
    </cfRule>
  </conditionalFormatting>
  <conditionalFormatting sqref="P236:AA236">
    <cfRule type="expression" dxfId="7154" priority="511">
      <formula>P$1=""</formula>
    </cfRule>
  </conditionalFormatting>
  <conditionalFormatting sqref="P236:AA236">
    <cfRule type="expression" dxfId="7153" priority="510">
      <formula>P$1=""</formula>
    </cfRule>
  </conditionalFormatting>
  <conditionalFormatting sqref="P236:AA236">
    <cfRule type="expression" dxfId="7152" priority="509">
      <formula>P$1=""</formula>
    </cfRule>
  </conditionalFormatting>
  <conditionalFormatting sqref="P236:AA236">
    <cfRule type="expression" dxfId="7151" priority="508">
      <formula>P$1=""</formula>
    </cfRule>
  </conditionalFormatting>
  <conditionalFormatting sqref="P236:AA236">
    <cfRule type="expression" dxfId="7150" priority="507">
      <formula>P$1=""</formula>
    </cfRule>
  </conditionalFormatting>
  <conditionalFormatting sqref="P236:AA236">
    <cfRule type="expression" dxfId="7149" priority="506">
      <formula>P$1=""</formula>
    </cfRule>
  </conditionalFormatting>
  <conditionalFormatting sqref="P238:AA238 P240:AA240 P242:AA242">
    <cfRule type="expression" dxfId="7148" priority="505">
      <formula>P$1=""</formula>
    </cfRule>
  </conditionalFormatting>
  <conditionalFormatting sqref="P238:AA238 P240:AA240 P242:AA242">
    <cfRule type="expression" dxfId="7147" priority="504">
      <formula>P$1=""</formula>
    </cfRule>
  </conditionalFormatting>
  <conditionalFormatting sqref="P238:AA238 P240:AA240 P242:AA242">
    <cfRule type="expression" dxfId="7146" priority="503">
      <formula>P$1=""</formula>
    </cfRule>
  </conditionalFormatting>
  <conditionalFormatting sqref="P238:AA238 P240:AA240 P242:AA242">
    <cfRule type="expression" dxfId="7145" priority="502">
      <formula>P$1=""</formula>
    </cfRule>
  </conditionalFormatting>
  <conditionalFormatting sqref="P238:AA238 P240:AA240 P242:AA242">
    <cfRule type="expression" dxfId="7144" priority="501">
      <formula>P$1=""</formula>
    </cfRule>
  </conditionalFormatting>
  <conditionalFormatting sqref="P238:AA238 P240:AA240 P242:AA242">
    <cfRule type="expression" dxfId="7143" priority="500">
      <formula>P$1=""</formula>
    </cfRule>
  </conditionalFormatting>
  <conditionalFormatting sqref="P238:AA238 P240:AA240 P242:AA242">
    <cfRule type="expression" dxfId="7142" priority="499">
      <formula>P$1=""</formula>
    </cfRule>
  </conditionalFormatting>
  <conditionalFormatting sqref="P238:AA238 P240:AA240 P242:AA242">
    <cfRule type="expression" dxfId="7141" priority="498">
      <formula>P$1=""</formula>
    </cfRule>
  </conditionalFormatting>
  <conditionalFormatting sqref="P238:AA238">
    <cfRule type="expression" dxfId="7140" priority="497">
      <formula>P$1=""</formula>
    </cfRule>
  </conditionalFormatting>
  <conditionalFormatting sqref="P238:AA238 P240:AA240 P242:AA242">
    <cfRule type="expression" dxfId="7139" priority="496">
      <formula>P$1=""</formula>
    </cfRule>
  </conditionalFormatting>
  <conditionalFormatting sqref="P238:AA238 P240:AA240 P242:AA242">
    <cfRule type="expression" dxfId="7138" priority="495">
      <formula>P$1=""</formula>
    </cfRule>
  </conditionalFormatting>
  <conditionalFormatting sqref="P238:AA238 P240:AA240 P242:AA242">
    <cfRule type="expression" dxfId="7137" priority="494">
      <formula>P$1=""</formula>
    </cfRule>
  </conditionalFormatting>
  <conditionalFormatting sqref="P238:AA238 P240:AA240 P242:AA242">
    <cfRule type="expression" dxfId="7136" priority="493">
      <formula>P$1=""</formula>
    </cfRule>
  </conditionalFormatting>
  <conditionalFormatting sqref="P238:AA238 P240:AA240 P242:AA242">
    <cfRule type="expression" dxfId="7135" priority="492">
      <formula>P$1=""</formula>
    </cfRule>
  </conditionalFormatting>
  <conditionalFormatting sqref="P238:AA238">
    <cfRule type="expression" dxfId="7134" priority="491">
      <formula>P$1=""</formula>
    </cfRule>
  </conditionalFormatting>
  <conditionalFormatting sqref="P238:AA238 P240:AA240 P242:AA242">
    <cfRule type="expression" dxfId="7133" priority="490">
      <formula>P$1=""</formula>
    </cfRule>
  </conditionalFormatting>
  <conditionalFormatting sqref="P238:AA238 P240:AA240 P242:AA242">
    <cfRule type="expression" dxfId="7132" priority="489">
      <formula>P$1=""</formula>
    </cfRule>
  </conditionalFormatting>
  <conditionalFormatting sqref="P238:AA238 P240:AA240 P242:AA242">
    <cfRule type="expression" dxfId="7131" priority="488">
      <formula>P$1=""</formula>
    </cfRule>
  </conditionalFormatting>
  <conditionalFormatting sqref="P238:AA238 P240:AA240 P242:AA242">
    <cfRule type="expression" dxfId="7130" priority="487">
      <formula>P$1=""</formula>
    </cfRule>
  </conditionalFormatting>
  <conditionalFormatting sqref="P238:AA238 P240:AA240 P242:AA242">
    <cfRule type="expression" dxfId="7129" priority="486">
      <formula>P$1=""</formula>
    </cfRule>
  </conditionalFormatting>
  <conditionalFormatting sqref="P238:AA238 P240:AA240 P242:AA242">
    <cfRule type="expression" dxfId="7128" priority="485">
      <formula>P$1=""</formula>
    </cfRule>
  </conditionalFormatting>
  <conditionalFormatting sqref="P238:AA238 P240:AA240 P242:AA242">
    <cfRule type="expression" dxfId="7127" priority="484">
      <formula>P$1=""</formula>
    </cfRule>
  </conditionalFormatting>
  <conditionalFormatting sqref="P238:AA238 P240:AA240 P242:AA242">
    <cfRule type="expression" dxfId="7126" priority="483">
      <formula>P$1=""</formula>
    </cfRule>
  </conditionalFormatting>
  <conditionalFormatting sqref="P242:AA242 P240:AA240">
    <cfRule type="expression" dxfId="7125" priority="482">
      <formula>P$1=""</formula>
    </cfRule>
  </conditionalFormatting>
  <conditionalFormatting sqref="P242:AA242 P240:AA240">
    <cfRule type="expression" dxfId="7124" priority="481">
      <formula>P$1=""</formula>
    </cfRule>
  </conditionalFormatting>
  <conditionalFormatting sqref="Q242:AA242 Q240:AA240">
    <cfRule type="expression" dxfId="7123" priority="480">
      <formula>Q$1=""</formula>
    </cfRule>
  </conditionalFormatting>
  <conditionalFormatting sqref="Q242:AA242 Q240:AA240">
    <cfRule type="expression" dxfId="7122" priority="479">
      <formula>Q$1=""</formula>
    </cfRule>
  </conditionalFormatting>
  <conditionalFormatting sqref="Q242:AA242 Q240:AA240">
    <cfRule type="expression" dxfId="7121" priority="478">
      <formula>Q$1=""</formula>
    </cfRule>
  </conditionalFormatting>
  <conditionalFormatting sqref="Q242:AA242 Q240:AA240">
    <cfRule type="expression" dxfId="7120" priority="477">
      <formula>Q$1=""</formula>
    </cfRule>
  </conditionalFormatting>
  <conditionalFormatting sqref="Q242:AA242 Q240:AA240">
    <cfRule type="expression" dxfId="7119" priority="476">
      <formula>Q$1=""</formula>
    </cfRule>
  </conditionalFormatting>
  <conditionalFormatting sqref="Q242:AA242 Q240:AA240">
    <cfRule type="expression" dxfId="7118" priority="475">
      <formula>Q$1=""</formula>
    </cfRule>
  </conditionalFormatting>
  <conditionalFormatting sqref="Q242:AA242 Q240:AA240">
    <cfRule type="expression" dxfId="7117" priority="474">
      <formula>Q$1=""</formula>
    </cfRule>
  </conditionalFormatting>
  <conditionalFormatting sqref="Q242:AA242 Q240:AA240">
    <cfRule type="expression" dxfId="7116" priority="473">
      <formula>Q$1=""</formula>
    </cfRule>
  </conditionalFormatting>
  <conditionalFormatting sqref="P242:AA242 P240:AA240">
    <cfRule type="expression" dxfId="7115" priority="472">
      <formula>P$1=""</formula>
    </cfRule>
  </conditionalFormatting>
  <conditionalFormatting sqref="P242:AA242 P240:AA240">
    <cfRule type="expression" dxfId="7114" priority="471">
      <formula>P$1=""</formula>
    </cfRule>
  </conditionalFormatting>
  <conditionalFormatting sqref="P196:AA196">
    <cfRule type="expression" dxfId="7113" priority="470">
      <formula>P$1=""</formula>
    </cfRule>
  </conditionalFormatting>
  <conditionalFormatting sqref="P198:AA198">
    <cfRule type="expression" dxfId="7112" priority="469">
      <formula>P$1=""</formula>
    </cfRule>
  </conditionalFormatting>
  <conditionalFormatting sqref="P200:AA200">
    <cfRule type="expression" dxfId="7111" priority="468">
      <formula>P$1=""</formula>
    </cfRule>
  </conditionalFormatting>
  <conditionalFormatting sqref="P202:AA202">
    <cfRule type="expression" dxfId="7110" priority="467">
      <formula>P$1=""</formula>
    </cfRule>
  </conditionalFormatting>
  <conditionalFormatting sqref="P198:AA198 P200:AA200 P202:AA202">
    <cfRule type="expression" dxfId="7109" priority="466">
      <formula>P$1=""</formula>
    </cfRule>
  </conditionalFormatting>
  <conditionalFormatting sqref="P198:AA198 P200:AA200 P202:AA202">
    <cfRule type="expression" dxfId="7108" priority="465">
      <formula>P$1=""</formula>
    </cfRule>
  </conditionalFormatting>
  <conditionalFormatting sqref="P198:AA198 P200:AA200 P202:AA202">
    <cfRule type="expression" dxfId="7107" priority="464">
      <formula>P$1=""</formula>
    </cfRule>
  </conditionalFormatting>
  <conditionalFormatting sqref="P198:AA198 P200:AA200 P202:AA202">
    <cfRule type="expression" dxfId="7106" priority="463">
      <formula>P$1=""</formula>
    </cfRule>
  </conditionalFormatting>
  <conditionalFormatting sqref="P198:AA198 P200:AA200 P202:AA202">
    <cfRule type="expression" dxfId="7105" priority="462">
      <formula>P$1=""</formula>
    </cfRule>
  </conditionalFormatting>
  <conditionalFormatting sqref="P200:AA200 P202:AA202">
    <cfRule type="expression" dxfId="7104" priority="461">
      <formula>P$1=""</formula>
    </cfRule>
  </conditionalFormatting>
  <conditionalFormatting sqref="P198:AA198">
    <cfRule type="expression" dxfId="7103" priority="460">
      <formula>P$1=""</formula>
    </cfRule>
  </conditionalFormatting>
  <conditionalFormatting sqref="P200:AA200 P202:AA202">
    <cfRule type="expression" dxfId="7102" priority="459">
      <formula>P$1=""</formula>
    </cfRule>
  </conditionalFormatting>
  <conditionalFormatting sqref="P200:AA200 P202:AA202">
    <cfRule type="expression" dxfId="7101" priority="458">
      <formula>P$1=""</formula>
    </cfRule>
  </conditionalFormatting>
  <conditionalFormatting sqref="P202:AA202">
    <cfRule type="expression" dxfId="7100" priority="457">
      <formula>P$1=""</formula>
    </cfRule>
  </conditionalFormatting>
  <conditionalFormatting sqref="P202:AA202">
    <cfRule type="expression" dxfId="7099" priority="456">
      <formula>P$1=""</formula>
    </cfRule>
  </conditionalFormatting>
  <conditionalFormatting sqref="P202:AA202">
    <cfRule type="expression" dxfId="7098" priority="455">
      <formula>P$1=""</formula>
    </cfRule>
  </conditionalFormatting>
  <conditionalFormatting sqref="P202:AA202">
    <cfRule type="expression" dxfId="7097" priority="454">
      <formula>P$1=""</formula>
    </cfRule>
  </conditionalFormatting>
  <conditionalFormatting sqref="P196:AA196">
    <cfRule type="expression" dxfId="7096" priority="453">
      <formula>P$1=""</formula>
    </cfRule>
  </conditionalFormatting>
  <conditionalFormatting sqref="P196:AA196">
    <cfRule type="expression" dxfId="7095" priority="452">
      <formula>P$1=""</formula>
    </cfRule>
  </conditionalFormatting>
  <conditionalFormatting sqref="P196:AA196">
    <cfRule type="expression" dxfId="7094" priority="451">
      <formula>P$1=""</formula>
    </cfRule>
  </conditionalFormatting>
  <conditionalFormatting sqref="P196:AA196">
    <cfRule type="expression" dxfId="7093" priority="450">
      <formula>P$1=""</formula>
    </cfRule>
  </conditionalFormatting>
  <conditionalFormatting sqref="P196:AA196">
    <cfRule type="expression" dxfId="7092" priority="449">
      <formula>P$1=""</formula>
    </cfRule>
  </conditionalFormatting>
  <conditionalFormatting sqref="P196:AA196">
    <cfRule type="expression" dxfId="7091" priority="448">
      <formula>P$1=""</formula>
    </cfRule>
  </conditionalFormatting>
  <conditionalFormatting sqref="P196:AA196">
    <cfRule type="expression" dxfId="7090" priority="447">
      <formula>P$1=""</formula>
    </cfRule>
  </conditionalFormatting>
  <conditionalFormatting sqref="P200:AA200 P202:AA202">
    <cfRule type="expression" dxfId="7089" priority="446">
      <formula>P$1=""</formula>
    </cfRule>
  </conditionalFormatting>
  <conditionalFormatting sqref="P200:AA200 P202:AA202">
    <cfRule type="expression" dxfId="7088" priority="445">
      <formula>P$1=""</formula>
    </cfRule>
  </conditionalFormatting>
  <conditionalFormatting sqref="P200:AA200 P202:AA202">
    <cfRule type="expression" dxfId="7087" priority="444">
      <formula>P$1=""</formula>
    </cfRule>
  </conditionalFormatting>
  <conditionalFormatting sqref="P200:AA200 P202:AA202">
    <cfRule type="expression" dxfId="7086" priority="443">
      <formula>P$1=""</formula>
    </cfRule>
  </conditionalFormatting>
  <conditionalFormatting sqref="P198:AA198 P200:AA200 P202:AA202">
    <cfRule type="expression" dxfId="7085" priority="442">
      <formula>P$1=""</formula>
    </cfRule>
  </conditionalFormatting>
  <conditionalFormatting sqref="P198:AA198 P200:AA200 P202:AA202">
    <cfRule type="expression" dxfId="7084" priority="441">
      <formula>P$1=""</formula>
    </cfRule>
  </conditionalFormatting>
  <conditionalFormatting sqref="P198:AA198 P200:AA200 P202:AA202">
    <cfRule type="expression" dxfId="7083" priority="440">
      <formula>P$1=""</formula>
    </cfRule>
  </conditionalFormatting>
  <conditionalFormatting sqref="P198:AA198 P200:AA200 P202:AA202">
    <cfRule type="expression" dxfId="7082" priority="439">
      <formula>P$1=""</formula>
    </cfRule>
  </conditionalFormatting>
  <conditionalFormatting sqref="P198:AA198 P200:AA200 P202:AA202">
    <cfRule type="expression" dxfId="7081" priority="438">
      <formula>P$1=""</formula>
    </cfRule>
  </conditionalFormatting>
  <conditionalFormatting sqref="P198:AA198 P200:AA200 P202:AA202">
    <cfRule type="expression" dxfId="7080" priority="437">
      <formula>P$1=""</formula>
    </cfRule>
  </conditionalFormatting>
  <conditionalFormatting sqref="P198:AA198 P200:AA200 P202:AA202">
    <cfRule type="expression" dxfId="7079" priority="436">
      <formula>P$1=""</formula>
    </cfRule>
  </conditionalFormatting>
  <conditionalFormatting sqref="P198:AA198 P200:AA200 P202:AA202">
    <cfRule type="expression" dxfId="7078" priority="435">
      <formula>P$1=""</formula>
    </cfRule>
  </conditionalFormatting>
  <conditionalFormatting sqref="Q198:AA198">
    <cfRule type="expression" dxfId="7077" priority="434">
      <formula>Q$1=""</formula>
    </cfRule>
  </conditionalFormatting>
  <conditionalFormatting sqref="Q198:AA198">
    <cfRule type="expression" dxfId="7076" priority="433">
      <formula>Q$1=""</formula>
    </cfRule>
  </conditionalFormatting>
  <conditionalFormatting sqref="Q198:AA198">
    <cfRule type="expression" dxfId="7075" priority="432">
      <formula>Q$1=""</formula>
    </cfRule>
  </conditionalFormatting>
  <conditionalFormatting sqref="Q198:AA198">
    <cfRule type="expression" dxfId="7074" priority="431">
      <formula>Q$1=""</formula>
    </cfRule>
  </conditionalFormatting>
  <conditionalFormatting sqref="Q198:AA198">
    <cfRule type="expression" dxfId="7073" priority="430">
      <formula>Q$1=""</formula>
    </cfRule>
  </conditionalFormatting>
  <conditionalFormatting sqref="Q198:AA198">
    <cfRule type="expression" dxfId="7072" priority="429">
      <formula>Q$1=""</formula>
    </cfRule>
  </conditionalFormatting>
  <conditionalFormatting sqref="Q198:AA198">
    <cfRule type="expression" dxfId="7071" priority="428">
      <formula>Q$1=""</formula>
    </cfRule>
  </conditionalFormatting>
  <conditionalFormatting sqref="Q198:AA198">
    <cfRule type="expression" dxfId="7070" priority="427">
      <formula>Q$1=""</formula>
    </cfRule>
  </conditionalFormatting>
  <conditionalFormatting sqref="Q200:AA200 Q202:AA202">
    <cfRule type="expression" dxfId="7069" priority="426">
      <formula>Q$1=""</formula>
    </cfRule>
  </conditionalFormatting>
  <conditionalFormatting sqref="Q200:AA200 Q202:AA202">
    <cfRule type="expression" dxfId="7068" priority="425">
      <formula>Q$1=""</formula>
    </cfRule>
  </conditionalFormatting>
  <conditionalFormatting sqref="Q200:AA200 Q202:AA202">
    <cfRule type="expression" dxfId="7067" priority="424">
      <formula>Q$1=""</formula>
    </cfRule>
  </conditionalFormatting>
  <conditionalFormatting sqref="Q200:AA200 Q202:AA202">
    <cfRule type="expression" dxfId="7066" priority="423">
      <formula>Q$1=""</formula>
    </cfRule>
  </conditionalFormatting>
  <conditionalFormatting sqref="Q200:AA200 Q202:AA202">
    <cfRule type="expression" dxfId="7065" priority="422">
      <formula>Q$1=""</formula>
    </cfRule>
  </conditionalFormatting>
  <conditionalFormatting sqref="Q200:AA200 Q202:AA202">
    <cfRule type="expression" dxfId="7064" priority="421">
      <formula>Q$1=""</formula>
    </cfRule>
  </conditionalFormatting>
  <conditionalFormatting sqref="Q200:AA200 Q202:AA202">
    <cfRule type="expression" dxfId="7063" priority="420">
      <formula>Q$1=""</formula>
    </cfRule>
  </conditionalFormatting>
  <conditionalFormatting sqref="Q200:AA200 Q202:AA202">
    <cfRule type="expression" dxfId="7062" priority="419">
      <formula>Q$1=""</formula>
    </cfRule>
  </conditionalFormatting>
  <conditionalFormatting sqref="Q200:AA200 Q202:AA202">
    <cfRule type="expression" dxfId="7061" priority="418">
      <formula>Q$1=""</formula>
    </cfRule>
  </conditionalFormatting>
  <conditionalFormatting sqref="Q200:AA200 Q202:AA202">
    <cfRule type="expression" dxfId="7060" priority="417">
      <formula>Q$1=""</formula>
    </cfRule>
  </conditionalFormatting>
  <conditionalFormatting sqref="P196:AA196 P200:AA200 P202:AA202">
    <cfRule type="expression" dxfId="7059" priority="416">
      <formula>P$1=""</formula>
    </cfRule>
  </conditionalFormatting>
  <conditionalFormatting sqref="P196:AA196">
    <cfRule type="expression" dxfId="7058" priority="415">
      <formula>P$1=""</formula>
    </cfRule>
  </conditionalFormatting>
  <conditionalFormatting sqref="P196:AA196">
    <cfRule type="expression" dxfId="7057" priority="414">
      <formula>P$1=""</formula>
    </cfRule>
  </conditionalFormatting>
  <conditionalFormatting sqref="P196:AA196">
    <cfRule type="expression" dxfId="7056" priority="413">
      <formula>P$1=""</formula>
    </cfRule>
  </conditionalFormatting>
  <conditionalFormatting sqref="P196:AA196">
    <cfRule type="expression" dxfId="7055" priority="412">
      <formula>P$1=""</formula>
    </cfRule>
  </conditionalFormatting>
  <conditionalFormatting sqref="P196:AA196">
    <cfRule type="expression" dxfId="7054" priority="411">
      <formula>P$1=""</formula>
    </cfRule>
  </conditionalFormatting>
  <conditionalFormatting sqref="P196:AA196 P200:AA200 P202:AA202">
    <cfRule type="expression" dxfId="7053" priority="410">
      <formula>P$1=""</formula>
    </cfRule>
  </conditionalFormatting>
  <conditionalFormatting sqref="P196:AA196">
    <cfRule type="expression" dxfId="7052" priority="409">
      <formula>P$1=""</formula>
    </cfRule>
  </conditionalFormatting>
  <conditionalFormatting sqref="P196:AA196">
    <cfRule type="expression" dxfId="7051" priority="408">
      <formula>P$1=""</formula>
    </cfRule>
  </conditionalFormatting>
  <conditionalFormatting sqref="P196:AA196">
    <cfRule type="expression" dxfId="7050" priority="407">
      <formula>P$1=""</formula>
    </cfRule>
  </conditionalFormatting>
  <conditionalFormatting sqref="P196:AA196">
    <cfRule type="expression" dxfId="7049" priority="406">
      <formula>P$1=""</formula>
    </cfRule>
  </conditionalFormatting>
  <conditionalFormatting sqref="P196:AA196">
    <cfRule type="expression" dxfId="7048" priority="405">
      <formula>P$1=""</formula>
    </cfRule>
  </conditionalFormatting>
  <conditionalFormatting sqref="P196:AA196">
    <cfRule type="expression" dxfId="7047" priority="404">
      <formula>P$1=""</formula>
    </cfRule>
  </conditionalFormatting>
  <conditionalFormatting sqref="P196:AA196">
    <cfRule type="expression" dxfId="7046" priority="403">
      <formula>P$1=""</formula>
    </cfRule>
  </conditionalFormatting>
  <conditionalFormatting sqref="P196:AA196">
    <cfRule type="expression" dxfId="7045" priority="402">
      <formula>P$1=""</formula>
    </cfRule>
  </conditionalFormatting>
  <conditionalFormatting sqref="P198:AA198 P200:AA200 P202:AA202">
    <cfRule type="expression" dxfId="7044" priority="401">
      <formula>P$1=""</formula>
    </cfRule>
  </conditionalFormatting>
  <conditionalFormatting sqref="P198:AA198 P200:AA200 P202:AA202">
    <cfRule type="expression" dxfId="7043" priority="400">
      <formula>P$1=""</formula>
    </cfRule>
  </conditionalFormatting>
  <conditionalFormatting sqref="P198:AA198 P200:AA200 P202:AA202">
    <cfRule type="expression" dxfId="7042" priority="399">
      <formula>P$1=""</formula>
    </cfRule>
  </conditionalFormatting>
  <conditionalFormatting sqref="P198:AA198 P200:AA200 P202:AA202">
    <cfRule type="expression" dxfId="7041" priority="398">
      <formula>P$1=""</formula>
    </cfRule>
  </conditionalFormatting>
  <conditionalFormatting sqref="P198:AA198 P200:AA200 P202:AA202">
    <cfRule type="expression" dxfId="7040" priority="397">
      <formula>P$1=""</formula>
    </cfRule>
  </conditionalFormatting>
  <conditionalFormatting sqref="P198:AA198 P200:AA200 P202:AA202">
    <cfRule type="expression" dxfId="7039" priority="396">
      <formula>P$1=""</formula>
    </cfRule>
  </conditionalFormatting>
  <conditionalFormatting sqref="P198:AA198 P200:AA200 P202:AA202">
    <cfRule type="expression" dxfId="7038" priority="395">
      <formula>P$1=""</formula>
    </cfRule>
  </conditionalFormatting>
  <conditionalFormatting sqref="P198:AA198 P200:AA200 P202:AA202">
    <cfRule type="expression" dxfId="7037" priority="394">
      <formula>P$1=""</formula>
    </cfRule>
  </conditionalFormatting>
  <conditionalFormatting sqref="P198:AA198">
    <cfRule type="expression" dxfId="7036" priority="393">
      <formula>P$1=""</formula>
    </cfRule>
  </conditionalFormatting>
  <conditionalFormatting sqref="P198:AA198 P200:AA200 P202:AA202">
    <cfRule type="expression" dxfId="7035" priority="392">
      <formula>P$1=""</formula>
    </cfRule>
  </conditionalFormatting>
  <conditionalFormatting sqref="P198:AA198 P200:AA200 P202:AA202">
    <cfRule type="expression" dxfId="7034" priority="391">
      <formula>P$1=""</formula>
    </cfRule>
  </conditionalFormatting>
  <conditionalFormatting sqref="P198:AA198 P200:AA200 P202:AA202">
    <cfRule type="expression" dxfId="7033" priority="390">
      <formula>P$1=""</formula>
    </cfRule>
  </conditionalFormatting>
  <conditionalFormatting sqref="P198:AA198 P200:AA200 P202:AA202">
    <cfRule type="expression" dxfId="7032" priority="389">
      <formula>P$1=""</formula>
    </cfRule>
  </conditionalFormatting>
  <conditionalFormatting sqref="P198:AA198 P200:AA200 P202:AA202">
    <cfRule type="expression" dxfId="7031" priority="388">
      <formula>P$1=""</formula>
    </cfRule>
  </conditionalFormatting>
  <conditionalFormatting sqref="P198:AA198">
    <cfRule type="expression" dxfId="7030" priority="387">
      <formula>P$1=""</formula>
    </cfRule>
  </conditionalFormatting>
  <conditionalFormatting sqref="P198:AA198 P200:AA200 P202:AA202">
    <cfRule type="expression" dxfId="7029" priority="386">
      <formula>P$1=""</formula>
    </cfRule>
  </conditionalFormatting>
  <conditionalFormatting sqref="P198:AA198 P200:AA200 P202:AA202">
    <cfRule type="expression" dxfId="7028" priority="385">
      <formula>P$1=""</formula>
    </cfRule>
  </conditionalFormatting>
  <conditionalFormatting sqref="P198:AA198 P200:AA200 P202:AA202">
    <cfRule type="expression" dxfId="7027" priority="384">
      <formula>P$1=""</formula>
    </cfRule>
  </conditionalFormatting>
  <conditionalFormatting sqref="P198:AA198 P200:AA200 P202:AA202">
    <cfRule type="expression" dxfId="7026" priority="383">
      <formula>P$1=""</formula>
    </cfRule>
  </conditionalFormatting>
  <conditionalFormatting sqref="P198:AA198 P200:AA200 P202:AA202">
    <cfRule type="expression" dxfId="7025" priority="382">
      <formula>P$1=""</formula>
    </cfRule>
  </conditionalFormatting>
  <conditionalFormatting sqref="P198:AA198 P200:AA200 P202:AA202">
    <cfRule type="expression" dxfId="7024" priority="381">
      <formula>P$1=""</formula>
    </cfRule>
  </conditionalFormatting>
  <conditionalFormatting sqref="P198:AA198 P200:AA200 P202:AA202">
    <cfRule type="expression" dxfId="7023" priority="380">
      <formula>P$1=""</formula>
    </cfRule>
  </conditionalFormatting>
  <conditionalFormatting sqref="P198:AA198 P200:AA200 P202:AA202">
    <cfRule type="expression" dxfId="7022" priority="379">
      <formula>P$1=""</formula>
    </cfRule>
  </conditionalFormatting>
  <conditionalFormatting sqref="P202:AA202 P200:AA200">
    <cfRule type="expression" dxfId="7021" priority="378">
      <formula>P$1=""</formula>
    </cfRule>
  </conditionalFormatting>
  <conditionalFormatting sqref="P202:AA202 P200:AA200">
    <cfRule type="expression" dxfId="7020" priority="377">
      <formula>P$1=""</formula>
    </cfRule>
  </conditionalFormatting>
  <conditionalFormatting sqref="Q202:AA202 Q200:AA200">
    <cfRule type="expression" dxfId="7019" priority="376">
      <formula>Q$1=""</formula>
    </cfRule>
  </conditionalFormatting>
  <conditionalFormatting sqref="Q202:AA202 Q200:AA200">
    <cfRule type="expression" dxfId="7018" priority="375">
      <formula>Q$1=""</formula>
    </cfRule>
  </conditionalFormatting>
  <conditionalFormatting sqref="Q202:AA202 Q200:AA200">
    <cfRule type="expression" dxfId="7017" priority="374">
      <formula>Q$1=""</formula>
    </cfRule>
  </conditionalFormatting>
  <conditionalFormatting sqref="Q202:AA202 Q200:AA200">
    <cfRule type="expression" dxfId="7016" priority="373">
      <formula>Q$1=""</formula>
    </cfRule>
  </conditionalFormatting>
  <conditionalFormatting sqref="Q202:AA202 Q200:AA200">
    <cfRule type="expression" dxfId="7015" priority="372">
      <formula>Q$1=""</formula>
    </cfRule>
  </conditionalFormatting>
  <conditionalFormatting sqref="Q202:AA202 Q200:AA200">
    <cfRule type="expression" dxfId="7014" priority="371">
      <formula>Q$1=""</formula>
    </cfRule>
  </conditionalFormatting>
  <conditionalFormatting sqref="Q202:AA202 Q200:AA200">
    <cfRule type="expression" dxfId="7013" priority="370">
      <formula>Q$1=""</formula>
    </cfRule>
  </conditionalFormatting>
  <conditionalFormatting sqref="Q202:AA202 Q200:AA200">
    <cfRule type="expression" dxfId="7012" priority="369">
      <formula>Q$1=""</formula>
    </cfRule>
  </conditionalFormatting>
  <conditionalFormatting sqref="P202:AA202 P200:AA200">
    <cfRule type="expression" dxfId="7011" priority="368">
      <formula>P$1=""</formula>
    </cfRule>
  </conditionalFormatting>
  <conditionalFormatting sqref="P202:AA202 P200:AA200">
    <cfRule type="expression" dxfId="7010" priority="367">
      <formula>P$1=""</formula>
    </cfRule>
  </conditionalFormatting>
  <conditionalFormatting sqref="P202:AA202 P200:AA200 P198:AA198">
    <cfRule type="expression" dxfId="7009" priority="366">
      <formula>P$1=""</formula>
    </cfRule>
  </conditionalFormatting>
  <conditionalFormatting sqref="P202:AA202 P200:AA200 P198:AA198">
    <cfRule type="expression" dxfId="7008" priority="365">
      <formula>P$1=""</formula>
    </cfRule>
  </conditionalFormatting>
  <conditionalFormatting sqref="P202:AA202 P200:AA200 P198:AA198">
    <cfRule type="expression" dxfId="7007" priority="364">
      <formula>P$1=""</formula>
    </cfRule>
  </conditionalFormatting>
  <conditionalFormatting sqref="P202:AA202 P200:AA200 P198:AA198">
    <cfRule type="expression" dxfId="7006" priority="363">
      <formula>P$1=""</formula>
    </cfRule>
  </conditionalFormatting>
  <conditionalFormatting sqref="P202:AA202 P200:AA200 P198:AA198">
    <cfRule type="expression" dxfId="7005" priority="362">
      <formula>P$1=""</formula>
    </cfRule>
  </conditionalFormatting>
  <conditionalFormatting sqref="P202:AA202 P200:AA200 P198:AA198">
    <cfRule type="expression" dxfId="7004" priority="361">
      <formula>P$1=""</formula>
    </cfRule>
  </conditionalFormatting>
  <conditionalFormatting sqref="P202:AA202 P200:AA200 P198:AA198">
    <cfRule type="expression" dxfId="7003" priority="360">
      <formula>P$1=""</formula>
    </cfRule>
  </conditionalFormatting>
  <conditionalFormatting sqref="P202:AA202 P200:AA200 P198:AA198">
    <cfRule type="expression" dxfId="7002" priority="359">
      <formula>P$1=""</formula>
    </cfRule>
  </conditionalFormatting>
  <conditionalFormatting sqref="P198:AA198">
    <cfRule type="expression" dxfId="7001" priority="358">
      <formula>P$1=""</formula>
    </cfRule>
  </conditionalFormatting>
  <conditionalFormatting sqref="P202:AA202 P200:AA200 P198:AA198">
    <cfRule type="expression" dxfId="7000" priority="357">
      <formula>P$1=""</formula>
    </cfRule>
  </conditionalFormatting>
  <conditionalFormatting sqref="P202:AA202 P200:AA200 P198:AA198">
    <cfRule type="expression" dxfId="6999" priority="356">
      <formula>P$1=""</formula>
    </cfRule>
  </conditionalFormatting>
  <conditionalFormatting sqref="P202:AA202 P200:AA200 P198:AA198">
    <cfRule type="expression" dxfId="6998" priority="355">
      <formula>P$1=""</formula>
    </cfRule>
  </conditionalFormatting>
  <conditionalFormatting sqref="P202:AA202 P200:AA200 P198:AA198">
    <cfRule type="expression" dxfId="6997" priority="354">
      <formula>P$1=""</formula>
    </cfRule>
  </conditionalFormatting>
  <conditionalFormatting sqref="P202:AA202 P200:AA200 P198:AA198">
    <cfRule type="expression" dxfId="6996" priority="353">
      <formula>P$1=""</formula>
    </cfRule>
  </conditionalFormatting>
  <conditionalFormatting sqref="P198:AA198">
    <cfRule type="expression" dxfId="6995" priority="352">
      <formula>P$1=""</formula>
    </cfRule>
  </conditionalFormatting>
  <conditionalFormatting sqref="P202:AA202 P200:AA200 P198:AA198">
    <cfRule type="expression" dxfId="6994" priority="351">
      <formula>P$1=""</formula>
    </cfRule>
  </conditionalFormatting>
  <conditionalFormatting sqref="P202:AA202 P200:AA200 P198:AA198">
    <cfRule type="expression" dxfId="6993" priority="350">
      <formula>P$1=""</formula>
    </cfRule>
  </conditionalFormatting>
  <conditionalFormatting sqref="P202:AA202 P200:AA200 P198:AA198">
    <cfRule type="expression" dxfId="6992" priority="349">
      <formula>P$1=""</formula>
    </cfRule>
  </conditionalFormatting>
  <conditionalFormatting sqref="P202:AA202 P200:AA200 P198:AA198">
    <cfRule type="expression" dxfId="6991" priority="348">
      <formula>P$1=""</formula>
    </cfRule>
  </conditionalFormatting>
  <conditionalFormatting sqref="P202:AA202 P200:AA200 P198:AA198">
    <cfRule type="expression" dxfId="6990" priority="347">
      <formula>P$1=""</formula>
    </cfRule>
  </conditionalFormatting>
  <conditionalFormatting sqref="P202:AA202 P200:AA200 P198:AA198">
    <cfRule type="expression" dxfId="6989" priority="346">
      <formula>P$1=""</formula>
    </cfRule>
  </conditionalFormatting>
  <conditionalFormatting sqref="P202:AA202 P200:AA200 P198:AA198">
    <cfRule type="expression" dxfId="6988" priority="345">
      <formula>P$1=""</formula>
    </cfRule>
  </conditionalFormatting>
  <conditionalFormatting sqref="P202:AA202 P200:AA200 P198:AA198">
    <cfRule type="expression" dxfId="6987" priority="344">
      <formula>P$1=""</formula>
    </cfRule>
  </conditionalFormatting>
  <conditionalFormatting sqref="P216:AA216">
    <cfRule type="expression" dxfId="6986" priority="343">
      <formula>P$1=""</formula>
    </cfRule>
  </conditionalFormatting>
  <conditionalFormatting sqref="P218:AA218">
    <cfRule type="expression" dxfId="6985" priority="342">
      <formula>P$1=""</formula>
    </cfRule>
  </conditionalFormatting>
  <conditionalFormatting sqref="P220:AA220">
    <cfRule type="expression" dxfId="6984" priority="341">
      <formula>P$1=""</formula>
    </cfRule>
  </conditionalFormatting>
  <conditionalFormatting sqref="P222:AA222">
    <cfRule type="expression" dxfId="6983" priority="340">
      <formula>P$1=""</formula>
    </cfRule>
  </conditionalFormatting>
  <conditionalFormatting sqref="P218:AA218 P220:AA220 P222:AA222">
    <cfRule type="expression" dxfId="6982" priority="339">
      <formula>P$1=""</formula>
    </cfRule>
  </conditionalFormatting>
  <conditionalFormatting sqref="P218:AA218 P220:AA220 P222:AA222">
    <cfRule type="expression" dxfId="6981" priority="338">
      <formula>P$1=""</formula>
    </cfRule>
  </conditionalFormatting>
  <conditionalFormatting sqref="P218:AA218 P220:AA220 P222:AA222">
    <cfRule type="expression" dxfId="6980" priority="337">
      <formula>P$1=""</formula>
    </cfRule>
  </conditionalFormatting>
  <conditionalFormatting sqref="P218:AA218 P220:AA220 P222:AA222">
    <cfRule type="expression" dxfId="6979" priority="336">
      <formula>P$1=""</formula>
    </cfRule>
  </conditionalFormatting>
  <conditionalFormatting sqref="P218:AA218 P220:AA220 P222:AA222">
    <cfRule type="expression" dxfId="6978" priority="335">
      <formula>P$1=""</formula>
    </cfRule>
  </conditionalFormatting>
  <conditionalFormatting sqref="P220:AA220 P222:AA222">
    <cfRule type="expression" dxfId="6977" priority="334">
      <formula>P$1=""</formula>
    </cfRule>
  </conditionalFormatting>
  <conditionalFormatting sqref="P218:AA218">
    <cfRule type="expression" dxfId="6976" priority="333">
      <formula>P$1=""</formula>
    </cfRule>
  </conditionalFormatting>
  <conditionalFormatting sqref="P220:AA220 P222:AA222">
    <cfRule type="expression" dxfId="6975" priority="332">
      <formula>P$1=""</formula>
    </cfRule>
  </conditionalFormatting>
  <conditionalFormatting sqref="P220:AA220 P222:AA222">
    <cfRule type="expression" dxfId="6974" priority="331">
      <formula>P$1=""</formula>
    </cfRule>
  </conditionalFormatting>
  <conditionalFormatting sqref="P222:AA222">
    <cfRule type="expression" dxfId="6973" priority="330">
      <formula>P$1=""</formula>
    </cfRule>
  </conditionalFormatting>
  <conditionalFormatting sqref="P222:AA222">
    <cfRule type="expression" dxfId="6972" priority="329">
      <formula>P$1=""</formula>
    </cfRule>
  </conditionalFormatting>
  <conditionalFormatting sqref="P222:AA222">
    <cfRule type="expression" dxfId="6971" priority="328">
      <formula>P$1=""</formula>
    </cfRule>
  </conditionalFormatting>
  <conditionalFormatting sqref="P222:AA222">
    <cfRule type="expression" dxfId="6970" priority="327">
      <formula>P$1=""</formula>
    </cfRule>
  </conditionalFormatting>
  <conditionalFormatting sqref="P216:AA216">
    <cfRule type="expression" dxfId="6969" priority="326">
      <formula>P$1=""</formula>
    </cfRule>
  </conditionalFormatting>
  <conditionalFormatting sqref="P216:AA216">
    <cfRule type="expression" dxfId="6968" priority="325">
      <formula>P$1=""</formula>
    </cfRule>
  </conditionalFormatting>
  <conditionalFormatting sqref="P216:AA216">
    <cfRule type="expression" dxfId="6967" priority="324">
      <formula>P$1=""</formula>
    </cfRule>
  </conditionalFormatting>
  <conditionalFormatting sqref="P216:AA216">
    <cfRule type="expression" dxfId="6966" priority="323">
      <formula>P$1=""</formula>
    </cfRule>
  </conditionalFormatting>
  <conditionalFormatting sqref="P216:AA216">
    <cfRule type="expression" dxfId="6965" priority="322">
      <formula>P$1=""</formula>
    </cfRule>
  </conditionalFormatting>
  <conditionalFormatting sqref="P216:AA216">
    <cfRule type="expression" dxfId="6964" priority="321">
      <formula>P$1=""</formula>
    </cfRule>
  </conditionalFormatting>
  <conditionalFormatting sqref="P216:AA216">
    <cfRule type="expression" dxfId="6963" priority="320">
      <formula>P$1=""</formula>
    </cfRule>
  </conditionalFormatting>
  <conditionalFormatting sqref="P220:AA220 P222:AA222">
    <cfRule type="expression" dxfId="6962" priority="319">
      <formula>P$1=""</formula>
    </cfRule>
  </conditionalFormatting>
  <conditionalFormatting sqref="P220:AA220 P222:AA222">
    <cfRule type="expression" dxfId="6961" priority="318">
      <formula>P$1=""</formula>
    </cfRule>
  </conditionalFormatting>
  <conditionalFormatting sqref="P220:AA220 P222:AA222">
    <cfRule type="expression" dxfId="6960" priority="317">
      <formula>P$1=""</formula>
    </cfRule>
  </conditionalFormatting>
  <conditionalFormatting sqref="P220:AA220 P222:AA222">
    <cfRule type="expression" dxfId="6959" priority="316">
      <formula>P$1=""</formula>
    </cfRule>
  </conditionalFormatting>
  <conditionalFormatting sqref="P222 P220 P218">
    <cfRule type="expression" dxfId="6958" priority="315">
      <formula>P$1=""</formula>
    </cfRule>
  </conditionalFormatting>
  <conditionalFormatting sqref="P222 P220 P218">
    <cfRule type="expression" dxfId="6957" priority="314">
      <formula>P$1=""</formula>
    </cfRule>
  </conditionalFormatting>
  <conditionalFormatting sqref="P222 P220 P218">
    <cfRule type="expression" dxfId="6956" priority="313">
      <formula>P$1=""</formula>
    </cfRule>
  </conditionalFormatting>
  <conditionalFormatting sqref="P226:AA226">
    <cfRule type="expression" dxfId="6955" priority="312">
      <formula>P$1=""</formula>
    </cfRule>
  </conditionalFormatting>
  <conditionalFormatting sqref="P228:AA228">
    <cfRule type="expression" dxfId="6954" priority="311">
      <formula>P$1=""</formula>
    </cfRule>
  </conditionalFormatting>
  <conditionalFormatting sqref="P230:AA230">
    <cfRule type="expression" dxfId="6953" priority="310">
      <formula>P$1=""</formula>
    </cfRule>
  </conditionalFormatting>
  <conditionalFormatting sqref="P232:AA232">
    <cfRule type="expression" dxfId="6952" priority="309">
      <formula>P$1=""</formula>
    </cfRule>
  </conditionalFormatting>
  <conditionalFormatting sqref="P228:AA228 P230:AA230 P232:AA232">
    <cfRule type="expression" dxfId="6951" priority="308">
      <formula>P$1=""</formula>
    </cfRule>
  </conditionalFormatting>
  <conditionalFormatting sqref="P228:AA228 P230:AA230 P232:AA232">
    <cfRule type="expression" dxfId="6950" priority="307">
      <formula>P$1=""</formula>
    </cfRule>
  </conditionalFormatting>
  <conditionalFormatting sqref="P228:AA228 P230:AA230 P232:AA232">
    <cfRule type="expression" dxfId="6949" priority="306">
      <formula>P$1=""</formula>
    </cfRule>
  </conditionalFormatting>
  <conditionalFormatting sqref="P228:AA228 P230:AA230 P232:AA232">
    <cfRule type="expression" dxfId="6948" priority="305">
      <formula>P$1=""</formula>
    </cfRule>
  </conditionalFormatting>
  <conditionalFormatting sqref="P228:AA228 P230:AA230 P232:AA232">
    <cfRule type="expression" dxfId="6947" priority="304">
      <formula>P$1=""</formula>
    </cfRule>
  </conditionalFormatting>
  <conditionalFormatting sqref="P230:AA230 P232:AA232">
    <cfRule type="expression" dxfId="6946" priority="303">
      <formula>P$1=""</formula>
    </cfRule>
  </conditionalFormatting>
  <conditionalFormatting sqref="P228:AA228">
    <cfRule type="expression" dxfId="6945" priority="302">
      <formula>P$1=""</formula>
    </cfRule>
  </conditionalFormatting>
  <conditionalFormatting sqref="P230:AA230 P232:AA232">
    <cfRule type="expression" dxfId="6944" priority="301">
      <formula>P$1=""</formula>
    </cfRule>
  </conditionalFormatting>
  <conditionalFormatting sqref="P230:AA230 P232:AA232">
    <cfRule type="expression" dxfId="6943" priority="300">
      <formula>P$1=""</formula>
    </cfRule>
  </conditionalFormatting>
  <conditionalFormatting sqref="P232:AA232">
    <cfRule type="expression" dxfId="6942" priority="299">
      <formula>P$1=""</formula>
    </cfRule>
  </conditionalFormatting>
  <conditionalFormatting sqref="P232:AA232">
    <cfRule type="expression" dxfId="6941" priority="298">
      <formula>P$1=""</formula>
    </cfRule>
  </conditionalFormatting>
  <conditionalFormatting sqref="P232:AA232">
    <cfRule type="expression" dxfId="6940" priority="297">
      <formula>P$1=""</formula>
    </cfRule>
  </conditionalFormatting>
  <conditionalFormatting sqref="P232:AA232">
    <cfRule type="expression" dxfId="6939" priority="296">
      <formula>P$1=""</formula>
    </cfRule>
  </conditionalFormatting>
  <conditionalFormatting sqref="P226:AA226">
    <cfRule type="expression" dxfId="6938" priority="295">
      <formula>P$1=""</formula>
    </cfRule>
  </conditionalFormatting>
  <conditionalFormatting sqref="P226:AA226">
    <cfRule type="expression" dxfId="6937" priority="294">
      <formula>P$1=""</formula>
    </cfRule>
  </conditionalFormatting>
  <conditionalFormatting sqref="P226:AA226">
    <cfRule type="expression" dxfId="6936" priority="293">
      <formula>P$1=""</formula>
    </cfRule>
  </conditionalFormatting>
  <conditionalFormatting sqref="P226:AA226">
    <cfRule type="expression" dxfId="6935" priority="292">
      <formula>P$1=""</formula>
    </cfRule>
  </conditionalFormatting>
  <conditionalFormatting sqref="P226:AA226">
    <cfRule type="expression" dxfId="6934" priority="291">
      <formula>P$1=""</formula>
    </cfRule>
  </conditionalFormatting>
  <conditionalFormatting sqref="P226:AA226">
    <cfRule type="expression" dxfId="6933" priority="290">
      <formula>P$1=""</formula>
    </cfRule>
  </conditionalFormatting>
  <conditionalFormatting sqref="P226:AA226">
    <cfRule type="expression" dxfId="6932" priority="289">
      <formula>P$1=""</formula>
    </cfRule>
  </conditionalFormatting>
  <conditionalFormatting sqref="P230:AA230 P232:AA232">
    <cfRule type="expression" dxfId="6931" priority="288">
      <formula>P$1=""</formula>
    </cfRule>
  </conditionalFormatting>
  <conditionalFormatting sqref="P230:AA230 P232:AA232">
    <cfRule type="expression" dxfId="6930" priority="287">
      <formula>P$1=""</formula>
    </cfRule>
  </conditionalFormatting>
  <conditionalFormatting sqref="P230:AA230 P232:AA232">
    <cfRule type="expression" dxfId="6929" priority="286">
      <formula>P$1=""</formula>
    </cfRule>
  </conditionalFormatting>
  <conditionalFormatting sqref="P230:AA230 P232:AA232">
    <cfRule type="expression" dxfId="6928" priority="285">
      <formula>P$1=""</formula>
    </cfRule>
  </conditionalFormatting>
  <conditionalFormatting sqref="P232 P230 P228">
    <cfRule type="expression" dxfId="6927" priority="284">
      <formula>P$1=""</formula>
    </cfRule>
  </conditionalFormatting>
  <conditionalFormatting sqref="P232 P230 P228">
    <cfRule type="expression" dxfId="6926" priority="283">
      <formula>P$1=""</formula>
    </cfRule>
  </conditionalFormatting>
  <conditionalFormatting sqref="P232 P230 P228">
    <cfRule type="expression" dxfId="6925" priority="282">
      <formula>P$1=""</formula>
    </cfRule>
  </conditionalFormatting>
  <conditionalFormatting sqref="P238:AA238">
    <cfRule type="expression" dxfId="6924" priority="281">
      <formula>P$1=""</formula>
    </cfRule>
  </conditionalFormatting>
  <conditionalFormatting sqref="P238:AA238">
    <cfRule type="expression" dxfId="6923" priority="280">
      <formula>P$1=""</formula>
    </cfRule>
  </conditionalFormatting>
  <conditionalFormatting sqref="P238:AA238">
    <cfRule type="expression" dxfId="6922" priority="279">
      <formula>P$1=""</formula>
    </cfRule>
  </conditionalFormatting>
  <conditionalFormatting sqref="P238:AA238">
    <cfRule type="expression" dxfId="6921" priority="278">
      <formula>P$1=""</formula>
    </cfRule>
  </conditionalFormatting>
  <conditionalFormatting sqref="P238:AA238">
    <cfRule type="expression" dxfId="6920" priority="277">
      <formula>P$1=""</formula>
    </cfRule>
  </conditionalFormatting>
  <conditionalFormatting sqref="P238:AA238">
    <cfRule type="expression" dxfId="6919" priority="276">
      <formula>P$1=""</formula>
    </cfRule>
  </conditionalFormatting>
  <conditionalFormatting sqref="P238:AA238">
    <cfRule type="expression" dxfId="6918" priority="275">
      <formula>P$1=""</formula>
    </cfRule>
  </conditionalFormatting>
  <conditionalFormatting sqref="P238:AA238">
    <cfRule type="expression" dxfId="6917" priority="274">
      <formula>P$1=""</formula>
    </cfRule>
  </conditionalFormatting>
  <conditionalFormatting sqref="P238:AA238">
    <cfRule type="expression" dxfId="6916" priority="273">
      <formula>P$1=""</formula>
    </cfRule>
  </conditionalFormatting>
  <conditionalFormatting sqref="P238:AA238">
    <cfRule type="expression" dxfId="6915" priority="272">
      <formula>P$1=""</formula>
    </cfRule>
  </conditionalFormatting>
  <conditionalFormatting sqref="P238:AA238">
    <cfRule type="expression" dxfId="6914" priority="271">
      <formula>P$1=""</formula>
    </cfRule>
  </conditionalFormatting>
  <conditionalFormatting sqref="P238:AA238">
    <cfRule type="expression" dxfId="6913" priority="270">
      <formula>P$1=""</formula>
    </cfRule>
  </conditionalFormatting>
  <conditionalFormatting sqref="P238:AA238">
    <cfRule type="expression" dxfId="6912" priority="269">
      <formula>P$1=""</formula>
    </cfRule>
  </conditionalFormatting>
  <conditionalFormatting sqref="P238:AA238">
    <cfRule type="expression" dxfId="6911" priority="268">
      <formula>P$1=""</formula>
    </cfRule>
  </conditionalFormatting>
  <conditionalFormatting sqref="P238:AA238">
    <cfRule type="expression" dxfId="6910" priority="267">
      <formula>P$1=""</formula>
    </cfRule>
  </conditionalFormatting>
  <conditionalFormatting sqref="P238:AA238">
    <cfRule type="expression" dxfId="6909" priority="266">
      <formula>P$1=""</formula>
    </cfRule>
  </conditionalFormatting>
  <conditionalFormatting sqref="P238:AA238">
    <cfRule type="expression" dxfId="6908" priority="265">
      <formula>P$1=""</formula>
    </cfRule>
  </conditionalFormatting>
  <conditionalFormatting sqref="P238:AA238">
    <cfRule type="expression" dxfId="6907" priority="264">
      <formula>P$1=""</formula>
    </cfRule>
  </conditionalFormatting>
  <conditionalFormatting sqref="P238:AA238">
    <cfRule type="expression" dxfId="6906" priority="263">
      <formula>P$1=""</formula>
    </cfRule>
  </conditionalFormatting>
  <conditionalFormatting sqref="P238:AA238">
    <cfRule type="expression" dxfId="6905" priority="262">
      <formula>P$1=""</formula>
    </cfRule>
  </conditionalFormatting>
  <conditionalFormatting sqref="P238:AA238">
    <cfRule type="expression" dxfId="6904" priority="261">
      <formula>P$1=""</formula>
    </cfRule>
  </conditionalFormatting>
  <conditionalFormatting sqref="P238:AA238">
    <cfRule type="expression" dxfId="6903" priority="260">
      <formula>P$1=""</formula>
    </cfRule>
  </conditionalFormatting>
  <conditionalFormatting sqref="P238:AA238">
    <cfRule type="expression" dxfId="6902" priority="259">
      <formula>P$1=""</formula>
    </cfRule>
  </conditionalFormatting>
  <conditionalFormatting sqref="P240:AA240">
    <cfRule type="expression" dxfId="6901" priority="258">
      <formula>P$1=""</formula>
    </cfRule>
  </conditionalFormatting>
  <conditionalFormatting sqref="P240:AA240">
    <cfRule type="expression" dxfId="6900" priority="257">
      <formula>P$1=""</formula>
    </cfRule>
  </conditionalFormatting>
  <conditionalFormatting sqref="P240:AA240">
    <cfRule type="expression" dxfId="6899" priority="256">
      <formula>P$1=""</formula>
    </cfRule>
  </conditionalFormatting>
  <conditionalFormatting sqref="P240:AA240">
    <cfRule type="expression" dxfId="6898" priority="255">
      <formula>P$1=""</formula>
    </cfRule>
  </conditionalFormatting>
  <conditionalFormatting sqref="P240:AA240">
    <cfRule type="expression" dxfId="6897" priority="254">
      <formula>P$1=""</formula>
    </cfRule>
  </conditionalFormatting>
  <conditionalFormatting sqref="P240:AA240">
    <cfRule type="expression" dxfId="6896" priority="253">
      <formula>P$1=""</formula>
    </cfRule>
  </conditionalFormatting>
  <conditionalFormatting sqref="P240:AA240">
    <cfRule type="expression" dxfId="6895" priority="252">
      <formula>P$1=""</formula>
    </cfRule>
  </conditionalFormatting>
  <conditionalFormatting sqref="P240:AA240">
    <cfRule type="expression" dxfId="6894" priority="251">
      <formula>P$1=""</formula>
    </cfRule>
  </conditionalFormatting>
  <conditionalFormatting sqref="P240:AA240">
    <cfRule type="expression" dxfId="6893" priority="250">
      <formula>P$1=""</formula>
    </cfRule>
  </conditionalFormatting>
  <conditionalFormatting sqref="P240:AA240">
    <cfRule type="expression" dxfId="6892" priority="249">
      <formula>P$1=""</formula>
    </cfRule>
  </conditionalFormatting>
  <conditionalFormatting sqref="P240:AA240">
    <cfRule type="expression" dxfId="6891" priority="248">
      <formula>P$1=""</formula>
    </cfRule>
  </conditionalFormatting>
  <conditionalFormatting sqref="P240:AA240">
    <cfRule type="expression" dxfId="6890" priority="247">
      <formula>P$1=""</formula>
    </cfRule>
  </conditionalFormatting>
  <conditionalFormatting sqref="P240:AA240">
    <cfRule type="expression" dxfId="6889" priority="246">
      <formula>P$1=""</formula>
    </cfRule>
  </conditionalFormatting>
  <conditionalFormatting sqref="P240:AA240">
    <cfRule type="expression" dxfId="6888" priority="245">
      <formula>P$1=""</formula>
    </cfRule>
  </conditionalFormatting>
  <conditionalFormatting sqref="P240:AA240">
    <cfRule type="expression" dxfId="6887" priority="244">
      <formula>P$1=""</formula>
    </cfRule>
  </conditionalFormatting>
  <conditionalFormatting sqref="P240:AA240">
    <cfRule type="expression" dxfId="6886" priority="243">
      <formula>P$1=""</formula>
    </cfRule>
  </conditionalFormatting>
  <conditionalFormatting sqref="P240:AA240">
    <cfRule type="expression" dxfId="6885" priority="242">
      <formula>P$1=""</formula>
    </cfRule>
  </conditionalFormatting>
  <conditionalFormatting sqref="P240:AA240">
    <cfRule type="expression" dxfId="6884" priority="241">
      <formula>P$1=""</formula>
    </cfRule>
  </conditionalFormatting>
  <conditionalFormatting sqref="P240:AA240">
    <cfRule type="expression" dxfId="6883" priority="240">
      <formula>P$1=""</formula>
    </cfRule>
  </conditionalFormatting>
  <conditionalFormatting sqref="P240:AA240">
    <cfRule type="expression" dxfId="6882" priority="239">
      <formula>P$1=""</formula>
    </cfRule>
  </conditionalFormatting>
  <conditionalFormatting sqref="P240:AA240">
    <cfRule type="expression" dxfId="6881" priority="238">
      <formula>P$1=""</formula>
    </cfRule>
  </conditionalFormatting>
  <conditionalFormatting sqref="P242:AA242">
    <cfRule type="expression" dxfId="6880" priority="237">
      <formula>P$1=""</formula>
    </cfRule>
  </conditionalFormatting>
  <conditionalFormatting sqref="P242:AA242">
    <cfRule type="expression" dxfId="6879" priority="236">
      <formula>P$1=""</formula>
    </cfRule>
  </conditionalFormatting>
  <conditionalFormatting sqref="P242:AA242">
    <cfRule type="expression" dxfId="6878" priority="235">
      <formula>P$1=""</formula>
    </cfRule>
  </conditionalFormatting>
  <conditionalFormatting sqref="P242:AA242">
    <cfRule type="expression" dxfId="6877" priority="234">
      <formula>P$1=""</formula>
    </cfRule>
  </conditionalFormatting>
  <conditionalFormatting sqref="P242:AA242">
    <cfRule type="expression" dxfId="6876" priority="233">
      <formula>P$1=""</formula>
    </cfRule>
  </conditionalFormatting>
  <conditionalFormatting sqref="P242:AA242">
    <cfRule type="expression" dxfId="6875" priority="232">
      <formula>P$1=""</formula>
    </cfRule>
  </conditionalFormatting>
  <conditionalFormatting sqref="P242:AA242">
    <cfRule type="expression" dxfId="6874" priority="231">
      <formula>P$1=""</formula>
    </cfRule>
  </conditionalFormatting>
  <conditionalFormatting sqref="P242:AA242">
    <cfRule type="expression" dxfId="6873" priority="230">
      <formula>P$1=""</formula>
    </cfRule>
  </conditionalFormatting>
  <conditionalFormatting sqref="P242:AA242">
    <cfRule type="expression" dxfId="6872" priority="229">
      <formula>P$1=""</formula>
    </cfRule>
  </conditionalFormatting>
  <conditionalFormatting sqref="P242:AA242">
    <cfRule type="expression" dxfId="6871" priority="228">
      <formula>P$1=""</formula>
    </cfRule>
  </conditionalFormatting>
  <conditionalFormatting sqref="P242:AA242">
    <cfRule type="expression" dxfId="6870" priority="227">
      <formula>P$1=""</formula>
    </cfRule>
  </conditionalFormatting>
  <conditionalFormatting sqref="P242:AA242">
    <cfRule type="expression" dxfId="6869" priority="226">
      <formula>P$1=""</formula>
    </cfRule>
  </conditionalFormatting>
  <conditionalFormatting sqref="P242:AA242">
    <cfRule type="expression" dxfId="6868" priority="225">
      <formula>P$1=""</formula>
    </cfRule>
  </conditionalFormatting>
  <conditionalFormatting sqref="P242:AA242">
    <cfRule type="expression" dxfId="6867" priority="224">
      <formula>P$1=""</formula>
    </cfRule>
  </conditionalFormatting>
  <conditionalFormatting sqref="P242:AA242">
    <cfRule type="expression" dxfId="6866" priority="223">
      <formula>P$1=""</formula>
    </cfRule>
  </conditionalFormatting>
  <conditionalFormatting sqref="P242:AA242">
    <cfRule type="expression" dxfId="6865" priority="222">
      <formula>P$1=""</formula>
    </cfRule>
  </conditionalFormatting>
  <conditionalFormatting sqref="P242:AA242">
    <cfRule type="expression" dxfId="6864" priority="221">
      <formula>P$1=""</formula>
    </cfRule>
  </conditionalFormatting>
  <conditionalFormatting sqref="P242:AA242">
    <cfRule type="expression" dxfId="6863" priority="220">
      <formula>P$1=""</formula>
    </cfRule>
  </conditionalFormatting>
  <conditionalFormatting sqref="P242:AA242">
    <cfRule type="expression" dxfId="6862" priority="219">
      <formula>P$1=""</formula>
    </cfRule>
  </conditionalFormatting>
  <conditionalFormatting sqref="P242:AA242">
    <cfRule type="expression" dxfId="6861" priority="218">
      <formula>P$1=""</formula>
    </cfRule>
  </conditionalFormatting>
  <conditionalFormatting sqref="P242:AA242">
    <cfRule type="expression" dxfId="6860" priority="217">
      <formula>P$1=""</formula>
    </cfRule>
  </conditionalFormatting>
  <conditionalFormatting sqref="P246:AA246">
    <cfRule type="expression" dxfId="6859" priority="216">
      <formula>P$1=""</formula>
    </cfRule>
  </conditionalFormatting>
  <conditionalFormatting sqref="P248:AA248">
    <cfRule type="expression" dxfId="6858" priority="215">
      <formula>P$1=""</formula>
    </cfRule>
  </conditionalFormatting>
  <conditionalFormatting sqref="P250:AA250">
    <cfRule type="expression" dxfId="6857" priority="214">
      <formula>P$1=""</formula>
    </cfRule>
  </conditionalFormatting>
  <conditionalFormatting sqref="P252:AA252">
    <cfRule type="expression" dxfId="6856" priority="213">
      <formula>P$1=""</formula>
    </cfRule>
  </conditionalFormatting>
  <conditionalFormatting sqref="P248:AA248 P250:AA250 P252:AA252">
    <cfRule type="expression" dxfId="6855" priority="212">
      <formula>P$1=""</formula>
    </cfRule>
  </conditionalFormatting>
  <conditionalFormatting sqref="P248:AA248 P250:AA250 P252:AA252">
    <cfRule type="expression" dxfId="6854" priority="211">
      <formula>P$1=""</formula>
    </cfRule>
  </conditionalFormatting>
  <conditionalFormatting sqref="P248:AA248 P250:AA250 P252:AA252">
    <cfRule type="expression" dxfId="6853" priority="210">
      <formula>P$1=""</formula>
    </cfRule>
  </conditionalFormatting>
  <conditionalFormatting sqref="P248:AA248 P250:AA250 P252:AA252">
    <cfRule type="expression" dxfId="6852" priority="209">
      <formula>P$1=""</formula>
    </cfRule>
  </conditionalFormatting>
  <conditionalFormatting sqref="P248:AA248 P250:AA250 P252:AA252">
    <cfRule type="expression" dxfId="6851" priority="208">
      <formula>P$1=""</formula>
    </cfRule>
  </conditionalFormatting>
  <conditionalFormatting sqref="P250:AA250 P252:AA252">
    <cfRule type="expression" dxfId="6850" priority="207">
      <formula>P$1=""</formula>
    </cfRule>
  </conditionalFormatting>
  <conditionalFormatting sqref="P248:AA248">
    <cfRule type="expression" dxfId="6849" priority="206">
      <formula>P$1=""</formula>
    </cfRule>
  </conditionalFormatting>
  <conditionalFormatting sqref="P250:AA250 P252:AA252">
    <cfRule type="expression" dxfId="6848" priority="205">
      <formula>P$1=""</formula>
    </cfRule>
  </conditionalFormatting>
  <conditionalFormatting sqref="P250:AA250 P252:AA252">
    <cfRule type="expression" dxfId="6847" priority="204">
      <formula>P$1=""</formula>
    </cfRule>
  </conditionalFormatting>
  <conditionalFormatting sqref="P252:AA252">
    <cfRule type="expression" dxfId="6846" priority="203">
      <formula>P$1=""</formula>
    </cfRule>
  </conditionalFormatting>
  <conditionalFormatting sqref="P252:AA252">
    <cfRule type="expression" dxfId="6845" priority="202">
      <formula>P$1=""</formula>
    </cfRule>
  </conditionalFormatting>
  <conditionalFormatting sqref="P252:AA252">
    <cfRule type="expression" dxfId="6844" priority="201">
      <formula>P$1=""</formula>
    </cfRule>
  </conditionalFormatting>
  <conditionalFormatting sqref="P252:AA252">
    <cfRule type="expression" dxfId="6843" priority="200">
      <formula>P$1=""</formula>
    </cfRule>
  </conditionalFormatting>
  <conditionalFormatting sqref="P246:AA246">
    <cfRule type="expression" dxfId="6842" priority="199">
      <formula>P$1=""</formula>
    </cfRule>
  </conditionalFormatting>
  <conditionalFormatting sqref="P246:AA246">
    <cfRule type="expression" dxfId="6841" priority="198">
      <formula>P$1=""</formula>
    </cfRule>
  </conditionalFormatting>
  <conditionalFormatting sqref="P246:AA246">
    <cfRule type="expression" dxfId="6840" priority="197">
      <formula>P$1=""</formula>
    </cfRule>
  </conditionalFormatting>
  <conditionalFormatting sqref="P246:AA246">
    <cfRule type="expression" dxfId="6839" priority="196">
      <formula>P$1=""</formula>
    </cfRule>
  </conditionalFormatting>
  <conditionalFormatting sqref="P246:AA246">
    <cfRule type="expression" dxfId="6838" priority="195">
      <formula>P$1=""</formula>
    </cfRule>
  </conditionalFormatting>
  <conditionalFormatting sqref="P246:AA246">
    <cfRule type="expression" dxfId="6837" priority="194">
      <formula>P$1=""</formula>
    </cfRule>
  </conditionalFormatting>
  <conditionalFormatting sqref="P246:AA246">
    <cfRule type="expression" dxfId="6836" priority="193">
      <formula>P$1=""</formula>
    </cfRule>
  </conditionalFormatting>
  <conditionalFormatting sqref="P250:AA250 P252:AA252">
    <cfRule type="expression" dxfId="6835" priority="192">
      <formula>P$1=""</formula>
    </cfRule>
  </conditionalFormatting>
  <conditionalFormatting sqref="P250:AA250 P252:AA252">
    <cfRule type="expression" dxfId="6834" priority="191">
      <formula>P$1=""</formula>
    </cfRule>
  </conditionalFormatting>
  <conditionalFormatting sqref="P250:AA250 P252:AA252">
    <cfRule type="expression" dxfId="6833" priority="190">
      <formula>P$1=""</formula>
    </cfRule>
  </conditionalFormatting>
  <conditionalFormatting sqref="P250:AA250 P252:AA252">
    <cfRule type="expression" dxfId="6832" priority="189">
      <formula>P$1=""</formula>
    </cfRule>
  </conditionalFormatting>
  <conditionalFormatting sqref="P252 P250 P248">
    <cfRule type="expression" dxfId="6831" priority="188">
      <formula>P$1=""</formula>
    </cfRule>
  </conditionalFormatting>
  <conditionalFormatting sqref="P252 P250 P248">
    <cfRule type="expression" dxfId="6830" priority="187">
      <formula>P$1=""</formula>
    </cfRule>
  </conditionalFormatting>
  <conditionalFormatting sqref="P252 P250 P248">
    <cfRule type="expression" dxfId="6829" priority="186">
      <formula>P$1=""</formula>
    </cfRule>
  </conditionalFormatting>
  <conditionalFormatting sqref="C3:E6">
    <cfRule type="cellIs" dxfId="6828" priority="185" operator="equal">
      <formula>0</formula>
    </cfRule>
  </conditionalFormatting>
  <conditionalFormatting sqref="G5:G6">
    <cfRule type="cellIs" dxfId="6827" priority="184" operator="equal">
      <formula>0</formula>
    </cfRule>
  </conditionalFormatting>
  <conditionalFormatting sqref="A1:D1">
    <cfRule type="cellIs" dxfId="6826" priority="183" operator="equal">
      <formula>0</formula>
    </cfRule>
  </conditionalFormatting>
  <conditionalFormatting sqref="P256:AA256">
    <cfRule type="expression" dxfId="6825" priority="182">
      <formula>P$1=""</formula>
    </cfRule>
  </conditionalFormatting>
  <conditionalFormatting sqref="P258:AA258">
    <cfRule type="expression" dxfId="6824" priority="181">
      <formula>P$1=""</formula>
    </cfRule>
  </conditionalFormatting>
  <conditionalFormatting sqref="P260:AA260">
    <cfRule type="expression" dxfId="6823" priority="180">
      <formula>P$1=""</formula>
    </cfRule>
  </conditionalFormatting>
  <conditionalFormatting sqref="P262:AA262">
    <cfRule type="expression" dxfId="6822" priority="179">
      <formula>P$1=""</formula>
    </cfRule>
  </conditionalFormatting>
  <conditionalFormatting sqref="P258:AA258 P260:AA260 P262:AA262">
    <cfRule type="expression" dxfId="6821" priority="178">
      <formula>P$1=""</formula>
    </cfRule>
  </conditionalFormatting>
  <conditionalFormatting sqref="P258:AA258 P260:AA260 P262:AA262">
    <cfRule type="expression" dxfId="6820" priority="177">
      <formula>P$1=""</formula>
    </cfRule>
  </conditionalFormatting>
  <conditionalFormatting sqref="P258:AA258 P260:AA260 P262:AA262">
    <cfRule type="expression" dxfId="6819" priority="176">
      <formula>P$1=""</formula>
    </cfRule>
  </conditionalFormatting>
  <conditionalFormatting sqref="P258:AA258 P260:AA260 P262:AA262">
    <cfRule type="expression" dxfId="6818" priority="175">
      <formula>P$1=""</formula>
    </cfRule>
  </conditionalFormatting>
  <conditionalFormatting sqref="P258:AA258 P260:AA260 P262:AA262">
    <cfRule type="expression" dxfId="6817" priority="174">
      <formula>P$1=""</formula>
    </cfRule>
  </conditionalFormatting>
  <conditionalFormatting sqref="P260:AA260 P262:AA262">
    <cfRule type="expression" dxfId="6816" priority="173">
      <formula>P$1=""</formula>
    </cfRule>
  </conditionalFormatting>
  <conditionalFormatting sqref="P258:AA258">
    <cfRule type="expression" dxfId="6815" priority="172">
      <formula>P$1=""</formula>
    </cfRule>
  </conditionalFormatting>
  <conditionalFormatting sqref="P260:AA260 P262:AA262">
    <cfRule type="expression" dxfId="6814" priority="171">
      <formula>P$1=""</formula>
    </cfRule>
  </conditionalFormatting>
  <conditionalFormatting sqref="P260:AA260 P262:AA262">
    <cfRule type="expression" dxfId="6813" priority="170">
      <formula>P$1=""</formula>
    </cfRule>
  </conditionalFormatting>
  <conditionalFormatting sqref="P262:AA262">
    <cfRule type="expression" dxfId="6812" priority="169">
      <formula>P$1=""</formula>
    </cfRule>
  </conditionalFormatting>
  <conditionalFormatting sqref="P262:AA262">
    <cfRule type="expression" dxfId="6811" priority="168">
      <formula>P$1=""</formula>
    </cfRule>
  </conditionalFormatting>
  <conditionalFormatting sqref="P262:AA262">
    <cfRule type="expression" dxfId="6810" priority="167">
      <formula>P$1=""</formula>
    </cfRule>
  </conditionalFormatting>
  <conditionalFormatting sqref="P262:AA262">
    <cfRule type="expression" dxfId="6809" priority="166">
      <formula>P$1=""</formula>
    </cfRule>
  </conditionalFormatting>
  <conditionalFormatting sqref="P256:AA256">
    <cfRule type="expression" dxfId="6808" priority="165">
      <formula>P$1=""</formula>
    </cfRule>
  </conditionalFormatting>
  <conditionalFormatting sqref="P256:AA256">
    <cfRule type="expression" dxfId="6807" priority="164">
      <formula>P$1=""</formula>
    </cfRule>
  </conditionalFormatting>
  <conditionalFormatting sqref="P256:AA256">
    <cfRule type="expression" dxfId="6806" priority="163">
      <formula>P$1=""</formula>
    </cfRule>
  </conditionalFormatting>
  <conditionalFormatting sqref="P256:AA256">
    <cfRule type="expression" dxfId="6805" priority="162">
      <formula>P$1=""</formula>
    </cfRule>
  </conditionalFormatting>
  <conditionalFormatting sqref="P256:AA256">
    <cfRule type="expression" dxfId="6804" priority="161">
      <formula>P$1=""</formula>
    </cfRule>
  </conditionalFormatting>
  <conditionalFormatting sqref="P256:AA256">
    <cfRule type="expression" dxfId="6803" priority="160">
      <formula>P$1=""</formula>
    </cfRule>
  </conditionalFormatting>
  <conditionalFormatting sqref="P256:AA256">
    <cfRule type="expression" dxfId="6802" priority="159">
      <formula>P$1=""</formula>
    </cfRule>
  </conditionalFormatting>
  <conditionalFormatting sqref="P260:AA260 P262:AA262">
    <cfRule type="expression" dxfId="6801" priority="158">
      <formula>P$1=""</formula>
    </cfRule>
  </conditionalFormatting>
  <conditionalFormatting sqref="P260:AA260 P262:AA262">
    <cfRule type="expression" dxfId="6800" priority="157">
      <formula>P$1=""</formula>
    </cfRule>
  </conditionalFormatting>
  <conditionalFormatting sqref="P260:AA260 P262:AA262">
    <cfRule type="expression" dxfId="6799" priority="156">
      <formula>P$1=""</formula>
    </cfRule>
  </conditionalFormatting>
  <conditionalFormatting sqref="P260:AA260 P262:AA262">
    <cfRule type="expression" dxfId="6798" priority="155">
      <formula>P$1=""</formula>
    </cfRule>
  </conditionalFormatting>
  <conditionalFormatting sqref="P258:AA258 P260:AA260 P262:AA262">
    <cfRule type="expression" dxfId="6797" priority="154">
      <formula>P$1=""</formula>
    </cfRule>
  </conditionalFormatting>
  <conditionalFormatting sqref="P258:AA258 P260:AA260 P262:AA262">
    <cfRule type="expression" dxfId="6796" priority="153">
      <formula>P$1=""</formula>
    </cfRule>
  </conditionalFormatting>
  <conditionalFormatting sqref="P258:AA258 P260:AA260 P262:AA262">
    <cfRule type="expression" dxfId="6795" priority="152">
      <formula>P$1=""</formula>
    </cfRule>
  </conditionalFormatting>
  <conditionalFormatting sqref="P258:AA258 P260:AA260 P262:AA262">
    <cfRule type="expression" dxfId="6794" priority="151">
      <formula>P$1=""</formula>
    </cfRule>
  </conditionalFormatting>
  <conditionalFormatting sqref="P258:AA258 P260:AA260 P262:AA262">
    <cfRule type="expression" dxfId="6793" priority="150">
      <formula>P$1=""</formula>
    </cfRule>
  </conditionalFormatting>
  <conditionalFormatting sqref="P258:AA258 P260:AA260 P262:AA262">
    <cfRule type="expression" dxfId="6792" priority="149">
      <formula>P$1=""</formula>
    </cfRule>
  </conditionalFormatting>
  <conditionalFormatting sqref="P258:AA258 P260:AA260 P262:AA262">
    <cfRule type="expression" dxfId="6791" priority="148">
      <formula>P$1=""</formula>
    </cfRule>
  </conditionalFormatting>
  <conditionalFormatting sqref="P258:AA258 P260:AA260 P262:AA262">
    <cfRule type="expression" dxfId="6790" priority="147">
      <formula>P$1=""</formula>
    </cfRule>
  </conditionalFormatting>
  <conditionalFormatting sqref="Q258:AA258">
    <cfRule type="expression" dxfId="6789" priority="146">
      <formula>Q$1=""</formula>
    </cfRule>
  </conditionalFormatting>
  <conditionalFormatting sqref="Q258:AA258">
    <cfRule type="expression" dxfId="6788" priority="145">
      <formula>Q$1=""</formula>
    </cfRule>
  </conditionalFormatting>
  <conditionalFormatting sqref="Q258:AA258">
    <cfRule type="expression" dxfId="6787" priority="144">
      <formula>Q$1=""</formula>
    </cfRule>
  </conditionalFormatting>
  <conditionalFormatting sqref="Q258:AA258">
    <cfRule type="expression" dxfId="6786" priority="143">
      <formula>Q$1=""</formula>
    </cfRule>
  </conditionalFormatting>
  <conditionalFormatting sqref="Q258:AA258">
    <cfRule type="expression" dxfId="6785" priority="142">
      <formula>Q$1=""</formula>
    </cfRule>
  </conditionalFormatting>
  <conditionalFormatting sqref="Q258:AA258">
    <cfRule type="expression" dxfId="6784" priority="141">
      <formula>Q$1=""</formula>
    </cfRule>
  </conditionalFormatting>
  <conditionalFormatting sqref="Q258:AA258">
    <cfRule type="expression" dxfId="6783" priority="140">
      <formula>Q$1=""</formula>
    </cfRule>
  </conditionalFormatting>
  <conditionalFormatting sqref="Q258:AA258">
    <cfRule type="expression" dxfId="6782" priority="139">
      <formula>Q$1=""</formula>
    </cfRule>
  </conditionalFormatting>
  <conditionalFormatting sqref="Q260:AA260 Q262:AA262">
    <cfRule type="expression" dxfId="6781" priority="138">
      <formula>Q$1=""</formula>
    </cfRule>
  </conditionalFormatting>
  <conditionalFormatting sqref="Q260:AA260 Q262:AA262">
    <cfRule type="expression" dxfId="6780" priority="137">
      <formula>Q$1=""</formula>
    </cfRule>
  </conditionalFormatting>
  <conditionalFormatting sqref="Q260:AA260 Q262:AA262">
    <cfRule type="expression" dxfId="6779" priority="136">
      <formula>Q$1=""</formula>
    </cfRule>
  </conditionalFormatting>
  <conditionalFormatting sqref="Q260:AA260 Q262:AA262">
    <cfRule type="expression" dxfId="6778" priority="135">
      <formula>Q$1=""</formula>
    </cfRule>
  </conditionalFormatting>
  <conditionalFormatting sqref="Q260:AA260 Q262:AA262">
    <cfRule type="expression" dxfId="6777" priority="134">
      <formula>Q$1=""</formula>
    </cfRule>
  </conditionalFormatting>
  <conditionalFormatting sqref="Q260:AA260 Q262:AA262">
    <cfRule type="expression" dxfId="6776" priority="133">
      <formula>Q$1=""</formula>
    </cfRule>
  </conditionalFormatting>
  <conditionalFormatting sqref="Q260:AA260 Q262:AA262">
    <cfRule type="expression" dxfId="6775" priority="132">
      <formula>Q$1=""</formula>
    </cfRule>
  </conditionalFormatting>
  <conditionalFormatting sqref="Q260:AA260 Q262:AA262">
    <cfRule type="expression" dxfId="6774" priority="131">
      <formula>Q$1=""</formula>
    </cfRule>
  </conditionalFormatting>
  <conditionalFormatting sqref="Q260:AA260 Q262:AA262">
    <cfRule type="expression" dxfId="6773" priority="130">
      <formula>Q$1=""</formula>
    </cfRule>
  </conditionalFormatting>
  <conditionalFormatting sqref="Q260:AA260 Q262:AA262">
    <cfRule type="expression" dxfId="6772" priority="129">
      <formula>Q$1=""</formula>
    </cfRule>
  </conditionalFormatting>
  <conditionalFormatting sqref="P256:AA256 P260:AA260 P262:AA262">
    <cfRule type="expression" dxfId="6771" priority="128">
      <formula>P$1=""</formula>
    </cfRule>
  </conditionalFormatting>
  <conditionalFormatting sqref="P256:AA256">
    <cfRule type="expression" dxfId="6770" priority="127">
      <formula>P$1=""</formula>
    </cfRule>
  </conditionalFormatting>
  <conditionalFormatting sqref="P256:AA256">
    <cfRule type="expression" dxfId="6769" priority="126">
      <formula>P$1=""</formula>
    </cfRule>
  </conditionalFormatting>
  <conditionalFormatting sqref="P256:AA256">
    <cfRule type="expression" dxfId="6768" priority="125">
      <formula>P$1=""</formula>
    </cfRule>
  </conditionalFormatting>
  <conditionalFormatting sqref="P256:AA256">
    <cfRule type="expression" dxfId="6767" priority="124">
      <formula>P$1=""</formula>
    </cfRule>
  </conditionalFormatting>
  <conditionalFormatting sqref="P256:AA256">
    <cfRule type="expression" dxfId="6766" priority="123">
      <formula>P$1=""</formula>
    </cfRule>
  </conditionalFormatting>
  <conditionalFormatting sqref="P256:AA256 P260:AA260 P262:AA262">
    <cfRule type="expression" dxfId="6765" priority="122">
      <formula>P$1=""</formula>
    </cfRule>
  </conditionalFormatting>
  <conditionalFormatting sqref="P256:AA256">
    <cfRule type="expression" dxfId="6764" priority="121">
      <formula>P$1=""</formula>
    </cfRule>
  </conditionalFormatting>
  <conditionalFormatting sqref="P256:AA256">
    <cfRule type="expression" dxfId="6763" priority="120">
      <formula>P$1=""</formula>
    </cfRule>
  </conditionalFormatting>
  <conditionalFormatting sqref="P256:AA256">
    <cfRule type="expression" dxfId="6762" priority="119">
      <formula>P$1=""</formula>
    </cfRule>
  </conditionalFormatting>
  <conditionalFormatting sqref="P256:AA256">
    <cfRule type="expression" dxfId="6761" priority="118">
      <formula>P$1=""</formula>
    </cfRule>
  </conditionalFormatting>
  <conditionalFormatting sqref="P256:AA256">
    <cfRule type="expression" dxfId="6760" priority="117">
      <formula>P$1=""</formula>
    </cfRule>
  </conditionalFormatting>
  <conditionalFormatting sqref="P256:AA256">
    <cfRule type="expression" dxfId="6759" priority="116">
      <formula>P$1=""</formula>
    </cfRule>
  </conditionalFormatting>
  <conditionalFormatting sqref="P256:AA256">
    <cfRule type="expression" dxfId="6758" priority="115">
      <formula>P$1=""</formula>
    </cfRule>
  </conditionalFormatting>
  <conditionalFormatting sqref="P256:AA256">
    <cfRule type="expression" dxfId="6757" priority="114">
      <formula>P$1=""</formula>
    </cfRule>
  </conditionalFormatting>
  <conditionalFormatting sqref="P258:AA258 P260:AA260 P262:AA262">
    <cfRule type="expression" dxfId="6756" priority="113">
      <formula>P$1=""</formula>
    </cfRule>
  </conditionalFormatting>
  <conditionalFormatting sqref="P258:AA258 P260:AA260 P262:AA262">
    <cfRule type="expression" dxfId="6755" priority="112">
      <formula>P$1=""</formula>
    </cfRule>
  </conditionalFormatting>
  <conditionalFormatting sqref="P258:AA258 P260:AA260 P262:AA262">
    <cfRule type="expression" dxfId="6754" priority="111">
      <formula>P$1=""</formula>
    </cfRule>
  </conditionalFormatting>
  <conditionalFormatting sqref="P258:AA258 P260:AA260 P262:AA262">
    <cfRule type="expression" dxfId="6753" priority="110">
      <formula>P$1=""</formula>
    </cfRule>
  </conditionalFormatting>
  <conditionalFormatting sqref="P258:AA258 P260:AA260 P262:AA262">
    <cfRule type="expression" dxfId="6752" priority="109">
      <formula>P$1=""</formula>
    </cfRule>
  </conditionalFormatting>
  <conditionalFormatting sqref="P258:AA258 P260:AA260 P262:AA262">
    <cfRule type="expression" dxfId="6751" priority="108">
      <formula>P$1=""</formula>
    </cfRule>
  </conditionalFormatting>
  <conditionalFormatting sqref="P258:AA258 P260:AA260 P262:AA262">
    <cfRule type="expression" dxfId="6750" priority="107">
      <formula>P$1=""</formula>
    </cfRule>
  </conditionalFormatting>
  <conditionalFormatting sqref="P258:AA258 P260:AA260 P262:AA262">
    <cfRule type="expression" dxfId="6749" priority="106">
      <formula>P$1=""</formula>
    </cfRule>
  </conditionalFormatting>
  <conditionalFormatting sqref="P258:AA258">
    <cfRule type="expression" dxfId="6748" priority="105">
      <formula>P$1=""</formula>
    </cfRule>
  </conditionalFormatting>
  <conditionalFormatting sqref="P258:AA258 P260:AA260 P262:AA262">
    <cfRule type="expression" dxfId="6747" priority="104">
      <formula>P$1=""</formula>
    </cfRule>
  </conditionalFormatting>
  <conditionalFormatting sqref="P258:AA258 P260:AA260 P262:AA262">
    <cfRule type="expression" dxfId="6746" priority="103">
      <formula>P$1=""</formula>
    </cfRule>
  </conditionalFormatting>
  <conditionalFormatting sqref="P258:AA258 P260:AA260 P262:AA262">
    <cfRule type="expression" dxfId="6745" priority="102">
      <formula>P$1=""</formula>
    </cfRule>
  </conditionalFormatting>
  <conditionalFormatting sqref="P258:AA258 P260:AA260 P262:AA262">
    <cfRule type="expression" dxfId="6744" priority="101">
      <formula>P$1=""</formula>
    </cfRule>
  </conditionalFormatting>
  <conditionalFormatting sqref="P258:AA258 P260:AA260 P262:AA262">
    <cfRule type="expression" dxfId="6743" priority="100">
      <formula>P$1=""</formula>
    </cfRule>
  </conditionalFormatting>
  <conditionalFormatting sqref="P258:AA258">
    <cfRule type="expression" dxfId="6742" priority="99">
      <formula>P$1=""</formula>
    </cfRule>
  </conditionalFormatting>
  <conditionalFormatting sqref="P258:AA258 P260:AA260 P262:AA262">
    <cfRule type="expression" dxfId="6741" priority="98">
      <formula>P$1=""</formula>
    </cfRule>
  </conditionalFormatting>
  <conditionalFormatting sqref="P258:AA258 P260:AA260 P262:AA262">
    <cfRule type="expression" dxfId="6740" priority="97">
      <formula>P$1=""</formula>
    </cfRule>
  </conditionalFormatting>
  <conditionalFormatting sqref="P258:AA258 P260:AA260 P262:AA262">
    <cfRule type="expression" dxfId="6739" priority="96">
      <formula>P$1=""</formula>
    </cfRule>
  </conditionalFormatting>
  <conditionalFormatting sqref="P258:AA258 P260:AA260 P262:AA262">
    <cfRule type="expression" dxfId="6738" priority="95">
      <formula>P$1=""</formula>
    </cfRule>
  </conditionalFormatting>
  <conditionalFormatting sqref="P258:AA258 P260:AA260 P262:AA262">
    <cfRule type="expression" dxfId="6737" priority="94">
      <formula>P$1=""</formula>
    </cfRule>
  </conditionalFormatting>
  <conditionalFormatting sqref="P258:AA258 P260:AA260 P262:AA262">
    <cfRule type="expression" dxfId="6736" priority="93">
      <formula>P$1=""</formula>
    </cfRule>
  </conditionalFormatting>
  <conditionalFormatting sqref="P258:AA258 P260:AA260 P262:AA262">
    <cfRule type="expression" dxfId="6735" priority="92">
      <formula>P$1=""</formula>
    </cfRule>
  </conditionalFormatting>
  <conditionalFormatting sqref="P258:AA258 P260:AA260 P262:AA262">
    <cfRule type="expression" dxfId="6734" priority="91">
      <formula>P$1=""</formula>
    </cfRule>
  </conditionalFormatting>
  <conditionalFormatting sqref="P262:AA262 P260:AA260">
    <cfRule type="expression" dxfId="6733" priority="90">
      <formula>P$1=""</formula>
    </cfRule>
  </conditionalFormatting>
  <conditionalFormatting sqref="P262:AA262 P260:AA260">
    <cfRule type="expression" dxfId="6732" priority="89">
      <formula>P$1=""</formula>
    </cfRule>
  </conditionalFormatting>
  <conditionalFormatting sqref="Q262:AA262 Q260:AA260">
    <cfRule type="expression" dxfId="6731" priority="88">
      <formula>Q$1=""</formula>
    </cfRule>
  </conditionalFormatting>
  <conditionalFormatting sqref="Q262:AA262 Q260:AA260">
    <cfRule type="expression" dxfId="6730" priority="87">
      <formula>Q$1=""</formula>
    </cfRule>
  </conditionalFormatting>
  <conditionalFormatting sqref="Q262:AA262 Q260:AA260">
    <cfRule type="expression" dxfId="6729" priority="86">
      <formula>Q$1=""</formula>
    </cfRule>
  </conditionalFormatting>
  <conditionalFormatting sqref="Q262:AA262 Q260:AA260">
    <cfRule type="expression" dxfId="6728" priority="85">
      <formula>Q$1=""</formula>
    </cfRule>
  </conditionalFormatting>
  <conditionalFormatting sqref="Q262:AA262 Q260:AA260">
    <cfRule type="expression" dxfId="6727" priority="84">
      <formula>Q$1=""</formula>
    </cfRule>
  </conditionalFormatting>
  <conditionalFormatting sqref="Q262:AA262 Q260:AA260">
    <cfRule type="expression" dxfId="6726" priority="83">
      <formula>Q$1=""</formula>
    </cfRule>
  </conditionalFormatting>
  <conditionalFormatting sqref="Q262:AA262 Q260:AA260">
    <cfRule type="expression" dxfId="6725" priority="82">
      <formula>Q$1=""</formula>
    </cfRule>
  </conditionalFormatting>
  <conditionalFormatting sqref="Q262:AA262 Q260:AA260">
    <cfRule type="expression" dxfId="6724" priority="81">
      <formula>Q$1=""</formula>
    </cfRule>
  </conditionalFormatting>
  <conditionalFormatting sqref="P262:AA262 P260:AA260">
    <cfRule type="expression" dxfId="6723" priority="80">
      <formula>P$1=""</formula>
    </cfRule>
  </conditionalFormatting>
  <conditionalFormatting sqref="P262:AA262 P260:AA260">
    <cfRule type="expression" dxfId="6722" priority="79">
      <formula>P$1=""</formula>
    </cfRule>
  </conditionalFormatting>
  <conditionalFormatting sqref="P262 P260 P258">
    <cfRule type="expression" dxfId="6721" priority="78">
      <formula>P$1=""</formula>
    </cfRule>
  </conditionalFormatting>
  <conditionalFormatting sqref="P262 P260 P258">
    <cfRule type="expression" dxfId="6720" priority="77">
      <formula>P$1=""</formula>
    </cfRule>
  </conditionalFormatting>
  <conditionalFormatting sqref="P262 P260 P258">
    <cfRule type="expression" dxfId="6719" priority="76">
      <formula>P$1=""</formula>
    </cfRule>
  </conditionalFormatting>
  <conditionalFormatting sqref="P262 P260 P258">
    <cfRule type="expression" dxfId="6718" priority="75">
      <formula>P$1=""</formula>
    </cfRule>
  </conditionalFormatting>
  <conditionalFormatting sqref="P262 P260 P258">
    <cfRule type="expression" dxfId="6717" priority="74">
      <formula>P$1=""</formula>
    </cfRule>
  </conditionalFormatting>
  <conditionalFormatting sqref="P262 P260 P258">
    <cfRule type="expression" dxfId="6716" priority="73">
      <formula>P$1=""</formula>
    </cfRule>
  </conditionalFormatting>
  <conditionalFormatting sqref="P262 P260 P258">
    <cfRule type="expression" dxfId="6715" priority="72">
      <formula>P$1=""</formula>
    </cfRule>
  </conditionalFormatting>
  <conditionalFormatting sqref="P262 P260 P258">
    <cfRule type="expression" dxfId="6714" priority="71">
      <formula>P$1=""</formula>
    </cfRule>
  </conditionalFormatting>
  <conditionalFormatting sqref="P258">
    <cfRule type="expression" dxfId="6713" priority="70">
      <formula>P$1=""</formula>
    </cfRule>
  </conditionalFormatting>
  <conditionalFormatting sqref="P262 P260 P258">
    <cfRule type="expression" dxfId="6712" priority="69">
      <formula>P$1=""</formula>
    </cfRule>
  </conditionalFormatting>
  <conditionalFormatting sqref="P262 P260 P258">
    <cfRule type="expression" dxfId="6711" priority="68">
      <formula>P$1=""</formula>
    </cfRule>
  </conditionalFormatting>
  <conditionalFormatting sqref="P262 P260 P258">
    <cfRule type="expression" dxfId="6710" priority="67">
      <formula>P$1=""</formula>
    </cfRule>
  </conditionalFormatting>
  <conditionalFormatting sqref="P262 P260 P258">
    <cfRule type="expression" dxfId="6709" priority="66">
      <formula>P$1=""</formula>
    </cfRule>
  </conditionalFormatting>
  <conditionalFormatting sqref="P262 P260 P258">
    <cfRule type="expression" dxfId="6708" priority="65">
      <formula>P$1=""</formula>
    </cfRule>
  </conditionalFormatting>
  <conditionalFormatting sqref="P258">
    <cfRule type="expression" dxfId="6707" priority="64">
      <formula>P$1=""</formula>
    </cfRule>
  </conditionalFormatting>
  <conditionalFormatting sqref="P262 P260 P258">
    <cfRule type="expression" dxfId="6706" priority="63">
      <formula>P$1=""</formula>
    </cfRule>
  </conditionalFormatting>
  <conditionalFormatting sqref="P262 P260 P258">
    <cfRule type="expression" dxfId="6705" priority="62">
      <formula>P$1=""</formula>
    </cfRule>
  </conditionalFormatting>
  <conditionalFormatting sqref="P262 P260 P258">
    <cfRule type="expression" dxfId="6704" priority="61">
      <formula>P$1=""</formula>
    </cfRule>
  </conditionalFormatting>
  <conditionalFormatting sqref="P262 P260 P258">
    <cfRule type="expression" dxfId="6703" priority="60">
      <formula>P$1=""</formula>
    </cfRule>
  </conditionalFormatting>
  <conditionalFormatting sqref="P262 P260 P258">
    <cfRule type="expression" dxfId="6702" priority="59">
      <formula>P$1=""</formula>
    </cfRule>
  </conditionalFormatting>
  <conditionalFormatting sqref="P262 P260 P258">
    <cfRule type="expression" dxfId="6701" priority="58">
      <formula>P$1=""</formula>
    </cfRule>
  </conditionalFormatting>
  <conditionalFormatting sqref="P262 P260 P258">
    <cfRule type="expression" dxfId="6700" priority="57">
      <formula>P$1=""</formula>
    </cfRule>
  </conditionalFormatting>
  <conditionalFormatting sqref="P262 P260 P258">
    <cfRule type="expression" dxfId="6699" priority="56">
      <formula>P$1=""</formula>
    </cfRule>
  </conditionalFormatting>
  <conditionalFormatting sqref="Q262:AA262 Q260:AA260 Q258:AA258">
    <cfRule type="expression" dxfId="6698" priority="55">
      <formula>Q$1=""</formula>
    </cfRule>
  </conditionalFormatting>
  <conditionalFormatting sqref="Q262:AA262 Q260:AA260 Q258:AA258">
    <cfRule type="expression" dxfId="6697" priority="54">
      <formula>Q$1=""</formula>
    </cfRule>
  </conditionalFormatting>
  <conditionalFormatting sqref="Q262:AA262 Q260:AA260 Q258:AA258">
    <cfRule type="expression" dxfId="6696" priority="53">
      <formula>Q$1=""</formula>
    </cfRule>
  </conditionalFormatting>
  <conditionalFormatting sqref="Q262:AA262 Q260:AA260 Q258:AA258">
    <cfRule type="expression" dxfId="6695" priority="52">
      <formula>Q$1=""</formula>
    </cfRule>
  </conditionalFormatting>
  <conditionalFormatting sqref="Q262:AA262 Q260:AA260 Q258:AA258">
    <cfRule type="expression" dxfId="6694" priority="51">
      <formula>Q$1=""</formula>
    </cfRule>
  </conditionalFormatting>
  <conditionalFormatting sqref="Q262:AA262 Q260:AA260 Q258:AA258">
    <cfRule type="expression" dxfId="6693" priority="50">
      <formula>Q$1=""</formula>
    </cfRule>
  </conditionalFormatting>
  <conditionalFormatting sqref="Q262:AA262 Q260:AA260 Q258:AA258">
    <cfRule type="expression" dxfId="6692" priority="49">
      <formula>Q$1=""</formula>
    </cfRule>
  </conditionalFormatting>
  <conditionalFormatting sqref="Q262:AA262 Q260:AA260 Q258:AA258">
    <cfRule type="expression" dxfId="6691" priority="48">
      <formula>Q$1=""</formula>
    </cfRule>
  </conditionalFormatting>
  <conditionalFormatting sqref="Q258:AA258">
    <cfRule type="expression" dxfId="6690" priority="47">
      <formula>Q$1=""</formula>
    </cfRule>
  </conditionalFormatting>
  <conditionalFormatting sqref="Q262:AA262 Q260:AA260 Q258:AA258">
    <cfRule type="expression" dxfId="6689" priority="46">
      <formula>Q$1=""</formula>
    </cfRule>
  </conditionalFormatting>
  <conditionalFormatting sqref="Q262:AA262 Q260:AA260 Q258:AA258">
    <cfRule type="expression" dxfId="6688" priority="45">
      <formula>Q$1=""</formula>
    </cfRule>
  </conditionalFormatting>
  <conditionalFormatting sqref="Q262:AA262 Q260:AA260 Q258:AA258">
    <cfRule type="expression" dxfId="6687" priority="44">
      <formula>Q$1=""</formula>
    </cfRule>
  </conditionalFormatting>
  <conditionalFormatting sqref="Q262:AA262 Q260:AA260 Q258:AA258">
    <cfRule type="expression" dxfId="6686" priority="43">
      <formula>Q$1=""</formula>
    </cfRule>
  </conditionalFormatting>
  <conditionalFormatting sqref="Q262:AA262 Q260:AA260 Q258:AA258">
    <cfRule type="expression" dxfId="6685" priority="42">
      <formula>Q$1=""</formula>
    </cfRule>
  </conditionalFormatting>
  <conditionalFormatting sqref="Q258:AA258">
    <cfRule type="expression" dxfId="6684" priority="41">
      <formula>Q$1=""</formula>
    </cfRule>
  </conditionalFormatting>
  <conditionalFormatting sqref="Q262:AA262 Q260:AA260 Q258:AA258">
    <cfRule type="expression" dxfId="6683" priority="40">
      <formula>Q$1=""</formula>
    </cfRule>
  </conditionalFormatting>
  <conditionalFormatting sqref="Q262:AA262 Q260:AA260 Q258:AA258">
    <cfRule type="expression" dxfId="6682" priority="39">
      <formula>Q$1=""</formula>
    </cfRule>
  </conditionalFormatting>
  <conditionalFormatting sqref="Q262:AA262 Q260:AA260 Q258:AA258">
    <cfRule type="expression" dxfId="6681" priority="38">
      <formula>Q$1=""</formula>
    </cfRule>
  </conditionalFormatting>
  <conditionalFormatting sqref="Q262:AA262 Q260:AA260 Q258:AA258">
    <cfRule type="expression" dxfId="6680" priority="37">
      <formula>Q$1=""</formula>
    </cfRule>
  </conditionalFormatting>
  <conditionalFormatting sqref="Q262:AA262 Q260:AA260 Q258:AA258">
    <cfRule type="expression" dxfId="6679" priority="36">
      <formula>Q$1=""</formula>
    </cfRule>
  </conditionalFormatting>
  <conditionalFormatting sqref="Q262:AA262 Q260:AA260 Q258:AA258">
    <cfRule type="expression" dxfId="6678" priority="35">
      <formula>Q$1=""</formula>
    </cfRule>
  </conditionalFormatting>
  <conditionalFormatting sqref="Q262:AA262 Q260:AA260 Q258:AA258">
    <cfRule type="expression" dxfId="6677" priority="34">
      <formula>Q$1=""</formula>
    </cfRule>
  </conditionalFormatting>
  <conditionalFormatting sqref="Q262:AA262 Q260:AA260 Q258:AA258">
    <cfRule type="expression" dxfId="6676" priority="33">
      <formula>Q$1=""</formula>
    </cfRule>
  </conditionalFormatting>
  <conditionalFormatting sqref="E11:G11">
    <cfRule type="cellIs" dxfId="6675" priority="32" operator="equal">
      <formula>0</formula>
    </cfRule>
  </conditionalFormatting>
  <conditionalFormatting sqref="P11:AA11">
    <cfRule type="cellIs" dxfId="6674" priority="31" operator="equal">
      <formula>0</formula>
    </cfRule>
  </conditionalFormatting>
  <conditionalFormatting sqref="P11:AA11">
    <cfRule type="expression" dxfId="6673" priority="30">
      <formula>P$1=""</formula>
    </cfRule>
  </conditionalFormatting>
  <conditionalFormatting sqref="P11:AA11">
    <cfRule type="expression" dxfId="6672" priority="29">
      <formula>P$1=""</formula>
    </cfRule>
  </conditionalFormatting>
  <conditionalFormatting sqref="P11:AA11">
    <cfRule type="expression" dxfId="6671" priority="28">
      <formula>P$1=""</formula>
    </cfRule>
  </conditionalFormatting>
  <conditionalFormatting sqref="P11:AA11">
    <cfRule type="expression" dxfId="6670" priority="27">
      <formula>P$1=""</formula>
    </cfRule>
  </conditionalFormatting>
  <conditionalFormatting sqref="P52:AB52 P50:AB50 P48:AB48">
    <cfRule type="expression" dxfId="6669" priority="26">
      <formula>P$1=""</formula>
    </cfRule>
  </conditionalFormatting>
  <conditionalFormatting sqref="P62:AA62 P60:AA60 P58:AA58">
    <cfRule type="expression" dxfId="6668" priority="25">
      <formula>P$1=""</formula>
    </cfRule>
  </conditionalFormatting>
  <conditionalFormatting sqref="P72:AA72 P70:AA70 P68:AA68">
    <cfRule type="expression" dxfId="6667" priority="24">
      <formula>P$1=""</formula>
    </cfRule>
  </conditionalFormatting>
  <conditionalFormatting sqref="P91:AA91 P89:AA89 P87:AA87">
    <cfRule type="expression" dxfId="6666" priority="23">
      <formula>P$1=""</formula>
    </cfRule>
  </conditionalFormatting>
  <conditionalFormatting sqref="P101:AA101 P99:AA99 P97:AA97">
    <cfRule type="expression" dxfId="6665" priority="22">
      <formula>P$1=""</formula>
    </cfRule>
  </conditionalFormatting>
  <conditionalFormatting sqref="P123:AA123 P121:AA121">
    <cfRule type="expression" dxfId="6664" priority="21">
      <formula>P$1=""</formula>
    </cfRule>
  </conditionalFormatting>
  <conditionalFormatting sqref="P123:AA123 P121:AA121">
    <cfRule type="expression" dxfId="6663" priority="20">
      <formula>P$1=""</formula>
    </cfRule>
  </conditionalFormatting>
  <conditionalFormatting sqref="P171:AA171 P169:AA169 P167:AA167">
    <cfRule type="expression" dxfId="6662" priority="19">
      <formula>P$1=""</formula>
    </cfRule>
  </conditionalFormatting>
  <conditionalFormatting sqref="P171:AA171 P169:AA169 P167:AA167">
    <cfRule type="expression" dxfId="6661" priority="18">
      <formula>P$1=""</formula>
    </cfRule>
  </conditionalFormatting>
  <conditionalFormatting sqref="P171:AA171 P169:AA169 P167:AA167">
    <cfRule type="expression" dxfId="6660" priority="17">
      <formula>P$1=""</formula>
    </cfRule>
  </conditionalFormatting>
  <conditionalFormatting sqref="P171:AA171 P169:AA169 P167:AA167">
    <cfRule type="expression" dxfId="6659" priority="16">
      <formula>P$1=""</formula>
    </cfRule>
  </conditionalFormatting>
  <conditionalFormatting sqref="P171:AA171 P169:AA169 P167:AA167">
    <cfRule type="expression" dxfId="6658" priority="15">
      <formula>P$1=""</formula>
    </cfRule>
  </conditionalFormatting>
  <conditionalFormatting sqref="P171:AA171 P169:AA169 P167:AA167">
    <cfRule type="expression" dxfId="6657" priority="14">
      <formula>P$1=""</formula>
    </cfRule>
  </conditionalFormatting>
  <conditionalFormatting sqref="P171:AA171 P169:AA169 P167:AA167">
    <cfRule type="expression" dxfId="6656" priority="13">
      <formula>P$1=""</formula>
    </cfRule>
  </conditionalFormatting>
  <conditionalFormatting sqref="P171:AA171 P169:AA169 P167:AA167">
    <cfRule type="expression" dxfId="6655" priority="12">
      <formula>P$1=""</formula>
    </cfRule>
  </conditionalFormatting>
  <conditionalFormatting sqref="P76:AA76">
    <cfRule type="expression" dxfId="6654" priority="11">
      <formula>P$1=""</formula>
    </cfRule>
  </conditionalFormatting>
  <conditionalFormatting sqref="P78:AA78">
    <cfRule type="expression" dxfId="6653" priority="10">
      <formula>P$1=""</formula>
    </cfRule>
  </conditionalFormatting>
  <conditionalFormatting sqref="P80:AA80">
    <cfRule type="expression" dxfId="6652" priority="9">
      <formula>P$1=""</formula>
    </cfRule>
  </conditionalFormatting>
  <conditionalFormatting sqref="P82:AA82">
    <cfRule type="expression" dxfId="6651" priority="8">
      <formula>P$1=""</formula>
    </cfRule>
  </conditionalFormatting>
  <conditionalFormatting sqref="P82:AA82 P80:AA80 P78:AA78">
    <cfRule type="expression" dxfId="6650" priority="7">
      <formula>P$1=""</formula>
    </cfRule>
  </conditionalFormatting>
  <conditionalFormatting sqref="P82:AA82 P80:AA80 P78:AA78">
    <cfRule type="expression" dxfId="6649" priority="6">
      <formula>P$1=""</formula>
    </cfRule>
  </conditionalFormatting>
  <conditionalFormatting sqref="P82:AA82 P80:AA80 P78:AA78">
    <cfRule type="expression" dxfId="6648" priority="5">
      <formula>P$1=""</formula>
    </cfRule>
  </conditionalFormatting>
  <conditionalFormatting sqref="P82:AA82 P80:AA80 P78:AA78">
    <cfRule type="expression" dxfId="6647" priority="4">
      <formula>P$1=""</formula>
    </cfRule>
  </conditionalFormatting>
  <conditionalFormatting sqref="P82:AA82 P80:AA80 P78:AA78">
    <cfRule type="expression" dxfId="6646" priority="3">
      <formula>P$1=""</formula>
    </cfRule>
  </conditionalFormatting>
  <conditionalFormatting sqref="P82:AA82 P80:AA80 P78:AA78">
    <cfRule type="expression" dxfId="6645" priority="2">
      <formula>P$1=""</formula>
    </cfRule>
  </conditionalFormatting>
  <conditionalFormatting sqref="P48:AB48 P50:AB50 P52:AB52">
    <cfRule type="expression" dxfId="6644" priority="1">
      <formula>P$1=""</formula>
    </cfRule>
  </conditionalFormatting>
  <hyperlinks>
    <hyperlink ref="A1:D1" location="оглавление!A1" tooltip="оглавление" display="оглавление"/>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B278"/>
  <sheetViews>
    <sheetView workbookViewId="0">
      <pane xSplit="14" ySplit="10" topLeftCell="O238" activePane="bottomRight" state="frozen"/>
      <selection pane="topRight" activeCell="O1" sqref="O1"/>
      <selection pane="bottomLeft" activeCell="A11" sqref="A11"/>
      <selection pane="bottomRight" activeCell="E250" sqref="E250"/>
    </sheetView>
  </sheetViews>
  <sheetFormatPr defaultColWidth="9.109375" defaultRowHeight="12" x14ac:dyDescent="0.25"/>
  <cols>
    <col min="1" max="1" width="2.6640625" style="151" customWidth="1"/>
    <col min="2" max="2" width="2.6640625" style="133" customWidth="1"/>
    <col min="3" max="3" width="2.6640625" style="1" customWidth="1"/>
    <col min="4" max="4" width="4"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tr">
        <f>операции!$M$1</f>
        <v>№года</v>
      </c>
      <c r="N1" s="42"/>
      <c r="O1" s="42"/>
      <c r="P1" s="43">
        <f>операции!P1</f>
        <v>1</v>
      </c>
      <c r="Q1" s="43">
        <f>операции!Q1</f>
        <v>2</v>
      </c>
      <c r="R1" s="43">
        <f>операции!R1</f>
        <v>3</v>
      </c>
      <c r="S1" s="43">
        <f>операции!S1</f>
        <v>4</v>
      </c>
      <c r="T1" s="43">
        <f>операции!T1</f>
        <v>5</v>
      </c>
      <c r="U1" s="43">
        <f>операции!U1</f>
        <v>6</v>
      </c>
      <c r="V1" s="43">
        <f>операции!V1</f>
        <v>7</v>
      </c>
      <c r="W1" s="43" t="str">
        <f>операции!W1</f>
        <v/>
      </c>
      <c r="X1" s="43" t="str">
        <f>операции!X1</f>
        <v/>
      </c>
      <c r="Y1" s="43" t="str">
        <f>операции!Y1</f>
        <v/>
      </c>
      <c r="Z1" s="43" t="str">
        <f>операции!Z1</f>
        <v/>
      </c>
      <c r="AA1" s="43" t="str">
        <f>операции!AA1</f>
        <v/>
      </c>
      <c r="AB1" s="2"/>
    </row>
    <row r="2" spans="1:28" x14ac:dyDescent="0.25">
      <c r="A2" s="149"/>
      <c r="B2" s="131"/>
      <c r="C2" s="2"/>
      <c r="D2" s="2"/>
      <c r="E2" s="2"/>
      <c r="F2" s="2"/>
      <c r="G2" s="2"/>
      <c r="H2" s="2"/>
      <c r="I2" s="28"/>
      <c r="J2" s="2"/>
      <c r="K2" s="28"/>
      <c r="L2" s="2"/>
      <c r="M2" s="52"/>
      <c r="N2" s="2"/>
      <c r="O2" s="2"/>
      <c r="P2" s="194">
        <v>1</v>
      </c>
      <c r="Q2" s="195">
        <f>P2+1</f>
        <v>2</v>
      </c>
      <c r="R2" s="195">
        <f t="shared" ref="R2:AA2" si="0">Q2+1</f>
        <v>3</v>
      </c>
      <c r="S2" s="195">
        <f t="shared" si="0"/>
        <v>4</v>
      </c>
      <c r="T2" s="195">
        <f t="shared" si="0"/>
        <v>5</v>
      </c>
      <c r="U2" s="195">
        <f t="shared" si="0"/>
        <v>6</v>
      </c>
      <c r="V2" s="195">
        <f t="shared" si="0"/>
        <v>7</v>
      </c>
      <c r="W2" s="195">
        <f t="shared" si="0"/>
        <v>8</v>
      </c>
      <c r="X2" s="195">
        <f t="shared" si="0"/>
        <v>9</v>
      </c>
      <c r="Y2" s="195">
        <f t="shared" si="0"/>
        <v>10</v>
      </c>
      <c r="Z2" s="195">
        <f t="shared" si="0"/>
        <v>11</v>
      </c>
      <c r="AA2" s="195">
        <f t="shared" si="0"/>
        <v>12</v>
      </c>
      <c r="AB2" s="2"/>
    </row>
    <row r="3" spans="1:28" x14ac:dyDescent="0.25">
      <c r="A3" s="149"/>
      <c r="B3" s="131"/>
      <c r="C3" s="89" t="str">
        <f>методология!$E$4</f>
        <v>Инвестмодель базы отдыха - Беседки &amp; Веревочный парк</v>
      </c>
      <c r="D3" s="20"/>
      <c r="E3" s="20"/>
      <c r="F3" s="2"/>
      <c r="G3" s="2"/>
      <c r="H3" s="2"/>
      <c r="I3" s="28"/>
      <c r="J3" s="302" t="s">
        <v>361</v>
      </c>
      <c r="K3" s="28"/>
      <c r="L3" s="2"/>
      <c r="M3" s="52"/>
      <c r="N3" s="2"/>
      <c r="O3" s="2"/>
      <c r="P3" s="2"/>
      <c r="Q3" s="2"/>
      <c r="R3" s="2"/>
      <c r="S3" s="2"/>
      <c r="T3" s="2"/>
      <c r="U3" s="2"/>
      <c r="V3" s="2"/>
      <c r="W3" s="2"/>
      <c r="X3" s="2"/>
      <c r="Y3" s="2"/>
      <c r="Z3" s="2"/>
      <c r="AA3" s="2"/>
      <c r="AB3" s="2"/>
    </row>
    <row r="4" spans="1:28" x14ac:dyDescent="0.25">
      <c r="A4" s="149"/>
      <c r="B4" s="131"/>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149"/>
      <c r="B5" s="131"/>
      <c r="C5" s="2"/>
      <c r="D5" s="2"/>
      <c r="E5" s="2"/>
      <c r="F5" s="2"/>
      <c r="G5" s="154" t="s">
        <v>309</v>
      </c>
      <c r="H5" s="2"/>
      <c r="I5" s="28"/>
      <c r="J5" s="2"/>
      <c r="K5" s="28"/>
      <c r="L5" s="2"/>
      <c r="M5" s="52"/>
      <c r="N5" s="2"/>
      <c r="O5" s="2"/>
      <c r="P5" s="2"/>
      <c r="Q5" s="2"/>
      <c r="R5" s="2"/>
      <c r="S5" s="2"/>
      <c r="T5" s="2"/>
      <c r="U5" s="2"/>
      <c r="V5" s="2"/>
      <c r="W5" s="2"/>
      <c r="X5" s="2"/>
      <c r="Y5" s="2"/>
      <c r="Z5" s="2"/>
      <c r="AA5" s="2"/>
      <c r="AB5" s="2"/>
    </row>
    <row r="6" spans="1:28" x14ac:dyDescent="0.25">
      <c r="A6" s="149"/>
      <c r="B6" s="131"/>
      <c r="C6" s="225" t="s">
        <v>332</v>
      </c>
      <c r="D6" s="210"/>
      <c r="E6" s="226"/>
      <c r="F6" s="2"/>
      <c r="G6" s="104" t="str">
        <f>сценарии!$J$7</f>
        <v>сценарий-1</v>
      </c>
      <c r="H6" s="2"/>
      <c r="I6" s="28"/>
      <c r="J6" s="2"/>
      <c r="K6" s="28"/>
      <c r="L6" s="2"/>
      <c r="M6" s="52"/>
      <c r="N6" s="2"/>
      <c r="O6" s="2"/>
      <c r="P6" s="96" t="str">
        <f>операции!P6</f>
        <v>2022г.</v>
      </c>
      <c r="Q6" s="96" t="str">
        <f>операции!Q6</f>
        <v>2023г.</v>
      </c>
      <c r="R6" s="96" t="str">
        <f>операции!R6</f>
        <v>2024г.</v>
      </c>
      <c r="S6" s="96" t="str">
        <f>операции!S6</f>
        <v>2025г.</v>
      </c>
      <c r="T6" s="96" t="str">
        <f>операции!T6</f>
        <v>2026г.</v>
      </c>
      <c r="U6" s="96" t="str">
        <f>операции!U6</f>
        <v>2027г.</v>
      </c>
      <c r="V6" s="96" t="str">
        <f>операции!V6</f>
        <v>2028г.</v>
      </c>
      <c r="W6" s="96" t="str">
        <f>операции!W6</f>
        <v/>
      </c>
      <c r="X6" s="96" t="str">
        <f>операции!X6</f>
        <v/>
      </c>
      <c r="Y6" s="96" t="str">
        <f>операции!Y6</f>
        <v/>
      </c>
      <c r="Z6" s="96" t="str">
        <f>операции!Z6</f>
        <v/>
      </c>
      <c r="AA6" s="96" t="str">
        <f>операции!AA6</f>
        <v/>
      </c>
      <c r="AB6" s="2"/>
    </row>
    <row r="7" spans="1:28" ht="12.6" thickBot="1" x14ac:dyDescent="0.3">
      <c r="A7" s="149"/>
      <c r="B7" s="182" t="s">
        <v>285</v>
      </c>
      <c r="C7" s="2"/>
      <c r="D7" s="2"/>
      <c r="E7" s="2"/>
      <c r="F7" s="2"/>
      <c r="G7" s="2"/>
      <c r="H7" s="2"/>
      <c r="I7" s="28"/>
      <c r="J7" s="2"/>
      <c r="K7" s="28"/>
      <c r="L7" s="2"/>
      <c r="M7" s="52"/>
      <c r="N7" s="2"/>
      <c r="O7" s="2"/>
      <c r="P7" s="94">
        <f>операции!P7</f>
        <v>44562</v>
      </c>
      <c r="Q7" s="94">
        <f>операции!Q7</f>
        <v>44927</v>
      </c>
      <c r="R7" s="94">
        <f>операции!R7</f>
        <v>45292</v>
      </c>
      <c r="S7" s="94">
        <f>операции!S7</f>
        <v>45658</v>
      </c>
      <c r="T7" s="94">
        <f>операции!T7</f>
        <v>46023</v>
      </c>
      <c r="U7" s="94">
        <f>операции!U7</f>
        <v>46388</v>
      </c>
      <c r="V7" s="94">
        <f>операции!V7</f>
        <v>46753</v>
      </c>
      <c r="W7" s="94" t="str">
        <f>операции!W7</f>
        <v/>
      </c>
      <c r="X7" s="94" t="str">
        <f>операции!X7</f>
        <v/>
      </c>
      <c r="Y7" s="94" t="str">
        <f>операции!Y7</f>
        <v/>
      </c>
      <c r="Z7" s="94" t="str">
        <f>операции!Z7</f>
        <v/>
      </c>
      <c r="AA7" s="94" t="str">
        <f>операции!AA7</f>
        <v/>
      </c>
      <c r="AB7" s="2"/>
    </row>
    <row r="8" spans="1:28" s="5" customFormat="1" ht="12.6" thickBot="1" x14ac:dyDescent="0.3">
      <c r="A8" s="150">
        <f>1</f>
        <v>1</v>
      </c>
      <c r="B8" s="152"/>
      <c r="C8" s="3"/>
      <c r="D8" s="3"/>
      <c r="E8" s="3" t="str">
        <f>KPI!$E$8</f>
        <v>KPI</v>
      </c>
      <c r="F8" s="3"/>
      <c r="G8" s="28" t="str">
        <f>KPI!$G$8</f>
        <v>ед.изм.</v>
      </c>
      <c r="H8" s="3"/>
      <c r="I8" s="28"/>
      <c r="J8" s="3"/>
      <c r="K8" s="28"/>
      <c r="L8" s="3"/>
      <c r="M8" s="53" t="str">
        <f>операции!M8</f>
        <v>итого</v>
      </c>
      <c r="N8" s="3"/>
      <c r="O8" s="3"/>
      <c r="P8" s="95">
        <f>операции!P8</f>
        <v>44926</v>
      </c>
      <c r="Q8" s="95">
        <f>операции!Q8</f>
        <v>45291</v>
      </c>
      <c r="R8" s="95">
        <f>операции!R8</f>
        <v>45657</v>
      </c>
      <c r="S8" s="95">
        <f>операции!S8</f>
        <v>46022</v>
      </c>
      <c r="T8" s="95">
        <f>операции!T8</f>
        <v>46387</v>
      </c>
      <c r="U8" s="95">
        <f>операции!U8</f>
        <v>46752</v>
      </c>
      <c r="V8" s="95">
        <f>операции!V8</f>
        <v>47118</v>
      </c>
      <c r="W8" s="95" t="str">
        <f>операции!W8</f>
        <v/>
      </c>
      <c r="X8" s="95" t="str">
        <f>операции!X8</f>
        <v/>
      </c>
      <c r="Y8" s="95" t="str">
        <f>операции!Y8</f>
        <v/>
      </c>
      <c r="Z8" s="95" t="str">
        <f>операции!Z8</f>
        <v/>
      </c>
      <c r="AA8" s="95" t="str">
        <f>операции!AA8</f>
        <v/>
      </c>
      <c r="AB8" s="3"/>
    </row>
    <row r="9" spans="1:28" ht="3.9" customHeight="1" x14ac:dyDescent="0.25">
      <c r="A9" s="149">
        <f>1</f>
        <v>1</v>
      </c>
      <c r="B9" s="131"/>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customHeight="1" x14ac:dyDescent="0.25">
      <c r="A10" s="149">
        <f>1</f>
        <v>1</v>
      </c>
      <c r="B10" s="131"/>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x14ac:dyDescent="0.25">
      <c r="A11" s="150">
        <f>1</f>
        <v>1</v>
      </c>
      <c r="B11" s="131"/>
      <c r="C11" s="3"/>
      <c r="D11" s="3"/>
      <c r="E11" s="296"/>
      <c r="F11" s="296"/>
      <c r="G11" s="296"/>
      <c r="H11" s="3"/>
      <c r="I11" s="28"/>
      <c r="J11" s="3"/>
      <c r="K11" s="28"/>
      <c r="L11" s="3"/>
      <c r="M11" s="55"/>
      <c r="N11" s="3"/>
      <c r="O11" s="3"/>
      <c r="P11" s="301"/>
      <c r="Q11" s="301"/>
      <c r="R11" s="301"/>
      <c r="S11" s="301"/>
      <c r="T11" s="301"/>
      <c r="U11" s="301"/>
      <c r="V11" s="301"/>
      <c r="W11" s="301"/>
      <c r="X11" s="301"/>
      <c r="Y11" s="301"/>
      <c r="Z11" s="301"/>
      <c r="AA11" s="301"/>
      <c r="AB11" s="3"/>
    </row>
    <row r="12" spans="1:28" ht="3.9" customHeight="1" x14ac:dyDescent="0.25">
      <c r="A12" s="149">
        <f>1</f>
        <v>1</v>
      </c>
      <c r="B12" s="131"/>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x14ac:dyDescent="0.25">
      <c r="A13" s="150">
        <f>1</f>
        <v>1</v>
      </c>
      <c r="B13" s="131"/>
      <c r="C13" s="3"/>
      <c r="D13" s="3"/>
      <c r="E13" s="181" t="s">
        <v>274</v>
      </c>
      <c r="F13" s="3"/>
      <c r="G13" s="3"/>
      <c r="H13" s="3"/>
      <c r="I13" s="28"/>
      <c r="J13" s="3"/>
      <c r="K13" s="28"/>
      <c r="L13" s="3"/>
      <c r="M13" s="55"/>
      <c r="N13" s="3"/>
      <c r="O13" s="3"/>
      <c r="P13" s="46"/>
      <c r="Q13" s="46"/>
      <c r="R13" s="46"/>
      <c r="S13" s="46"/>
      <c r="T13" s="46"/>
      <c r="U13" s="46"/>
      <c r="V13" s="46"/>
      <c r="W13" s="46"/>
      <c r="X13" s="46"/>
      <c r="Y13" s="46"/>
      <c r="Z13" s="46"/>
      <c r="AA13" s="46"/>
      <c r="AB13" s="3"/>
    </row>
    <row r="14" spans="1:28" ht="8.1" customHeight="1" x14ac:dyDescent="0.25">
      <c r="A14" s="149">
        <f>1</f>
        <v>1</v>
      </c>
      <c r="B14" s="131"/>
      <c r="C14" s="2"/>
      <c r="D14" s="2"/>
      <c r="E14" s="2"/>
      <c r="F14" s="2"/>
      <c r="G14" s="2"/>
      <c r="H14" s="2"/>
      <c r="I14" s="28"/>
      <c r="J14" s="2"/>
      <c r="K14" s="28"/>
      <c r="L14" s="2"/>
      <c r="M14" s="52"/>
      <c r="N14" s="2"/>
      <c r="O14" s="2"/>
      <c r="P14" s="36"/>
      <c r="Q14" s="36"/>
      <c r="R14" s="36"/>
      <c r="S14" s="36"/>
      <c r="T14" s="36"/>
      <c r="U14" s="36"/>
      <c r="V14" s="36"/>
      <c r="W14" s="36"/>
      <c r="X14" s="36"/>
      <c r="Y14" s="36"/>
      <c r="Z14" s="36"/>
      <c r="AA14" s="36"/>
      <c r="AB14" s="2"/>
    </row>
    <row r="15" spans="1:28" ht="3.9" customHeight="1" x14ac:dyDescent="0.25">
      <c r="A15" s="149">
        <f>1</f>
        <v>1</v>
      </c>
      <c r="B15" s="131"/>
      <c r="C15" s="2"/>
      <c r="D15" s="2"/>
      <c r="E15" s="2"/>
      <c r="F15" s="2"/>
      <c r="G15" s="2"/>
      <c r="H15" s="2"/>
      <c r="I15" s="28"/>
      <c r="J15" s="2"/>
      <c r="K15" s="28"/>
      <c r="L15" s="2"/>
      <c r="M15" s="52"/>
      <c r="N15" s="2"/>
      <c r="O15" s="2"/>
      <c r="P15" s="36"/>
      <c r="Q15" s="36"/>
      <c r="R15" s="36"/>
      <c r="S15" s="36"/>
      <c r="T15" s="36"/>
      <c r="U15" s="36"/>
      <c r="V15" s="36"/>
      <c r="W15" s="36"/>
      <c r="X15" s="36"/>
      <c r="Y15" s="36"/>
      <c r="Z15" s="36"/>
      <c r="AA15" s="36"/>
      <c r="AB15" s="2"/>
    </row>
    <row r="16" spans="1:28" s="5" customFormat="1" x14ac:dyDescent="0.25">
      <c r="A16" s="150">
        <f>1</f>
        <v>1</v>
      </c>
      <c r="B16" s="132" t="str">
        <f>структура!$J$12</f>
        <v>ОСНО</v>
      </c>
      <c r="C16" s="3"/>
      <c r="D16" s="3"/>
      <c r="E16" s="89" t="str">
        <f>KPI!$E$74</f>
        <v>ВЫРУЧКА</v>
      </c>
      <c r="F16" s="89"/>
      <c r="G16" s="89" t="str">
        <f>IF($E16="","",INDEX(KPI!$G:$G,SUMIFS(KPI!$B:$B,KPI!$E:$E,$E16)))</f>
        <v>тыс.руб.</v>
      </c>
      <c r="H16" s="89"/>
      <c r="I16" s="90"/>
      <c r="J16" s="130" t="str">
        <f>структура!$AL$21</f>
        <v>Без НДС</v>
      </c>
      <c r="K16" s="90"/>
      <c r="L16" s="89"/>
      <c r="M16" s="92">
        <f>SUM($O16:$AB16)</f>
        <v>14515.375000000005</v>
      </c>
      <c r="N16" s="3"/>
      <c r="O16" s="3"/>
      <c r="P16" s="93">
        <f>отчеты!P16-отч_беседки!P16-отч_вер_парк!P16</f>
        <v>1951.4624999999992</v>
      </c>
      <c r="Q16" s="93">
        <f>отчеты!Q16-отч_беседки!Q16-отч_вер_парк!Q16</f>
        <v>1979.3375000000015</v>
      </c>
      <c r="R16" s="93">
        <f>отчеты!R16-отч_беседки!R16-отч_вер_парк!R16</f>
        <v>2023.6250000000018</v>
      </c>
      <c r="S16" s="93">
        <f>отчеты!S16-отч_беседки!S16-отч_вер_парк!S16</f>
        <v>2049.0250000000015</v>
      </c>
      <c r="T16" s="93">
        <f>отчеты!T16-отч_беседки!T16-отч_вер_парк!T16</f>
        <v>2090.8375000000024</v>
      </c>
      <c r="U16" s="93">
        <f>отчеты!U16-отч_беседки!U16-отч_вер_парк!U16</f>
        <v>2160.5250000000024</v>
      </c>
      <c r="V16" s="93">
        <f>отчеты!V16-отч_беседки!V16-отч_вер_парк!V16</f>
        <v>2260.5624999999982</v>
      </c>
      <c r="W16" s="93">
        <f>отчеты!W16-отч_беседки!W16-отч_вер_парк!W16</f>
        <v>0</v>
      </c>
      <c r="X16" s="93">
        <f>отчеты!X16-отч_беседки!X16-отч_вер_парк!X16</f>
        <v>0</v>
      </c>
      <c r="Y16" s="93">
        <f>отчеты!Y16-отч_беседки!Y16-отч_вер_парк!Y16</f>
        <v>0</v>
      </c>
      <c r="Z16" s="93">
        <f>отчеты!Z16-отч_беседки!Z16-отч_вер_парк!Z16</f>
        <v>0</v>
      </c>
      <c r="AA16" s="93">
        <f>отчеты!AA16-отч_беседки!AA16-отч_вер_парк!AA16</f>
        <v>0</v>
      </c>
      <c r="AB16" s="3"/>
    </row>
    <row r="17" spans="1:28" ht="3.9" customHeight="1" x14ac:dyDescent="0.25">
      <c r="A17" s="149">
        <f>1</f>
        <v>1</v>
      </c>
      <c r="B17" s="131"/>
      <c r="C17" s="2"/>
      <c r="D17" s="2"/>
      <c r="E17" s="2"/>
      <c r="F17" s="2"/>
      <c r="G17" s="2"/>
      <c r="H17" s="2"/>
      <c r="I17" s="28"/>
      <c r="J17" s="2"/>
      <c r="K17" s="28"/>
      <c r="L17" s="2"/>
      <c r="M17" s="52"/>
      <c r="N17" s="2"/>
      <c r="O17" s="2"/>
      <c r="P17" s="36"/>
      <c r="Q17" s="36"/>
      <c r="R17" s="36"/>
      <c r="S17" s="36"/>
      <c r="T17" s="36"/>
      <c r="U17" s="36"/>
      <c r="V17" s="36"/>
      <c r="W17" s="36"/>
      <c r="X17" s="36"/>
      <c r="Y17" s="36"/>
      <c r="Z17" s="36"/>
      <c r="AA17" s="36"/>
      <c r="AB17" s="2"/>
    </row>
    <row r="18" spans="1:28" s="5" customFormat="1" x14ac:dyDescent="0.25">
      <c r="A18" s="150">
        <f>1</f>
        <v>1</v>
      </c>
      <c r="B18" s="132" t="str">
        <f>структура!$J$13</f>
        <v>УСН(6%)</v>
      </c>
      <c r="C18" s="3"/>
      <c r="D18" s="3"/>
      <c r="E18" s="89" t="str">
        <f>E16</f>
        <v>ВЫРУЧКА</v>
      </c>
      <c r="F18" s="89"/>
      <c r="G18" s="89" t="str">
        <f>IF($E18="","",INDEX(KPI!$G:$G,SUMIFS(KPI!$B:$B,KPI!$E:$E,$E18)))</f>
        <v>тыс.руб.</v>
      </c>
      <c r="H18" s="89"/>
      <c r="I18" s="90"/>
      <c r="J18" s="130"/>
      <c r="K18" s="90"/>
      <c r="L18" s="89"/>
      <c r="M18" s="92">
        <f>SUM($O18:$AB18)</f>
        <v>17418.450000000012</v>
      </c>
      <c r="N18" s="3"/>
      <c r="O18" s="3"/>
      <c r="P18" s="93">
        <f>отчеты!P18-отч_беседки!P18-отч_вер_парк!P18</f>
        <v>2341.7550000000001</v>
      </c>
      <c r="Q18" s="93">
        <f>отчеты!Q18-отч_беседки!Q18-отч_вер_парк!Q18</f>
        <v>2375.2050000000008</v>
      </c>
      <c r="R18" s="93">
        <f>отчеты!R18-отч_беседки!R18-отч_вер_парк!R18</f>
        <v>2428.3500000000013</v>
      </c>
      <c r="S18" s="93">
        <f>отчеты!S18-отч_беседки!S18-отч_вер_парк!S18</f>
        <v>2458.8300000000008</v>
      </c>
      <c r="T18" s="93">
        <f>отчеты!T18-отч_беседки!T18-отч_вер_парк!T18</f>
        <v>2509.0050000000047</v>
      </c>
      <c r="U18" s="93">
        <f>отчеты!U18-отч_беседки!U18-отч_вер_парк!U18</f>
        <v>2592.6300000000047</v>
      </c>
      <c r="V18" s="93">
        <f>отчеты!V18-отч_беседки!V18-отч_вер_парк!V18</f>
        <v>2712.6749999999993</v>
      </c>
      <c r="W18" s="93">
        <f>отчеты!W18-отч_беседки!W18-отч_вер_парк!W18</f>
        <v>0</v>
      </c>
      <c r="X18" s="93">
        <f>отчеты!X18-отч_беседки!X18-отч_вер_парк!X18</f>
        <v>0</v>
      </c>
      <c r="Y18" s="93">
        <f>отчеты!Y18-отч_беседки!Y18-отч_вер_парк!Y18</f>
        <v>0</v>
      </c>
      <c r="Z18" s="93">
        <f>отчеты!Z18-отч_беседки!Z18-отч_вер_парк!Z18</f>
        <v>0</v>
      </c>
      <c r="AA18" s="93">
        <f>отчеты!AA18-отч_беседки!AA18-отч_вер_парк!AA18</f>
        <v>0</v>
      </c>
      <c r="AB18" s="3"/>
    </row>
    <row r="19" spans="1:28" ht="3.9" customHeight="1" x14ac:dyDescent="0.25">
      <c r="A19" s="149">
        <f>1</f>
        <v>1</v>
      </c>
      <c r="B19" s="131"/>
      <c r="C19" s="2"/>
      <c r="D19" s="2"/>
      <c r="E19" s="2"/>
      <c r="F19" s="2"/>
      <c r="G19" s="2"/>
      <c r="H19" s="2"/>
      <c r="I19" s="28"/>
      <c r="J19" s="2"/>
      <c r="K19" s="28"/>
      <c r="L19" s="2"/>
      <c r="M19" s="52"/>
      <c r="N19" s="2"/>
      <c r="O19" s="2"/>
      <c r="P19" s="36"/>
      <c r="Q19" s="36"/>
      <c r="R19" s="36"/>
      <c r="S19" s="36"/>
      <c r="T19" s="36"/>
      <c r="U19" s="36"/>
      <c r="V19" s="36"/>
      <c r="W19" s="36"/>
      <c r="X19" s="36"/>
      <c r="Y19" s="36"/>
      <c r="Z19" s="36"/>
      <c r="AA19" s="36"/>
      <c r="AB19" s="2"/>
    </row>
    <row r="20" spans="1:28" s="5" customFormat="1" x14ac:dyDescent="0.25">
      <c r="A20" s="150">
        <f>1</f>
        <v>1</v>
      </c>
      <c r="B20" s="132" t="str">
        <f>структура!$J$14</f>
        <v>УСН(15%)</v>
      </c>
      <c r="C20" s="3"/>
      <c r="D20" s="3"/>
      <c r="E20" s="89" t="str">
        <f>E16</f>
        <v>ВЫРУЧКА</v>
      </c>
      <c r="F20" s="89"/>
      <c r="G20" s="89" t="str">
        <f>IF($E20="","",INDEX(KPI!$G:$G,SUMIFS(KPI!$B:$B,KPI!$E:$E,$E20)))</f>
        <v>тыс.руб.</v>
      </c>
      <c r="H20" s="89"/>
      <c r="I20" s="90"/>
      <c r="J20" s="130"/>
      <c r="K20" s="90"/>
      <c r="L20" s="89"/>
      <c r="M20" s="92">
        <f>SUM($O20:$AB20)</f>
        <v>17418.450000000012</v>
      </c>
      <c r="N20" s="3"/>
      <c r="O20" s="3"/>
      <c r="P20" s="93">
        <f>отчеты!P20-отч_беседки!P20-отч_вер_парк!P20</f>
        <v>2341.7550000000001</v>
      </c>
      <c r="Q20" s="93">
        <f>отчеты!Q20-отч_беседки!Q20-отч_вер_парк!Q20</f>
        <v>2375.2050000000008</v>
      </c>
      <c r="R20" s="93">
        <f>отчеты!R20-отч_беседки!R20-отч_вер_парк!R20</f>
        <v>2428.3500000000013</v>
      </c>
      <c r="S20" s="93">
        <f>отчеты!S20-отч_беседки!S20-отч_вер_парк!S20</f>
        <v>2458.8300000000008</v>
      </c>
      <c r="T20" s="93">
        <f>отчеты!T20-отч_беседки!T20-отч_вер_парк!T20</f>
        <v>2509.0050000000047</v>
      </c>
      <c r="U20" s="93">
        <f>отчеты!U20-отч_беседки!U20-отч_вер_парк!U20</f>
        <v>2592.6300000000047</v>
      </c>
      <c r="V20" s="93">
        <f>отчеты!V20-отч_беседки!V20-отч_вер_парк!V20</f>
        <v>2712.6749999999993</v>
      </c>
      <c r="W20" s="93">
        <f>отчеты!W20-отч_беседки!W20-отч_вер_парк!W20</f>
        <v>0</v>
      </c>
      <c r="X20" s="93">
        <f>отчеты!X20-отч_беседки!X20-отч_вер_парк!X20</f>
        <v>0</v>
      </c>
      <c r="Y20" s="93">
        <f>отчеты!Y20-отч_беседки!Y20-отч_вер_парк!Y20</f>
        <v>0</v>
      </c>
      <c r="Z20" s="93">
        <f>отчеты!Z20-отч_беседки!Z20-отч_вер_парк!Z20</f>
        <v>0</v>
      </c>
      <c r="AA20" s="93">
        <f>отчеты!AA20-отч_беседки!AA20-отч_вер_парк!AA20</f>
        <v>0</v>
      </c>
      <c r="AB20" s="3"/>
    </row>
    <row r="21" spans="1:28" ht="3.9" customHeight="1" x14ac:dyDescent="0.25">
      <c r="A21" s="149">
        <f>1</f>
        <v>1</v>
      </c>
      <c r="B21" s="131"/>
      <c r="C21" s="2"/>
      <c r="D21" s="2"/>
      <c r="E21" s="2"/>
      <c r="F21" s="2"/>
      <c r="G21" s="2"/>
      <c r="H21" s="2"/>
      <c r="I21" s="28"/>
      <c r="J21" s="2"/>
      <c r="K21" s="28"/>
      <c r="L21" s="2"/>
      <c r="M21" s="52"/>
      <c r="N21" s="2"/>
      <c r="O21" s="2"/>
      <c r="P21" s="36"/>
      <c r="Q21" s="36"/>
      <c r="R21" s="36"/>
      <c r="S21" s="36"/>
      <c r="T21" s="36"/>
      <c r="U21" s="36"/>
      <c r="V21" s="36"/>
      <c r="W21" s="36"/>
      <c r="X21" s="36"/>
      <c r="Y21" s="36"/>
      <c r="Z21" s="36"/>
      <c r="AA21" s="36"/>
      <c r="AB21" s="2"/>
    </row>
    <row r="22" spans="1:28" s="5" customFormat="1" x14ac:dyDescent="0.25">
      <c r="A22" s="150">
        <f>1</f>
        <v>1</v>
      </c>
      <c r="B22" s="132" t="str">
        <f>структура!$J$15</f>
        <v>УСН(6%)-ИП</v>
      </c>
      <c r="C22" s="3"/>
      <c r="D22" s="3"/>
      <c r="E22" s="89" t="str">
        <f>E16</f>
        <v>ВЫРУЧКА</v>
      </c>
      <c r="F22" s="89"/>
      <c r="G22" s="89" t="str">
        <f>IF($E22="","",INDEX(KPI!$G:$G,SUMIFS(KPI!$B:$B,KPI!$E:$E,$E22)))</f>
        <v>тыс.руб.</v>
      </c>
      <c r="H22" s="89"/>
      <c r="I22" s="90"/>
      <c r="J22" s="130"/>
      <c r="K22" s="90"/>
      <c r="L22" s="89"/>
      <c r="M22" s="92">
        <f>SUM($O22:$AB22)</f>
        <v>17418.450000000012</v>
      </c>
      <c r="N22" s="3"/>
      <c r="O22" s="3"/>
      <c r="P22" s="93">
        <f>отчеты!P22-отч_беседки!P22-отч_вер_парк!P22</f>
        <v>2341.7550000000001</v>
      </c>
      <c r="Q22" s="93">
        <f>отчеты!Q22-отч_беседки!Q22-отч_вер_парк!Q22</f>
        <v>2375.2050000000008</v>
      </c>
      <c r="R22" s="93">
        <f>отчеты!R22-отч_беседки!R22-отч_вер_парк!R22</f>
        <v>2428.3500000000013</v>
      </c>
      <c r="S22" s="93">
        <f>отчеты!S22-отч_беседки!S22-отч_вер_парк!S22</f>
        <v>2458.8300000000008</v>
      </c>
      <c r="T22" s="93">
        <f>отчеты!T22-отч_беседки!T22-отч_вер_парк!T22</f>
        <v>2509.0050000000047</v>
      </c>
      <c r="U22" s="93">
        <f>отчеты!U22-отч_беседки!U22-отч_вер_парк!U22</f>
        <v>2592.6300000000047</v>
      </c>
      <c r="V22" s="93">
        <f>отчеты!V22-отч_беседки!V22-отч_вер_парк!V22</f>
        <v>2712.6749999999993</v>
      </c>
      <c r="W22" s="93">
        <f>отчеты!W22-отч_беседки!W22-отч_вер_парк!W22</f>
        <v>0</v>
      </c>
      <c r="X22" s="93">
        <f>отчеты!X22-отч_беседки!X22-отч_вер_парк!X22</f>
        <v>0</v>
      </c>
      <c r="Y22" s="93">
        <f>отчеты!Y22-отч_беседки!Y22-отч_вер_парк!Y22</f>
        <v>0</v>
      </c>
      <c r="Z22" s="93">
        <f>отчеты!Z22-отч_беседки!Z22-отч_вер_парк!Z22</f>
        <v>0</v>
      </c>
      <c r="AA22" s="93">
        <f>отчеты!AA22-отч_беседки!AA22-отч_вер_парк!AA22</f>
        <v>0</v>
      </c>
      <c r="AB22" s="3"/>
    </row>
    <row r="23" spans="1:28" ht="3.9" customHeight="1" x14ac:dyDescent="0.25">
      <c r="A23" s="149">
        <f>1</f>
        <v>1</v>
      </c>
      <c r="B23" s="131"/>
      <c r="C23" s="2"/>
      <c r="D23" s="2"/>
      <c r="E23" s="117"/>
      <c r="F23" s="2"/>
      <c r="G23" s="117"/>
      <c r="H23" s="2"/>
      <c r="I23" s="28"/>
      <c r="J23" s="2"/>
      <c r="K23" s="28"/>
      <c r="L23" s="2"/>
      <c r="M23" s="138"/>
      <c r="N23" s="2"/>
      <c r="O23" s="2"/>
      <c r="P23" s="36"/>
      <c r="Q23" s="36"/>
      <c r="R23" s="36"/>
      <c r="S23" s="36"/>
      <c r="T23" s="36"/>
      <c r="U23" s="36"/>
      <c r="V23" s="36"/>
      <c r="W23" s="36"/>
      <c r="X23" s="36"/>
      <c r="Y23" s="36"/>
      <c r="Z23" s="36"/>
      <c r="AA23" s="36"/>
      <c r="AB23" s="2"/>
    </row>
    <row r="24" spans="1:28" ht="8.1" customHeight="1" x14ac:dyDescent="0.25">
      <c r="A24" s="149">
        <f>1</f>
        <v>1</v>
      </c>
      <c r="B24" s="131"/>
      <c r="C24" s="2"/>
      <c r="D24" s="2"/>
      <c r="E24" s="2"/>
      <c r="F24" s="2"/>
      <c r="G24" s="2"/>
      <c r="H24" s="2"/>
      <c r="I24" s="28"/>
      <c r="J24" s="2"/>
      <c r="K24" s="28"/>
      <c r="L24" s="2"/>
      <c r="M24" s="52"/>
      <c r="N24" s="2"/>
      <c r="O24" s="2"/>
      <c r="P24" s="36"/>
      <c r="Q24" s="36"/>
      <c r="R24" s="36"/>
      <c r="S24" s="36"/>
      <c r="T24" s="36"/>
      <c r="U24" s="36"/>
      <c r="V24" s="36"/>
      <c r="W24" s="36"/>
      <c r="X24" s="36"/>
      <c r="Y24" s="36"/>
      <c r="Z24" s="36"/>
      <c r="AA24" s="36"/>
      <c r="AB24" s="2"/>
    </row>
    <row r="25" spans="1:28" ht="3.9" customHeight="1" x14ac:dyDescent="0.25">
      <c r="A25" s="149">
        <f>1</f>
        <v>1</v>
      </c>
      <c r="B25" s="131"/>
      <c r="C25" s="2"/>
      <c r="D25" s="2"/>
      <c r="E25" s="2"/>
      <c r="F25" s="2"/>
      <c r="G25" s="2"/>
      <c r="H25" s="2"/>
      <c r="I25" s="28"/>
      <c r="J25" s="2"/>
      <c r="K25" s="28"/>
      <c r="L25" s="2"/>
      <c r="M25" s="52"/>
      <c r="N25" s="2"/>
      <c r="O25" s="2"/>
      <c r="P25" s="36"/>
      <c r="Q25" s="36"/>
      <c r="R25" s="36"/>
      <c r="S25" s="36"/>
      <c r="T25" s="36"/>
      <c r="U25" s="36"/>
      <c r="V25" s="36"/>
      <c r="W25" s="36"/>
      <c r="X25" s="36"/>
      <c r="Y25" s="36"/>
      <c r="Z25" s="36"/>
      <c r="AA25" s="36"/>
      <c r="AB25" s="2"/>
    </row>
    <row r="26" spans="1:28" s="5" customFormat="1" x14ac:dyDescent="0.25">
      <c r="A26" s="150">
        <f>1</f>
        <v>1</v>
      </c>
      <c r="B26" s="132" t="str">
        <f>структура!$J$12</f>
        <v>ОСНО</v>
      </c>
      <c r="C26" s="3"/>
      <c r="D26" s="3"/>
      <c r="E26" s="89" t="str">
        <f>KPI!$E$75</f>
        <v>ОПЕРАЦИОННЫЕ РАСХОДЫ</v>
      </c>
      <c r="F26" s="89"/>
      <c r="G26" s="89" t="str">
        <f>IF($E26="","",INDEX(KPI!$G:$G,SUMIFS(KPI!$B:$B,KPI!$E:$E,$E26)))</f>
        <v>тыс.руб.</v>
      </c>
      <c r="H26" s="89"/>
      <c r="I26" s="90"/>
      <c r="J26" s="130" t="str">
        <f>структура!$AL$21</f>
        <v>Без НДС</v>
      </c>
      <c r="K26" s="90"/>
      <c r="L26" s="89"/>
      <c r="M26" s="92">
        <f>SUM($O26:$AB26)</f>
        <v>2198.9277546102335</v>
      </c>
      <c r="N26" s="3"/>
      <c r="O26" s="3"/>
      <c r="P26" s="93">
        <f>IF(P$1="",0,SUMIFS(P33:P$113,$B33:$B$113,$B26))</f>
        <v>329.39247151633413</v>
      </c>
      <c r="Q26" s="93">
        <f>IF(Q$1="",0,SUMIFS(Q33:Q$113,$B33:$B$113,$B26))</f>
        <v>332.50312549523073</v>
      </c>
      <c r="R26" s="93">
        <f>IF(R$1="",0,SUMIFS(R33:R$113,$B33:$B$113,$B26))</f>
        <v>317.57861608461712</v>
      </c>
      <c r="S26" s="93">
        <f>IF(S$1="",0,SUMIFS(S33:S$113,$B33:$B$113,$B26))</f>
        <v>299.6619403821004</v>
      </c>
      <c r="T26" s="93">
        <f>IF(T$1="",0,SUMIFS(T33:T$113,$B33:$B$113,$B26))</f>
        <v>303.9124742150168</v>
      </c>
      <c r="U26" s="93">
        <f>IF(U$1="",0,SUMIFS(U33:U$113,$B33:$B$113,$B26))</f>
        <v>304.77998423631993</v>
      </c>
      <c r="V26" s="93">
        <f>IF(V$1="",0,SUMIFS(V33:V$113,$B33:$B$113,$B26))</f>
        <v>311.09914268061448</v>
      </c>
      <c r="W26" s="93">
        <f>IF(W$1="",0,SUMIFS(W33:W$113,$B33:$B$113,$B26))</f>
        <v>0</v>
      </c>
      <c r="X26" s="93">
        <f>IF(X$1="",0,SUMIFS(X33:X$113,$B33:$B$113,$B26))</f>
        <v>0</v>
      </c>
      <c r="Y26" s="93">
        <f>IF(Y$1="",0,SUMIFS(Y33:Y$113,$B33:$B$113,$B26))</f>
        <v>0</v>
      </c>
      <c r="Z26" s="93">
        <f>IF(Z$1="",0,SUMIFS(Z33:Z$113,$B33:$B$113,$B26))</f>
        <v>0</v>
      </c>
      <c r="AA26" s="93">
        <f>IF(AA$1="",0,SUMIFS(AA33:AA$113,$B33:$B$113,$B26))</f>
        <v>0</v>
      </c>
      <c r="AB26" s="3"/>
    </row>
    <row r="27" spans="1:28" ht="3.9" customHeight="1" x14ac:dyDescent="0.25">
      <c r="A27" s="149">
        <f>1</f>
        <v>1</v>
      </c>
      <c r="B27" s="131"/>
      <c r="C27" s="2"/>
      <c r="D27" s="2"/>
      <c r="E27" s="2"/>
      <c r="F27" s="2"/>
      <c r="G27" s="2"/>
      <c r="H27" s="2"/>
      <c r="I27" s="28"/>
      <c r="J27" s="2"/>
      <c r="K27" s="28"/>
      <c r="L27" s="2"/>
      <c r="M27" s="52"/>
      <c r="N27" s="2"/>
      <c r="O27" s="2"/>
      <c r="P27" s="36"/>
      <c r="Q27" s="36"/>
      <c r="R27" s="36"/>
      <c r="S27" s="36"/>
      <c r="T27" s="36"/>
      <c r="U27" s="36"/>
      <c r="V27" s="36"/>
      <c r="W27" s="36"/>
      <c r="X27" s="36"/>
      <c r="Y27" s="36"/>
      <c r="Z27" s="36"/>
      <c r="AA27" s="36"/>
      <c r="AB27" s="2"/>
    </row>
    <row r="28" spans="1:28" s="5" customFormat="1" x14ac:dyDescent="0.25">
      <c r="A28" s="150">
        <f>1</f>
        <v>1</v>
      </c>
      <c r="B28" s="132" t="str">
        <f>структура!$J$13</f>
        <v>УСН(6%)</v>
      </c>
      <c r="C28" s="3"/>
      <c r="D28" s="3"/>
      <c r="E28" s="89" t="str">
        <f>E26</f>
        <v>ОПЕРАЦИОННЫЕ РАСХОДЫ</v>
      </c>
      <c r="F28" s="89"/>
      <c r="G28" s="89" t="str">
        <f>IF($E28="","",INDEX(KPI!$G:$G,SUMIFS(KPI!$B:$B,KPI!$E:$E,$E28)))</f>
        <v>тыс.руб.</v>
      </c>
      <c r="H28" s="89"/>
      <c r="I28" s="90"/>
      <c r="J28" s="130" t="str">
        <f>структура!$AL$21</f>
        <v>Без НДС</v>
      </c>
      <c r="K28" s="90"/>
      <c r="L28" s="89"/>
      <c r="M28" s="92">
        <f>SUM($O28:$AB28)</f>
        <v>2638.7133055322806</v>
      </c>
      <c r="N28" s="3"/>
      <c r="O28" s="3"/>
      <c r="P28" s="93">
        <f>IF(P$1="",0,SUMIFS(P35:P$113,$B35:$B$113,$B28))</f>
        <v>395.27096581960132</v>
      </c>
      <c r="Q28" s="93">
        <f>IF(Q$1="",0,SUMIFS(Q35:Q$113,$B35:$B$113,$B28))</f>
        <v>399.00375059427677</v>
      </c>
      <c r="R28" s="93">
        <f>IF(R$1="",0,SUMIFS(R35:R$113,$B35:$B$113,$B28))</f>
        <v>381.09433930154034</v>
      </c>
      <c r="S28" s="93">
        <f>IF(S$1="",0,SUMIFS(S35:S$113,$B35:$B$113,$B28))</f>
        <v>359.59432845852029</v>
      </c>
      <c r="T28" s="93">
        <f>IF(T$1="",0,SUMIFS(T35:T$113,$B35:$B$113,$B28))</f>
        <v>364.69496905802021</v>
      </c>
      <c r="U28" s="93">
        <f>IF(U$1="",0,SUMIFS(U35:U$113,$B35:$B$113,$B28))</f>
        <v>365.73598108358414</v>
      </c>
      <c r="V28" s="93">
        <f>IF(V$1="",0,SUMIFS(V35:V$113,$B35:$B$113,$B28))</f>
        <v>373.31897121673757</v>
      </c>
      <c r="W28" s="93">
        <f>IF(W$1="",0,SUMIFS(W35:W$113,$B35:$B$113,$B28))</f>
        <v>0</v>
      </c>
      <c r="X28" s="93">
        <f>IF(X$1="",0,SUMIFS(X35:X$113,$B35:$B$113,$B28))</f>
        <v>0</v>
      </c>
      <c r="Y28" s="93">
        <f>IF(Y$1="",0,SUMIFS(Y35:Y$113,$B35:$B$113,$B28))</f>
        <v>0</v>
      </c>
      <c r="Z28" s="93">
        <f>IF(Z$1="",0,SUMIFS(Z35:Z$113,$B35:$B$113,$B28))</f>
        <v>0</v>
      </c>
      <c r="AA28" s="93">
        <f>IF(AA$1="",0,SUMIFS(AA35:AA$113,$B35:$B$113,$B28))</f>
        <v>0</v>
      </c>
      <c r="AB28" s="3"/>
    </row>
    <row r="29" spans="1:28" ht="3.9" customHeight="1" x14ac:dyDescent="0.25">
      <c r="A29" s="149">
        <f>1</f>
        <v>1</v>
      </c>
      <c r="B29" s="131"/>
      <c r="C29" s="2"/>
      <c r="D29" s="2"/>
      <c r="E29" s="2"/>
      <c r="F29" s="2"/>
      <c r="G29" s="2"/>
      <c r="H29" s="2"/>
      <c r="I29" s="28"/>
      <c r="J29" s="2"/>
      <c r="K29" s="28"/>
      <c r="L29" s="2"/>
      <c r="M29" s="52"/>
      <c r="N29" s="2"/>
      <c r="O29" s="2"/>
      <c r="P29" s="36"/>
      <c r="Q29" s="36"/>
      <c r="R29" s="36"/>
      <c r="S29" s="36"/>
      <c r="T29" s="36"/>
      <c r="U29" s="36"/>
      <c r="V29" s="36"/>
      <c r="W29" s="36"/>
      <c r="X29" s="36"/>
      <c r="Y29" s="36"/>
      <c r="Z29" s="36"/>
      <c r="AA29" s="36"/>
      <c r="AB29" s="2"/>
    </row>
    <row r="30" spans="1:28" s="5" customFormat="1" x14ac:dyDescent="0.25">
      <c r="A30" s="150">
        <f>1</f>
        <v>1</v>
      </c>
      <c r="B30" s="132" t="str">
        <f>структура!$J$14</f>
        <v>УСН(15%)</v>
      </c>
      <c r="C30" s="3"/>
      <c r="D30" s="3"/>
      <c r="E30" s="89" t="str">
        <f>E26</f>
        <v>ОПЕРАЦИОННЫЕ РАСХОДЫ</v>
      </c>
      <c r="F30" s="89"/>
      <c r="G30" s="89" t="str">
        <f>IF($E30="","",INDEX(KPI!$G:$G,SUMIFS(KPI!$B:$B,KPI!$E:$E,$E30)))</f>
        <v>тыс.руб.</v>
      </c>
      <c r="H30" s="89"/>
      <c r="I30" s="90"/>
      <c r="J30" s="130" t="str">
        <f>структура!$AL$21</f>
        <v>Без НДС</v>
      </c>
      <c r="K30" s="90"/>
      <c r="L30" s="89"/>
      <c r="M30" s="92">
        <f>SUM($O30:$AB30)</f>
        <v>2638.7133055322806</v>
      </c>
      <c r="N30" s="3"/>
      <c r="O30" s="3"/>
      <c r="P30" s="93">
        <f>IF(P$1="",0,SUMIFS(P37:P$113,$B37:$B$113,$B30))</f>
        <v>395.27096581960132</v>
      </c>
      <c r="Q30" s="93">
        <f>IF(Q$1="",0,SUMIFS(Q37:Q$113,$B37:$B$113,$B30))</f>
        <v>399.00375059427677</v>
      </c>
      <c r="R30" s="93">
        <f>IF(R$1="",0,SUMIFS(R37:R$113,$B37:$B$113,$B30))</f>
        <v>381.09433930154034</v>
      </c>
      <c r="S30" s="93">
        <f>IF(S$1="",0,SUMIFS(S37:S$113,$B37:$B$113,$B30))</f>
        <v>359.59432845852029</v>
      </c>
      <c r="T30" s="93">
        <f>IF(T$1="",0,SUMIFS(T37:T$113,$B37:$B$113,$B30))</f>
        <v>364.69496905802021</v>
      </c>
      <c r="U30" s="93">
        <f>IF(U$1="",0,SUMIFS(U37:U$113,$B37:$B$113,$B30))</f>
        <v>365.73598108358414</v>
      </c>
      <c r="V30" s="93">
        <f>IF(V$1="",0,SUMIFS(V37:V$113,$B37:$B$113,$B30))</f>
        <v>373.31897121673757</v>
      </c>
      <c r="W30" s="93">
        <f>IF(W$1="",0,SUMIFS(W37:W$113,$B37:$B$113,$B30))</f>
        <v>0</v>
      </c>
      <c r="X30" s="93">
        <f>IF(X$1="",0,SUMIFS(X37:X$113,$B37:$B$113,$B30))</f>
        <v>0</v>
      </c>
      <c r="Y30" s="93">
        <f>IF(Y$1="",0,SUMIFS(Y37:Y$113,$B37:$B$113,$B30))</f>
        <v>0</v>
      </c>
      <c r="Z30" s="93">
        <f>IF(Z$1="",0,SUMIFS(Z37:Z$113,$B37:$B$113,$B30))</f>
        <v>0</v>
      </c>
      <c r="AA30" s="93">
        <f>IF(AA$1="",0,SUMIFS(AA37:AA$113,$B37:$B$113,$B30))</f>
        <v>0</v>
      </c>
      <c r="AB30" s="3"/>
    </row>
    <row r="31" spans="1:28" ht="3.9" customHeight="1" x14ac:dyDescent="0.25">
      <c r="A31" s="149">
        <f>1</f>
        <v>1</v>
      </c>
      <c r="B31" s="131"/>
      <c r="C31" s="2"/>
      <c r="D31" s="2"/>
      <c r="E31" s="2"/>
      <c r="F31" s="2"/>
      <c r="G31" s="2"/>
      <c r="H31" s="2"/>
      <c r="I31" s="28"/>
      <c r="J31" s="2"/>
      <c r="K31" s="28"/>
      <c r="L31" s="2"/>
      <c r="M31" s="52"/>
      <c r="N31" s="2"/>
      <c r="O31" s="2"/>
      <c r="P31" s="36"/>
      <c r="Q31" s="36"/>
      <c r="R31" s="36"/>
      <c r="S31" s="36"/>
      <c r="T31" s="36"/>
      <c r="U31" s="36"/>
      <c r="V31" s="36"/>
      <c r="W31" s="36"/>
      <c r="X31" s="36"/>
      <c r="Y31" s="36"/>
      <c r="Z31" s="36"/>
      <c r="AA31" s="36"/>
      <c r="AB31" s="2"/>
    </row>
    <row r="32" spans="1:28" s="5" customFormat="1" x14ac:dyDescent="0.25">
      <c r="A32" s="150">
        <f>1</f>
        <v>1</v>
      </c>
      <c r="B32" s="132" t="str">
        <f>структура!$J$15</f>
        <v>УСН(6%)-ИП</v>
      </c>
      <c r="C32" s="3"/>
      <c r="D32" s="3"/>
      <c r="E32" s="89" t="str">
        <f>E26</f>
        <v>ОПЕРАЦИОННЫЕ РАСХОДЫ</v>
      </c>
      <c r="F32" s="89"/>
      <c r="G32" s="89" t="str">
        <f>IF($E32="","",INDEX(KPI!$G:$G,SUMIFS(KPI!$B:$B,KPI!$E:$E,$E32)))</f>
        <v>тыс.руб.</v>
      </c>
      <c r="H32" s="89"/>
      <c r="I32" s="90"/>
      <c r="J32" s="130" t="str">
        <f>структура!$AL$21</f>
        <v>Без НДС</v>
      </c>
      <c r="K32" s="90"/>
      <c r="L32" s="89"/>
      <c r="M32" s="92">
        <f>SUM($O32:$AB32)</f>
        <v>2638.7133055322806</v>
      </c>
      <c r="N32" s="3"/>
      <c r="O32" s="3"/>
      <c r="P32" s="93">
        <f>IF(P$1="",0,SUMIFS(P39:P$113,$B39:$B$113,$B32))</f>
        <v>395.27096581960132</v>
      </c>
      <c r="Q32" s="93">
        <f>IF(Q$1="",0,SUMIFS(Q39:Q$113,$B39:$B$113,$B32))</f>
        <v>399.00375059427677</v>
      </c>
      <c r="R32" s="93">
        <f>IF(R$1="",0,SUMIFS(R39:R$113,$B39:$B$113,$B32))</f>
        <v>381.09433930154034</v>
      </c>
      <c r="S32" s="93">
        <f>IF(S$1="",0,SUMIFS(S39:S$113,$B39:$B$113,$B32))</f>
        <v>359.59432845852029</v>
      </c>
      <c r="T32" s="93">
        <f>IF(T$1="",0,SUMIFS(T39:T$113,$B39:$B$113,$B32))</f>
        <v>364.69496905802021</v>
      </c>
      <c r="U32" s="93">
        <f>IF(U$1="",0,SUMIFS(U39:U$113,$B39:$B$113,$B32))</f>
        <v>365.73598108358414</v>
      </c>
      <c r="V32" s="93">
        <f>IF(V$1="",0,SUMIFS(V39:V$113,$B39:$B$113,$B32))</f>
        <v>373.31897121673757</v>
      </c>
      <c r="W32" s="93">
        <f>IF(W$1="",0,SUMIFS(W39:W$113,$B39:$B$113,$B32))</f>
        <v>0</v>
      </c>
      <c r="X32" s="93">
        <f>IF(X$1="",0,SUMIFS(X39:X$113,$B39:$B$113,$B32))</f>
        <v>0</v>
      </c>
      <c r="Y32" s="93">
        <f>IF(Y$1="",0,SUMIFS(Y39:Y$113,$B39:$B$113,$B32))</f>
        <v>0</v>
      </c>
      <c r="Z32" s="93">
        <f>IF(Z$1="",0,SUMIFS(Z39:Z$113,$B39:$B$113,$B32))</f>
        <v>0</v>
      </c>
      <c r="AA32" s="93">
        <f>IF(AA$1="",0,SUMIFS(AA39:AA$113,$B39:$B$113,$B32))</f>
        <v>0</v>
      </c>
      <c r="AB32" s="3"/>
    </row>
    <row r="33" spans="1:28" ht="3.9" customHeight="1" x14ac:dyDescent="0.25">
      <c r="A33" s="149">
        <f>1</f>
        <v>1</v>
      </c>
      <c r="B33" s="131"/>
      <c r="C33" s="2"/>
      <c r="D33" s="2"/>
      <c r="E33" s="2"/>
      <c r="F33" s="2"/>
      <c r="G33" s="2"/>
      <c r="H33" s="2"/>
      <c r="I33" s="28"/>
      <c r="J33" s="2"/>
      <c r="K33" s="28"/>
      <c r="L33" s="2"/>
      <c r="M33" s="52"/>
      <c r="N33" s="2"/>
      <c r="O33" s="2"/>
      <c r="P33" s="36"/>
      <c r="Q33" s="36"/>
      <c r="R33" s="36"/>
      <c r="S33" s="36"/>
      <c r="T33" s="36"/>
      <c r="U33" s="36"/>
      <c r="V33" s="36"/>
      <c r="W33" s="36"/>
      <c r="X33" s="36"/>
      <c r="Y33" s="36"/>
      <c r="Z33" s="36"/>
      <c r="AA33" s="36"/>
      <c r="AB33" s="2"/>
    </row>
    <row r="34" spans="1:28" ht="8.1" customHeight="1" x14ac:dyDescent="0.25">
      <c r="A34" s="149">
        <f>1</f>
        <v>1</v>
      </c>
      <c r="B34" s="131"/>
      <c r="C34" s="2"/>
      <c r="D34" s="2"/>
      <c r="E34" s="2"/>
      <c r="F34" s="2"/>
      <c r="G34" s="2"/>
      <c r="H34" s="2"/>
      <c r="I34" s="28"/>
      <c r="J34" s="2"/>
      <c r="K34" s="28"/>
      <c r="L34" s="2"/>
      <c r="M34" s="52"/>
      <c r="N34" s="2"/>
      <c r="O34" s="2"/>
      <c r="P34" s="36"/>
      <c r="Q34" s="36"/>
      <c r="R34" s="36"/>
      <c r="S34" s="36"/>
      <c r="T34" s="36"/>
      <c r="U34" s="36"/>
      <c r="V34" s="36"/>
      <c r="W34" s="36"/>
      <c r="X34" s="36"/>
      <c r="Y34" s="36"/>
      <c r="Z34" s="36"/>
      <c r="AA34" s="36"/>
      <c r="AB34" s="2"/>
    </row>
    <row r="35" spans="1:28" ht="3.9" customHeight="1" x14ac:dyDescent="0.25">
      <c r="A35" s="149">
        <f>1</f>
        <v>1</v>
      </c>
      <c r="B35" s="131"/>
      <c r="C35" s="2"/>
      <c r="D35" s="2"/>
      <c r="E35" s="2"/>
      <c r="F35" s="2"/>
      <c r="G35" s="2"/>
      <c r="H35" s="2"/>
      <c r="I35" s="28"/>
      <c r="J35" s="2"/>
      <c r="K35" s="28"/>
      <c r="L35" s="2"/>
      <c r="M35" s="52"/>
      <c r="N35" s="2"/>
      <c r="O35" s="2"/>
      <c r="P35" s="36"/>
      <c r="Q35" s="36"/>
      <c r="R35" s="36"/>
      <c r="S35" s="36"/>
      <c r="T35" s="36"/>
      <c r="U35" s="36"/>
      <c r="V35" s="36"/>
      <c r="W35" s="36"/>
      <c r="X35" s="36"/>
      <c r="Y35" s="36"/>
      <c r="Z35" s="36"/>
      <c r="AA35" s="36"/>
      <c r="AB35" s="2"/>
    </row>
    <row r="36" spans="1:28" s="126" customFormat="1" x14ac:dyDescent="0.25">
      <c r="A36" s="149">
        <f>1</f>
        <v>1</v>
      </c>
      <c r="B36" s="132" t="str">
        <f>структура!$J$12</f>
        <v>ОСНО</v>
      </c>
      <c r="C36" s="123"/>
      <c r="D36" s="123"/>
      <c r="E36" s="130" t="str">
        <f>KPI!$E$76</f>
        <v>маркетинговые расходы</v>
      </c>
      <c r="F36" s="130"/>
      <c r="G36" s="130" t="str">
        <f>IF($E36="","",INDEX(KPI!$G:$G,SUMIFS(KPI!$B:$B,KPI!$E:$E,$E36)))</f>
        <v>тыс.руб.</v>
      </c>
      <c r="H36" s="130"/>
      <c r="I36" s="134"/>
      <c r="J36" s="130" t="str">
        <f>структура!$AL$21</f>
        <v>Без НДС</v>
      </c>
      <c r="K36" s="134"/>
      <c r="L36" s="130"/>
      <c r="M36" s="135">
        <f>SUM($O36:$AB36)</f>
        <v>516.52911250000034</v>
      </c>
      <c r="N36" s="123"/>
      <c r="O36" s="123"/>
      <c r="P36" s="136">
        <f>отчеты!P36-отч_беседки!P36-отч_вер_парк!P36</f>
        <v>97.573124999999976</v>
      </c>
      <c r="Q36" s="136">
        <f>отчеты!Q36-отч_беседки!Q36-отч_вер_парк!Q36</f>
        <v>98.966875000000073</v>
      </c>
      <c r="R36" s="136">
        <f>отчеты!R36-отч_беседки!R36-отч_вер_парк!R36</f>
        <v>80.945000000000078</v>
      </c>
      <c r="S36" s="136">
        <f>отчеты!S36-отч_беседки!S36-отч_вер_парк!S36</f>
        <v>61.470750000000038</v>
      </c>
      <c r="T36" s="136">
        <f>отчеты!T36-отч_беседки!T36-отч_вер_парк!T36</f>
        <v>62.725125000000105</v>
      </c>
      <c r="U36" s="136">
        <f>отчеты!U36-отч_беседки!U36-отч_вер_парк!U36</f>
        <v>58.334175000000045</v>
      </c>
      <c r="V36" s="136">
        <f>отчеты!V36-отч_беседки!V36-отч_вер_парк!V36</f>
        <v>56.514062499999966</v>
      </c>
      <c r="W36" s="136">
        <f>отчеты!W36-отч_беседки!W36-отч_вер_парк!W36</f>
        <v>0</v>
      </c>
      <c r="X36" s="136">
        <f>отчеты!X36-отч_беседки!X36-отч_вер_парк!X36</f>
        <v>0</v>
      </c>
      <c r="Y36" s="136">
        <f>отчеты!Y36-отч_беседки!Y36-отч_вер_парк!Y36</f>
        <v>0</v>
      </c>
      <c r="Z36" s="136">
        <f>отчеты!Z36-отч_беседки!Z36-отч_вер_парк!Z36</f>
        <v>0</v>
      </c>
      <c r="AA36" s="136">
        <f>отчеты!AA36-отч_беседки!AA36-отч_вер_парк!AA36</f>
        <v>0</v>
      </c>
      <c r="AB36" s="123"/>
    </row>
    <row r="37" spans="1:28" s="126" customFormat="1" ht="3.9" customHeight="1" x14ac:dyDescent="0.25">
      <c r="A37" s="149">
        <f>1</f>
        <v>1</v>
      </c>
      <c r="B37" s="131"/>
      <c r="C37" s="123"/>
      <c r="D37" s="123"/>
      <c r="E37" s="123"/>
      <c r="F37" s="123"/>
      <c r="G37" s="123"/>
      <c r="H37" s="123"/>
      <c r="I37" s="124"/>
      <c r="J37" s="123"/>
      <c r="K37" s="124"/>
      <c r="L37" s="123"/>
      <c r="M37" s="125"/>
      <c r="N37" s="123"/>
      <c r="O37" s="123"/>
      <c r="P37" s="137"/>
      <c r="Q37" s="137"/>
      <c r="R37" s="137"/>
      <c r="S37" s="137"/>
      <c r="T37" s="137"/>
      <c r="U37" s="137"/>
      <c r="V37" s="137"/>
      <c r="W37" s="137"/>
      <c r="X37" s="137"/>
      <c r="Y37" s="137"/>
      <c r="Z37" s="137"/>
      <c r="AA37" s="137"/>
      <c r="AB37" s="123"/>
    </row>
    <row r="38" spans="1:28" s="126" customFormat="1" x14ac:dyDescent="0.25">
      <c r="A38" s="149">
        <f>1</f>
        <v>1</v>
      </c>
      <c r="B38" s="132" t="str">
        <f>структура!$J$13</f>
        <v>УСН(6%)</v>
      </c>
      <c r="C38" s="123"/>
      <c r="D38" s="123"/>
      <c r="E38" s="130" t="str">
        <f>E36</f>
        <v>маркетинговые расходы</v>
      </c>
      <c r="F38" s="130"/>
      <c r="G38" s="130" t="str">
        <f>IF($E38="","",INDEX(KPI!$G:$G,SUMIFS(KPI!$B:$B,KPI!$E:$E,$E38)))</f>
        <v>тыс.руб.</v>
      </c>
      <c r="H38" s="130"/>
      <c r="I38" s="134"/>
      <c r="J38" s="130" t="str">
        <f>структура!$AL$21</f>
        <v>Без НДС</v>
      </c>
      <c r="K38" s="134"/>
      <c r="L38" s="130"/>
      <c r="M38" s="135">
        <f>SUM($O38:$AB38)</f>
        <v>516.52911250000034</v>
      </c>
      <c r="N38" s="123"/>
      <c r="O38" s="123"/>
      <c r="P38" s="136">
        <f>отчеты!P38-отч_беседки!P38-отч_вер_парк!P38</f>
        <v>97.573125000000061</v>
      </c>
      <c r="Q38" s="136">
        <f>отчеты!Q38-отч_беседки!Q38-отч_вер_парк!Q38</f>
        <v>98.966875000000044</v>
      </c>
      <c r="R38" s="136">
        <f>отчеты!R38-отч_беседки!R38-отч_вер_парк!R38</f>
        <v>80.94500000000005</v>
      </c>
      <c r="S38" s="136">
        <f>отчеты!S38-отч_беседки!S38-отч_вер_парк!S38</f>
        <v>61.47075000000001</v>
      </c>
      <c r="T38" s="136">
        <f>отчеты!T38-отч_беседки!T38-отч_вер_парк!T38</f>
        <v>62.725125000000105</v>
      </c>
      <c r="U38" s="136">
        <f>отчеты!U38-отч_беседки!U38-отч_вер_парк!U38</f>
        <v>58.334175000000101</v>
      </c>
      <c r="V38" s="136">
        <f>отчеты!V38-отч_беседки!V38-отч_вер_парк!V38</f>
        <v>56.514062499999966</v>
      </c>
      <c r="W38" s="136">
        <f>отчеты!W38-отч_беседки!W38-отч_вер_парк!W38</f>
        <v>0</v>
      </c>
      <c r="X38" s="136">
        <f>отчеты!X38-отч_беседки!X38-отч_вер_парк!X38</f>
        <v>0</v>
      </c>
      <c r="Y38" s="136">
        <f>отчеты!Y38-отч_беседки!Y38-отч_вер_парк!Y38</f>
        <v>0</v>
      </c>
      <c r="Z38" s="136">
        <f>отчеты!Z38-отч_беседки!Z38-отч_вер_парк!Z38</f>
        <v>0</v>
      </c>
      <c r="AA38" s="136">
        <f>отчеты!AA38-отч_беседки!AA38-отч_вер_парк!AA38</f>
        <v>0</v>
      </c>
      <c r="AB38" s="123"/>
    </row>
    <row r="39" spans="1:28" s="126" customFormat="1" ht="3.9" customHeight="1" x14ac:dyDescent="0.25">
      <c r="A39" s="149">
        <f>1</f>
        <v>1</v>
      </c>
      <c r="B39" s="131"/>
      <c r="C39" s="123"/>
      <c r="D39" s="123"/>
      <c r="E39" s="123"/>
      <c r="F39" s="123"/>
      <c r="G39" s="123"/>
      <c r="H39" s="123"/>
      <c r="I39" s="124"/>
      <c r="J39" s="123"/>
      <c r="K39" s="124"/>
      <c r="L39" s="123"/>
      <c r="M39" s="125"/>
      <c r="N39" s="123"/>
      <c r="O39" s="123"/>
      <c r="P39" s="137"/>
      <c r="Q39" s="137"/>
      <c r="R39" s="137"/>
      <c r="S39" s="137"/>
      <c r="T39" s="137"/>
      <c r="U39" s="137"/>
      <c r="V39" s="137"/>
      <c r="W39" s="137"/>
      <c r="X39" s="137"/>
      <c r="Y39" s="137"/>
      <c r="Z39" s="137"/>
      <c r="AA39" s="137"/>
      <c r="AB39" s="123"/>
    </row>
    <row r="40" spans="1:28" s="126" customFormat="1" x14ac:dyDescent="0.25">
      <c r="A40" s="149">
        <f>1</f>
        <v>1</v>
      </c>
      <c r="B40" s="132" t="str">
        <f>структура!$J$14</f>
        <v>УСН(15%)</v>
      </c>
      <c r="C40" s="123"/>
      <c r="D40" s="123"/>
      <c r="E40" s="130" t="str">
        <f>E36</f>
        <v>маркетинговые расходы</v>
      </c>
      <c r="F40" s="130"/>
      <c r="G40" s="130" t="str">
        <f>IF($E40="","",INDEX(KPI!$G:$G,SUMIFS(KPI!$B:$B,KPI!$E:$E,$E40)))</f>
        <v>тыс.руб.</v>
      </c>
      <c r="H40" s="130"/>
      <c r="I40" s="134"/>
      <c r="J40" s="130" t="str">
        <f>структура!$AL$21</f>
        <v>Без НДС</v>
      </c>
      <c r="K40" s="134"/>
      <c r="L40" s="130"/>
      <c r="M40" s="135">
        <f>SUM($O40:$AB40)</f>
        <v>516.52911250000034</v>
      </c>
      <c r="N40" s="123"/>
      <c r="O40" s="123"/>
      <c r="P40" s="136">
        <f>отчеты!P40-отч_беседки!P40-отч_вер_парк!P40</f>
        <v>97.573125000000061</v>
      </c>
      <c r="Q40" s="136">
        <f>отчеты!Q40-отч_беседки!Q40-отч_вер_парк!Q40</f>
        <v>98.966875000000044</v>
      </c>
      <c r="R40" s="136">
        <f>отчеты!R40-отч_беседки!R40-отч_вер_парк!R40</f>
        <v>80.94500000000005</v>
      </c>
      <c r="S40" s="136">
        <f>отчеты!S40-отч_беседки!S40-отч_вер_парк!S40</f>
        <v>61.47075000000001</v>
      </c>
      <c r="T40" s="136">
        <f>отчеты!T40-отч_беседки!T40-отч_вер_парк!T40</f>
        <v>62.725125000000105</v>
      </c>
      <c r="U40" s="136">
        <f>отчеты!U40-отч_беседки!U40-отч_вер_парк!U40</f>
        <v>58.334175000000101</v>
      </c>
      <c r="V40" s="136">
        <f>отчеты!V40-отч_беседки!V40-отч_вер_парк!V40</f>
        <v>56.514062499999966</v>
      </c>
      <c r="W40" s="136">
        <f>отчеты!W40-отч_беседки!W40-отч_вер_парк!W40</f>
        <v>0</v>
      </c>
      <c r="X40" s="136">
        <f>отчеты!X40-отч_беседки!X40-отч_вер_парк!X40</f>
        <v>0</v>
      </c>
      <c r="Y40" s="136">
        <f>отчеты!Y40-отч_беседки!Y40-отч_вер_парк!Y40</f>
        <v>0</v>
      </c>
      <c r="Z40" s="136">
        <f>отчеты!Z40-отч_беседки!Z40-отч_вер_парк!Z40</f>
        <v>0</v>
      </c>
      <c r="AA40" s="136">
        <f>отчеты!AA40-отч_беседки!AA40-отч_вер_парк!AA40</f>
        <v>0</v>
      </c>
      <c r="AB40" s="123"/>
    </row>
    <row r="41" spans="1:28" s="126" customFormat="1" ht="3.9" customHeight="1" x14ac:dyDescent="0.25">
      <c r="A41" s="149">
        <f>1</f>
        <v>1</v>
      </c>
      <c r="B41" s="131"/>
      <c r="C41" s="123"/>
      <c r="D41" s="123"/>
      <c r="E41" s="123"/>
      <c r="F41" s="123"/>
      <c r="G41" s="123"/>
      <c r="H41" s="123"/>
      <c r="I41" s="124"/>
      <c r="J41" s="123"/>
      <c r="K41" s="124"/>
      <c r="L41" s="123"/>
      <c r="M41" s="125"/>
      <c r="N41" s="123"/>
      <c r="O41" s="123"/>
      <c r="P41" s="137"/>
      <c r="Q41" s="137"/>
      <c r="R41" s="137"/>
      <c r="S41" s="137"/>
      <c r="T41" s="137"/>
      <c r="U41" s="137"/>
      <c r="V41" s="137"/>
      <c r="W41" s="137"/>
      <c r="X41" s="137"/>
      <c r="Y41" s="137"/>
      <c r="Z41" s="137"/>
      <c r="AA41" s="137"/>
      <c r="AB41" s="123"/>
    </row>
    <row r="42" spans="1:28" s="126" customFormat="1" x14ac:dyDescent="0.25">
      <c r="A42" s="149">
        <f>1</f>
        <v>1</v>
      </c>
      <c r="B42" s="132" t="str">
        <f>структура!$J$15</f>
        <v>УСН(6%)-ИП</v>
      </c>
      <c r="C42" s="123"/>
      <c r="D42" s="123"/>
      <c r="E42" s="130" t="str">
        <f>E36</f>
        <v>маркетинговые расходы</v>
      </c>
      <c r="F42" s="130"/>
      <c r="G42" s="130" t="str">
        <f>IF($E42="","",INDEX(KPI!$G:$G,SUMIFS(KPI!$B:$B,KPI!$E:$E,$E42)))</f>
        <v>тыс.руб.</v>
      </c>
      <c r="H42" s="130"/>
      <c r="I42" s="134"/>
      <c r="J42" s="130" t="str">
        <f>структура!$AL$21</f>
        <v>Без НДС</v>
      </c>
      <c r="K42" s="134"/>
      <c r="L42" s="130"/>
      <c r="M42" s="135">
        <f>SUM($O42:$AB42)</f>
        <v>516.52911250000034</v>
      </c>
      <c r="N42" s="123"/>
      <c r="O42" s="123"/>
      <c r="P42" s="136">
        <f>отчеты!P42-отч_беседки!P42-отч_вер_парк!P42</f>
        <v>97.573125000000061</v>
      </c>
      <c r="Q42" s="136">
        <f>отчеты!Q42-отч_беседки!Q42-отч_вер_парк!Q42</f>
        <v>98.966875000000044</v>
      </c>
      <c r="R42" s="136">
        <f>отчеты!R42-отч_беседки!R42-отч_вер_парк!R42</f>
        <v>80.94500000000005</v>
      </c>
      <c r="S42" s="136">
        <f>отчеты!S42-отч_беседки!S42-отч_вер_парк!S42</f>
        <v>61.47075000000001</v>
      </c>
      <c r="T42" s="136">
        <f>отчеты!T42-отч_беседки!T42-отч_вер_парк!T42</f>
        <v>62.725125000000105</v>
      </c>
      <c r="U42" s="136">
        <f>отчеты!U42-отч_беседки!U42-отч_вер_парк!U42</f>
        <v>58.334175000000101</v>
      </c>
      <c r="V42" s="136">
        <f>отчеты!V42-отч_беседки!V42-отч_вер_парк!V42</f>
        <v>56.514062499999966</v>
      </c>
      <c r="W42" s="136">
        <f>отчеты!W42-отч_беседки!W42-отч_вер_парк!W42</f>
        <v>0</v>
      </c>
      <c r="X42" s="136">
        <f>отчеты!X42-отч_беседки!X42-отч_вер_парк!X42</f>
        <v>0</v>
      </c>
      <c r="Y42" s="136">
        <f>отчеты!Y42-отч_беседки!Y42-отч_вер_парк!Y42</f>
        <v>0</v>
      </c>
      <c r="Z42" s="136">
        <f>отчеты!Z42-отч_беседки!Z42-отч_вер_парк!Z42</f>
        <v>0</v>
      </c>
      <c r="AA42" s="136">
        <f>отчеты!AA42-отч_беседки!AA42-отч_вер_парк!AA42</f>
        <v>0</v>
      </c>
      <c r="AB42" s="123"/>
    </row>
    <row r="43" spans="1:28" ht="3.9" customHeight="1" x14ac:dyDescent="0.25">
      <c r="A43" s="149">
        <f>1</f>
        <v>1</v>
      </c>
      <c r="B43" s="131"/>
      <c r="C43" s="2"/>
      <c r="D43" s="2"/>
      <c r="E43" s="2"/>
      <c r="F43" s="2"/>
      <c r="G43" s="2"/>
      <c r="H43" s="2"/>
      <c r="I43" s="28"/>
      <c r="J43" s="2"/>
      <c r="K43" s="28"/>
      <c r="L43" s="2"/>
      <c r="M43" s="52"/>
      <c r="N43" s="2"/>
      <c r="O43" s="2"/>
      <c r="P43" s="36"/>
      <c r="Q43" s="36"/>
      <c r="R43" s="36"/>
      <c r="S43" s="36"/>
      <c r="T43" s="36"/>
      <c r="U43" s="36"/>
      <c r="V43" s="36"/>
      <c r="W43" s="36"/>
      <c r="X43" s="36"/>
      <c r="Y43" s="36"/>
      <c r="Z43" s="36"/>
      <c r="AA43" s="36"/>
      <c r="AB43" s="2"/>
    </row>
    <row r="44" spans="1:28" ht="8.1" customHeight="1" x14ac:dyDescent="0.25">
      <c r="A44" s="149">
        <f>1</f>
        <v>1</v>
      </c>
      <c r="B44" s="131"/>
      <c r="C44" s="2"/>
      <c r="D44" s="2"/>
      <c r="E44" s="2"/>
      <c r="F44" s="2"/>
      <c r="G44" s="2"/>
      <c r="H44" s="2"/>
      <c r="I44" s="28"/>
      <c r="J44" s="2"/>
      <c r="K44" s="28"/>
      <c r="L44" s="2"/>
      <c r="M44" s="52"/>
      <c r="N44" s="2"/>
      <c r="O44" s="2"/>
      <c r="P44" s="36"/>
      <c r="Q44" s="36"/>
      <c r="R44" s="36"/>
      <c r="S44" s="36"/>
      <c r="T44" s="36"/>
      <c r="U44" s="36"/>
      <c r="V44" s="36"/>
      <c r="W44" s="36"/>
      <c r="X44" s="36"/>
      <c r="Y44" s="36"/>
      <c r="Z44" s="36"/>
      <c r="AA44" s="36"/>
      <c r="AB44" s="2"/>
    </row>
    <row r="45" spans="1:28" ht="3.9" customHeight="1" x14ac:dyDescent="0.25">
      <c r="A45" s="149">
        <f>1</f>
        <v>1</v>
      </c>
      <c r="B45" s="131"/>
      <c r="C45" s="2"/>
      <c r="D45" s="2"/>
      <c r="E45" s="2"/>
      <c r="F45" s="2"/>
      <c r="G45" s="2"/>
      <c r="H45" s="2"/>
      <c r="I45" s="28"/>
      <c r="J45" s="2"/>
      <c r="K45" s="28"/>
      <c r="L45" s="2"/>
      <c r="M45" s="52"/>
      <c r="N45" s="2"/>
      <c r="O45" s="2"/>
      <c r="P45" s="36"/>
      <c r="Q45" s="36"/>
      <c r="R45" s="36"/>
      <c r="S45" s="36"/>
      <c r="T45" s="36"/>
      <c r="U45" s="36"/>
      <c r="V45" s="36"/>
      <c r="W45" s="36"/>
      <c r="X45" s="36"/>
      <c r="Y45" s="36"/>
      <c r="Z45" s="36"/>
      <c r="AA45" s="36"/>
      <c r="AB45" s="2"/>
    </row>
    <row r="46" spans="1:28" s="126" customFormat="1" x14ac:dyDescent="0.25">
      <c r="A46" s="149">
        <f>1</f>
        <v>1</v>
      </c>
      <c r="B46" s="132" t="str">
        <f>структура!$J$12</f>
        <v>ОСНО</v>
      </c>
      <c r="C46" s="123"/>
      <c r="D46" s="123"/>
      <c r="E46" s="130" t="str">
        <f>KPI!$E$77</f>
        <v>расходы на аренду земли</v>
      </c>
      <c r="F46" s="130"/>
      <c r="G46" s="130" t="str">
        <f>IF($E46="","",INDEX(KPI!$G:$G,SUMIFS(KPI!$B:$B,KPI!$E:$E,$E46)))</f>
        <v>тыс.руб.</v>
      </c>
      <c r="H46" s="130"/>
      <c r="I46" s="134"/>
      <c r="J46" s="130" t="str">
        <f>структура!$AL$21</f>
        <v>Без НДС</v>
      </c>
      <c r="K46" s="134"/>
      <c r="L46" s="130"/>
      <c r="M46" s="135">
        <f>SUM($O46:$AB46)</f>
        <v>0</v>
      </c>
      <c r="N46" s="123"/>
      <c r="O46" s="123"/>
      <c r="P46" s="136">
        <f>отчеты!P46-отч_беседки!P46-отч_вер_парк!P46</f>
        <v>0</v>
      </c>
      <c r="Q46" s="136">
        <f>отчеты!Q46-отч_беседки!Q46-отч_вер_парк!Q46</f>
        <v>0</v>
      </c>
      <c r="R46" s="136">
        <f>отчеты!R46-отч_беседки!R46-отч_вер_парк!R46</f>
        <v>0</v>
      </c>
      <c r="S46" s="136">
        <f>отчеты!S46-отч_беседки!S46-отч_вер_парк!S46</f>
        <v>0</v>
      </c>
      <c r="T46" s="136">
        <f>отчеты!T46-отч_беседки!T46-отч_вер_парк!T46</f>
        <v>0</v>
      </c>
      <c r="U46" s="136">
        <f>отчеты!U46-отч_беседки!U46-отч_вер_парк!U46</f>
        <v>0</v>
      </c>
      <c r="V46" s="136">
        <f>отчеты!V46-отч_беседки!V46-отч_вер_парк!V46</f>
        <v>0</v>
      </c>
      <c r="W46" s="136">
        <f>отчеты!W46-отч_беседки!W46-отч_вер_парк!W46</f>
        <v>0</v>
      </c>
      <c r="X46" s="136">
        <f>отчеты!X46-отч_беседки!X46-отч_вер_парк!X46</f>
        <v>0</v>
      </c>
      <c r="Y46" s="136">
        <f>отчеты!Y46-отч_беседки!Y46-отч_вер_парк!Y46</f>
        <v>0</v>
      </c>
      <c r="Z46" s="136">
        <f>отчеты!Z46-отч_беседки!Z46-отч_вер_парк!Z46</f>
        <v>0</v>
      </c>
      <c r="AA46" s="136">
        <f>отчеты!AA46-отч_беседки!AA46-отч_вер_парк!AA46</f>
        <v>0</v>
      </c>
      <c r="AB46" s="123"/>
    </row>
    <row r="47" spans="1:28" s="126" customFormat="1" ht="3.9" customHeight="1" x14ac:dyDescent="0.25">
      <c r="A47" s="149">
        <f>1</f>
        <v>1</v>
      </c>
      <c r="B47" s="131"/>
      <c r="C47" s="123"/>
      <c r="D47" s="123"/>
      <c r="E47" s="123"/>
      <c r="F47" s="123"/>
      <c r="G47" s="123"/>
      <c r="H47" s="123"/>
      <c r="I47" s="124"/>
      <c r="J47" s="123"/>
      <c r="K47" s="124"/>
      <c r="L47" s="123"/>
      <c r="M47" s="125"/>
      <c r="N47" s="123"/>
      <c r="O47" s="123"/>
      <c r="P47" s="137"/>
      <c r="Q47" s="137"/>
      <c r="R47" s="137"/>
      <c r="S47" s="137"/>
      <c r="T47" s="137"/>
      <c r="U47" s="137"/>
      <c r="V47" s="137"/>
      <c r="W47" s="137"/>
      <c r="X47" s="137"/>
      <c r="Y47" s="137"/>
      <c r="Z47" s="137"/>
      <c r="AA47" s="137"/>
      <c r="AB47" s="123"/>
    </row>
    <row r="48" spans="1:28" s="126" customFormat="1" x14ac:dyDescent="0.25">
      <c r="A48" s="149">
        <f>1</f>
        <v>1</v>
      </c>
      <c r="B48" s="132" t="str">
        <f>структура!$J$13</f>
        <v>УСН(6%)</v>
      </c>
      <c r="C48" s="123"/>
      <c r="D48" s="123"/>
      <c r="E48" s="130" t="str">
        <f>E46</f>
        <v>расходы на аренду земли</v>
      </c>
      <c r="F48" s="130"/>
      <c r="G48" s="130" t="str">
        <f>IF($E48="","",INDEX(KPI!$G:$G,SUMIFS(KPI!$B:$B,KPI!$E:$E,$E48)))</f>
        <v>тыс.руб.</v>
      </c>
      <c r="H48" s="130"/>
      <c r="I48" s="134"/>
      <c r="J48" s="130" t="str">
        <f>структура!$AL$21</f>
        <v>Без НДС</v>
      </c>
      <c r="K48" s="134"/>
      <c r="L48" s="130"/>
      <c r="M48" s="135">
        <f>SUM($O48:$AB48)</f>
        <v>0</v>
      </c>
      <c r="N48" s="123"/>
      <c r="O48" s="123"/>
      <c r="P48" s="136">
        <f>отчеты!P48-отч_беседки!P48-отч_вер_парк!P48</f>
        <v>0</v>
      </c>
      <c r="Q48" s="136">
        <f>отчеты!Q48-отч_беседки!Q48-отч_вер_парк!Q48</f>
        <v>0</v>
      </c>
      <c r="R48" s="136">
        <f>отчеты!R48-отч_беседки!R48-отч_вер_парк!R48</f>
        <v>0</v>
      </c>
      <c r="S48" s="136">
        <f>отчеты!S48-отч_беседки!S48-отч_вер_парк!S48</f>
        <v>0</v>
      </c>
      <c r="T48" s="136">
        <f>отчеты!T48-отч_беседки!T48-отч_вер_парк!T48</f>
        <v>0</v>
      </c>
      <c r="U48" s="136">
        <f>отчеты!U48-отч_беседки!U48-отч_вер_парк!U48</f>
        <v>0</v>
      </c>
      <c r="V48" s="136">
        <f>отчеты!V48-отч_беседки!V48-отч_вер_парк!V48</f>
        <v>0</v>
      </c>
      <c r="W48" s="136">
        <f>отчеты!W48-отч_беседки!W48-отч_вер_парк!W48</f>
        <v>0</v>
      </c>
      <c r="X48" s="136">
        <f>отчеты!X48-отч_беседки!X48-отч_вер_парк!X48</f>
        <v>0</v>
      </c>
      <c r="Y48" s="136">
        <f>отчеты!Y48-отч_беседки!Y48-отч_вер_парк!Y48</f>
        <v>0</v>
      </c>
      <c r="Z48" s="136">
        <f>отчеты!Z48-отч_беседки!Z48-отч_вер_парк!Z48</f>
        <v>0</v>
      </c>
      <c r="AA48" s="136">
        <f>отчеты!AA48-отч_беседки!AA48-отч_вер_парк!AA48</f>
        <v>0</v>
      </c>
      <c r="AB48" s="123"/>
    </row>
    <row r="49" spans="1:28" s="126" customFormat="1" ht="3.9" customHeight="1" x14ac:dyDescent="0.25">
      <c r="A49" s="149">
        <f>1</f>
        <v>1</v>
      </c>
      <c r="B49" s="131"/>
      <c r="C49" s="123"/>
      <c r="D49" s="123"/>
      <c r="E49" s="123"/>
      <c r="F49" s="123"/>
      <c r="G49" s="123"/>
      <c r="H49" s="123"/>
      <c r="I49" s="124"/>
      <c r="J49" s="123"/>
      <c r="K49" s="124"/>
      <c r="L49" s="123"/>
      <c r="M49" s="125"/>
      <c r="N49" s="123"/>
      <c r="O49" s="123"/>
      <c r="P49" s="137"/>
      <c r="Q49" s="137"/>
      <c r="R49" s="137"/>
      <c r="S49" s="137"/>
      <c r="T49" s="137"/>
      <c r="U49" s="137"/>
      <c r="V49" s="137"/>
      <c r="W49" s="137"/>
      <c r="X49" s="137"/>
      <c r="Y49" s="137"/>
      <c r="Z49" s="137"/>
      <c r="AA49" s="137"/>
      <c r="AB49" s="123"/>
    </row>
    <row r="50" spans="1:28" s="126" customFormat="1" x14ac:dyDescent="0.25">
      <c r="A50" s="149">
        <f>1</f>
        <v>1</v>
      </c>
      <c r="B50" s="132" t="str">
        <f>структура!$J$14</f>
        <v>УСН(15%)</v>
      </c>
      <c r="C50" s="123"/>
      <c r="D50" s="123"/>
      <c r="E50" s="130" t="str">
        <f>E46</f>
        <v>расходы на аренду земли</v>
      </c>
      <c r="F50" s="130"/>
      <c r="G50" s="130" t="str">
        <f>IF($E50="","",INDEX(KPI!$G:$G,SUMIFS(KPI!$B:$B,KPI!$E:$E,$E50)))</f>
        <v>тыс.руб.</v>
      </c>
      <c r="H50" s="130"/>
      <c r="I50" s="134"/>
      <c r="J50" s="130" t="str">
        <f>структура!$AL$21</f>
        <v>Без НДС</v>
      </c>
      <c r="K50" s="134"/>
      <c r="L50" s="130"/>
      <c r="M50" s="135">
        <f>SUM($O50:$AB50)</f>
        <v>0</v>
      </c>
      <c r="N50" s="123"/>
      <c r="O50" s="123"/>
      <c r="P50" s="136">
        <f>отчеты!P50-отч_беседки!P50-отч_вер_парк!P50</f>
        <v>0</v>
      </c>
      <c r="Q50" s="136">
        <f>отчеты!Q50-отч_беседки!Q50-отч_вер_парк!Q50</f>
        <v>0</v>
      </c>
      <c r="R50" s="136">
        <f>отчеты!R50-отч_беседки!R50-отч_вер_парк!R50</f>
        <v>0</v>
      </c>
      <c r="S50" s="136">
        <f>отчеты!S50-отч_беседки!S50-отч_вер_парк!S50</f>
        <v>0</v>
      </c>
      <c r="T50" s="136">
        <f>отчеты!T50-отч_беседки!T50-отч_вер_парк!T50</f>
        <v>0</v>
      </c>
      <c r="U50" s="136">
        <f>отчеты!U50-отч_беседки!U50-отч_вер_парк!U50</f>
        <v>0</v>
      </c>
      <c r="V50" s="136">
        <f>отчеты!V50-отч_беседки!V50-отч_вер_парк!V50</f>
        <v>0</v>
      </c>
      <c r="W50" s="136">
        <f>отчеты!W50-отч_беседки!W50-отч_вер_парк!W50</f>
        <v>0</v>
      </c>
      <c r="X50" s="136">
        <f>отчеты!X50-отч_беседки!X50-отч_вер_парк!X50</f>
        <v>0</v>
      </c>
      <c r="Y50" s="136">
        <f>отчеты!Y50-отч_беседки!Y50-отч_вер_парк!Y50</f>
        <v>0</v>
      </c>
      <c r="Z50" s="136">
        <f>отчеты!Z50-отч_беседки!Z50-отч_вер_парк!Z50</f>
        <v>0</v>
      </c>
      <c r="AA50" s="136">
        <f>отчеты!AA50-отч_беседки!AA50-отч_вер_парк!AA50</f>
        <v>0</v>
      </c>
      <c r="AB50" s="123"/>
    </row>
    <row r="51" spans="1:28" s="126" customFormat="1" ht="3.9" customHeight="1" x14ac:dyDescent="0.25">
      <c r="A51" s="149">
        <f>1</f>
        <v>1</v>
      </c>
      <c r="B51" s="131"/>
      <c r="C51" s="123"/>
      <c r="D51" s="123"/>
      <c r="E51" s="123"/>
      <c r="F51" s="123"/>
      <c r="G51" s="123"/>
      <c r="H51" s="123"/>
      <c r="I51" s="124"/>
      <c r="J51" s="123"/>
      <c r="K51" s="124"/>
      <c r="L51" s="123"/>
      <c r="M51" s="125"/>
      <c r="N51" s="123"/>
      <c r="O51" s="123"/>
      <c r="P51" s="137"/>
      <c r="Q51" s="137"/>
      <c r="R51" s="137"/>
      <c r="S51" s="137"/>
      <c r="T51" s="137"/>
      <c r="U51" s="137"/>
      <c r="V51" s="137"/>
      <c r="W51" s="137"/>
      <c r="X51" s="137"/>
      <c r="Y51" s="137"/>
      <c r="Z51" s="137"/>
      <c r="AA51" s="137"/>
      <c r="AB51" s="123"/>
    </row>
    <row r="52" spans="1:28" s="126" customFormat="1" x14ac:dyDescent="0.25">
      <c r="A52" s="149">
        <f>1</f>
        <v>1</v>
      </c>
      <c r="B52" s="132" t="str">
        <f>структура!$J$15</f>
        <v>УСН(6%)-ИП</v>
      </c>
      <c r="C52" s="123"/>
      <c r="D52" s="123"/>
      <c r="E52" s="130" t="str">
        <f>E46</f>
        <v>расходы на аренду земли</v>
      </c>
      <c r="F52" s="130"/>
      <c r="G52" s="130" t="str">
        <f>IF($E52="","",INDEX(KPI!$G:$G,SUMIFS(KPI!$B:$B,KPI!$E:$E,$E52)))</f>
        <v>тыс.руб.</v>
      </c>
      <c r="H52" s="130"/>
      <c r="I52" s="134"/>
      <c r="J52" s="130" t="str">
        <f>структура!$AL$21</f>
        <v>Без НДС</v>
      </c>
      <c r="K52" s="134"/>
      <c r="L52" s="130"/>
      <c r="M52" s="135">
        <f>SUM($O52:$AB52)</f>
        <v>0</v>
      </c>
      <c r="N52" s="123"/>
      <c r="O52" s="123"/>
      <c r="P52" s="136">
        <f>отчеты!P52-отч_беседки!P52-отч_вер_парк!P52</f>
        <v>0</v>
      </c>
      <c r="Q52" s="136">
        <f>отчеты!Q52-отч_беседки!Q52-отч_вер_парк!Q52</f>
        <v>0</v>
      </c>
      <c r="R52" s="136">
        <f>отчеты!R52-отч_беседки!R52-отч_вер_парк!R52</f>
        <v>0</v>
      </c>
      <c r="S52" s="136">
        <f>отчеты!S52-отч_беседки!S52-отч_вер_парк!S52</f>
        <v>0</v>
      </c>
      <c r="T52" s="136">
        <f>отчеты!T52-отч_беседки!T52-отч_вер_парк!T52</f>
        <v>0</v>
      </c>
      <c r="U52" s="136">
        <f>отчеты!U52-отч_беседки!U52-отч_вер_парк!U52</f>
        <v>0</v>
      </c>
      <c r="V52" s="136">
        <f>отчеты!V52-отч_беседки!V52-отч_вер_парк!V52</f>
        <v>0</v>
      </c>
      <c r="W52" s="136">
        <f>отчеты!W52-отч_беседки!W52-отч_вер_парк!W52</f>
        <v>0</v>
      </c>
      <c r="X52" s="136">
        <f>отчеты!X52-отч_беседки!X52-отч_вер_парк!X52</f>
        <v>0</v>
      </c>
      <c r="Y52" s="136">
        <f>отчеты!Y52-отч_беседки!Y52-отч_вер_парк!Y52</f>
        <v>0</v>
      </c>
      <c r="Z52" s="136">
        <f>отчеты!Z52-отч_беседки!Z52-отч_вер_парк!Z52</f>
        <v>0</v>
      </c>
      <c r="AA52" s="136">
        <f>отчеты!AA52-отч_беседки!AA52-отч_вер_парк!AA52</f>
        <v>0</v>
      </c>
      <c r="AB52" s="123"/>
    </row>
    <row r="53" spans="1:28" ht="3.9" customHeight="1" x14ac:dyDescent="0.25">
      <c r="A53" s="149">
        <f>1</f>
        <v>1</v>
      </c>
      <c r="B53" s="131"/>
      <c r="C53" s="2"/>
      <c r="D53" s="2"/>
      <c r="E53" s="2"/>
      <c r="F53" s="2"/>
      <c r="G53" s="2"/>
      <c r="H53" s="2"/>
      <c r="I53" s="28"/>
      <c r="J53" s="2"/>
      <c r="K53" s="28"/>
      <c r="L53" s="2"/>
      <c r="M53" s="52"/>
      <c r="N53" s="2"/>
      <c r="O53" s="2"/>
      <c r="P53" s="36"/>
      <c r="Q53" s="36"/>
      <c r="R53" s="36"/>
      <c r="S53" s="36"/>
      <c r="T53" s="36"/>
      <c r="U53" s="36"/>
      <c r="V53" s="36"/>
      <c r="W53" s="36"/>
      <c r="X53" s="36"/>
      <c r="Y53" s="36"/>
      <c r="Z53" s="36"/>
      <c r="AA53" s="36"/>
      <c r="AB53" s="2"/>
    </row>
    <row r="54" spans="1:28" ht="8.1" customHeight="1" x14ac:dyDescent="0.25">
      <c r="A54" s="149">
        <f>1</f>
        <v>1</v>
      </c>
      <c r="B54" s="131"/>
      <c r="C54" s="2"/>
      <c r="D54" s="2"/>
      <c r="E54" s="2"/>
      <c r="F54" s="2"/>
      <c r="G54" s="2"/>
      <c r="H54" s="2"/>
      <c r="I54" s="28"/>
      <c r="J54" s="2"/>
      <c r="K54" s="28"/>
      <c r="L54" s="2"/>
      <c r="M54" s="52"/>
      <c r="N54" s="2"/>
      <c r="O54" s="2"/>
      <c r="P54" s="36"/>
      <c r="Q54" s="36"/>
      <c r="R54" s="36"/>
      <c r="S54" s="36"/>
      <c r="T54" s="36"/>
      <c r="U54" s="36"/>
      <c r="V54" s="36"/>
      <c r="W54" s="36"/>
      <c r="X54" s="36"/>
      <c r="Y54" s="36"/>
      <c r="Z54" s="36"/>
      <c r="AA54" s="36"/>
      <c r="AB54" s="2"/>
    </row>
    <row r="55" spans="1:28" ht="3.9" customHeight="1" x14ac:dyDescent="0.25">
      <c r="A55" s="149">
        <f>1</f>
        <v>1</v>
      </c>
      <c r="B55" s="131"/>
      <c r="C55" s="2"/>
      <c r="D55" s="2"/>
      <c r="E55" s="2"/>
      <c r="F55" s="2"/>
      <c r="G55" s="2"/>
      <c r="H55" s="2"/>
      <c r="I55" s="28"/>
      <c r="J55" s="2"/>
      <c r="K55" s="28"/>
      <c r="L55" s="2"/>
      <c r="M55" s="52"/>
      <c r="N55" s="2"/>
      <c r="O55" s="2"/>
      <c r="P55" s="36"/>
      <c r="Q55" s="36"/>
      <c r="R55" s="36"/>
      <c r="S55" s="36"/>
      <c r="T55" s="36"/>
      <c r="U55" s="36"/>
      <c r="V55" s="36"/>
      <c r="W55" s="36"/>
      <c r="X55" s="36"/>
      <c r="Y55" s="36"/>
      <c r="Z55" s="36"/>
      <c r="AA55" s="36"/>
      <c r="AB55" s="2"/>
    </row>
    <row r="56" spans="1:28" s="126" customFormat="1" x14ac:dyDescent="0.25">
      <c r="A56" s="149">
        <f>1</f>
        <v>1</v>
      </c>
      <c r="B56" s="132" t="str">
        <f>структура!$J$12</f>
        <v>ОСНО</v>
      </c>
      <c r="C56" s="123"/>
      <c r="D56" s="123"/>
      <c r="E56" s="130" t="str">
        <f>KPI!$E$78</f>
        <v>коммунальные расходы</v>
      </c>
      <c r="F56" s="130"/>
      <c r="G56" s="130" t="str">
        <f>IF($E56="","",INDEX(KPI!$G:$G,SUMIFS(KPI!$B:$B,KPI!$E:$E,$E56)))</f>
        <v>тыс.руб.</v>
      </c>
      <c r="H56" s="130"/>
      <c r="I56" s="134"/>
      <c r="J56" s="130" t="str">
        <f>структура!$AL$21</f>
        <v>Без НДС</v>
      </c>
      <c r="K56" s="134"/>
      <c r="L56" s="130"/>
      <c r="M56" s="135">
        <f>SUM($O56:$AB56)</f>
        <v>230.86114211023221</v>
      </c>
      <c r="N56" s="123"/>
      <c r="O56" s="123"/>
      <c r="P56" s="136">
        <f>отчеты!P56-отч_беседки!P56-отч_вер_парк!P56</f>
        <v>36.673096516334269</v>
      </c>
      <c r="Q56" s="136">
        <f>отчеты!Q56-отч_беседки!Q56-отч_вер_парк!Q56</f>
        <v>35.602500495230515</v>
      </c>
      <c r="R56" s="136">
        <f>отчеты!R56-отч_беседки!R56-отч_вер_парк!R56</f>
        <v>34.27111608461685</v>
      </c>
      <c r="S56" s="136">
        <f>отчеты!S56-отч_беседки!S56-отч_вер_парк!S56</f>
        <v>33.288690382100214</v>
      </c>
      <c r="T56" s="136">
        <f>отчеты!T56-отч_беседки!T56-отч_вер_парк!T56</f>
        <v>32.103599215016274</v>
      </c>
      <c r="U56" s="136">
        <f>отчеты!U56-отч_беседки!U56-отч_вер_парк!U56</f>
        <v>30.393309236319539</v>
      </c>
      <c r="V56" s="136">
        <f>отчеты!V56-отч_беседки!V56-отч_вер_парк!V56</f>
        <v>28.528830180614548</v>
      </c>
      <c r="W56" s="136">
        <f>отчеты!W56-отч_беседки!W56-отч_вер_парк!W56</f>
        <v>0</v>
      </c>
      <c r="X56" s="136">
        <f>отчеты!X56-отч_беседки!X56-отч_вер_парк!X56</f>
        <v>0</v>
      </c>
      <c r="Y56" s="136">
        <f>отчеты!Y56-отч_беседки!Y56-отч_вер_парк!Y56</f>
        <v>0</v>
      </c>
      <c r="Z56" s="136">
        <f>отчеты!Z56-отч_беседки!Z56-отч_вер_парк!Z56</f>
        <v>0</v>
      </c>
      <c r="AA56" s="136">
        <f>отчеты!AA56-отч_беседки!AA56-отч_вер_парк!AA56</f>
        <v>0</v>
      </c>
      <c r="AB56" s="123"/>
    </row>
    <row r="57" spans="1:28" s="126" customFormat="1" ht="3.9" customHeight="1" x14ac:dyDescent="0.25">
      <c r="A57" s="149">
        <f>1</f>
        <v>1</v>
      </c>
      <c r="B57" s="131"/>
      <c r="C57" s="123"/>
      <c r="D57" s="123"/>
      <c r="E57" s="123"/>
      <c r="F57" s="123"/>
      <c r="G57" s="123"/>
      <c r="H57" s="123"/>
      <c r="I57" s="124"/>
      <c r="J57" s="123"/>
      <c r="K57" s="124"/>
      <c r="L57" s="123"/>
      <c r="M57" s="125"/>
      <c r="N57" s="123"/>
      <c r="O57" s="123"/>
      <c r="P57" s="137"/>
      <c r="Q57" s="137"/>
      <c r="R57" s="137"/>
      <c r="S57" s="137"/>
      <c r="T57" s="137"/>
      <c r="U57" s="137"/>
      <c r="V57" s="137"/>
      <c r="W57" s="137"/>
      <c r="X57" s="137"/>
      <c r="Y57" s="137"/>
      <c r="Z57" s="137"/>
      <c r="AA57" s="137"/>
      <c r="AB57" s="123"/>
    </row>
    <row r="58" spans="1:28" s="126" customFormat="1" x14ac:dyDescent="0.25">
      <c r="A58" s="149">
        <f>1</f>
        <v>1</v>
      </c>
      <c r="B58" s="132" t="str">
        <f>структура!$J$13</f>
        <v>УСН(6%)</v>
      </c>
      <c r="C58" s="123"/>
      <c r="D58" s="123"/>
      <c r="E58" s="130" t="str">
        <f>E56</f>
        <v>коммунальные расходы</v>
      </c>
      <c r="F58" s="130"/>
      <c r="G58" s="130" t="str">
        <f>IF($E58="","",INDEX(KPI!$G:$G,SUMIFS(KPI!$B:$B,KPI!$E:$E,$E58)))</f>
        <v>тыс.руб.</v>
      </c>
      <c r="H58" s="130"/>
      <c r="I58" s="134"/>
      <c r="J58" s="130" t="str">
        <f>структура!$AL$21</f>
        <v>Без НДС</v>
      </c>
      <c r="K58" s="134"/>
      <c r="L58" s="130"/>
      <c r="M58" s="135">
        <f>SUM($O58:$AB58)</f>
        <v>230.86114211023227</v>
      </c>
      <c r="N58" s="123"/>
      <c r="O58" s="123"/>
      <c r="P58" s="136">
        <f>отчеты!P58-отч_беседки!P58-отч_вер_парк!P58</f>
        <v>36.673096516334311</v>
      </c>
      <c r="Q58" s="136">
        <f>отчеты!Q58-отч_беседки!Q58-отч_вер_парк!Q58</f>
        <v>35.602500495230501</v>
      </c>
      <c r="R58" s="136">
        <f>отчеты!R58-отч_беседки!R58-отч_вер_парк!R58</f>
        <v>34.271116084616835</v>
      </c>
      <c r="S58" s="136">
        <f>отчеты!S58-отч_беседки!S58-отч_вер_парк!S58</f>
        <v>33.288690382100199</v>
      </c>
      <c r="T58" s="136">
        <f>отчеты!T58-отч_беседки!T58-отч_вер_парк!T58</f>
        <v>32.103599215016274</v>
      </c>
      <c r="U58" s="136">
        <f>отчеты!U58-отч_беседки!U58-отч_вер_парк!U58</f>
        <v>30.393309236319567</v>
      </c>
      <c r="V58" s="136">
        <f>отчеты!V58-отч_беседки!V58-отч_вер_парк!V58</f>
        <v>28.528830180614577</v>
      </c>
      <c r="W58" s="136">
        <f>отчеты!W58-отч_беседки!W58-отч_вер_парк!W58</f>
        <v>0</v>
      </c>
      <c r="X58" s="136">
        <f>отчеты!X58-отч_беседки!X58-отч_вер_парк!X58</f>
        <v>0</v>
      </c>
      <c r="Y58" s="136">
        <f>отчеты!Y58-отч_беседки!Y58-отч_вер_парк!Y58</f>
        <v>0</v>
      </c>
      <c r="Z58" s="136">
        <f>отчеты!Z58-отч_беседки!Z58-отч_вер_парк!Z58</f>
        <v>0</v>
      </c>
      <c r="AA58" s="136">
        <f>отчеты!AA58-отч_беседки!AA58-отч_вер_парк!AA58</f>
        <v>0</v>
      </c>
      <c r="AB58" s="123"/>
    </row>
    <row r="59" spans="1:28" s="126" customFormat="1" ht="3.9" customHeight="1" x14ac:dyDescent="0.25">
      <c r="A59" s="149">
        <f>1</f>
        <v>1</v>
      </c>
      <c r="B59" s="131"/>
      <c r="C59" s="123"/>
      <c r="D59" s="123"/>
      <c r="E59" s="123"/>
      <c r="F59" s="123"/>
      <c r="G59" s="123"/>
      <c r="H59" s="123"/>
      <c r="I59" s="124"/>
      <c r="J59" s="123"/>
      <c r="K59" s="124"/>
      <c r="L59" s="123"/>
      <c r="M59" s="125"/>
      <c r="N59" s="123"/>
      <c r="O59" s="123"/>
      <c r="P59" s="137"/>
      <c r="Q59" s="137"/>
      <c r="R59" s="137"/>
      <c r="S59" s="137"/>
      <c r="T59" s="137"/>
      <c r="U59" s="137"/>
      <c r="V59" s="137"/>
      <c r="W59" s="137"/>
      <c r="X59" s="137"/>
      <c r="Y59" s="137"/>
      <c r="Z59" s="137"/>
      <c r="AA59" s="137"/>
      <c r="AB59" s="123"/>
    </row>
    <row r="60" spans="1:28" s="126" customFormat="1" x14ac:dyDescent="0.25">
      <c r="A60" s="149">
        <f>1</f>
        <v>1</v>
      </c>
      <c r="B60" s="132" t="str">
        <f>структура!$J$14</f>
        <v>УСН(15%)</v>
      </c>
      <c r="C60" s="123"/>
      <c r="D60" s="123"/>
      <c r="E60" s="130" t="str">
        <f>E56</f>
        <v>коммунальные расходы</v>
      </c>
      <c r="F60" s="130"/>
      <c r="G60" s="130" t="str">
        <f>IF($E60="","",INDEX(KPI!$G:$G,SUMIFS(KPI!$B:$B,KPI!$E:$E,$E60)))</f>
        <v>тыс.руб.</v>
      </c>
      <c r="H60" s="130"/>
      <c r="I60" s="134"/>
      <c r="J60" s="130" t="str">
        <f>структура!$AL$21</f>
        <v>Без НДС</v>
      </c>
      <c r="K60" s="134"/>
      <c r="L60" s="130"/>
      <c r="M60" s="135">
        <f>SUM($O60:$AB60)</f>
        <v>230.86114211023227</v>
      </c>
      <c r="N60" s="123"/>
      <c r="O60" s="123"/>
      <c r="P60" s="136">
        <f>отчеты!P60-отч_беседки!P60-отч_вер_парк!P60</f>
        <v>36.673096516334311</v>
      </c>
      <c r="Q60" s="136">
        <f>отчеты!Q60-отч_беседки!Q60-отч_вер_парк!Q60</f>
        <v>35.602500495230501</v>
      </c>
      <c r="R60" s="136">
        <f>отчеты!R60-отч_беседки!R60-отч_вер_парк!R60</f>
        <v>34.271116084616835</v>
      </c>
      <c r="S60" s="136">
        <f>отчеты!S60-отч_беседки!S60-отч_вер_парк!S60</f>
        <v>33.288690382100199</v>
      </c>
      <c r="T60" s="136">
        <f>отчеты!T60-отч_беседки!T60-отч_вер_парк!T60</f>
        <v>32.103599215016274</v>
      </c>
      <c r="U60" s="136">
        <f>отчеты!U60-отч_беседки!U60-отч_вер_парк!U60</f>
        <v>30.393309236319567</v>
      </c>
      <c r="V60" s="136">
        <f>отчеты!V60-отч_беседки!V60-отч_вер_парк!V60</f>
        <v>28.528830180614577</v>
      </c>
      <c r="W60" s="136">
        <f>отчеты!W60-отч_беседки!W60-отч_вер_парк!W60</f>
        <v>0</v>
      </c>
      <c r="X60" s="136">
        <f>отчеты!X60-отч_беседки!X60-отч_вер_парк!X60</f>
        <v>0</v>
      </c>
      <c r="Y60" s="136">
        <f>отчеты!Y60-отч_беседки!Y60-отч_вер_парк!Y60</f>
        <v>0</v>
      </c>
      <c r="Z60" s="136">
        <f>отчеты!Z60-отч_беседки!Z60-отч_вер_парк!Z60</f>
        <v>0</v>
      </c>
      <c r="AA60" s="136">
        <f>отчеты!AA60-отч_беседки!AA60-отч_вер_парк!AA60</f>
        <v>0</v>
      </c>
      <c r="AB60" s="123"/>
    </row>
    <row r="61" spans="1:28" s="126" customFormat="1" ht="3.9" customHeight="1" x14ac:dyDescent="0.25">
      <c r="A61" s="149">
        <f>1</f>
        <v>1</v>
      </c>
      <c r="B61" s="131"/>
      <c r="C61" s="123"/>
      <c r="D61" s="123"/>
      <c r="E61" s="123"/>
      <c r="F61" s="123"/>
      <c r="G61" s="123"/>
      <c r="H61" s="123"/>
      <c r="I61" s="124"/>
      <c r="J61" s="123"/>
      <c r="K61" s="124"/>
      <c r="L61" s="123"/>
      <c r="M61" s="125"/>
      <c r="N61" s="123"/>
      <c r="O61" s="123"/>
      <c r="P61" s="137"/>
      <c r="Q61" s="137"/>
      <c r="R61" s="137"/>
      <c r="S61" s="137"/>
      <c r="T61" s="137"/>
      <c r="U61" s="137"/>
      <c r="V61" s="137"/>
      <c r="W61" s="137"/>
      <c r="X61" s="137"/>
      <c r="Y61" s="137"/>
      <c r="Z61" s="137"/>
      <c r="AA61" s="137"/>
      <c r="AB61" s="123"/>
    </row>
    <row r="62" spans="1:28" s="126" customFormat="1" x14ac:dyDescent="0.25">
      <c r="A62" s="149">
        <f>1</f>
        <v>1</v>
      </c>
      <c r="B62" s="132" t="str">
        <f>структура!$J$15</f>
        <v>УСН(6%)-ИП</v>
      </c>
      <c r="C62" s="123"/>
      <c r="D62" s="123"/>
      <c r="E62" s="130" t="str">
        <f>E56</f>
        <v>коммунальные расходы</v>
      </c>
      <c r="F62" s="130"/>
      <c r="G62" s="130" t="str">
        <f>IF($E62="","",INDEX(KPI!$G:$G,SUMIFS(KPI!$B:$B,KPI!$E:$E,$E62)))</f>
        <v>тыс.руб.</v>
      </c>
      <c r="H62" s="130"/>
      <c r="I62" s="134"/>
      <c r="J62" s="130" t="str">
        <f>структура!$AL$21</f>
        <v>Без НДС</v>
      </c>
      <c r="K62" s="134"/>
      <c r="L62" s="130"/>
      <c r="M62" s="135">
        <f>SUM($O62:$AB62)</f>
        <v>230.86114211023227</v>
      </c>
      <c r="N62" s="123"/>
      <c r="O62" s="123"/>
      <c r="P62" s="136">
        <f>отчеты!P62-отч_беседки!P62-отч_вер_парк!P62</f>
        <v>36.673096516334311</v>
      </c>
      <c r="Q62" s="136">
        <f>отчеты!Q62-отч_беседки!Q62-отч_вер_парк!Q62</f>
        <v>35.602500495230501</v>
      </c>
      <c r="R62" s="136">
        <f>отчеты!R62-отч_беседки!R62-отч_вер_парк!R62</f>
        <v>34.271116084616835</v>
      </c>
      <c r="S62" s="136">
        <f>отчеты!S62-отч_беседки!S62-отч_вер_парк!S62</f>
        <v>33.288690382100199</v>
      </c>
      <c r="T62" s="136">
        <f>отчеты!T62-отч_беседки!T62-отч_вер_парк!T62</f>
        <v>32.103599215016274</v>
      </c>
      <c r="U62" s="136">
        <f>отчеты!U62-отч_беседки!U62-отч_вер_парк!U62</f>
        <v>30.393309236319567</v>
      </c>
      <c r="V62" s="136">
        <f>отчеты!V62-отч_беседки!V62-отч_вер_парк!V62</f>
        <v>28.528830180614577</v>
      </c>
      <c r="W62" s="136">
        <f>отчеты!W62-отч_беседки!W62-отч_вер_парк!W62</f>
        <v>0</v>
      </c>
      <c r="X62" s="136">
        <f>отчеты!X62-отч_беседки!X62-отч_вер_парк!X62</f>
        <v>0</v>
      </c>
      <c r="Y62" s="136">
        <f>отчеты!Y62-отч_беседки!Y62-отч_вер_парк!Y62</f>
        <v>0</v>
      </c>
      <c r="Z62" s="136">
        <f>отчеты!Z62-отч_беседки!Z62-отч_вер_парк!Z62</f>
        <v>0</v>
      </c>
      <c r="AA62" s="136">
        <f>отчеты!AA62-отч_беседки!AA62-отч_вер_парк!AA62</f>
        <v>0</v>
      </c>
      <c r="AB62" s="123"/>
    </row>
    <row r="63" spans="1:28" ht="3.9" customHeight="1" x14ac:dyDescent="0.25">
      <c r="A63" s="149">
        <f>1</f>
        <v>1</v>
      </c>
      <c r="B63" s="131"/>
      <c r="C63" s="2"/>
      <c r="D63" s="2"/>
      <c r="E63" s="2"/>
      <c r="F63" s="2"/>
      <c r="G63" s="2"/>
      <c r="H63" s="2"/>
      <c r="I63" s="28"/>
      <c r="J63" s="2"/>
      <c r="K63" s="28"/>
      <c r="L63" s="2"/>
      <c r="M63" s="52"/>
      <c r="N63" s="2"/>
      <c r="O63" s="2"/>
      <c r="P63" s="36"/>
      <c r="Q63" s="36"/>
      <c r="R63" s="36"/>
      <c r="S63" s="36"/>
      <c r="T63" s="36"/>
      <c r="U63" s="36"/>
      <c r="V63" s="36"/>
      <c r="W63" s="36"/>
      <c r="X63" s="36"/>
      <c r="Y63" s="36"/>
      <c r="Z63" s="36"/>
      <c r="AA63" s="36"/>
      <c r="AB63" s="2"/>
    </row>
    <row r="64" spans="1:28" ht="8.1" customHeight="1" x14ac:dyDescent="0.25">
      <c r="A64" s="149">
        <f>1</f>
        <v>1</v>
      </c>
      <c r="B64" s="131"/>
      <c r="C64" s="2"/>
      <c r="D64" s="2"/>
      <c r="E64" s="2"/>
      <c r="F64" s="2"/>
      <c r="G64" s="2"/>
      <c r="H64" s="2"/>
      <c r="I64" s="28"/>
      <c r="J64" s="2"/>
      <c r="K64" s="28"/>
      <c r="L64" s="2"/>
      <c r="M64" s="52"/>
      <c r="N64" s="2"/>
      <c r="O64" s="2"/>
      <c r="P64" s="36"/>
      <c r="Q64" s="36"/>
      <c r="R64" s="36"/>
      <c r="S64" s="36"/>
      <c r="T64" s="36"/>
      <c r="U64" s="36"/>
      <c r="V64" s="36"/>
      <c r="W64" s="36"/>
      <c r="X64" s="36"/>
      <c r="Y64" s="36"/>
      <c r="Z64" s="36"/>
      <c r="AA64" s="36"/>
      <c r="AB64" s="2"/>
    </row>
    <row r="65" spans="1:28" ht="3.9" customHeight="1" x14ac:dyDescent="0.25">
      <c r="A65" s="149">
        <f>1</f>
        <v>1</v>
      </c>
      <c r="B65" s="131"/>
      <c r="C65" s="2"/>
      <c r="D65" s="2"/>
      <c r="E65" s="2"/>
      <c r="F65" s="2"/>
      <c r="G65" s="2"/>
      <c r="H65" s="2"/>
      <c r="I65" s="28"/>
      <c r="J65" s="2"/>
      <c r="K65" s="28"/>
      <c r="L65" s="2"/>
      <c r="M65" s="52"/>
      <c r="N65" s="2"/>
      <c r="O65" s="2"/>
      <c r="P65" s="36"/>
      <c r="Q65" s="36"/>
      <c r="R65" s="36"/>
      <c r="S65" s="36"/>
      <c r="T65" s="36"/>
      <c r="U65" s="36"/>
      <c r="V65" s="36"/>
      <c r="W65" s="36"/>
      <c r="X65" s="36"/>
      <c r="Y65" s="36"/>
      <c r="Z65" s="36"/>
      <c r="AA65" s="36"/>
      <c r="AB65" s="2"/>
    </row>
    <row r="66" spans="1:28" s="126" customFormat="1" x14ac:dyDescent="0.25">
      <c r="A66" s="149">
        <f>1</f>
        <v>1</v>
      </c>
      <c r="B66" s="132" t="str">
        <f>структура!$J$12</f>
        <v>ОСНО</v>
      </c>
      <c r="C66" s="123"/>
      <c r="D66" s="123"/>
      <c r="E66" s="130" t="str">
        <f>KPI!$E$79</f>
        <v>начисление ФОТ</v>
      </c>
      <c r="F66" s="130"/>
      <c r="G66" s="130" t="str">
        <f>IF($E66="","",INDEX(KPI!$G:$G,SUMIFS(KPI!$B:$B,KPI!$E:$E,$E66)))</f>
        <v>тыс.руб.</v>
      </c>
      <c r="H66" s="130"/>
      <c r="I66" s="134"/>
      <c r="J66" s="130"/>
      <c r="K66" s="134"/>
      <c r="L66" s="130"/>
      <c r="M66" s="135">
        <f>SUM($O66:$AB66)</f>
        <v>0</v>
      </c>
      <c r="N66" s="123"/>
      <c r="O66" s="123"/>
      <c r="P66" s="136">
        <f>отчеты!P66-отч_беседки!P66-отч_вер_парк!P66</f>
        <v>0</v>
      </c>
      <c r="Q66" s="136">
        <f>отчеты!Q66-отч_беседки!Q66-отч_вер_парк!Q66</f>
        <v>0</v>
      </c>
      <c r="R66" s="136">
        <f>отчеты!R66-отч_беседки!R66-отч_вер_парк!R66</f>
        <v>0</v>
      </c>
      <c r="S66" s="136">
        <f>отчеты!S66-отч_беседки!S66-отч_вер_парк!S66</f>
        <v>0</v>
      </c>
      <c r="T66" s="136">
        <f>отчеты!T66-отч_беседки!T66-отч_вер_парк!T66</f>
        <v>0</v>
      </c>
      <c r="U66" s="136">
        <f>отчеты!U66-отч_беседки!U66-отч_вер_парк!U66</f>
        <v>0</v>
      </c>
      <c r="V66" s="136">
        <f>отчеты!V66-отч_беседки!V66-отч_вер_парк!V66</f>
        <v>0</v>
      </c>
      <c r="W66" s="136">
        <f>отчеты!W66-отч_беседки!W66-отч_вер_парк!W66</f>
        <v>0</v>
      </c>
      <c r="X66" s="136">
        <f>отчеты!X66-отч_беседки!X66-отч_вер_парк!X66</f>
        <v>0</v>
      </c>
      <c r="Y66" s="136">
        <f>отчеты!Y66-отч_беседки!Y66-отч_вер_парк!Y66</f>
        <v>0</v>
      </c>
      <c r="Z66" s="136">
        <f>отчеты!Z66-отч_беседки!Z66-отч_вер_парк!Z66</f>
        <v>0</v>
      </c>
      <c r="AA66" s="136">
        <f>отчеты!AA66-отч_беседки!AA66-отч_вер_парк!AA66</f>
        <v>0</v>
      </c>
      <c r="AB66" s="123"/>
    </row>
    <row r="67" spans="1:28" s="126" customFormat="1" ht="3.9" customHeight="1" x14ac:dyDescent="0.25">
      <c r="A67" s="149">
        <f>1</f>
        <v>1</v>
      </c>
      <c r="B67" s="131"/>
      <c r="C67" s="123"/>
      <c r="D67" s="123"/>
      <c r="E67" s="123"/>
      <c r="F67" s="123"/>
      <c r="G67" s="123"/>
      <c r="H67" s="123"/>
      <c r="I67" s="124"/>
      <c r="J67" s="123"/>
      <c r="K67" s="124"/>
      <c r="L67" s="123"/>
      <c r="M67" s="125"/>
      <c r="N67" s="123"/>
      <c r="O67" s="123"/>
      <c r="P67" s="137"/>
      <c r="Q67" s="137"/>
      <c r="R67" s="137"/>
      <c r="S67" s="137"/>
      <c r="T67" s="137"/>
      <c r="U67" s="137"/>
      <c r="V67" s="137"/>
      <c r="W67" s="137"/>
      <c r="X67" s="137"/>
      <c r="Y67" s="137"/>
      <c r="Z67" s="137"/>
      <c r="AA67" s="137"/>
      <c r="AB67" s="123"/>
    </row>
    <row r="68" spans="1:28" s="126" customFormat="1" x14ac:dyDescent="0.25">
      <c r="A68" s="149">
        <f>1</f>
        <v>1</v>
      </c>
      <c r="B68" s="132" t="str">
        <f>структура!$J$13</f>
        <v>УСН(6%)</v>
      </c>
      <c r="C68" s="123"/>
      <c r="D68" s="123"/>
      <c r="E68" s="130" t="str">
        <f>E66</f>
        <v>начисление ФОТ</v>
      </c>
      <c r="F68" s="130"/>
      <c r="G68" s="130" t="str">
        <f>IF($E68="","",INDEX(KPI!$G:$G,SUMIFS(KPI!$B:$B,KPI!$E:$E,$E68)))</f>
        <v>тыс.руб.</v>
      </c>
      <c r="H68" s="130"/>
      <c r="I68" s="134"/>
      <c r="J68" s="130"/>
      <c r="K68" s="134"/>
      <c r="L68" s="130"/>
      <c r="M68" s="135">
        <f>SUM($O68:$AB68)</f>
        <v>0</v>
      </c>
      <c r="N68" s="123"/>
      <c r="O68" s="123"/>
      <c r="P68" s="136">
        <f>отчеты!P68-отч_беседки!P68-отч_вер_парк!P68</f>
        <v>0</v>
      </c>
      <c r="Q68" s="136">
        <f>отчеты!Q68-отч_беседки!Q68-отч_вер_парк!Q68</f>
        <v>0</v>
      </c>
      <c r="R68" s="136">
        <f>отчеты!R68-отч_беседки!R68-отч_вер_парк!R68</f>
        <v>0</v>
      </c>
      <c r="S68" s="136">
        <f>отчеты!S68-отч_беседки!S68-отч_вер_парк!S68</f>
        <v>0</v>
      </c>
      <c r="T68" s="136">
        <f>отчеты!T68-отч_беседки!T68-отч_вер_парк!T68</f>
        <v>0</v>
      </c>
      <c r="U68" s="136">
        <f>отчеты!U68-отч_беседки!U68-отч_вер_парк!U68</f>
        <v>0</v>
      </c>
      <c r="V68" s="136">
        <f>отчеты!V68-отч_беседки!V68-отч_вер_парк!V68</f>
        <v>0</v>
      </c>
      <c r="W68" s="136">
        <f>отчеты!W68-отч_беседки!W68-отч_вер_парк!W68</f>
        <v>0</v>
      </c>
      <c r="X68" s="136">
        <f>отчеты!X68-отч_беседки!X68-отч_вер_парк!X68</f>
        <v>0</v>
      </c>
      <c r="Y68" s="136">
        <f>отчеты!Y68-отч_беседки!Y68-отч_вер_парк!Y68</f>
        <v>0</v>
      </c>
      <c r="Z68" s="136">
        <f>отчеты!Z68-отч_беседки!Z68-отч_вер_парк!Z68</f>
        <v>0</v>
      </c>
      <c r="AA68" s="136">
        <f>отчеты!AA68-отч_беседки!AA68-отч_вер_парк!AA68</f>
        <v>0</v>
      </c>
      <c r="AB68" s="123"/>
    </row>
    <row r="69" spans="1:28" s="126" customFormat="1" ht="3.9" customHeight="1" x14ac:dyDescent="0.25">
      <c r="A69" s="149">
        <f>1</f>
        <v>1</v>
      </c>
      <c r="B69" s="131"/>
      <c r="C69" s="123"/>
      <c r="D69" s="123"/>
      <c r="E69" s="123"/>
      <c r="F69" s="123"/>
      <c r="G69" s="123"/>
      <c r="H69" s="123"/>
      <c r="I69" s="124"/>
      <c r="J69" s="123"/>
      <c r="K69" s="124"/>
      <c r="L69" s="123"/>
      <c r="M69" s="125"/>
      <c r="N69" s="123"/>
      <c r="O69" s="123"/>
      <c r="P69" s="137"/>
      <c r="Q69" s="137"/>
      <c r="R69" s="137"/>
      <c r="S69" s="137"/>
      <c r="T69" s="137"/>
      <c r="U69" s="137"/>
      <c r="V69" s="137"/>
      <c r="W69" s="137"/>
      <c r="X69" s="137"/>
      <c r="Y69" s="137"/>
      <c r="Z69" s="137"/>
      <c r="AA69" s="137"/>
      <c r="AB69" s="123"/>
    </row>
    <row r="70" spans="1:28" s="126" customFormat="1" x14ac:dyDescent="0.25">
      <c r="A70" s="149">
        <f>1</f>
        <v>1</v>
      </c>
      <c r="B70" s="132" t="str">
        <f>структура!$J$14</f>
        <v>УСН(15%)</v>
      </c>
      <c r="C70" s="123"/>
      <c r="D70" s="123"/>
      <c r="E70" s="130" t="str">
        <f>E66</f>
        <v>начисление ФОТ</v>
      </c>
      <c r="F70" s="130"/>
      <c r="G70" s="130" t="str">
        <f>IF($E70="","",INDEX(KPI!$G:$G,SUMIFS(KPI!$B:$B,KPI!$E:$E,$E70)))</f>
        <v>тыс.руб.</v>
      </c>
      <c r="H70" s="130"/>
      <c r="I70" s="134"/>
      <c r="J70" s="130"/>
      <c r="K70" s="134"/>
      <c r="L70" s="130"/>
      <c r="M70" s="135">
        <f>SUM($O70:$AB70)</f>
        <v>0</v>
      </c>
      <c r="N70" s="123"/>
      <c r="O70" s="123"/>
      <c r="P70" s="136">
        <f>отчеты!P70-отч_беседки!P70-отч_вер_парк!P70</f>
        <v>0</v>
      </c>
      <c r="Q70" s="136">
        <f>отчеты!Q70-отч_беседки!Q70-отч_вер_парк!Q70</f>
        <v>0</v>
      </c>
      <c r="R70" s="136">
        <f>отчеты!R70-отч_беседки!R70-отч_вер_парк!R70</f>
        <v>0</v>
      </c>
      <c r="S70" s="136">
        <f>отчеты!S70-отч_беседки!S70-отч_вер_парк!S70</f>
        <v>0</v>
      </c>
      <c r="T70" s="136">
        <f>отчеты!T70-отч_беседки!T70-отч_вер_парк!T70</f>
        <v>0</v>
      </c>
      <c r="U70" s="136">
        <f>отчеты!U70-отч_беседки!U70-отч_вер_парк!U70</f>
        <v>0</v>
      </c>
      <c r="V70" s="136">
        <f>отчеты!V70-отч_беседки!V70-отч_вер_парк!V70</f>
        <v>0</v>
      </c>
      <c r="W70" s="136">
        <f>отчеты!W70-отч_беседки!W70-отч_вер_парк!W70</f>
        <v>0</v>
      </c>
      <c r="X70" s="136">
        <f>отчеты!X70-отч_беседки!X70-отч_вер_парк!X70</f>
        <v>0</v>
      </c>
      <c r="Y70" s="136">
        <f>отчеты!Y70-отч_беседки!Y70-отч_вер_парк!Y70</f>
        <v>0</v>
      </c>
      <c r="Z70" s="136">
        <f>отчеты!Z70-отч_беседки!Z70-отч_вер_парк!Z70</f>
        <v>0</v>
      </c>
      <c r="AA70" s="136">
        <f>отчеты!AA70-отч_беседки!AA70-отч_вер_парк!AA70</f>
        <v>0</v>
      </c>
      <c r="AB70" s="123"/>
    </row>
    <row r="71" spans="1:28" s="126" customFormat="1" ht="3.9" customHeight="1" x14ac:dyDescent="0.25">
      <c r="A71" s="149">
        <f>1</f>
        <v>1</v>
      </c>
      <c r="B71" s="131"/>
      <c r="C71" s="123"/>
      <c r="D71" s="123"/>
      <c r="E71" s="123"/>
      <c r="F71" s="123"/>
      <c r="G71" s="123"/>
      <c r="H71" s="123"/>
      <c r="I71" s="124"/>
      <c r="J71" s="123"/>
      <c r="K71" s="124"/>
      <c r="L71" s="123"/>
      <c r="M71" s="125"/>
      <c r="N71" s="123"/>
      <c r="O71" s="123"/>
      <c r="P71" s="137"/>
      <c r="Q71" s="137"/>
      <c r="R71" s="137"/>
      <c r="S71" s="137"/>
      <c r="T71" s="137"/>
      <c r="U71" s="137"/>
      <c r="V71" s="137"/>
      <c r="W71" s="137"/>
      <c r="X71" s="137"/>
      <c r="Y71" s="137"/>
      <c r="Z71" s="137"/>
      <c r="AA71" s="137"/>
      <c r="AB71" s="123"/>
    </row>
    <row r="72" spans="1:28" s="126" customFormat="1" x14ac:dyDescent="0.25">
      <c r="A72" s="149">
        <f>1</f>
        <v>1</v>
      </c>
      <c r="B72" s="132" t="str">
        <f>структура!$J$15</f>
        <v>УСН(6%)-ИП</v>
      </c>
      <c r="C72" s="123"/>
      <c r="D72" s="123"/>
      <c r="E72" s="130" t="str">
        <f>E66</f>
        <v>начисление ФОТ</v>
      </c>
      <c r="F72" s="130"/>
      <c r="G72" s="130" t="str">
        <f>IF($E72="","",INDEX(KPI!$G:$G,SUMIFS(KPI!$B:$B,KPI!$E:$E,$E72)))</f>
        <v>тыс.руб.</v>
      </c>
      <c r="H72" s="130"/>
      <c r="I72" s="134"/>
      <c r="J72" s="130"/>
      <c r="K72" s="134"/>
      <c r="L72" s="130"/>
      <c r="M72" s="135">
        <f>SUM($O72:$AB72)</f>
        <v>0</v>
      </c>
      <c r="N72" s="123"/>
      <c r="O72" s="123"/>
      <c r="P72" s="136">
        <f>отчеты!P72-отч_беседки!P72-отч_вер_парк!P72</f>
        <v>0</v>
      </c>
      <c r="Q72" s="136">
        <f>отчеты!Q72-отч_беседки!Q72-отч_вер_парк!Q72</f>
        <v>0</v>
      </c>
      <c r="R72" s="136">
        <f>отчеты!R72-отч_беседки!R72-отч_вер_парк!R72</f>
        <v>0</v>
      </c>
      <c r="S72" s="136">
        <f>отчеты!S72-отч_беседки!S72-отч_вер_парк!S72</f>
        <v>0</v>
      </c>
      <c r="T72" s="136">
        <f>отчеты!T72-отч_беседки!T72-отч_вер_парк!T72</f>
        <v>0</v>
      </c>
      <c r="U72" s="136">
        <f>отчеты!U72-отч_беседки!U72-отч_вер_парк!U72</f>
        <v>0</v>
      </c>
      <c r="V72" s="136">
        <f>отчеты!V72-отч_беседки!V72-отч_вер_парк!V72</f>
        <v>0</v>
      </c>
      <c r="W72" s="136">
        <f>отчеты!W72-отч_беседки!W72-отч_вер_парк!W72</f>
        <v>0</v>
      </c>
      <c r="X72" s="136">
        <f>отчеты!X72-отч_беседки!X72-отч_вер_парк!X72</f>
        <v>0</v>
      </c>
      <c r="Y72" s="136">
        <f>отчеты!Y72-отч_беседки!Y72-отч_вер_парк!Y72</f>
        <v>0</v>
      </c>
      <c r="Z72" s="136">
        <f>отчеты!Z72-отч_беседки!Z72-отч_вер_парк!Z72</f>
        <v>0</v>
      </c>
      <c r="AA72" s="136">
        <f>отчеты!AA72-отч_беседки!AA72-отч_вер_парк!AA72</f>
        <v>0</v>
      </c>
      <c r="AB72" s="123"/>
    </row>
    <row r="73" spans="1:28" ht="3.9" customHeight="1" x14ac:dyDescent="0.25">
      <c r="A73" s="149">
        <f>1</f>
        <v>1</v>
      </c>
      <c r="B73" s="131"/>
      <c r="C73" s="2"/>
      <c r="D73" s="2"/>
      <c r="E73" s="2"/>
      <c r="F73" s="2"/>
      <c r="G73" s="2"/>
      <c r="H73" s="2"/>
      <c r="I73" s="28"/>
      <c r="J73" s="2"/>
      <c r="K73" s="28"/>
      <c r="L73" s="2"/>
      <c r="M73" s="52"/>
      <c r="N73" s="2"/>
      <c r="O73" s="2"/>
      <c r="P73" s="36"/>
      <c r="Q73" s="36"/>
      <c r="R73" s="36"/>
      <c r="S73" s="36"/>
      <c r="T73" s="36"/>
      <c r="U73" s="36"/>
      <c r="V73" s="36"/>
      <c r="W73" s="36"/>
      <c r="X73" s="36"/>
      <c r="Y73" s="36"/>
      <c r="Z73" s="36"/>
      <c r="AA73" s="36"/>
      <c r="AB73" s="2"/>
    </row>
    <row r="74" spans="1:28" ht="8.1" customHeight="1" x14ac:dyDescent="0.25">
      <c r="A74" s="149">
        <f>1</f>
        <v>1</v>
      </c>
      <c r="B74" s="131"/>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ht="3.9" customHeight="1" x14ac:dyDescent="0.25">
      <c r="A75" s="149">
        <f>1</f>
        <v>1</v>
      </c>
      <c r="B75" s="131"/>
      <c r="C75" s="2"/>
      <c r="D75" s="2"/>
      <c r="E75" s="2"/>
      <c r="F75" s="2"/>
      <c r="G75" s="2"/>
      <c r="H75" s="2"/>
      <c r="I75" s="28"/>
      <c r="J75" s="2"/>
      <c r="K75" s="28"/>
      <c r="L75" s="2"/>
      <c r="M75" s="52"/>
      <c r="N75" s="2"/>
      <c r="O75" s="2"/>
      <c r="P75" s="36"/>
      <c r="Q75" s="36"/>
      <c r="R75" s="36"/>
      <c r="S75" s="36"/>
      <c r="T75" s="36"/>
      <c r="U75" s="36"/>
      <c r="V75" s="36"/>
      <c r="W75" s="36"/>
      <c r="X75" s="36"/>
      <c r="Y75" s="36"/>
      <c r="Z75" s="36"/>
      <c r="AA75" s="36"/>
      <c r="AB75" s="2"/>
    </row>
    <row r="76" spans="1:28" s="126" customFormat="1" x14ac:dyDescent="0.25">
      <c r="A76" s="149">
        <f>1</f>
        <v>1</v>
      </c>
      <c r="B76" s="132" t="str">
        <f>структура!$J$12</f>
        <v>ОСНО</v>
      </c>
      <c r="C76" s="123"/>
      <c r="D76" s="123"/>
      <c r="E76" s="130" t="str">
        <f>KPI!$E$80</f>
        <v>начисления в соцфонды и НС</v>
      </c>
      <c r="F76" s="130"/>
      <c r="G76" s="130" t="str">
        <f>IF($E76="","",INDEX(KPI!$G:$G,SUMIFS(KPI!$B:$B,KPI!$E:$E,$E76)))</f>
        <v>тыс.руб.</v>
      </c>
      <c r="H76" s="130"/>
      <c r="I76" s="134"/>
      <c r="J76" s="130"/>
      <c r="K76" s="134"/>
      <c r="L76" s="130"/>
      <c r="M76" s="135">
        <f>SUM($O76:$AB76)</f>
        <v>0</v>
      </c>
      <c r="N76" s="123"/>
      <c r="O76" s="123"/>
      <c r="P76" s="136">
        <f>отчеты!P76-отч_беседки!P76-отч_вер_парк!P76</f>
        <v>0</v>
      </c>
      <c r="Q76" s="136">
        <f>отчеты!Q76-отч_беседки!Q76-отч_вер_парк!Q76</f>
        <v>0</v>
      </c>
      <c r="R76" s="136">
        <f>отчеты!R76-отч_беседки!R76-отч_вер_парк!R76</f>
        <v>0</v>
      </c>
      <c r="S76" s="136">
        <f>отчеты!S76-отч_беседки!S76-отч_вер_парк!S76</f>
        <v>0</v>
      </c>
      <c r="T76" s="136">
        <f>отчеты!T76-отч_беседки!T76-отч_вер_парк!T76</f>
        <v>0</v>
      </c>
      <c r="U76" s="136">
        <f>отчеты!U76-отч_беседки!U76-отч_вер_парк!U76</f>
        <v>0</v>
      </c>
      <c r="V76" s="136">
        <f>отчеты!V76-отч_беседки!V76-отч_вер_парк!V76</f>
        <v>0</v>
      </c>
      <c r="W76" s="136">
        <f>отчеты!W76-отч_беседки!W76-отч_вер_парк!W76</f>
        <v>0</v>
      </c>
      <c r="X76" s="136">
        <f>отчеты!X76-отч_беседки!X76-отч_вер_парк!X76</f>
        <v>0</v>
      </c>
      <c r="Y76" s="136">
        <f>отчеты!Y76-отч_беседки!Y76-отч_вер_парк!Y76</f>
        <v>0</v>
      </c>
      <c r="Z76" s="136">
        <f>отчеты!Z76-отч_беседки!Z76-отч_вер_парк!Z76</f>
        <v>0</v>
      </c>
      <c r="AA76" s="136">
        <f>отчеты!AA76-отч_беседки!AA76-отч_вер_парк!AA76</f>
        <v>0</v>
      </c>
      <c r="AB76" s="123"/>
    </row>
    <row r="77" spans="1:28" s="126" customFormat="1" ht="3.9" customHeight="1" x14ac:dyDescent="0.25">
      <c r="A77" s="149">
        <f>1</f>
        <v>1</v>
      </c>
      <c r="B77" s="131"/>
      <c r="C77" s="123"/>
      <c r="D77" s="123"/>
      <c r="E77" s="123"/>
      <c r="F77" s="123"/>
      <c r="G77" s="123"/>
      <c r="H77" s="123"/>
      <c r="I77" s="124"/>
      <c r="J77" s="123"/>
      <c r="K77" s="124"/>
      <c r="L77" s="123"/>
      <c r="M77" s="125"/>
      <c r="N77" s="123"/>
      <c r="O77" s="123"/>
      <c r="P77" s="137">
        <f>IF(P$1="",0,операции!P$353)*IF(отчеты!P17=0,0,P17/отчеты!P17)</f>
        <v>0</v>
      </c>
      <c r="Q77" s="137">
        <f>IF(Q$1="",0,операции!Q$353)*IF(отчеты!Q17=0,0,Q17/отчеты!Q17)</f>
        <v>0</v>
      </c>
      <c r="R77" s="137">
        <f>IF(R$1="",0,операции!R$353)*IF(отчеты!R17=0,0,R17/отчеты!R17)</f>
        <v>0</v>
      </c>
      <c r="S77" s="137">
        <f>IF(S$1="",0,операции!S$353)*IF(отчеты!S17=0,0,S17/отчеты!S17)</f>
        <v>0</v>
      </c>
      <c r="T77" s="137">
        <f>IF(T$1="",0,операции!T$353)*IF(отчеты!T17=0,0,T17/отчеты!T17)</f>
        <v>0</v>
      </c>
      <c r="U77" s="137">
        <f>IF(U$1="",0,операции!U$353)*IF(отчеты!U17=0,0,U17/отчеты!U17)</f>
        <v>0</v>
      </c>
      <c r="V77" s="137">
        <f>IF(V$1="",0,операции!V$353)*IF(отчеты!V17=0,0,V17/отчеты!V17)</f>
        <v>0</v>
      </c>
      <c r="W77" s="137">
        <f>IF(W$1="",0,операции!W$353)*IF(отчеты!W17=0,0,W17/отчеты!W17)</f>
        <v>0</v>
      </c>
      <c r="X77" s="137">
        <f>IF(X$1="",0,операции!X$353)*IF(отчеты!X17=0,0,X17/отчеты!X17)</f>
        <v>0</v>
      </c>
      <c r="Y77" s="137">
        <f>IF(Y$1="",0,операции!Y$353)*IF(отчеты!Y17=0,0,Y17/отчеты!Y17)</f>
        <v>0</v>
      </c>
      <c r="Z77" s="137">
        <f>IF(Z$1="",0,операции!Z$353)*IF(отчеты!Z17=0,0,Z17/отчеты!Z17)</f>
        <v>0</v>
      </c>
      <c r="AA77" s="137">
        <f>IF(AA$1="",0,операции!AA$353)*IF(отчеты!AA17=0,0,AA17/отчеты!AA17)</f>
        <v>0</v>
      </c>
      <c r="AB77" s="123"/>
    </row>
    <row r="78" spans="1:28" s="126" customFormat="1" x14ac:dyDescent="0.25">
      <c r="A78" s="149">
        <f>1</f>
        <v>1</v>
      </c>
      <c r="B78" s="132" t="str">
        <f>структура!$J$13</f>
        <v>УСН(6%)</v>
      </c>
      <c r="C78" s="123"/>
      <c r="D78" s="123"/>
      <c r="E78" s="130" t="str">
        <f>E76</f>
        <v>начисления в соцфонды и НС</v>
      </c>
      <c r="F78" s="130"/>
      <c r="G78" s="130" t="str">
        <f>IF($E78="","",INDEX(KPI!$G:$G,SUMIFS(KPI!$B:$B,KPI!$E:$E,$E78)))</f>
        <v>тыс.руб.</v>
      </c>
      <c r="H78" s="130"/>
      <c r="I78" s="134"/>
      <c r="J78" s="130"/>
      <c r="K78" s="134"/>
      <c r="L78" s="130"/>
      <c r="M78" s="135">
        <f>SUM($O78:$AB78)</f>
        <v>0</v>
      </c>
      <c r="N78" s="123"/>
      <c r="O78" s="123"/>
      <c r="P78" s="136">
        <f>отчеты!P78-отч_беседки!P78-отч_вер_парк!P78</f>
        <v>0</v>
      </c>
      <c r="Q78" s="136">
        <f>отчеты!Q78-отч_беседки!Q78-отч_вер_парк!Q78</f>
        <v>0</v>
      </c>
      <c r="R78" s="136">
        <f>отчеты!R78-отч_беседки!R78-отч_вер_парк!R78</f>
        <v>0</v>
      </c>
      <c r="S78" s="136">
        <f>отчеты!S78-отч_беседки!S78-отч_вер_парк!S78</f>
        <v>0</v>
      </c>
      <c r="T78" s="136">
        <f>отчеты!T78-отч_беседки!T78-отч_вер_парк!T78</f>
        <v>0</v>
      </c>
      <c r="U78" s="136">
        <f>отчеты!U78-отч_беседки!U78-отч_вер_парк!U78</f>
        <v>0</v>
      </c>
      <c r="V78" s="136">
        <f>отчеты!V78-отч_беседки!V78-отч_вер_парк!V78</f>
        <v>0</v>
      </c>
      <c r="W78" s="136">
        <f>отчеты!W78-отч_беседки!W78-отч_вер_парк!W78</f>
        <v>0</v>
      </c>
      <c r="X78" s="136">
        <f>отчеты!X78-отч_беседки!X78-отч_вер_парк!X78</f>
        <v>0</v>
      </c>
      <c r="Y78" s="136">
        <f>отчеты!Y78-отч_беседки!Y78-отч_вер_парк!Y78</f>
        <v>0</v>
      </c>
      <c r="Z78" s="136">
        <f>отчеты!Z78-отч_беседки!Z78-отч_вер_парк!Z78</f>
        <v>0</v>
      </c>
      <c r="AA78" s="136">
        <f>отчеты!AA78-отч_беседки!AA78-отч_вер_парк!AA78</f>
        <v>0</v>
      </c>
      <c r="AB78" s="123"/>
    </row>
    <row r="79" spans="1:28" s="126" customFormat="1" ht="3.9" customHeight="1" x14ac:dyDescent="0.25">
      <c r="A79" s="149">
        <f>1</f>
        <v>1</v>
      </c>
      <c r="B79" s="131"/>
      <c r="C79" s="123"/>
      <c r="D79" s="123"/>
      <c r="E79" s="123"/>
      <c r="F79" s="123"/>
      <c r="G79" s="123"/>
      <c r="H79" s="123"/>
      <c r="I79" s="124"/>
      <c r="J79" s="123"/>
      <c r="K79" s="124"/>
      <c r="L79" s="123"/>
      <c r="M79" s="125"/>
      <c r="N79" s="123"/>
      <c r="O79" s="123"/>
      <c r="P79" s="137">
        <f>IF(P$1="",0,операции!P$353)*IF(отчеты!P19=0,0,P19/отчеты!P19)</f>
        <v>0</v>
      </c>
      <c r="Q79" s="137">
        <f>IF(Q$1="",0,операции!Q$353)*IF(отчеты!Q19=0,0,Q19/отчеты!Q19)</f>
        <v>0</v>
      </c>
      <c r="R79" s="137">
        <f>IF(R$1="",0,операции!R$353)*IF(отчеты!R19=0,0,R19/отчеты!R19)</f>
        <v>0</v>
      </c>
      <c r="S79" s="137">
        <f>IF(S$1="",0,операции!S$353)*IF(отчеты!S19=0,0,S19/отчеты!S19)</f>
        <v>0</v>
      </c>
      <c r="T79" s="137">
        <f>IF(T$1="",0,операции!T$353)*IF(отчеты!T19=0,0,T19/отчеты!T19)</f>
        <v>0</v>
      </c>
      <c r="U79" s="137">
        <f>IF(U$1="",0,операции!U$353)*IF(отчеты!U19=0,0,U19/отчеты!U19)</f>
        <v>0</v>
      </c>
      <c r="V79" s="137">
        <f>IF(V$1="",0,операции!V$353)*IF(отчеты!V19=0,0,V19/отчеты!V19)</f>
        <v>0</v>
      </c>
      <c r="W79" s="137">
        <f>IF(W$1="",0,операции!W$353)*IF(отчеты!W19=0,0,W19/отчеты!W19)</f>
        <v>0</v>
      </c>
      <c r="X79" s="137">
        <f>IF(X$1="",0,операции!X$353)*IF(отчеты!X19=0,0,X19/отчеты!X19)</f>
        <v>0</v>
      </c>
      <c r="Y79" s="137">
        <f>IF(Y$1="",0,операции!Y$353)*IF(отчеты!Y19=0,0,Y19/отчеты!Y19)</f>
        <v>0</v>
      </c>
      <c r="Z79" s="137">
        <f>IF(Z$1="",0,операции!Z$353)*IF(отчеты!Z19=0,0,Z19/отчеты!Z19)</f>
        <v>0</v>
      </c>
      <c r="AA79" s="137">
        <f>IF(AA$1="",0,операции!AA$353)*IF(отчеты!AA19=0,0,AA19/отчеты!AA19)</f>
        <v>0</v>
      </c>
      <c r="AB79" s="123"/>
    </row>
    <row r="80" spans="1:28" s="126" customFormat="1" x14ac:dyDescent="0.25">
      <c r="A80" s="149">
        <f>1</f>
        <v>1</v>
      </c>
      <c r="B80" s="132" t="str">
        <f>структура!$J$14</f>
        <v>УСН(15%)</v>
      </c>
      <c r="C80" s="123"/>
      <c r="D80" s="123"/>
      <c r="E80" s="130" t="str">
        <f>E76</f>
        <v>начисления в соцфонды и НС</v>
      </c>
      <c r="F80" s="130"/>
      <c r="G80" s="130" t="str">
        <f>IF($E80="","",INDEX(KPI!$G:$G,SUMIFS(KPI!$B:$B,KPI!$E:$E,$E80)))</f>
        <v>тыс.руб.</v>
      </c>
      <c r="H80" s="130"/>
      <c r="I80" s="134"/>
      <c r="J80" s="130"/>
      <c r="K80" s="134"/>
      <c r="L80" s="130"/>
      <c r="M80" s="135">
        <f>SUM($O80:$AB80)</f>
        <v>0</v>
      </c>
      <c r="N80" s="123"/>
      <c r="O80" s="123"/>
      <c r="P80" s="136">
        <f>отчеты!P80-отч_беседки!P80-отч_вер_парк!P80</f>
        <v>0</v>
      </c>
      <c r="Q80" s="136">
        <f>отчеты!Q80-отч_беседки!Q80-отч_вер_парк!Q80</f>
        <v>0</v>
      </c>
      <c r="R80" s="136">
        <f>отчеты!R80-отч_беседки!R80-отч_вер_парк!R80</f>
        <v>0</v>
      </c>
      <c r="S80" s="136">
        <f>отчеты!S80-отч_беседки!S80-отч_вер_парк!S80</f>
        <v>0</v>
      </c>
      <c r="T80" s="136">
        <f>отчеты!T80-отч_беседки!T80-отч_вер_парк!T80</f>
        <v>0</v>
      </c>
      <c r="U80" s="136">
        <f>отчеты!U80-отч_беседки!U80-отч_вер_парк!U80</f>
        <v>0</v>
      </c>
      <c r="V80" s="136">
        <f>отчеты!V80-отч_беседки!V80-отч_вер_парк!V80</f>
        <v>0</v>
      </c>
      <c r="W80" s="136">
        <f>отчеты!W80-отч_беседки!W80-отч_вер_парк!W80</f>
        <v>0</v>
      </c>
      <c r="X80" s="136">
        <f>отчеты!X80-отч_беседки!X80-отч_вер_парк!X80</f>
        <v>0</v>
      </c>
      <c r="Y80" s="136">
        <f>отчеты!Y80-отч_беседки!Y80-отч_вер_парк!Y80</f>
        <v>0</v>
      </c>
      <c r="Z80" s="136">
        <f>отчеты!Z80-отч_беседки!Z80-отч_вер_парк!Z80</f>
        <v>0</v>
      </c>
      <c r="AA80" s="136">
        <f>отчеты!AA80-отч_беседки!AA80-отч_вер_парк!AA80</f>
        <v>0</v>
      </c>
      <c r="AB80" s="123"/>
    </row>
    <row r="81" spans="1:28" s="126" customFormat="1" ht="3.9" customHeight="1" x14ac:dyDescent="0.25">
      <c r="A81" s="149">
        <f>1</f>
        <v>1</v>
      </c>
      <c r="B81" s="131"/>
      <c r="C81" s="123"/>
      <c r="D81" s="123"/>
      <c r="E81" s="123"/>
      <c r="F81" s="123"/>
      <c r="G81" s="123"/>
      <c r="H81" s="123"/>
      <c r="I81" s="124"/>
      <c r="J81" s="123"/>
      <c r="K81" s="124"/>
      <c r="L81" s="123"/>
      <c r="M81" s="125"/>
      <c r="N81" s="123"/>
      <c r="O81" s="123"/>
      <c r="P81" s="137">
        <f>IF(P$1="",0,операции!P$353)*IF(отчеты!P21=0,0,P21/отчеты!P21)</f>
        <v>0</v>
      </c>
      <c r="Q81" s="137">
        <f>IF(Q$1="",0,операции!Q$353)*IF(отчеты!Q21=0,0,Q21/отчеты!Q21)</f>
        <v>0</v>
      </c>
      <c r="R81" s="137">
        <f>IF(R$1="",0,операции!R$353)*IF(отчеты!R21=0,0,R21/отчеты!R21)</f>
        <v>0</v>
      </c>
      <c r="S81" s="137">
        <f>IF(S$1="",0,операции!S$353)*IF(отчеты!S21=0,0,S21/отчеты!S21)</f>
        <v>0</v>
      </c>
      <c r="T81" s="137">
        <f>IF(T$1="",0,операции!T$353)*IF(отчеты!T21=0,0,T21/отчеты!T21)</f>
        <v>0</v>
      </c>
      <c r="U81" s="137">
        <f>IF(U$1="",0,операции!U$353)*IF(отчеты!U21=0,0,U21/отчеты!U21)</f>
        <v>0</v>
      </c>
      <c r="V81" s="137">
        <f>IF(V$1="",0,операции!V$353)*IF(отчеты!V21=0,0,V21/отчеты!V21)</f>
        <v>0</v>
      </c>
      <c r="W81" s="137">
        <f>IF(W$1="",0,операции!W$353)*IF(отчеты!W21=0,0,W21/отчеты!W21)</f>
        <v>0</v>
      </c>
      <c r="X81" s="137">
        <f>IF(X$1="",0,операции!X$353)*IF(отчеты!X21=0,0,X21/отчеты!X21)</f>
        <v>0</v>
      </c>
      <c r="Y81" s="137">
        <f>IF(Y$1="",0,операции!Y$353)*IF(отчеты!Y21=0,0,Y21/отчеты!Y21)</f>
        <v>0</v>
      </c>
      <c r="Z81" s="137">
        <f>IF(Z$1="",0,операции!Z$353)*IF(отчеты!Z21=0,0,Z21/отчеты!Z21)</f>
        <v>0</v>
      </c>
      <c r="AA81" s="137">
        <f>IF(AA$1="",0,операции!AA$353)*IF(отчеты!AA21=0,0,AA21/отчеты!AA21)</f>
        <v>0</v>
      </c>
      <c r="AB81" s="123"/>
    </row>
    <row r="82" spans="1:28" s="126" customFormat="1" x14ac:dyDescent="0.25">
      <c r="A82" s="149">
        <f>1</f>
        <v>1</v>
      </c>
      <c r="B82" s="132" t="str">
        <f>структура!$J$15</f>
        <v>УСН(6%)-ИП</v>
      </c>
      <c r="C82" s="123"/>
      <c r="D82" s="123"/>
      <c r="E82" s="130" t="str">
        <f>E76</f>
        <v>начисления в соцфонды и НС</v>
      </c>
      <c r="F82" s="130"/>
      <c r="G82" s="130" t="str">
        <f>IF($E82="","",INDEX(KPI!$G:$G,SUMIFS(KPI!$B:$B,KPI!$E:$E,$E82)))</f>
        <v>тыс.руб.</v>
      </c>
      <c r="H82" s="130"/>
      <c r="I82" s="134"/>
      <c r="J82" s="130"/>
      <c r="K82" s="134"/>
      <c r="L82" s="130"/>
      <c r="M82" s="135">
        <f>SUM($O82:$AB82)</f>
        <v>0</v>
      </c>
      <c r="N82" s="123"/>
      <c r="O82" s="123"/>
      <c r="P82" s="136">
        <f>отчеты!P82-отч_беседки!P82-отч_вер_парк!P82</f>
        <v>0</v>
      </c>
      <c r="Q82" s="136">
        <f>отчеты!Q82-отч_беседки!Q82-отч_вер_парк!Q82</f>
        <v>0</v>
      </c>
      <c r="R82" s="136">
        <f>отчеты!R82-отч_беседки!R82-отч_вер_парк!R82</f>
        <v>0</v>
      </c>
      <c r="S82" s="136">
        <f>отчеты!S82-отч_беседки!S82-отч_вер_парк!S82</f>
        <v>0</v>
      </c>
      <c r="T82" s="136">
        <f>отчеты!T82-отч_беседки!T82-отч_вер_парк!T82</f>
        <v>0</v>
      </c>
      <c r="U82" s="136">
        <f>отчеты!U82-отч_беседки!U82-отч_вер_парк!U82</f>
        <v>0</v>
      </c>
      <c r="V82" s="136">
        <f>отчеты!V82-отч_беседки!V82-отч_вер_парк!V82</f>
        <v>0</v>
      </c>
      <c r="W82" s="136">
        <f>отчеты!W82-отч_беседки!W82-отч_вер_парк!W82</f>
        <v>0</v>
      </c>
      <c r="X82" s="136">
        <f>отчеты!X82-отч_беседки!X82-отч_вер_парк!X82</f>
        <v>0</v>
      </c>
      <c r="Y82" s="136">
        <f>отчеты!Y82-отч_беседки!Y82-отч_вер_парк!Y82</f>
        <v>0</v>
      </c>
      <c r="Z82" s="136">
        <f>отчеты!Z82-отч_беседки!Z82-отч_вер_парк!Z82</f>
        <v>0</v>
      </c>
      <c r="AA82" s="136">
        <f>отчеты!AA82-отч_беседки!AA82-отч_вер_парк!AA82</f>
        <v>0</v>
      </c>
      <c r="AB82" s="123"/>
    </row>
    <row r="83" spans="1:28" ht="3.9" customHeight="1" x14ac:dyDescent="0.25">
      <c r="A83" s="149">
        <f>1</f>
        <v>1</v>
      </c>
      <c r="B83" s="131"/>
      <c r="C83" s="2"/>
      <c r="D83" s="2"/>
      <c r="E83" s="2"/>
      <c r="F83" s="2"/>
      <c r="G83" s="2"/>
      <c r="H83" s="2"/>
      <c r="I83" s="28"/>
      <c r="J83" s="2"/>
      <c r="K83" s="28"/>
      <c r="L83" s="2"/>
      <c r="M83" s="52"/>
      <c r="N83" s="2"/>
      <c r="O83" s="2"/>
      <c r="P83" s="36"/>
      <c r="Q83" s="36"/>
      <c r="R83" s="36"/>
      <c r="S83" s="36"/>
      <c r="T83" s="36"/>
      <c r="U83" s="36"/>
      <c r="V83" s="36"/>
      <c r="W83" s="36"/>
      <c r="X83" s="36"/>
      <c r="Y83" s="36"/>
      <c r="Z83" s="36"/>
      <c r="AA83" s="36"/>
      <c r="AB83" s="2"/>
    </row>
    <row r="84" spans="1:28" ht="8.1" customHeight="1" x14ac:dyDescent="0.25">
      <c r="A84" s="149">
        <f>1</f>
        <v>1</v>
      </c>
      <c r="B84" s="131"/>
      <c r="C84" s="2"/>
      <c r="D84" s="2"/>
      <c r="E84" s="2"/>
      <c r="F84" s="2"/>
      <c r="G84" s="2"/>
      <c r="H84" s="2"/>
      <c r="I84" s="28"/>
      <c r="J84" s="2"/>
      <c r="K84" s="28"/>
      <c r="L84" s="2"/>
      <c r="M84" s="52"/>
      <c r="N84" s="2"/>
      <c r="O84" s="2"/>
      <c r="P84" s="36"/>
      <c r="Q84" s="36"/>
      <c r="R84" s="36"/>
      <c r="S84" s="36"/>
      <c r="T84" s="36"/>
      <c r="U84" s="36"/>
      <c r="V84" s="36"/>
      <c r="W84" s="36"/>
      <c r="X84" s="36"/>
      <c r="Y84" s="36"/>
      <c r="Z84" s="36"/>
      <c r="AA84" s="36"/>
      <c r="AB84" s="2"/>
    </row>
    <row r="85" spans="1:28" s="126" customFormat="1" x14ac:dyDescent="0.25">
      <c r="A85" s="149">
        <f>1</f>
        <v>1</v>
      </c>
      <c r="B85" s="132" t="str">
        <f>структура!$J$12</f>
        <v>ОСНО</v>
      </c>
      <c r="C85" s="123"/>
      <c r="D85" s="123"/>
      <c r="E85" s="130" t="str">
        <f>KPI!$E$81</f>
        <v>общехозяйственные расходы</v>
      </c>
      <c r="F85" s="130"/>
      <c r="G85" s="130" t="str">
        <f>IF($E85="","",INDEX(KPI!$G:$G,SUMIFS(KPI!$B:$B,KPI!$E:$E,$E85)))</f>
        <v>тыс.руб.</v>
      </c>
      <c r="H85" s="130"/>
      <c r="I85" s="134"/>
      <c r="J85" s="130" t="str">
        <f>структура!$AL$21</f>
        <v>Без НДС</v>
      </c>
      <c r="K85" s="134"/>
      <c r="L85" s="130"/>
      <c r="M85" s="135">
        <f>SUM($O85:$AB85)</f>
        <v>1016.0762500000009</v>
      </c>
      <c r="N85" s="123"/>
      <c r="O85" s="123"/>
      <c r="P85" s="136">
        <f>отчеты!P85-отч_беседки!P85-отч_вер_парк!P85</f>
        <v>136.60237499999994</v>
      </c>
      <c r="Q85" s="136">
        <f>отчеты!Q85-отч_беседки!Q85-отч_вер_парк!Q85</f>
        <v>138.55362500000012</v>
      </c>
      <c r="R85" s="136">
        <f>отчеты!R85-отч_беседки!R85-отч_вер_парк!R85</f>
        <v>141.65375000000017</v>
      </c>
      <c r="S85" s="136">
        <f>отчеты!S85-отч_беседки!S85-отч_вер_парк!S85</f>
        <v>143.43175000000014</v>
      </c>
      <c r="T85" s="136">
        <f>отчеты!T85-отч_беседки!T85-отч_вер_парк!T85</f>
        <v>146.3586250000003</v>
      </c>
      <c r="U85" s="136">
        <f>отчеты!U85-отч_беседки!U85-отч_вер_парк!U85</f>
        <v>151.23675000000026</v>
      </c>
      <c r="V85" s="136">
        <f>отчеты!V85-отч_беседки!V85-отч_вер_парк!V85</f>
        <v>158.239375</v>
      </c>
      <c r="W85" s="136">
        <f>отчеты!W85-отч_беседки!W85-отч_вер_парк!W85</f>
        <v>0</v>
      </c>
      <c r="X85" s="136">
        <f>отчеты!X85-отч_беседки!X85-отч_вер_парк!X85</f>
        <v>0</v>
      </c>
      <c r="Y85" s="136">
        <f>отчеты!Y85-отч_беседки!Y85-отч_вер_парк!Y85</f>
        <v>0</v>
      </c>
      <c r="Z85" s="136">
        <f>отчеты!Z85-отч_беседки!Z85-отч_вер_парк!Z85</f>
        <v>0</v>
      </c>
      <c r="AA85" s="136">
        <f>отчеты!AA85-отч_беседки!AA85-отч_вер_парк!AA85</f>
        <v>0</v>
      </c>
      <c r="AB85" s="123"/>
    </row>
    <row r="86" spans="1:28" s="126" customFormat="1" ht="3.9" customHeight="1" x14ac:dyDescent="0.25">
      <c r="A86" s="149">
        <f>1</f>
        <v>1</v>
      </c>
      <c r="B86" s="131"/>
      <c r="C86" s="123"/>
      <c r="D86" s="123"/>
      <c r="E86" s="123"/>
      <c r="F86" s="123"/>
      <c r="G86" s="123"/>
      <c r="H86" s="123"/>
      <c r="I86" s="124"/>
      <c r="J86" s="123"/>
      <c r="K86" s="124"/>
      <c r="L86" s="123"/>
      <c r="M86" s="125"/>
      <c r="N86" s="123"/>
      <c r="O86" s="123"/>
      <c r="P86" s="137"/>
      <c r="Q86" s="137"/>
      <c r="R86" s="137"/>
      <c r="S86" s="137"/>
      <c r="T86" s="137"/>
      <c r="U86" s="137"/>
      <c r="V86" s="137"/>
      <c r="W86" s="137"/>
      <c r="X86" s="137"/>
      <c r="Y86" s="137"/>
      <c r="Z86" s="137"/>
      <c r="AA86" s="137"/>
      <c r="AB86" s="123"/>
    </row>
    <row r="87" spans="1:28" s="126" customFormat="1" x14ac:dyDescent="0.25">
      <c r="A87" s="149">
        <f>1</f>
        <v>1</v>
      </c>
      <c r="B87" s="132" t="str">
        <f>структура!$J$13</f>
        <v>УСН(6%)</v>
      </c>
      <c r="C87" s="123"/>
      <c r="D87" s="123"/>
      <c r="E87" s="130" t="str">
        <f>E85</f>
        <v>общехозяйственные расходы</v>
      </c>
      <c r="F87" s="130"/>
      <c r="G87" s="130" t="str">
        <f>IF($E87="","",INDEX(KPI!$G:$G,SUMIFS(KPI!$B:$B,KPI!$E:$E,$E87)))</f>
        <v>тыс.руб.</v>
      </c>
      <c r="H87" s="130"/>
      <c r="I87" s="134"/>
      <c r="J87" s="130" t="str">
        <f>структура!$AL$21</f>
        <v>Без НДС</v>
      </c>
      <c r="K87" s="134"/>
      <c r="L87" s="130"/>
      <c r="M87" s="135">
        <f>SUM($O87:$AB87)</f>
        <v>1016.0762500000011</v>
      </c>
      <c r="N87" s="123"/>
      <c r="O87" s="123"/>
      <c r="P87" s="136">
        <f>отчеты!P87-отч_беседки!P87-отч_вер_парк!P87</f>
        <v>136.60237500000005</v>
      </c>
      <c r="Q87" s="136">
        <f>отчеты!Q87-отч_беседки!Q87-отч_вер_парк!Q87</f>
        <v>138.55362500000007</v>
      </c>
      <c r="R87" s="136">
        <f>отчеты!R87-отч_беседки!R87-отч_вер_парк!R87</f>
        <v>141.65375000000012</v>
      </c>
      <c r="S87" s="136">
        <f>отчеты!S87-отч_беседки!S87-отч_вер_парк!S87</f>
        <v>143.43175000000008</v>
      </c>
      <c r="T87" s="136">
        <f>отчеты!T87-отч_беседки!T87-отч_вер_парк!T87</f>
        <v>146.3586250000003</v>
      </c>
      <c r="U87" s="136">
        <f>отчеты!U87-отч_беседки!U87-отч_вер_парк!U87</f>
        <v>151.23675000000037</v>
      </c>
      <c r="V87" s="136">
        <f>отчеты!V87-отч_беседки!V87-отч_вер_парк!V87</f>
        <v>158.23937500000011</v>
      </c>
      <c r="W87" s="136">
        <f>отчеты!W87-отч_беседки!W87-отч_вер_парк!W87</f>
        <v>0</v>
      </c>
      <c r="X87" s="136">
        <f>отчеты!X87-отч_беседки!X87-отч_вер_парк!X87</f>
        <v>0</v>
      </c>
      <c r="Y87" s="136">
        <f>отчеты!Y87-отч_беседки!Y87-отч_вер_парк!Y87</f>
        <v>0</v>
      </c>
      <c r="Z87" s="136">
        <f>отчеты!Z87-отч_беседки!Z87-отч_вер_парк!Z87</f>
        <v>0</v>
      </c>
      <c r="AA87" s="136">
        <f>отчеты!AA87-отч_беседки!AA87-отч_вер_парк!AA87</f>
        <v>0</v>
      </c>
      <c r="AB87" s="123"/>
    </row>
    <row r="88" spans="1:28" s="126" customFormat="1" ht="3.9" customHeight="1" x14ac:dyDescent="0.25">
      <c r="A88" s="149">
        <f>1</f>
        <v>1</v>
      </c>
      <c r="B88" s="131"/>
      <c r="C88" s="123"/>
      <c r="D88" s="123"/>
      <c r="E88" s="123"/>
      <c r="F88" s="123"/>
      <c r="G88" s="123"/>
      <c r="H88" s="123"/>
      <c r="I88" s="124"/>
      <c r="J88" s="123"/>
      <c r="K88" s="124"/>
      <c r="L88" s="123"/>
      <c r="M88" s="125"/>
      <c r="N88" s="123"/>
      <c r="O88" s="123"/>
      <c r="P88" s="137"/>
      <c r="Q88" s="137"/>
      <c r="R88" s="137"/>
      <c r="S88" s="137"/>
      <c r="T88" s="137"/>
      <c r="U88" s="137"/>
      <c r="V88" s="137"/>
      <c r="W88" s="137"/>
      <c r="X88" s="137"/>
      <c r="Y88" s="137"/>
      <c r="Z88" s="137"/>
      <c r="AA88" s="137"/>
      <c r="AB88" s="123"/>
    </row>
    <row r="89" spans="1:28" s="126" customFormat="1" x14ac:dyDescent="0.25">
      <c r="A89" s="149">
        <f>1</f>
        <v>1</v>
      </c>
      <c r="B89" s="132" t="str">
        <f>структура!$J$14</f>
        <v>УСН(15%)</v>
      </c>
      <c r="C89" s="123"/>
      <c r="D89" s="123"/>
      <c r="E89" s="130" t="str">
        <f>E85</f>
        <v>общехозяйственные расходы</v>
      </c>
      <c r="F89" s="130"/>
      <c r="G89" s="130" t="str">
        <f>IF($E89="","",INDEX(KPI!$G:$G,SUMIFS(KPI!$B:$B,KPI!$E:$E,$E89)))</f>
        <v>тыс.руб.</v>
      </c>
      <c r="H89" s="130"/>
      <c r="I89" s="134"/>
      <c r="J89" s="130" t="str">
        <f>структура!$AL$21</f>
        <v>Без НДС</v>
      </c>
      <c r="K89" s="134"/>
      <c r="L89" s="130"/>
      <c r="M89" s="135">
        <f>SUM($O89:$AB89)</f>
        <v>1016.0762500000011</v>
      </c>
      <c r="N89" s="123"/>
      <c r="O89" s="123"/>
      <c r="P89" s="136">
        <f>отчеты!P89-отч_беседки!P89-отч_вер_парк!P89</f>
        <v>136.60237500000005</v>
      </c>
      <c r="Q89" s="136">
        <f>отчеты!Q89-отч_беседки!Q89-отч_вер_парк!Q89</f>
        <v>138.55362500000007</v>
      </c>
      <c r="R89" s="136">
        <f>отчеты!R89-отч_беседки!R89-отч_вер_парк!R89</f>
        <v>141.65375000000012</v>
      </c>
      <c r="S89" s="136">
        <f>отчеты!S89-отч_беседки!S89-отч_вер_парк!S89</f>
        <v>143.43175000000008</v>
      </c>
      <c r="T89" s="136">
        <f>отчеты!T89-отч_беседки!T89-отч_вер_парк!T89</f>
        <v>146.3586250000003</v>
      </c>
      <c r="U89" s="136">
        <f>отчеты!U89-отч_беседки!U89-отч_вер_парк!U89</f>
        <v>151.23675000000037</v>
      </c>
      <c r="V89" s="136">
        <f>отчеты!V89-отч_беседки!V89-отч_вер_парк!V89</f>
        <v>158.23937500000011</v>
      </c>
      <c r="W89" s="136">
        <f>отчеты!W89-отч_беседки!W89-отч_вер_парк!W89</f>
        <v>0</v>
      </c>
      <c r="X89" s="136">
        <f>отчеты!X89-отч_беседки!X89-отч_вер_парк!X89</f>
        <v>0</v>
      </c>
      <c r="Y89" s="136">
        <f>отчеты!Y89-отч_беседки!Y89-отч_вер_парк!Y89</f>
        <v>0</v>
      </c>
      <c r="Z89" s="136">
        <f>отчеты!Z89-отч_беседки!Z89-отч_вер_парк!Z89</f>
        <v>0</v>
      </c>
      <c r="AA89" s="136">
        <f>отчеты!AA89-отч_беседки!AA89-отч_вер_парк!AA89</f>
        <v>0</v>
      </c>
      <c r="AB89" s="123"/>
    </row>
    <row r="90" spans="1:28" s="126" customFormat="1" ht="3.9" customHeight="1" x14ac:dyDescent="0.25">
      <c r="A90" s="149">
        <f>1</f>
        <v>1</v>
      </c>
      <c r="B90" s="131"/>
      <c r="C90" s="123"/>
      <c r="D90" s="123"/>
      <c r="E90" s="123"/>
      <c r="F90" s="123"/>
      <c r="G90" s="123"/>
      <c r="H90" s="123"/>
      <c r="I90" s="124"/>
      <c r="J90" s="123"/>
      <c r="K90" s="124"/>
      <c r="L90" s="123"/>
      <c r="M90" s="125"/>
      <c r="N90" s="123"/>
      <c r="O90" s="123"/>
      <c r="P90" s="137"/>
      <c r="Q90" s="137"/>
      <c r="R90" s="137"/>
      <c r="S90" s="137"/>
      <c r="T90" s="137"/>
      <c r="U90" s="137"/>
      <c r="V90" s="137"/>
      <c r="W90" s="137"/>
      <c r="X90" s="137"/>
      <c r="Y90" s="137"/>
      <c r="Z90" s="137"/>
      <c r="AA90" s="137"/>
      <c r="AB90" s="123"/>
    </row>
    <row r="91" spans="1:28" s="126" customFormat="1" x14ac:dyDescent="0.25">
      <c r="A91" s="149">
        <f>1</f>
        <v>1</v>
      </c>
      <c r="B91" s="132" t="str">
        <f>структура!$J$15</f>
        <v>УСН(6%)-ИП</v>
      </c>
      <c r="C91" s="123"/>
      <c r="D91" s="123"/>
      <c r="E91" s="130" t="str">
        <f>E85</f>
        <v>общехозяйственные расходы</v>
      </c>
      <c r="F91" s="130"/>
      <c r="G91" s="130" t="str">
        <f>IF($E91="","",INDEX(KPI!$G:$G,SUMIFS(KPI!$B:$B,KPI!$E:$E,$E91)))</f>
        <v>тыс.руб.</v>
      </c>
      <c r="H91" s="130"/>
      <c r="I91" s="134"/>
      <c r="J91" s="130" t="str">
        <f>структура!$AL$21</f>
        <v>Без НДС</v>
      </c>
      <c r="K91" s="134"/>
      <c r="L91" s="130"/>
      <c r="M91" s="135">
        <f>SUM($O91:$AB91)</f>
        <v>1016.0762500000011</v>
      </c>
      <c r="N91" s="123"/>
      <c r="O91" s="123"/>
      <c r="P91" s="136">
        <f>отчеты!P91-отч_беседки!P91-отч_вер_парк!P91</f>
        <v>136.60237500000005</v>
      </c>
      <c r="Q91" s="136">
        <f>отчеты!Q91-отч_беседки!Q91-отч_вер_парк!Q91</f>
        <v>138.55362500000007</v>
      </c>
      <c r="R91" s="136">
        <f>отчеты!R91-отч_беседки!R91-отч_вер_парк!R91</f>
        <v>141.65375000000012</v>
      </c>
      <c r="S91" s="136">
        <f>отчеты!S91-отч_беседки!S91-отч_вер_парк!S91</f>
        <v>143.43175000000008</v>
      </c>
      <c r="T91" s="136">
        <f>отчеты!T91-отч_беседки!T91-отч_вер_парк!T91</f>
        <v>146.3586250000003</v>
      </c>
      <c r="U91" s="136">
        <f>отчеты!U91-отч_беседки!U91-отч_вер_парк!U91</f>
        <v>151.23675000000037</v>
      </c>
      <c r="V91" s="136">
        <f>отчеты!V91-отч_беседки!V91-отч_вер_парк!V91</f>
        <v>158.23937500000011</v>
      </c>
      <c r="W91" s="136">
        <f>отчеты!W91-отч_беседки!W91-отч_вер_парк!W91</f>
        <v>0</v>
      </c>
      <c r="X91" s="136">
        <f>отчеты!X91-отч_беседки!X91-отч_вер_парк!X91</f>
        <v>0</v>
      </c>
      <c r="Y91" s="136">
        <f>отчеты!Y91-отч_беседки!Y91-отч_вер_парк!Y91</f>
        <v>0</v>
      </c>
      <c r="Z91" s="136">
        <f>отчеты!Z91-отч_беседки!Z91-отч_вер_парк!Z91</f>
        <v>0</v>
      </c>
      <c r="AA91" s="136">
        <f>отчеты!AA91-отч_беседки!AA91-отч_вер_парк!AA91</f>
        <v>0</v>
      </c>
      <c r="AB91" s="123"/>
    </row>
    <row r="92" spans="1:28" ht="3.9" customHeight="1" x14ac:dyDescent="0.25">
      <c r="A92" s="149">
        <f>1</f>
        <v>1</v>
      </c>
      <c r="B92" s="131"/>
      <c r="C92" s="2"/>
      <c r="D92" s="2"/>
      <c r="E92" s="2"/>
      <c r="F92" s="2"/>
      <c r="G92" s="2"/>
      <c r="H92" s="2"/>
      <c r="I92" s="28"/>
      <c r="J92" s="2"/>
      <c r="K92" s="28"/>
      <c r="L92" s="2"/>
      <c r="M92" s="52"/>
      <c r="N92" s="2"/>
      <c r="O92" s="2"/>
      <c r="P92" s="36"/>
      <c r="Q92" s="36"/>
      <c r="R92" s="36"/>
      <c r="S92" s="36"/>
      <c r="T92" s="36"/>
      <c r="U92" s="36"/>
      <c r="V92" s="36"/>
      <c r="W92" s="36"/>
      <c r="X92" s="36"/>
      <c r="Y92" s="36"/>
      <c r="Z92" s="36"/>
      <c r="AA92" s="36"/>
      <c r="AB92" s="2"/>
    </row>
    <row r="93" spans="1:28" ht="8.1" customHeight="1" x14ac:dyDescent="0.25">
      <c r="A93" s="149">
        <f>1</f>
        <v>1</v>
      </c>
      <c r="B93" s="131"/>
      <c r="C93" s="2"/>
      <c r="D93" s="2"/>
      <c r="E93" s="2"/>
      <c r="F93" s="2"/>
      <c r="G93" s="2"/>
      <c r="H93" s="2"/>
      <c r="I93" s="28"/>
      <c r="J93" s="2"/>
      <c r="K93" s="28"/>
      <c r="L93" s="2"/>
      <c r="M93" s="52"/>
      <c r="N93" s="2"/>
      <c r="O93" s="2"/>
      <c r="P93" s="36"/>
      <c r="Q93" s="36"/>
      <c r="R93" s="36"/>
      <c r="S93" s="36"/>
      <c r="T93" s="36"/>
      <c r="U93" s="36"/>
      <c r="V93" s="36"/>
      <c r="W93" s="36"/>
      <c r="X93" s="36"/>
      <c r="Y93" s="36"/>
      <c r="Z93" s="36"/>
      <c r="AA93" s="36"/>
      <c r="AB93" s="2"/>
    </row>
    <row r="94" spans="1:28" ht="3.9" customHeight="1" x14ac:dyDescent="0.25">
      <c r="A94" s="149">
        <f>1</f>
        <v>1</v>
      </c>
      <c r="B94" s="131"/>
      <c r="C94" s="2"/>
      <c r="D94" s="2"/>
      <c r="E94" s="2"/>
      <c r="F94" s="2"/>
      <c r="G94" s="2"/>
      <c r="H94" s="2"/>
      <c r="I94" s="28"/>
      <c r="J94" s="2"/>
      <c r="K94" s="28"/>
      <c r="L94" s="2"/>
      <c r="M94" s="52"/>
      <c r="N94" s="2"/>
      <c r="O94" s="2"/>
      <c r="P94" s="36"/>
      <c r="Q94" s="36"/>
      <c r="R94" s="36"/>
      <c r="S94" s="36"/>
      <c r="T94" s="36"/>
      <c r="U94" s="36"/>
      <c r="V94" s="36"/>
      <c r="W94" s="36"/>
      <c r="X94" s="36"/>
      <c r="Y94" s="36"/>
      <c r="Z94" s="36"/>
      <c r="AA94" s="36"/>
      <c r="AB94" s="2"/>
    </row>
    <row r="95" spans="1:28" s="126" customFormat="1" x14ac:dyDescent="0.25">
      <c r="A95" s="149">
        <f>1</f>
        <v>1</v>
      </c>
      <c r="B95" s="132" t="str">
        <f>структура!$J$12</f>
        <v>ОСНО</v>
      </c>
      <c r="C95" s="123"/>
      <c r="D95" s="123"/>
      <c r="E95" s="130" t="str">
        <f>KPI!$E$82</f>
        <v>непредвиденные расходы</v>
      </c>
      <c r="F95" s="130"/>
      <c r="G95" s="130" t="str">
        <f>IF($E95="","",INDEX(KPI!$G:$G,SUMIFS(KPI!$B:$B,KPI!$E:$E,$E95)))</f>
        <v>тыс.руб.</v>
      </c>
      <c r="H95" s="130"/>
      <c r="I95" s="134"/>
      <c r="J95" s="130" t="str">
        <f>структура!$AL$21</f>
        <v>Без НДС</v>
      </c>
      <c r="K95" s="134"/>
      <c r="L95" s="130"/>
      <c r="M95" s="135">
        <f>SUM($O95:$AB95)</f>
        <v>435.46125000000029</v>
      </c>
      <c r="N95" s="123"/>
      <c r="O95" s="123"/>
      <c r="P95" s="136">
        <f>отчеты!P95-отч_беседки!P95-отч_вер_парк!P95</f>
        <v>58.543874999999986</v>
      </c>
      <c r="Q95" s="136">
        <f>отчеты!Q95-отч_беседки!Q95-отч_вер_парк!Q95</f>
        <v>59.380125000000021</v>
      </c>
      <c r="R95" s="136">
        <f>отчеты!R95-отч_беседки!R95-отч_вер_парк!R95</f>
        <v>60.708750000000038</v>
      </c>
      <c r="S95" s="136">
        <f>отчеты!S95-отч_беседки!S95-отч_вер_парк!S95</f>
        <v>61.470750000000038</v>
      </c>
      <c r="T95" s="136">
        <f>отчеты!T95-отч_беседки!T95-отч_вер_парк!T95</f>
        <v>62.725125000000105</v>
      </c>
      <c r="U95" s="136">
        <f>отчеты!U95-отч_беседки!U95-отч_вер_парк!U95</f>
        <v>64.815750000000094</v>
      </c>
      <c r="V95" s="136">
        <f>отчеты!V95-отч_беседки!V95-отч_вер_парк!V95</f>
        <v>67.816874999999982</v>
      </c>
      <c r="W95" s="136">
        <f>отчеты!W95-отч_беседки!W95-отч_вер_парк!W95</f>
        <v>0</v>
      </c>
      <c r="X95" s="136">
        <f>отчеты!X95-отч_беседки!X95-отч_вер_парк!X95</f>
        <v>0</v>
      </c>
      <c r="Y95" s="136">
        <f>отчеты!Y95-отч_беседки!Y95-отч_вер_парк!Y95</f>
        <v>0</v>
      </c>
      <c r="Z95" s="136">
        <f>отчеты!Z95-отч_беседки!Z95-отч_вер_парк!Z95</f>
        <v>0</v>
      </c>
      <c r="AA95" s="136">
        <f>отчеты!AA95-отч_беседки!AA95-отч_вер_парк!AA95</f>
        <v>0</v>
      </c>
      <c r="AB95" s="123"/>
    </row>
    <row r="96" spans="1:28" s="126" customFormat="1" ht="3.9" customHeight="1" x14ac:dyDescent="0.25">
      <c r="A96" s="149">
        <f>1</f>
        <v>1</v>
      </c>
      <c r="B96" s="131"/>
      <c r="C96" s="123"/>
      <c r="D96" s="123"/>
      <c r="E96" s="123"/>
      <c r="F96" s="123"/>
      <c r="G96" s="123"/>
      <c r="H96" s="123"/>
      <c r="I96" s="124"/>
      <c r="J96" s="123"/>
      <c r="K96" s="124"/>
      <c r="L96" s="123"/>
      <c r="M96" s="125"/>
      <c r="N96" s="123"/>
      <c r="O96" s="123"/>
      <c r="P96" s="137"/>
      <c r="Q96" s="137"/>
      <c r="R96" s="137"/>
      <c r="S96" s="137"/>
      <c r="T96" s="137"/>
      <c r="U96" s="137"/>
      <c r="V96" s="137"/>
      <c r="W96" s="137"/>
      <c r="X96" s="137"/>
      <c r="Y96" s="137"/>
      <c r="Z96" s="137"/>
      <c r="AA96" s="137"/>
      <c r="AB96" s="123"/>
    </row>
    <row r="97" spans="1:28" s="126" customFormat="1" x14ac:dyDescent="0.25">
      <c r="A97" s="149">
        <f>1</f>
        <v>1</v>
      </c>
      <c r="B97" s="132" t="str">
        <f>структура!$J$13</f>
        <v>УСН(6%)</v>
      </c>
      <c r="C97" s="123"/>
      <c r="D97" s="123"/>
      <c r="E97" s="130" t="str">
        <f>E95</f>
        <v>непредвиденные расходы</v>
      </c>
      <c r="F97" s="130"/>
      <c r="G97" s="130" t="str">
        <f>IF($E97="","",INDEX(KPI!$G:$G,SUMIFS(KPI!$B:$B,KPI!$E:$E,$E97)))</f>
        <v>тыс.руб.</v>
      </c>
      <c r="H97" s="130"/>
      <c r="I97" s="134"/>
      <c r="J97" s="130" t="str">
        <f>структура!$AL$21</f>
        <v>Без НДС</v>
      </c>
      <c r="K97" s="134"/>
      <c r="L97" s="130"/>
      <c r="M97" s="135">
        <f>SUM($O97:$AB97)</f>
        <v>435.46125000000029</v>
      </c>
      <c r="N97" s="123"/>
      <c r="O97" s="123"/>
      <c r="P97" s="136">
        <f>отчеты!P97-отч_беседки!P97-отч_вер_парк!P97</f>
        <v>58.543875000000028</v>
      </c>
      <c r="Q97" s="136">
        <f>отчеты!Q97-отч_беседки!Q97-отч_вер_парк!Q97</f>
        <v>59.380125000000007</v>
      </c>
      <c r="R97" s="136">
        <f>отчеты!R97-отч_беседки!R97-отч_вер_парк!R97</f>
        <v>60.708750000000009</v>
      </c>
      <c r="S97" s="136">
        <f>отчеты!S97-отч_беседки!S97-отч_вер_парк!S97</f>
        <v>61.47075000000001</v>
      </c>
      <c r="T97" s="136">
        <f>отчеты!T97-отч_беседки!T97-отч_вер_парк!T97</f>
        <v>62.725125000000105</v>
      </c>
      <c r="U97" s="136">
        <f>отчеты!U97-отч_беседки!U97-отч_вер_парк!U97</f>
        <v>64.815750000000151</v>
      </c>
      <c r="V97" s="136">
        <f>отчеты!V97-отч_беседки!V97-отч_вер_парк!V97</f>
        <v>67.816874999999982</v>
      </c>
      <c r="W97" s="136">
        <f>отчеты!W97-отч_беседки!W97-отч_вер_парк!W97</f>
        <v>0</v>
      </c>
      <c r="X97" s="136">
        <f>отчеты!X97-отч_беседки!X97-отч_вер_парк!X97</f>
        <v>0</v>
      </c>
      <c r="Y97" s="136">
        <f>отчеты!Y97-отч_беседки!Y97-отч_вер_парк!Y97</f>
        <v>0</v>
      </c>
      <c r="Z97" s="136">
        <f>отчеты!Z97-отч_беседки!Z97-отч_вер_парк!Z97</f>
        <v>0</v>
      </c>
      <c r="AA97" s="136">
        <f>отчеты!AA97-отч_беседки!AA97-отч_вер_парк!AA97</f>
        <v>0</v>
      </c>
      <c r="AB97" s="123"/>
    </row>
    <row r="98" spans="1:28" s="126" customFormat="1" ht="3.9" customHeight="1" x14ac:dyDescent="0.25">
      <c r="A98" s="149">
        <f>1</f>
        <v>1</v>
      </c>
      <c r="B98" s="131"/>
      <c r="C98" s="123"/>
      <c r="D98" s="123"/>
      <c r="E98" s="123"/>
      <c r="F98" s="123"/>
      <c r="G98" s="123"/>
      <c r="H98" s="123"/>
      <c r="I98" s="124"/>
      <c r="J98" s="123"/>
      <c r="K98" s="124"/>
      <c r="L98" s="123"/>
      <c r="M98" s="125"/>
      <c r="N98" s="123"/>
      <c r="O98" s="123"/>
      <c r="P98" s="137"/>
      <c r="Q98" s="137"/>
      <c r="R98" s="137"/>
      <c r="S98" s="137"/>
      <c r="T98" s="137"/>
      <c r="U98" s="137"/>
      <c r="V98" s="137"/>
      <c r="W98" s="137"/>
      <c r="X98" s="137"/>
      <c r="Y98" s="137"/>
      <c r="Z98" s="137"/>
      <c r="AA98" s="137"/>
      <c r="AB98" s="123"/>
    </row>
    <row r="99" spans="1:28" s="126" customFormat="1" x14ac:dyDescent="0.25">
      <c r="A99" s="149">
        <f>1</f>
        <v>1</v>
      </c>
      <c r="B99" s="132" t="str">
        <f>структура!$J$14</f>
        <v>УСН(15%)</v>
      </c>
      <c r="C99" s="123"/>
      <c r="D99" s="123"/>
      <c r="E99" s="130" t="str">
        <f>E95</f>
        <v>непредвиденные расходы</v>
      </c>
      <c r="F99" s="130"/>
      <c r="G99" s="130" t="str">
        <f>IF($E99="","",INDEX(KPI!$G:$G,SUMIFS(KPI!$B:$B,KPI!$E:$E,$E99)))</f>
        <v>тыс.руб.</v>
      </c>
      <c r="H99" s="130"/>
      <c r="I99" s="134"/>
      <c r="J99" s="130" t="str">
        <f>структура!$AL$21</f>
        <v>Без НДС</v>
      </c>
      <c r="K99" s="134"/>
      <c r="L99" s="130"/>
      <c r="M99" s="135">
        <f>SUM($O99:$AB99)</f>
        <v>435.46125000000029</v>
      </c>
      <c r="N99" s="123"/>
      <c r="O99" s="123"/>
      <c r="P99" s="136">
        <f>отчеты!P99-отч_беседки!P99-отч_вер_парк!P99</f>
        <v>58.543875000000028</v>
      </c>
      <c r="Q99" s="136">
        <f>отчеты!Q99-отч_беседки!Q99-отч_вер_парк!Q99</f>
        <v>59.380125000000007</v>
      </c>
      <c r="R99" s="136">
        <f>отчеты!R99-отч_беседки!R99-отч_вер_парк!R99</f>
        <v>60.708750000000009</v>
      </c>
      <c r="S99" s="136">
        <f>отчеты!S99-отч_беседки!S99-отч_вер_парк!S99</f>
        <v>61.47075000000001</v>
      </c>
      <c r="T99" s="136">
        <f>отчеты!T99-отч_беседки!T99-отч_вер_парк!T99</f>
        <v>62.725125000000105</v>
      </c>
      <c r="U99" s="136">
        <f>отчеты!U99-отч_беседки!U99-отч_вер_парк!U99</f>
        <v>64.815750000000151</v>
      </c>
      <c r="V99" s="136">
        <f>отчеты!V99-отч_беседки!V99-отч_вер_парк!V99</f>
        <v>67.816874999999982</v>
      </c>
      <c r="W99" s="136">
        <f>отчеты!W99-отч_беседки!W99-отч_вер_парк!W99</f>
        <v>0</v>
      </c>
      <c r="X99" s="136">
        <f>отчеты!X99-отч_беседки!X99-отч_вер_парк!X99</f>
        <v>0</v>
      </c>
      <c r="Y99" s="136">
        <f>отчеты!Y99-отч_беседки!Y99-отч_вер_парк!Y99</f>
        <v>0</v>
      </c>
      <c r="Z99" s="136">
        <f>отчеты!Z99-отч_беседки!Z99-отч_вер_парк!Z99</f>
        <v>0</v>
      </c>
      <c r="AA99" s="136">
        <f>отчеты!AA99-отч_беседки!AA99-отч_вер_парк!AA99</f>
        <v>0</v>
      </c>
      <c r="AB99" s="123"/>
    </row>
    <row r="100" spans="1:28" s="126" customFormat="1" ht="3.9" customHeight="1" x14ac:dyDescent="0.25">
      <c r="A100" s="149">
        <f>1</f>
        <v>1</v>
      </c>
      <c r="B100" s="131"/>
      <c r="C100" s="123"/>
      <c r="D100" s="123"/>
      <c r="E100" s="123"/>
      <c r="F100" s="123"/>
      <c r="G100" s="123"/>
      <c r="H100" s="123"/>
      <c r="I100" s="124"/>
      <c r="J100" s="123"/>
      <c r="K100" s="124"/>
      <c r="L100" s="123"/>
      <c r="M100" s="125"/>
      <c r="N100" s="123"/>
      <c r="O100" s="123"/>
      <c r="P100" s="137"/>
      <c r="Q100" s="137"/>
      <c r="R100" s="137"/>
      <c r="S100" s="137"/>
      <c r="T100" s="137"/>
      <c r="U100" s="137"/>
      <c r="V100" s="137"/>
      <c r="W100" s="137"/>
      <c r="X100" s="137"/>
      <c r="Y100" s="137"/>
      <c r="Z100" s="137"/>
      <c r="AA100" s="137"/>
      <c r="AB100" s="123"/>
    </row>
    <row r="101" spans="1:28" s="126" customFormat="1" x14ac:dyDescent="0.25">
      <c r="A101" s="149">
        <f>1</f>
        <v>1</v>
      </c>
      <c r="B101" s="132" t="str">
        <f>структура!$J$15</f>
        <v>УСН(6%)-ИП</v>
      </c>
      <c r="C101" s="123"/>
      <c r="D101" s="123"/>
      <c r="E101" s="130" t="str">
        <f>E95</f>
        <v>непредвиденные расходы</v>
      </c>
      <c r="F101" s="130"/>
      <c r="G101" s="130" t="str">
        <f>IF($E101="","",INDEX(KPI!$G:$G,SUMIFS(KPI!$B:$B,KPI!$E:$E,$E101)))</f>
        <v>тыс.руб.</v>
      </c>
      <c r="H101" s="130"/>
      <c r="I101" s="134"/>
      <c r="J101" s="130" t="str">
        <f>структура!$AL$21</f>
        <v>Без НДС</v>
      </c>
      <c r="K101" s="134"/>
      <c r="L101" s="130"/>
      <c r="M101" s="135">
        <f>SUM($O101:$AB101)</f>
        <v>435.46125000000029</v>
      </c>
      <c r="N101" s="123"/>
      <c r="O101" s="123"/>
      <c r="P101" s="136">
        <f>отчеты!P101-отч_беседки!P101-отч_вер_парк!P101</f>
        <v>58.543875000000028</v>
      </c>
      <c r="Q101" s="136">
        <f>отчеты!Q101-отч_беседки!Q101-отч_вер_парк!Q101</f>
        <v>59.380125000000007</v>
      </c>
      <c r="R101" s="136">
        <f>отчеты!R101-отч_беседки!R101-отч_вер_парк!R101</f>
        <v>60.708750000000009</v>
      </c>
      <c r="S101" s="136">
        <f>отчеты!S101-отч_беседки!S101-отч_вер_парк!S101</f>
        <v>61.47075000000001</v>
      </c>
      <c r="T101" s="136">
        <f>отчеты!T101-отч_беседки!T101-отч_вер_парк!T101</f>
        <v>62.725125000000105</v>
      </c>
      <c r="U101" s="136">
        <f>отчеты!U101-отч_беседки!U101-отч_вер_парк!U101</f>
        <v>64.815750000000151</v>
      </c>
      <c r="V101" s="136">
        <f>отчеты!V101-отч_беседки!V101-отч_вер_парк!V101</f>
        <v>67.816874999999982</v>
      </c>
      <c r="W101" s="136">
        <f>отчеты!W101-отч_беседки!W101-отч_вер_парк!W101</f>
        <v>0</v>
      </c>
      <c r="X101" s="136">
        <f>отчеты!X101-отч_беседки!X101-отч_вер_парк!X101</f>
        <v>0</v>
      </c>
      <c r="Y101" s="136">
        <f>отчеты!Y101-отч_беседки!Y101-отч_вер_парк!Y101</f>
        <v>0</v>
      </c>
      <c r="Z101" s="136">
        <f>отчеты!Z101-отч_беседки!Z101-отч_вер_парк!Z101</f>
        <v>0</v>
      </c>
      <c r="AA101" s="136">
        <f>отчеты!AA101-отч_беседки!AA101-отч_вер_парк!AA101</f>
        <v>0</v>
      </c>
      <c r="AB101" s="123"/>
    </row>
    <row r="102" spans="1:28" ht="3.9" customHeight="1" x14ac:dyDescent="0.25">
      <c r="A102" s="149">
        <f>1</f>
        <v>1</v>
      </c>
      <c r="B102" s="131"/>
      <c r="C102" s="2"/>
      <c r="D102" s="2"/>
      <c r="E102" s="2"/>
      <c r="F102" s="2"/>
      <c r="G102" s="2"/>
      <c r="H102" s="2"/>
      <c r="I102" s="28"/>
      <c r="J102" s="2"/>
      <c r="K102" s="28"/>
      <c r="L102" s="2"/>
      <c r="M102" s="52"/>
      <c r="N102" s="2"/>
      <c r="O102" s="2"/>
      <c r="P102" s="36"/>
      <c r="Q102" s="36"/>
      <c r="R102" s="36"/>
      <c r="S102" s="36"/>
      <c r="T102" s="36"/>
      <c r="U102" s="36"/>
      <c r="V102" s="36"/>
      <c r="W102" s="36"/>
      <c r="X102" s="36"/>
      <c r="Y102" s="36"/>
      <c r="Z102" s="36"/>
      <c r="AA102" s="36"/>
      <c r="AB102" s="2"/>
    </row>
    <row r="103" spans="1:28" ht="8.1" customHeight="1" x14ac:dyDescent="0.25">
      <c r="A103" s="149">
        <f>1</f>
        <v>1</v>
      </c>
      <c r="B103" s="131"/>
      <c r="C103" s="2"/>
      <c r="D103" s="2"/>
      <c r="E103" s="2"/>
      <c r="F103" s="2"/>
      <c r="G103" s="2"/>
      <c r="H103" s="2"/>
      <c r="I103" s="28"/>
      <c r="J103" s="2"/>
      <c r="K103" s="28"/>
      <c r="L103" s="2"/>
      <c r="M103" s="52"/>
      <c r="N103" s="2"/>
      <c r="O103" s="2"/>
      <c r="P103" s="36"/>
      <c r="Q103" s="36"/>
      <c r="R103" s="36"/>
      <c r="S103" s="36"/>
      <c r="T103" s="36"/>
      <c r="U103" s="36"/>
      <c r="V103" s="36"/>
      <c r="W103" s="36"/>
      <c r="X103" s="36"/>
      <c r="Y103" s="36"/>
      <c r="Z103" s="36"/>
      <c r="AA103" s="36"/>
      <c r="AB103" s="2"/>
    </row>
    <row r="104" spans="1:28" ht="3.9" customHeight="1" x14ac:dyDescent="0.25">
      <c r="A104" s="149">
        <f>1</f>
        <v>1</v>
      </c>
      <c r="B104" s="131"/>
      <c r="C104" s="2"/>
      <c r="D104" s="2"/>
      <c r="E104" s="2"/>
      <c r="F104" s="2"/>
      <c r="G104" s="2"/>
      <c r="H104" s="2"/>
      <c r="I104" s="28"/>
      <c r="J104" s="2"/>
      <c r="K104" s="28"/>
      <c r="L104" s="2"/>
      <c r="M104" s="52"/>
      <c r="N104" s="2"/>
      <c r="O104" s="2"/>
      <c r="P104" s="36"/>
      <c r="Q104" s="36"/>
      <c r="R104" s="36"/>
      <c r="S104" s="36"/>
      <c r="T104" s="36"/>
      <c r="U104" s="36"/>
      <c r="V104" s="36"/>
      <c r="W104" s="36"/>
      <c r="X104" s="36"/>
      <c r="Y104" s="36"/>
      <c r="Z104" s="36"/>
      <c r="AA104" s="36"/>
      <c r="AB104" s="2"/>
    </row>
    <row r="105" spans="1:28" s="126" customFormat="1" x14ac:dyDescent="0.25">
      <c r="A105" s="149">
        <f>1</f>
        <v>1</v>
      </c>
      <c r="B105" s="132" t="str">
        <f>структура!$J$12</f>
        <v>ОСНО</v>
      </c>
      <c r="C105" s="123"/>
      <c r="D105" s="123"/>
      <c r="E105" s="130" t="str">
        <f>KPI!$E$83</f>
        <v>расходный НДС</v>
      </c>
      <c r="F105" s="130"/>
      <c r="G105" s="130" t="str">
        <f>IF($E105="","",INDEX(KPI!$G:$G,SUMIFS(KPI!$B:$B,KPI!$E:$E,$E105)))</f>
        <v>тыс.руб.</v>
      </c>
      <c r="H105" s="130"/>
      <c r="I105" s="134"/>
      <c r="J105" s="145" t="str">
        <f>структура!$AL$21</f>
        <v>Без НДС</v>
      </c>
      <c r="K105" s="134"/>
      <c r="L105" s="130"/>
      <c r="M105" s="135">
        <f>SUM($O105:$AB105)</f>
        <v>0</v>
      </c>
      <c r="N105" s="123"/>
      <c r="O105" s="123"/>
      <c r="P105" s="136">
        <f>отчеты!P105-отч_беседки!P105-отч_вер_парк!P105</f>
        <v>0</v>
      </c>
      <c r="Q105" s="136">
        <f>отчеты!Q105-отч_беседки!Q105-отч_вер_парк!Q105</f>
        <v>0</v>
      </c>
      <c r="R105" s="136">
        <f>отчеты!R105-отч_беседки!R105-отч_вер_парк!R105</f>
        <v>0</v>
      </c>
      <c r="S105" s="136">
        <f>отчеты!S105-отч_беседки!S105-отч_вер_парк!S105</f>
        <v>0</v>
      </c>
      <c r="T105" s="136">
        <f>отчеты!T105-отч_беседки!T105-отч_вер_парк!T105</f>
        <v>0</v>
      </c>
      <c r="U105" s="136">
        <f>отчеты!U105-отч_беседки!U105-отч_вер_парк!U105</f>
        <v>0</v>
      </c>
      <c r="V105" s="136">
        <f>отчеты!V105-отч_беседки!V105-отч_вер_парк!V105</f>
        <v>0</v>
      </c>
      <c r="W105" s="136">
        <f>отчеты!W105-отч_беседки!W105-отч_вер_парк!W105</f>
        <v>0</v>
      </c>
      <c r="X105" s="136">
        <f>отчеты!X105-отч_беседки!X105-отч_вер_парк!X105</f>
        <v>0</v>
      </c>
      <c r="Y105" s="136">
        <f>отчеты!Y105-отч_беседки!Y105-отч_вер_парк!Y105</f>
        <v>0</v>
      </c>
      <c r="Z105" s="136">
        <f>отчеты!Z105-отч_беседки!Z105-отч_вер_парк!Z105</f>
        <v>0</v>
      </c>
      <c r="AA105" s="136">
        <f>отчеты!AA105-отч_беседки!AA105-отч_вер_парк!AA105</f>
        <v>0</v>
      </c>
      <c r="AB105" s="123"/>
    </row>
    <row r="106" spans="1:28" s="126" customFormat="1" ht="3.9" customHeight="1" x14ac:dyDescent="0.25">
      <c r="A106" s="149">
        <f>1</f>
        <v>1</v>
      </c>
      <c r="B106" s="131"/>
      <c r="C106" s="123"/>
      <c r="D106" s="123"/>
      <c r="E106" s="123"/>
      <c r="F106" s="123"/>
      <c r="G106" s="123"/>
      <c r="H106" s="123"/>
      <c r="I106" s="124"/>
      <c r="J106" s="123"/>
      <c r="K106" s="124"/>
      <c r="L106" s="123"/>
      <c r="M106" s="125"/>
      <c r="N106" s="123"/>
      <c r="O106" s="123"/>
      <c r="P106" s="137"/>
      <c r="Q106" s="137"/>
      <c r="R106" s="137"/>
      <c r="S106" s="137"/>
      <c r="T106" s="137"/>
      <c r="U106" s="137"/>
      <c r="V106" s="137"/>
      <c r="W106" s="137"/>
      <c r="X106" s="137"/>
      <c r="Y106" s="137"/>
      <c r="Z106" s="137"/>
      <c r="AA106" s="137"/>
      <c r="AB106" s="123"/>
    </row>
    <row r="107" spans="1:28" s="126" customFormat="1" x14ac:dyDescent="0.25">
      <c r="A107" s="149">
        <f>1</f>
        <v>1</v>
      </c>
      <c r="B107" s="132" t="str">
        <f>структура!$J$13</f>
        <v>УСН(6%)</v>
      </c>
      <c r="C107" s="123"/>
      <c r="D107" s="123"/>
      <c r="E107" s="130" t="str">
        <f>E105</f>
        <v>расходный НДС</v>
      </c>
      <c r="F107" s="130"/>
      <c r="G107" s="130" t="str">
        <f>IF($E107="","",INDEX(KPI!$G:$G,SUMIFS(KPI!$B:$B,KPI!$E:$E,$E107)))</f>
        <v>тыс.руб.</v>
      </c>
      <c r="H107" s="130"/>
      <c r="I107" s="134"/>
      <c r="J107" s="145" t="str">
        <f>структура!$AL$21</f>
        <v>Без НДС</v>
      </c>
      <c r="K107" s="134"/>
      <c r="L107" s="130"/>
      <c r="M107" s="135">
        <f>SUM($O107:$AB107)</f>
        <v>439.78555092204664</v>
      </c>
      <c r="N107" s="123"/>
      <c r="O107" s="123"/>
      <c r="P107" s="136">
        <f>отчеты!P107-отч_беседки!P107-отч_вер_парк!P107</f>
        <v>65.878494303266876</v>
      </c>
      <c r="Q107" s="136">
        <f>отчеты!Q107-отч_беседки!Q107-отч_вер_парк!Q107</f>
        <v>66.500625099046118</v>
      </c>
      <c r="R107" s="136">
        <f>отчеты!R107-отч_беседки!R107-отч_вер_парк!R107</f>
        <v>63.515723216923334</v>
      </c>
      <c r="S107" s="136">
        <f>отчеты!S107-отч_беседки!S107-отч_вер_парк!S107</f>
        <v>59.932388076420011</v>
      </c>
      <c r="T107" s="136">
        <f>отчеты!T107-отч_беседки!T107-отч_вер_парк!T107</f>
        <v>60.782494843003406</v>
      </c>
      <c r="U107" s="136">
        <f>отчеты!U107-отч_беседки!U107-отч_вер_парк!U107</f>
        <v>60.955996847263975</v>
      </c>
      <c r="V107" s="136">
        <f>отчеты!V107-отч_беседки!V107-отч_вер_парк!V107</f>
        <v>62.219828536122918</v>
      </c>
      <c r="W107" s="136">
        <f>отчеты!W107-отч_беседки!W107-отч_вер_парк!W107</f>
        <v>0</v>
      </c>
      <c r="X107" s="136">
        <f>отчеты!X107-отч_беседки!X107-отч_вер_парк!X107</f>
        <v>0</v>
      </c>
      <c r="Y107" s="136">
        <f>отчеты!Y107-отч_беседки!Y107-отч_вер_парк!Y107</f>
        <v>0</v>
      </c>
      <c r="Z107" s="136">
        <f>отчеты!Z107-отч_беседки!Z107-отч_вер_парк!Z107</f>
        <v>0</v>
      </c>
      <c r="AA107" s="136">
        <f>отчеты!AA107-отч_беседки!AA107-отч_вер_парк!AA107</f>
        <v>0</v>
      </c>
      <c r="AB107" s="123"/>
    </row>
    <row r="108" spans="1:28" s="126" customFormat="1" ht="3.9" customHeight="1" x14ac:dyDescent="0.25">
      <c r="A108" s="149">
        <f>1</f>
        <v>1</v>
      </c>
      <c r="B108" s="131"/>
      <c r="C108" s="123"/>
      <c r="D108" s="123"/>
      <c r="E108" s="123"/>
      <c r="F108" s="123"/>
      <c r="G108" s="123"/>
      <c r="H108" s="123"/>
      <c r="I108" s="124"/>
      <c r="J108" s="123"/>
      <c r="K108" s="124"/>
      <c r="L108" s="123"/>
      <c r="M108" s="125"/>
      <c r="N108" s="123"/>
      <c r="O108" s="123"/>
      <c r="P108" s="137"/>
      <c r="Q108" s="137"/>
      <c r="R108" s="137"/>
      <c r="S108" s="137"/>
      <c r="T108" s="137"/>
      <c r="U108" s="137"/>
      <c r="V108" s="137"/>
      <c r="W108" s="137"/>
      <c r="X108" s="137"/>
      <c r="Y108" s="137"/>
      <c r="Z108" s="137"/>
      <c r="AA108" s="137"/>
      <c r="AB108" s="123"/>
    </row>
    <row r="109" spans="1:28" s="126" customFormat="1" x14ac:dyDescent="0.25">
      <c r="A109" s="149">
        <f>1</f>
        <v>1</v>
      </c>
      <c r="B109" s="132" t="str">
        <f>структура!$J$14</f>
        <v>УСН(15%)</v>
      </c>
      <c r="C109" s="123"/>
      <c r="D109" s="123"/>
      <c r="E109" s="130" t="str">
        <f>E105</f>
        <v>расходный НДС</v>
      </c>
      <c r="F109" s="130"/>
      <c r="G109" s="130" t="str">
        <f>IF($E109="","",INDEX(KPI!$G:$G,SUMIFS(KPI!$B:$B,KPI!$E:$E,$E109)))</f>
        <v>тыс.руб.</v>
      </c>
      <c r="H109" s="130"/>
      <c r="I109" s="134"/>
      <c r="J109" s="145" t="str">
        <f>структура!$AL$21</f>
        <v>Без НДС</v>
      </c>
      <c r="K109" s="134"/>
      <c r="L109" s="130"/>
      <c r="M109" s="135">
        <f>SUM($O109:$AB109)</f>
        <v>439.78555092204664</v>
      </c>
      <c r="N109" s="123"/>
      <c r="O109" s="123"/>
      <c r="P109" s="136">
        <f>отчеты!P109-отч_беседки!P109-отч_вер_парк!P109</f>
        <v>65.878494303266876</v>
      </c>
      <c r="Q109" s="136">
        <f>отчеты!Q109-отч_беседки!Q109-отч_вер_парк!Q109</f>
        <v>66.500625099046118</v>
      </c>
      <c r="R109" s="136">
        <f>отчеты!R109-отч_беседки!R109-отч_вер_парк!R109</f>
        <v>63.515723216923334</v>
      </c>
      <c r="S109" s="136">
        <f>отчеты!S109-отч_беседки!S109-отч_вер_парк!S109</f>
        <v>59.932388076420011</v>
      </c>
      <c r="T109" s="136">
        <f>отчеты!T109-отч_беседки!T109-отч_вер_парк!T109</f>
        <v>60.782494843003406</v>
      </c>
      <c r="U109" s="136">
        <f>отчеты!U109-отч_беседки!U109-отч_вер_парк!U109</f>
        <v>60.955996847263975</v>
      </c>
      <c r="V109" s="136">
        <f>отчеты!V109-отч_беседки!V109-отч_вер_парк!V109</f>
        <v>62.219828536122918</v>
      </c>
      <c r="W109" s="136">
        <f>отчеты!W109-отч_беседки!W109-отч_вер_парк!W109</f>
        <v>0</v>
      </c>
      <c r="X109" s="136">
        <f>отчеты!X109-отч_беседки!X109-отч_вер_парк!X109</f>
        <v>0</v>
      </c>
      <c r="Y109" s="136">
        <f>отчеты!Y109-отч_беседки!Y109-отч_вер_парк!Y109</f>
        <v>0</v>
      </c>
      <c r="Z109" s="136">
        <f>отчеты!Z109-отч_беседки!Z109-отч_вер_парк!Z109</f>
        <v>0</v>
      </c>
      <c r="AA109" s="136">
        <f>отчеты!AA109-отч_беседки!AA109-отч_вер_парк!AA109</f>
        <v>0</v>
      </c>
      <c r="AB109" s="123"/>
    </row>
    <row r="110" spans="1:28" s="126" customFormat="1" ht="3.9" customHeight="1" x14ac:dyDescent="0.25">
      <c r="A110" s="149">
        <f>1</f>
        <v>1</v>
      </c>
      <c r="B110" s="131"/>
      <c r="C110" s="123"/>
      <c r="D110" s="123"/>
      <c r="E110" s="123"/>
      <c r="F110" s="123"/>
      <c r="G110" s="123"/>
      <c r="H110" s="123"/>
      <c r="I110" s="124"/>
      <c r="J110" s="123"/>
      <c r="K110" s="124"/>
      <c r="L110" s="123"/>
      <c r="M110" s="125"/>
      <c r="N110" s="123"/>
      <c r="O110" s="123"/>
      <c r="P110" s="137"/>
      <c r="Q110" s="137"/>
      <c r="R110" s="137"/>
      <c r="S110" s="137"/>
      <c r="T110" s="137"/>
      <c r="U110" s="137"/>
      <c r="V110" s="137"/>
      <c r="W110" s="137"/>
      <c r="X110" s="137"/>
      <c r="Y110" s="137"/>
      <c r="Z110" s="137"/>
      <c r="AA110" s="137"/>
      <c r="AB110" s="123"/>
    </row>
    <row r="111" spans="1:28" s="126" customFormat="1" x14ac:dyDescent="0.25">
      <c r="A111" s="149">
        <f>1</f>
        <v>1</v>
      </c>
      <c r="B111" s="132" t="str">
        <f>структура!$J$15</f>
        <v>УСН(6%)-ИП</v>
      </c>
      <c r="C111" s="123"/>
      <c r="D111" s="123"/>
      <c r="E111" s="130" t="str">
        <f>E105</f>
        <v>расходный НДС</v>
      </c>
      <c r="F111" s="130"/>
      <c r="G111" s="130" t="str">
        <f>IF($E111="","",INDEX(KPI!$G:$G,SUMIFS(KPI!$B:$B,KPI!$E:$E,$E111)))</f>
        <v>тыс.руб.</v>
      </c>
      <c r="H111" s="130"/>
      <c r="I111" s="134"/>
      <c r="J111" s="145" t="str">
        <f>структура!$AL$21</f>
        <v>Без НДС</v>
      </c>
      <c r="K111" s="134"/>
      <c r="L111" s="130"/>
      <c r="M111" s="135">
        <f>SUM($O111:$AB111)</f>
        <v>439.78555092204664</v>
      </c>
      <c r="N111" s="123"/>
      <c r="O111" s="123"/>
      <c r="P111" s="136">
        <f>отчеты!P111-отч_беседки!P111-отч_вер_парк!P111</f>
        <v>65.878494303266876</v>
      </c>
      <c r="Q111" s="136">
        <f>отчеты!Q111-отч_беседки!Q111-отч_вер_парк!Q111</f>
        <v>66.500625099046118</v>
      </c>
      <c r="R111" s="136">
        <f>отчеты!R111-отч_беседки!R111-отч_вер_парк!R111</f>
        <v>63.515723216923334</v>
      </c>
      <c r="S111" s="136">
        <f>отчеты!S111-отч_беседки!S111-отч_вер_парк!S111</f>
        <v>59.932388076420011</v>
      </c>
      <c r="T111" s="136">
        <f>отчеты!T111-отч_беседки!T111-отч_вер_парк!T111</f>
        <v>60.782494843003406</v>
      </c>
      <c r="U111" s="136">
        <f>отчеты!U111-отч_беседки!U111-отч_вер_парк!U111</f>
        <v>60.955996847263975</v>
      </c>
      <c r="V111" s="136">
        <f>отчеты!V111-отч_беседки!V111-отч_вер_парк!V111</f>
        <v>62.219828536122918</v>
      </c>
      <c r="W111" s="136">
        <f>отчеты!W111-отч_беседки!W111-отч_вер_парк!W111</f>
        <v>0</v>
      </c>
      <c r="X111" s="136">
        <f>отчеты!X111-отч_беседки!X111-отч_вер_парк!X111</f>
        <v>0</v>
      </c>
      <c r="Y111" s="136">
        <f>отчеты!Y111-отч_беседки!Y111-отч_вер_парк!Y111</f>
        <v>0</v>
      </c>
      <c r="Z111" s="136">
        <f>отчеты!Z111-отч_беседки!Z111-отч_вер_парк!Z111</f>
        <v>0</v>
      </c>
      <c r="AA111" s="136">
        <f>отчеты!AA111-отч_беседки!AA111-отч_вер_парк!AA111</f>
        <v>0</v>
      </c>
      <c r="AB111" s="123"/>
    </row>
    <row r="112" spans="1:28" ht="3.9" customHeight="1" x14ac:dyDescent="0.25">
      <c r="A112" s="149">
        <f>1</f>
        <v>1</v>
      </c>
      <c r="B112" s="131"/>
      <c r="C112" s="2"/>
      <c r="D112" s="2"/>
      <c r="E112" s="2"/>
      <c r="F112" s="2"/>
      <c r="G112" s="2"/>
      <c r="H112" s="2"/>
      <c r="I112" s="28"/>
      <c r="J112" s="2"/>
      <c r="K112" s="28"/>
      <c r="L112" s="2"/>
      <c r="M112" s="52"/>
      <c r="N112" s="2"/>
      <c r="O112" s="2"/>
      <c r="P112" s="36"/>
      <c r="Q112" s="36"/>
      <c r="R112" s="36"/>
      <c r="S112" s="36"/>
      <c r="T112" s="36"/>
      <c r="U112" s="36"/>
      <c r="V112" s="36"/>
      <c r="W112" s="36"/>
      <c r="X112" s="36"/>
      <c r="Y112" s="36"/>
      <c r="Z112" s="36"/>
      <c r="AA112" s="36"/>
      <c r="AB112" s="2"/>
    </row>
    <row r="113" spans="1:28" ht="8.1" customHeight="1" x14ac:dyDescent="0.25">
      <c r="A113" s="149">
        <f>1</f>
        <v>1</v>
      </c>
      <c r="B113" s="131"/>
      <c r="C113" s="2"/>
      <c r="D113" s="2"/>
      <c r="E113" s="2"/>
      <c r="F113" s="2"/>
      <c r="G113" s="2"/>
      <c r="H113" s="2"/>
      <c r="I113" s="28"/>
      <c r="J113" s="2"/>
      <c r="K113" s="28"/>
      <c r="L113" s="2"/>
      <c r="M113" s="52"/>
      <c r="N113" s="2"/>
      <c r="O113" s="2"/>
      <c r="P113" s="36"/>
      <c r="Q113" s="36"/>
      <c r="R113" s="36"/>
      <c r="S113" s="36"/>
      <c r="T113" s="36"/>
      <c r="U113" s="36"/>
      <c r="V113" s="36"/>
      <c r="W113" s="36"/>
      <c r="X113" s="36"/>
      <c r="Y113" s="36"/>
      <c r="Z113" s="36"/>
      <c r="AA113" s="36"/>
      <c r="AB113" s="2"/>
    </row>
    <row r="114" spans="1:28" ht="3.9" customHeight="1" x14ac:dyDescent="0.25">
      <c r="A114" s="149">
        <f>1</f>
        <v>1</v>
      </c>
      <c r="B114" s="131"/>
      <c r="C114" s="2"/>
      <c r="D114" s="2"/>
      <c r="E114" s="118"/>
      <c r="F114" s="2"/>
      <c r="G114" s="118"/>
      <c r="H114" s="2"/>
      <c r="I114" s="28"/>
      <c r="J114" s="2"/>
      <c r="K114" s="28"/>
      <c r="L114" s="2"/>
      <c r="M114" s="139"/>
      <c r="N114" s="2"/>
      <c r="O114" s="2"/>
      <c r="P114" s="36"/>
      <c r="Q114" s="36"/>
      <c r="R114" s="36"/>
      <c r="S114" s="36"/>
      <c r="T114" s="36"/>
      <c r="U114" s="36"/>
      <c r="V114" s="36"/>
      <c r="W114" s="36"/>
      <c r="X114" s="36"/>
      <c r="Y114" s="36"/>
      <c r="Z114" s="36"/>
      <c r="AA114" s="36"/>
      <c r="AB114" s="2"/>
    </row>
    <row r="115" spans="1:28" ht="8.1" customHeight="1" x14ac:dyDescent="0.25">
      <c r="A115" s="149">
        <f>1</f>
        <v>1</v>
      </c>
      <c r="B115" s="131"/>
      <c r="C115" s="2"/>
      <c r="D115" s="2"/>
      <c r="E115" s="2"/>
      <c r="F115" s="2"/>
      <c r="G115" s="2"/>
      <c r="H115" s="2"/>
      <c r="I115" s="28"/>
      <c r="J115" s="2"/>
      <c r="K115" s="28"/>
      <c r="L115" s="2"/>
      <c r="M115" s="52"/>
      <c r="N115" s="2"/>
      <c r="O115" s="2"/>
      <c r="P115" s="36"/>
      <c r="Q115" s="36"/>
      <c r="R115" s="36"/>
      <c r="S115" s="36"/>
      <c r="T115" s="36"/>
      <c r="U115" s="36"/>
      <c r="V115" s="36"/>
      <c r="W115" s="36"/>
      <c r="X115" s="36"/>
      <c r="Y115" s="36"/>
      <c r="Z115" s="36"/>
      <c r="AA115" s="36"/>
      <c r="AB115" s="2"/>
    </row>
    <row r="116" spans="1:28" ht="3.9" customHeight="1" x14ac:dyDescent="0.25">
      <c r="A116" s="149">
        <f>1</f>
        <v>1</v>
      </c>
      <c r="B116" s="131"/>
      <c r="C116" s="2"/>
      <c r="D116" s="2"/>
      <c r="E116" s="2"/>
      <c r="F116" s="2"/>
      <c r="G116" s="2"/>
      <c r="H116" s="2"/>
      <c r="I116" s="28"/>
      <c r="J116" s="2"/>
      <c r="K116" s="28"/>
      <c r="L116" s="2"/>
      <c r="M116" s="52"/>
      <c r="N116" s="2"/>
      <c r="O116" s="2"/>
      <c r="P116" s="36"/>
      <c r="Q116" s="36"/>
      <c r="R116" s="36"/>
      <c r="S116" s="36"/>
      <c r="T116" s="36"/>
      <c r="U116" s="36"/>
      <c r="V116" s="36"/>
      <c r="W116" s="36"/>
      <c r="X116" s="36"/>
      <c r="Y116" s="36"/>
      <c r="Z116" s="36"/>
      <c r="AA116" s="36"/>
      <c r="AB116" s="2"/>
    </row>
    <row r="117" spans="1:28" s="5" customFormat="1" x14ac:dyDescent="0.25">
      <c r="A117" s="150">
        <f>1</f>
        <v>1</v>
      </c>
      <c r="B117" s="129" t="str">
        <f>структура!$J$12</f>
        <v>ОСНО</v>
      </c>
      <c r="C117" s="3"/>
      <c r="D117" s="3"/>
      <c r="E117" s="89" t="str">
        <f>KPI!$E$84</f>
        <v>амортизация кап/затрат</v>
      </c>
      <c r="F117" s="89"/>
      <c r="G117" s="89" t="str">
        <f>IF($E117="","",INDEX(KPI!$G:$G,SUMIFS(KPI!$B:$B,KPI!$E:$E,$E117)))</f>
        <v>тыс.руб.</v>
      </c>
      <c r="H117" s="89"/>
      <c r="I117" s="90"/>
      <c r="J117" s="89" t="str">
        <f>структура!$AL$21</f>
        <v>Без НДС</v>
      </c>
      <c r="K117" s="90"/>
      <c r="L117" s="89"/>
      <c r="M117" s="92">
        <f>SUM($O117:$AB117)</f>
        <v>858.33333333333417</v>
      </c>
      <c r="N117" s="3"/>
      <c r="O117" s="3"/>
      <c r="P117" s="93">
        <f>отчеты!P117-отч_беседки!P117-отч_вер_парк!P117</f>
        <v>125.34213178567455</v>
      </c>
      <c r="Q117" s="93">
        <f>отчеты!Q117-отч_беседки!Q117-отч_вер_парк!Q117</f>
        <v>125.34213178567455</v>
      </c>
      <c r="R117" s="93">
        <f>отчеты!R117-отч_беседки!R117-отч_вер_парк!R117</f>
        <v>125.34213178567455</v>
      </c>
      <c r="S117" s="93">
        <f>отчеты!S117-отч_беседки!S117-отч_вер_парк!S117</f>
        <v>125.34213178567455</v>
      </c>
      <c r="T117" s="93">
        <f>отчеты!T117-отч_беседки!T117-отч_вер_парк!T117</f>
        <v>125.34213178567455</v>
      </c>
      <c r="U117" s="93">
        <f>отчеты!U117-отч_беседки!U117-отч_вер_парк!U117</f>
        <v>115.81133720248067</v>
      </c>
      <c r="V117" s="93">
        <f>отчеты!V117-отч_беседки!V117-отч_вер_парк!V117</f>
        <v>115.81133720248067</v>
      </c>
      <c r="W117" s="93">
        <f>отчеты!W117-отч_беседки!W117-отч_вер_парк!W117</f>
        <v>0</v>
      </c>
      <c r="X117" s="93">
        <f>отчеты!X117-отч_беседки!X117-отч_вер_парк!X117</f>
        <v>0</v>
      </c>
      <c r="Y117" s="93">
        <f>отчеты!Y117-отч_беседки!Y117-отч_вер_парк!Y117</f>
        <v>0</v>
      </c>
      <c r="Z117" s="93">
        <f>отчеты!Z117-отч_беседки!Z117-отч_вер_парк!Z117</f>
        <v>0</v>
      </c>
      <c r="AA117" s="93">
        <f>отчеты!AA117-отч_беседки!AA117-отч_вер_парк!AA117</f>
        <v>0</v>
      </c>
      <c r="AB117" s="3"/>
    </row>
    <row r="118" spans="1:28" s="5" customFormat="1" ht="3.9" customHeight="1" x14ac:dyDescent="0.25">
      <c r="A118" s="150">
        <f>1</f>
        <v>1</v>
      </c>
      <c r="B118" s="128"/>
      <c r="C118" s="3"/>
      <c r="D118" s="3"/>
      <c r="E118" s="3"/>
      <c r="F118" s="3"/>
      <c r="G118" s="3"/>
      <c r="H118" s="3"/>
      <c r="I118" s="28"/>
      <c r="J118" s="3"/>
      <c r="K118" s="28"/>
      <c r="L118" s="3"/>
      <c r="M118" s="55"/>
      <c r="N118" s="3"/>
      <c r="O118" s="3"/>
      <c r="P118" s="46"/>
      <c r="Q118" s="46"/>
      <c r="R118" s="46"/>
      <c r="S118" s="46"/>
      <c r="T118" s="46"/>
      <c r="U118" s="46"/>
      <c r="V118" s="46"/>
      <c r="W118" s="46"/>
      <c r="X118" s="46"/>
      <c r="Y118" s="46"/>
      <c r="Z118" s="46"/>
      <c r="AA118" s="46"/>
      <c r="AB118" s="3"/>
    </row>
    <row r="119" spans="1:28" s="5" customFormat="1" x14ac:dyDescent="0.25">
      <c r="A119" s="150">
        <f>1</f>
        <v>1</v>
      </c>
      <c r="B119" s="129" t="str">
        <f>структура!$J$13</f>
        <v>УСН(6%)</v>
      </c>
      <c r="C119" s="3"/>
      <c r="D119" s="3"/>
      <c r="E119" s="89" t="str">
        <f>E117</f>
        <v>амортизация кап/затрат</v>
      </c>
      <c r="F119" s="89"/>
      <c r="G119" s="89" t="str">
        <f>IF($E119="","",INDEX(KPI!$G:$G,SUMIFS(KPI!$B:$B,KPI!$E:$E,$E119)))</f>
        <v>тыс.руб.</v>
      </c>
      <c r="H119" s="89"/>
      <c r="I119" s="90"/>
      <c r="J119" s="89"/>
      <c r="K119" s="90"/>
      <c r="L119" s="89"/>
      <c r="M119" s="92">
        <f>SUM($O119:$AB119)</f>
        <v>1030.0000000000016</v>
      </c>
      <c r="N119" s="3"/>
      <c r="O119" s="3"/>
      <c r="P119" s="93">
        <f>отчеты!P119-отч_беседки!P119-отч_вер_парк!P119</f>
        <v>150.41055814280958</v>
      </c>
      <c r="Q119" s="93">
        <f>отчеты!Q119-отч_беседки!Q119-отч_вер_парк!Q119</f>
        <v>150.41055814280958</v>
      </c>
      <c r="R119" s="93">
        <f>отчеты!R119-отч_беседки!R119-отч_вер_парк!R119</f>
        <v>150.41055814280958</v>
      </c>
      <c r="S119" s="93">
        <f>отчеты!S119-отч_беседки!S119-отч_вер_парк!S119</f>
        <v>150.41055814280958</v>
      </c>
      <c r="T119" s="93">
        <f>отчеты!T119-отч_беседки!T119-отч_вер_парк!T119</f>
        <v>150.41055814280958</v>
      </c>
      <c r="U119" s="93">
        <f>отчеты!U119-отч_беседки!U119-отч_вер_парк!U119</f>
        <v>138.97360464297685</v>
      </c>
      <c r="V119" s="93">
        <f>отчеты!V119-отч_беседки!V119-отч_вер_парк!V119</f>
        <v>138.97360464297685</v>
      </c>
      <c r="W119" s="93">
        <f>отчеты!W119-отч_беседки!W119-отч_вер_парк!W119</f>
        <v>0</v>
      </c>
      <c r="X119" s="93">
        <f>отчеты!X119-отч_беседки!X119-отч_вер_парк!X119</f>
        <v>0</v>
      </c>
      <c r="Y119" s="93">
        <f>отчеты!Y119-отч_беседки!Y119-отч_вер_парк!Y119</f>
        <v>0</v>
      </c>
      <c r="Z119" s="93">
        <f>отчеты!Z119-отч_беседки!Z119-отч_вер_парк!Z119</f>
        <v>0</v>
      </c>
      <c r="AA119" s="93">
        <f>отчеты!AA119-отч_беседки!AA119-отч_вер_парк!AA119</f>
        <v>0</v>
      </c>
      <c r="AB119" s="3"/>
    </row>
    <row r="120" spans="1:28" s="5" customFormat="1" ht="3.9" customHeight="1" x14ac:dyDescent="0.25">
      <c r="A120" s="150">
        <f>1</f>
        <v>1</v>
      </c>
      <c r="B120" s="128"/>
      <c r="C120" s="3"/>
      <c r="D120" s="3"/>
      <c r="E120" s="3"/>
      <c r="F120" s="3"/>
      <c r="G120" s="3"/>
      <c r="H120" s="3"/>
      <c r="I120" s="28"/>
      <c r="J120" s="3"/>
      <c r="K120" s="28"/>
      <c r="L120" s="3"/>
      <c r="M120" s="55"/>
      <c r="N120" s="3"/>
      <c r="O120" s="3"/>
      <c r="P120" s="46"/>
      <c r="Q120" s="46"/>
      <c r="R120" s="46"/>
      <c r="S120" s="46"/>
      <c r="T120" s="46"/>
      <c r="U120" s="46"/>
      <c r="V120" s="46"/>
      <c r="W120" s="46"/>
      <c r="X120" s="46"/>
      <c r="Y120" s="46"/>
      <c r="Z120" s="46"/>
      <c r="AA120" s="46"/>
      <c r="AB120" s="3"/>
    </row>
    <row r="121" spans="1:28" s="5" customFormat="1" x14ac:dyDescent="0.25">
      <c r="A121" s="150">
        <f>1</f>
        <v>1</v>
      </c>
      <c r="B121" s="129" t="str">
        <f>структура!$J$14</f>
        <v>УСН(15%)</v>
      </c>
      <c r="C121" s="3"/>
      <c r="D121" s="3"/>
      <c r="E121" s="89" t="str">
        <f>E117</f>
        <v>амортизация кап/затрат</v>
      </c>
      <c r="F121" s="89"/>
      <c r="G121" s="89" t="str">
        <f>IF($E121="","",INDEX(KPI!$G:$G,SUMIFS(KPI!$B:$B,KPI!$E:$E,$E121)))</f>
        <v>тыс.руб.</v>
      </c>
      <c r="H121" s="89"/>
      <c r="I121" s="90"/>
      <c r="J121" s="89"/>
      <c r="K121" s="90"/>
      <c r="L121" s="89"/>
      <c r="M121" s="92">
        <f>SUM($O121:$AB121)</f>
        <v>1030.0000000000016</v>
      </c>
      <c r="N121" s="3"/>
      <c r="O121" s="3"/>
      <c r="P121" s="93">
        <f>отчеты!P121-отч_беседки!P121-отч_вер_парк!P121</f>
        <v>150.41055814280958</v>
      </c>
      <c r="Q121" s="93">
        <f>отчеты!Q121-отч_беседки!Q121-отч_вер_парк!Q121</f>
        <v>150.41055814280958</v>
      </c>
      <c r="R121" s="93">
        <f>отчеты!R121-отч_беседки!R121-отч_вер_парк!R121</f>
        <v>150.41055814280958</v>
      </c>
      <c r="S121" s="93">
        <f>отчеты!S121-отч_беседки!S121-отч_вер_парк!S121</f>
        <v>150.41055814280958</v>
      </c>
      <c r="T121" s="93">
        <f>отчеты!T121-отч_беседки!T121-отч_вер_парк!T121</f>
        <v>150.41055814280958</v>
      </c>
      <c r="U121" s="93">
        <f>отчеты!U121-отч_беседки!U121-отч_вер_парк!U121</f>
        <v>138.97360464297685</v>
      </c>
      <c r="V121" s="93">
        <f>отчеты!V121-отч_беседки!V121-отч_вер_парк!V121</f>
        <v>138.97360464297685</v>
      </c>
      <c r="W121" s="93">
        <f>отчеты!W121-отч_беседки!W121-отч_вер_парк!W121</f>
        <v>0</v>
      </c>
      <c r="X121" s="93">
        <f>отчеты!X121-отч_беседки!X121-отч_вер_парк!X121</f>
        <v>0</v>
      </c>
      <c r="Y121" s="93">
        <f>отчеты!Y121-отч_беседки!Y121-отч_вер_парк!Y121</f>
        <v>0</v>
      </c>
      <c r="Z121" s="93">
        <f>отчеты!Z121-отч_беседки!Z121-отч_вер_парк!Z121</f>
        <v>0</v>
      </c>
      <c r="AA121" s="93">
        <f>отчеты!AA121-отч_беседки!AA121-отч_вер_парк!AA121</f>
        <v>0</v>
      </c>
      <c r="AB121" s="3"/>
    </row>
    <row r="122" spans="1:28" s="5" customFormat="1" ht="3.9" customHeight="1" x14ac:dyDescent="0.25">
      <c r="A122" s="150">
        <f>1</f>
        <v>1</v>
      </c>
      <c r="B122" s="128"/>
      <c r="C122" s="3"/>
      <c r="D122" s="3"/>
      <c r="E122" s="3"/>
      <c r="F122" s="3"/>
      <c r="G122" s="3"/>
      <c r="H122" s="3"/>
      <c r="I122" s="28"/>
      <c r="J122" s="3"/>
      <c r="K122" s="28"/>
      <c r="L122" s="3"/>
      <c r="M122" s="55"/>
      <c r="N122" s="3"/>
      <c r="O122" s="3"/>
      <c r="P122" s="46"/>
      <c r="Q122" s="46"/>
      <c r="R122" s="46"/>
      <c r="S122" s="46"/>
      <c r="T122" s="46"/>
      <c r="U122" s="46"/>
      <c r="V122" s="46"/>
      <c r="W122" s="46"/>
      <c r="X122" s="46"/>
      <c r="Y122" s="46"/>
      <c r="Z122" s="46"/>
      <c r="AA122" s="46"/>
      <c r="AB122" s="3"/>
    </row>
    <row r="123" spans="1:28" s="5" customFormat="1" x14ac:dyDescent="0.25">
      <c r="A123" s="150">
        <f>1</f>
        <v>1</v>
      </c>
      <c r="B123" s="129" t="str">
        <f>структура!$J$15</f>
        <v>УСН(6%)-ИП</v>
      </c>
      <c r="C123" s="3"/>
      <c r="D123" s="3"/>
      <c r="E123" s="89" t="str">
        <f>E117</f>
        <v>амортизация кап/затрат</v>
      </c>
      <c r="F123" s="89"/>
      <c r="G123" s="89" t="str">
        <f>IF($E123="","",INDEX(KPI!$G:$G,SUMIFS(KPI!$B:$B,KPI!$E:$E,$E123)))</f>
        <v>тыс.руб.</v>
      </c>
      <c r="H123" s="89"/>
      <c r="I123" s="90"/>
      <c r="J123" s="89"/>
      <c r="K123" s="90"/>
      <c r="L123" s="89"/>
      <c r="M123" s="92">
        <f>SUM($O123:$AB123)</f>
        <v>1030.0000000000016</v>
      </c>
      <c r="N123" s="3"/>
      <c r="O123" s="3"/>
      <c r="P123" s="93">
        <f>отчеты!P123-отч_беседки!P123-отч_вер_парк!P123</f>
        <v>150.41055814280958</v>
      </c>
      <c r="Q123" s="93">
        <f>отчеты!Q123-отч_беседки!Q123-отч_вер_парк!Q123</f>
        <v>150.41055814280958</v>
      </c>
      <c r="R123" s="93">
        <f>отчеты!R123-отч_беседки!R123-отч_вер_парк!R123</f>
        <v>150.41055814280958</v>
      </c>
      <c r="S123" s="93">
        <f>отчеты!S123-отч_беседки!S123-отч_вер_парк!S123</f>
        <v>150.41055814280958</v>
      </c>
      <c r="T123" s="93">
        <f>отчеты!T123-отч_беседки!T123-отч_вер_парк!T123</f>
        <v>150.41055814280958</v>
      </c>
      <c r="U123" s="93">
        <f>отчеты!U123-отч_беседки!U123-отч_вер_парк!U123</f>
        <v>138.97360464297685</v>
      </c>
      <c r="V123" s="93">
        <f>отчеты!V123-отч_беседки!V123-отч_вер_парк!V123</f>
        <v>138.97360464297685</v>
      </c>
      <c r="W123" s="93">
        <f>отчеты!W123-отч_беседки!W123-отч_вер_парк!W123</f>
        <v>0</v>
      </c>
      <c r="X123" s="93">
        <f>отчеты!X123-отч_беседки!X123-отч_вер_парк!X123</f>
        <v>0</v>
      </c>
      <c r="Y123" s="93">
        <f>отчеты!Y123-отч_беседки!Y123-отч_вер_парк!Y123</f>
        <v>0</v>
      </c>
      <c r="Z123" s="93">
        <f>отчеты!Z123-отч_беседки!Z123-отч_вер_парк!Z123</f>
        <v>0</v>
      </c>
      <c r="AA123" s="93">
        <f>отчеты!AA123-отч_беседки!AA123-отч_вер_парк!AA123</f>
        <v>0</v>
      </c>
      <c r="AB123" s="3"/>
    </row>
    <row r="124" spans="1:28" ht="3.9" customHeight="1" x14ac:dyDescent="0.25">
      <c r="A124" s="149">
        <f>1</f>
        <v>1</v>
      </c>
      <c r="B124" s="131"/>
      <c r="C124" s="2"/>
      <c r="D124" s="2"/>
      <c r="E124" s="143"/>
      <c r="F124" s="2"/>
      <c r="G124" s="143"/>
      <c r="H124" s="2"/>
      <c r="I124" s="28"/>
      <c r="J124" s="2"/>
      <c r="K124" s="28"/>
      <c r="L124" s="2"/>
      <c r="M124" s="144"/>
      <c r="N124" s="2"/>
      <c r="O124" s="2"/>
      <c r="P124" s="36"/>
      <c r="Q124" s="36"/>
      <c r="R124" s="36"/>
      <c r="S124" s="36"/>
      <c r="T124" s="36"/>
      <c r="U124" s="36"/>
      <c r="V124" s="36"/>
      <c r="W124" s="36"/>
      <c r="X124" s="36"/>
      <c r="Y124" s="36"/>
      <c r="Z124" s="36"/>
      <c r="AA124" s="36"/>
      <c r="AB124" s="2"/>
    </row>
    <row r="125" spans="1:28" ht="8.1" customHeight="1" x14ac:dyDescent="0.25">
      <c r="A125" s="149">
        <f>1</f>
        <v>1</v>
      </c>
      <c r="B125" s="131"/>
      <c r="C125" s="2"/>
      <c r="D125" s="2"/>
      <c r="E125" s="2"/>
      <c r="F125" s="2"/>
      <c r="G125" s="2"/>
      <c r="H125" s="2"/>
      <c r="I125" s="28"/>
      <c r="J125" s="2"/>
      <c r="K125" s="28"/>
      <c r="L125" s="2"/>
      <c r="M125" s="52"/>
      <c r="N125" s="2"/>
      <c r="O125" s="2"/>
      <c r="P125" s="36"/>
      <c r="Q125" s="36"/>
      <c r="R125" s="36"/>
      <c r="S125" s="36"/>
      <c r="T125" s="36"/>
      <c r="U125" s="36"/>
      <c r="V125" s="36"/>
      <c r="W125" s="36"/>
      <c r="X125" s="36"/>
      <c r="Y125" s="36"/>
      <c r="Z125" s="36"/>
      <c r="AA125" s="36"/>
      <c r="AB125" s="2"/>
    </row>
    <row r="126" spans="1:28" ht="3.9" customHeight="1" x14ac:dyDescent="0.25">
      <c r="A126" s="149">
        <f>1</f>
        <v>1</v>
      </c>
      <c r="B126" s="131"/>
      <c r="C126" s="2"/>
      <c r="D126" s="2"/>
      <c r="E126" s="2"/>
      <c r="F126" s="2"/>
      <c r="G126" s="2"/>
      <c r="H126" s="2"/>
      <c r="I126" s="28"/>
      <c r="J126" s="2"/>
      <c r="K126" s="28"/>
      <c r="L126" s="2"/>
      <c r="M126" s="52"/>
      <c r="N126" s="2"/>
      <c r="O126" s="2"/>
      <c r="P126" s="36"/>
      <c r="Q126" s="36"/>
      <c r="R126" s="36"/>
      <c r="S126" s="36"/>
      <c r="T126" s="36"/>
      <c r="U126" s="36"/>
      <c r="V126" s="36"/>
      <c r="W126" s="36"/>
      <c r="X126" s="36"/>
      <c r="Y126" s="36"/>
      <c r="Z126" s="36"/>
      <c r="AA126" s="36"/>
      <c r="AB126" s="2"/>
    </row>
    <row r="127" spans="1:28" s="5" customFormat="1" x14ac:dyDescent="0.25">
      <c r="A127" s="150">
        <f>1</f>
        <v>1</v>
      </c>
      <c r="B127" s="129" t="str">
        <f>структура!$J$12</f>
        <v>ОСНО</v>
      </c>
      <c r="C127" s="3"/>
      <c r="D127" s="3"/>
      <c r="E127" s="89" t="str">
        <f>KPI!$E$86</f>
        <v>налог на прибыль</v>
      </c>
      <c r="F127" s="89"/>
      <c r="G127" s="89" t="str">
        <f>IF($E127="","",INDEX(KPI!$G:$G,SUMIFS(KPI!$B:$B,KPI!$E:$E,$E127)))</f>
        <v>тыс.руб.</v>
      </c>
      <c r="H127" s="89"/>
      <c r="I127" s="90"/>
      <c r="J127" s="89"/>
      <c r="K127" s="90"/>
      <c r="L127" s="89"/>
      <c r="M127" s="92">
        <f>SUM($O127:$AB127)</f>
        <v>2291.622782411288</v>
      </c>
      <c r="N127" s="3"/>
      <c r="O127" s="3"/>
      <c r="P127" s="93">
        <f>IF(P$1="",0,(P$16-P$26-P$117)*операции!P$424)</f>
        <v>299.34557933959809</v>
      </c>
      <c r="Q127" s="93">
        <f>IF(Q$1="",0,(Q$16-Q$26-Q$117)*операции!Q$424)</f>
        <v>304.29844854381923</v>
      </c>
      <c r="R127" s="93">
        <f>IF(R$1="",0,(R$16-R$26-R$117)*операции!R$424)</f>
        <v>316.14085042594206</v>
      </c>
      <c r="S127" s="93">
        <f>IF(S$1="",0,(S$16-S$26-S$117)*операции!S$424)</f>
        <v>324.80418556644531</v>
      </c>
      <c r="T127" s="93">
        <f>IF(T$1="",0,(T$16-T$26-T$117)*операции!T$424)</f>
        <v>332.31657879986221</v>
      </c>
      <c r="U127" s="93">
        <f>IF(U$1="",0,(U$16-U$26-U$117)*операции!U$424)</f>
        <v>347.98673571224037</v>
      </c>
      <c r="V127" s="93">
        <f>IF(V$1="",0,(V$16-V$26-V$117)*операции!V$424)</f>
        <v>366.73040402338063</v>
      </c>
      <c r="W127" s="93">
        <f>IF(W$1="",0,(W$16-W$26-W$117)*операции!W$424)</f>
        <v>0</v>
      </c>
      <c r="X127" s="93">
        <f>IF(X$1="",0,(X$16-X$26-X$117)*операции!X$424)</f>
        <v>0</v>
      </c>
      <c r="Y127" s="93">
        <f>IF(Y$1="",0,(Y$16-Y$26-Y$117)*операции!Y$424)</f>
        <v>0</v>
      </c>
      <c r="Z127" s="93">
        <f>IF(Z$1="",0,(Z$16-Z$26-Z$117)*операции!Z$424)</f>
        <v>0</v>
      </c>
      <c r="AA127" s="93">
        <f>IF(AA$1="",0,(AA$16-AA$26-AA$117)*операции!AA$424)</f>
        <v>0</v>
      </c>
      <c r="AB127" s="3"/>
    </row>
    <row r="128" spans="1:28" s="5" customFormat="1" ht="3.9" customHeight="1" x14ac:dyDescent="0.25">
      <c r="A128" s="150">
        <f>1</f>
        <v>1</v>
      </c>
      <c r="B128" s="128"/>
      <c r="C128" s="3"/>
      <c r="D128" s="3"/>
      <c r="E128" s="3"/>
      <c r="F128" s="3"/>
      <c r="G128" s="3"/>
      <c r="H128" s="3"/>
      <c r="I128" s="28"/>
      <c r="J128" s="3"/>
      <c r="K128" s="28"/>
      <c r="L128" s="3"/>
      <c r="M128" s="55"/>
      <c r="N128" s="3"/>
      <c r="O128" s="3"/>
      <c r="P128" s="46"/>
      <c r="Q128" s="46"/>
      <c r="R128" s="46"/>
      <c r="S128" s="46"/>
      <c r="T128" s="46"/>
      <c r="U128" s="46"/>
      <c r="V128" s="46"/>
      <c r="W128" s="46"/>
      <c r="X128" s="46"/>
      <c r="Y128" s="46"/>
      <c r="Z128" s="46"/>
      <c r="AA128" s="46"/>
      <c r="AB128" s="3"/>
    </row>
    <row r="129" spans="1:28" s="5" customFormat="1" x14ac:dyDescent="0.25">
      <c r="A129" s="150">
        <f>1</f>
        <v>1</v>
      </c>
      <c r="B129" s="129" t="str">
        <f>структура!$J$13</f>
        <v>УСН(6%)</v>
      </c>
      <c r="C129" s="3"/>
      <c r="D129" s="3"/>
      <c r="E129" s="89" t="str">
        <f>KPI!$E$87</f>
        <v>налог УСН</v>
      </c>
      <c r="F129" s="89"/>
      <c r="G129" s="89" t="str">
        <f>IF($E129="","",INDEX(KPI!$G:$G,SUMIFS(KPI!$B:$B,KPI!$E:$E,$E129)))</f>
        <v>тыс.руб.</v>
      </c>
      <c r="H129" s="89"/>
      <c r="I129" s="90"/>
      <c r="J129" s="89"/>
      <c r="K129" s="90"/>
      <c r="L129" s="89"/>
      <c r="M129" s="92">
        <f>SUM($O129:$AB129)</f>
        <v>1045.1070000000007</v>
      </c>
      <c r="N129" s="3"/>
      <c r="O129" s="3"/>
      <c r="P129" s="93">
        <f>IF(P$1="",0,IF(P$78&gt;операции!P$436*операции!P$427*P$18,операции!P$436*операции!P$427*P$18,(P$18-P$78)*операции!P$427))</f>
        <v>140.50530000000001</v>
      </c>
      <c r="Q129" s="93">
        <f>IF(Q$1="",0,IF(Q$78&gt;операции!Q$436*операции!Q$427*Q$18,операции!Q$436*операции!Q$427*Q$18,(Q$18-Q$78)*операции!Q$427))</f>
        <v>142.51230000000004</v>
      </c>
      <c r="R129" s="93">
        <f>IF(R$1="",0,IF(R$78&gt;операции!R$436*операции!R$427*R$18,операции!R$436*операции!R$427*R$18,(R$18-R$78)*операции!R$427))</f>
        <v>145.70100000000008</v>
      </c>
      <c r="S129" s="93">
        <f>IF(S$1="",0,IF(S$78&gt;операции!S$436*операции!S$427*S$18,операции!S$436*операции!S$427*S$18,(S$18-S$78)*операции!S$427))</f>
        <v>147.52980000000005</v>
      </c>
      <c r="T129" s="93">
        <f>IF(T$1="",0,IF(T$78&gt;операции!T$436*операции!T$427*T$18,операции!T$436*операции!T$427*T$18,(T$18-T$78)*операции!T$427))</f>
        <v>150.54030000000029</v>
      </c>
      <c r="U129" s="93">
        <f>IF(U$1="",0,IF(U$78&gt;операции!U$436*операции!U$427*U$18,операции!U$436*операции!U$427*U$18,(U$18-U$78)*операции!U$427))</f>
        <v>155.55780000000027</v>
      </c>
      <c r="V129" s="93">
        <f>IF(V$1="",0,IF(V$78&gt;операции!V$436*операции!V$427*V$18,операции!V$436*операции!V$427*V$18,(V$18-V$78)*операции!V$427))</f>
        <v>162.76049999999995</v>
      </c>
      <c r="W129" s="93">
        <f>IF(W$1="",0,IF(W$78&gt;операции!W$436*операции!W$427*W$18,операции!W$436*операции!W$427*W$18,(W$18-W$78)*операции!W$427))</f>
        <v>0</v>
      </c>
      <c r="X129" s="93">
        <f>IF(X$1="",0,IF(X$78&gt;операции!X$436*операции!X$427*X$18,операции!X$436*операции!X$427*X$18,(X$18-X$78)*операции!X$427))</f>
        <v>0</v>
      </c>
      <c r="Y129" s="93">
        <f>IF(Y$1="",0,IF(Y$78&gt;операции!Y$436*операции!Y$427*Y$18,операции!Y$436*операции!Y$427*Y$18,(Y$18-Y$78)*операции!Y$427))</f>
        <v>0</v>
      </c>
      <c r="Z129" s="93">
        <f>IF(Z$1="",0,IF(Z$78&gt;операции!Z$436*операции!Z$427*Z$18,операции!Z$436*операции!Z$427*Z$18,(Z$18-Z$78)*операции!Z$427))</f>
        <v>0</v>
      </c>
      <c r="AA129" s="93">
        <f>IF(AA$1="",0,IF(AA$78&gt;операции!AA$436*операции!AA$427*AA$18,операции!AA$436*операции!AA$427*AA$18,(AA$18-AA$78)*операции!AA$427))</f>
        <v>0</v>
      </c>
      <c r="AB129" s="3"/>
    </row>
    <row r="130" spans="1:28" s="5" customFormat="1" ht="3.9" customHeight="1" x14ac:dyDescent="0.25">
      <c r="A130" s="150">
        <f>1</f>
        <v>1</v>
      </c>
      <c r="B130" s="128"/>
      <c r="C130" s="3"/>
      <c r="D130" s="3"/>
      <c r="E130" s="3"/>
      <c r="F130" s="3"/>
      <c r="G130" s="3"/>
      <c r="H130" s="3"/>
      <c r="I130" s="28"/>
      <c r="J130" s="3"/>
      <c r="K130" s="28"/>
      <c r="L130" s="3"/>
      <c r="M130" s="55"/>
      <c r="N130" s="3"/>
      <c r="O130" s="3"/>
      <c r="P130" s="46"/>
      <c r="Q130" s="46"/>
      <c r="R130" s="46"/>
      <c r="S130" s="46"/>
      <c r="T130" s="46"/>
      <c r="U130" s="46"/>
      <c r="V130" s="46"/>
      <c r="W130" s="46"/>
      <c r="X130" s="46"/>
      <c r="Y130" s="46"/>
      <c r="Z130" s="46"/>
      <c r="AA130" s="46"/>
      <c r="AB130" s="3"/>
    </row>
    <row r="131" spans="1:28" s="5" customFormat="1" x14ac:dyDescent="0.25">
      <c r="A131" s="150">
        <f>1</f>
        <v>1</v>
      </c>
      <c r="B131" s="129" t="str">
        <f>структура!$J$14</f>
        <v>УСН(15%)</v>
      </c>
      <c r="C131" s="3"/>
      <c r="D131" s="3"/>
      <c r="E131" s="89" t="str">
        <f>KPI!$E$87</f>
        <v>налог УСН</v>
      </c>
      <c r="F131" s="89"/>
      <c r="G131" s="89" t="str">
        <f>IF($E131="","",INDEX(KPI!$G:$G,SUMIFS(KPI!$B:$B,KPI!$E:$E,$E131)))</f>
        <v>тыс.руб.</v>
      </c>
      <c r="H131" s="89"/>
      <c r="I131" s="90"/>
      <c r="J131" s="89"/>
      <c r="K131" s="90"/>
      <c r="L131" s="89"/>
      <c r="M131" s="92">
        <f>SUM($O131:$AB131)</f>
        <v>2216.9605041701593</v>
      </c>
      <c r="N131" s="3"/>
      <c r="O131" s="3"/>
      <c r="P131" s="93">
        <f>IF(P$1="",0,IF((P$20-P$30)*операции!P$430&lt;операции!P$439*P$20,операции!P$439*P$20,(P$20-P$30)*операции!P$430))</f>
        <v>291.97260512705981</v>
      </c>
      <c r="Q131" s="93">
        <f>IF(Q$1="",0,IF((Q$20-Q$30)*операции!Q$430&lt;операции!Q$439*Q$20,операции!Q$439*Q$20,(Q$20-Q$30)*операции!Q$430))</f>
        <v>296.43018741085859</v>
      </c>
      <c r="R131" s="93">
        <f>IF(R$1="",0,IF((R$20-R$30)*операции!R$430&lt;операции!R$439*R$20,операции!R$439*R$20,(R$20-R$30)*операции!R$430))</f>
        <v>307.08834910476912</v>
      </c>
      <c r="S131" s="93">
        <f>IF(S$1="",0,IF((S$20-S$30)*операции!S$430&lt;операции!S$439*S$20,операции!S$439*S$20,(S$20-S$30)*операции!S$430))</f>
        <v>314.8853507312221</v>
      </c>
      <c r="T131" s="93">
        <f>IF(T$1="",0,IF((T$20-T$30)*операции!T$430&lt;операции!T$439*T$20,операции!T$439*T$20,(T$20-T$30)*операции!T$430))</f>
        <v>321.64650464129761</v>
      </c>
      <c r="U131" s="93">
        <f>IF(U$1="",0,IF((U$20-U$30)*операции!U$430&lt;операции!U$439*U$20,операции!U$439*U$20,(U$20-U$30)*операции!U$430))</f>
        <v>334.03410283746308</v>
      </c>
      <c r="V131" s="93">
        <f>IF(V$1="",0,IF((V$20-V$30)*операции!V$430&lt;операции!V$439*V$20,операции!V$439*V$20,(V$20-V$30)*операции!V$430))</f>
        <v>350.90340431748922</v>
      </c>
      <c r="W131" s="93">
        <f>IF(W$1="",0,IF((W$20-W$30)*операции!W$430&lt;операции!W$439*W$20,операции!W$439*W$20,(W$20-W$30)*операции!W$430))</f>
        <v>0</v>
      </c>
      <c r="X131" s="93">
        <f>IF(X$1="",0,IF((X$20-X$30)*операции!X$430&lt;операции!X$439*X$20,операции!X$439*X$20,(X$20-X$30)*операции!X$430))</f>
        <v>0</v>
      </c>
      <c r="Y131" s="93">
        <f>IF(Y$1="",0,IF((Y$20-Y$30)*операции!Y$430&lt;операции!Y$439*Y$20,операции!Y$439*Y$20,(Y$20-Y$30)*операции!Y$430))</f>
        <v>0</v>
      </c>
      <c r="Z131" s="93">
        <f>IF(Z$1="",0,IF((Z$20-Z$30)*операции!Z$430&lt;операции!Z$439*Z$20,операции!Z$439*Z$20,(Z$20-Z$30)*операции!Z$430))</f>
        <v>0</v>
      </c>
      <c r="AA131" s="93">
        <f>IF(AA$1="",0,IF((AA$20-AA$30)*операции!AA$430&lt;операции!AA$439*AA$20,операции!AA$439*AA$20,(AA$20-AA$30)*операции!AA$430))</f>
        <v>0</v>
      </c>
      <c r="AB131" s="3"/>
    </row>
    <row r="132" spans="1:28" s="5" customFormat="1" ht="3.9" customHeight="1" x14ac:dyDescent="0.25">
      <c r="A132" s="150">
        <f>1</f>
        <v>1</v>
      </c>
      <c r="B132" s="128"/>
      <c r="C132" s="3"/>
      <c r="D132" s="3"/>
      <c r="E132" s="3"/>
      <c r="F132" s="3"/>
      <c r="G132" s="3"/>
      <c r="H132" s="3"/>
      <c r="I132" s="28"/>
      <c r="J132" s="3"/>
      <c r="K132" s="28"/>
      <c r="L132" s="3"/>
      <c r="M132" s="55"/>
      <c r="N132" s="3"/>
      <c r="O132" s="3"/>
      <c r="P132" s="46"/>
      <c r="Q132" s="46"/>
      <c r="R132" s="46"/>
      <c r="S132" s="46"/>
      <c r="T132" s="46"/>
      <c r="U132" s="46"/>
      <c r="V132" s="46"/>
      <c r="W132" s="46"/>
      <c r="X132" s="46"/>
      <c r="Y132" s="46"/>
      <c r="Z132" s="46"/>
      <c r="AA132" s="46"/>
      <c r="AB132" s="3"/>
    </row>
    <row r="133" spans="1:28" s="5" customFormat="1" x14ac:dyDescent="0.25">
      <c r="A133" s="150">
        <f>1</f>
        <v>1</v>
      </c>
      <c r="B133" s="129" t="str">
        <f>структура!$J$15</f>
        <v>УСН(6%)-ИП</v>
      </c>
      <c r="C133" s="3"/>
      <c r="D133" s="3"/>
      <c r="E133" s="89" t="str">
        <f>KPI!$E$87</f>
        <v>налог УСН</v>
      </c>
      <c r="F133" s="89"/>
      <c r="G133" s="89" t="str">
        <f>IF($E133="","",INDEX(KPI!$G:$G,SUMIFS(KPI!$B:$B,KPI!$E:$E,$E133)))</f>
        <v>тыс.руб.</v>
      </c>
      <c r="H133" s="89"/>
      <c r="I133" s="90"/>
      <c r="J133" s="89"/>
      <c r="K133" s="90"/>
      <c r="L133" s="89"/>
      <c r="M133" s="92">
        <f>SUM($O133:$AB133)</f>
        <v>468.85860000000048</v>
      </c>
      <c r="N133" s="3"/>
      <c r="O133" s="3"/>
      <c r="P133" s="93">
        <f>IF(P$1="",0,IF(P$78&gt;операции!P$436*операции!P$433*P$18,операции!P$436*операции!P$433*P$18,(P$18-P$78)*операции!P$433))</f>
        <v>0</v>
      </c>
      <c r="Q133" s="93">
        <f>IF(Q$1="",0,IF(Q$78&gt;операции!Q$436*операции!Q$433*Q$18,операции!Q$436*операции!Q$433*Q$18,(Q$18-Q$78)*операции!Q$433))</f>
        <v>0</v>
      </c>
      <c r="R133" s="93">
        <f>IF(R$1="",0,IF(R$78&gt;операции!R$436*операции!R$433*R$18,операции!R$436*операции!R$433*R$18,(R$18-R$78)*операции!R$433))</f>
        <v>0</v>
      </c>
      <c r="S133" s="93">
        <f>IF(S$1="",0,IF(S$78&gt;операции!S$436*операции!S$433*S$18,операции!S$436*операции!S$433*S$18,(S$18-S$78)*операции!S$433))</f>
        <v>0</v>
      </c>
      <c r="T133" s="93">
        <f>IF(T$1="",0,IF(T$78&gt;операции!T$436*операции!T$433*T$18,операции!T$436*операции!T$433*T$18,(T$18-T$78)*операции!T$433))</f>
        <v>150.54030000000029</v>
      </c>
      <c r="U133" s="93">
        <f>IF(U$1="",0,IF(U$78&gt;операции!U$436*операции!U$433*U$18,операции!U$436*операции!U$433*U$18,(U$18-U$78)*операции!U$433))</f>
        <v>155.55780000000027</v>
      </c>
      <c r="V133" s="93">
        <f>IF(V$1="",0,IF(V$78&gt;операции!V$436*операции!V$433*V$18,операции!V$436*операции!V$433*V$18,(V$18-V$78)*операции!V$433))</f>
        <v>162.76049999999995</v>
      </c>
      <c r="W133" s="93">
        <f>IF(W$1="",0,IF(W$78&gt;операции!W$436*операции!W$433*W$18,операции!W$436*операции!W$433*W$18,(W$18-W$78)*операции!W$433))</f>
        <v>0</v>
      </c>
      <c r="X133" s="93">
        <f>IF(X$1="",0,IF(X$78&gt;операции!X$436*операции!X$433*X$18,операции!X$436*операции!X$433*X$18,(X$18-X$78)*операции!X$433))</f>
        <v>0</v>
      </c>
      <c r="Y133" s="93">
        <f>IF(Y$1="",0,IF(Y$78&gt;операции!Y$436*операции!Y$433*Y$18,операции!Y$436*операции!Y$433*Y$18,(Y$18-Y$78)*операции!Y$433))</f>
        <v>0</v>
      </c>
      <c r="Z133" s="93">
        <f>IF(Z$1="",0,IF(Z$78&gt;операции!Z$436*операции!Z$433*Z$18,операции!Z$436*операции!Z$433*Z$18,(Z$18-Z$78)*операции!Z$433))</f>
        <v>0</v>
      </c>
      <c r="AA133" s="93">
        <f>IF(AA$1="",0,IF(AA$78&gt;операции!AA$436*операции!AA$433*AA$18,операции!AA$436*операции!AA$433*AA$18,(AA$18-AA$78)*операции!AA$433))</f>
        <v>0</v>
      </c>
      <c r="AB133" s="3"/>
    </row>
    <row r="134" spans="1:28" ht="3.9" customHeight="1" x14ac:dyDescent="0.25">
      <c r="A134" s="149">
        <f>1</f>
        <v>1</v>
      </c>
      <c r="B134" s="131"/>
      <c r="C134" s="2"/>
      <c r="D134" s="2"/>
      <c r="E134" s="119"/>
      <c r="F134" s="2"/>
      <c r="G134" s="119"/>
      <c r="H134" s="2"/>
      <c r="I134" s="28"/>
      <c r="J134" s="2"/>
      <c r="K134" s="28"/>
      <c r="L134" s="2"/>
      <c r="M134" s="142"/>
      <c r="N134" s="2"/>
      <c r="O134" s="2"/>
      <c r="P134" s="36"/>
      <c r="Q134" s="36"/>
      <c r="R134" s="36"/>
      <c r="S134" s="36"/>
      <c r="T134" s="36"/>
      <c r="U134" s="36"/>
      <c r="V134" s="36"/>
      <c r="W134" s="36"/>
      <c r="X134" s="36"/>
      <c r="Y134" s="36"/>
      <c r="Z134" s="36"/>
      <c r="AA134" s="36"/>
      <c r="AB134" s="2"/>
    </row>
    <row r="135" spans="1:28" ht="8.1" customHeight="1" x14ac:dyDescent="0.25">
      <c r="A135" s="149">
        <f>1</f>
        <v>1</v>
      </c>
      <c r="B135" s="131"/>
      <c r="C135" s="2"/>
      <c r="D135" s="2"/>
      <c r="E135" s="2"/>
      <c r="F135" s="2"/>
      <c r="G135" s="2"/>
      <c r="H135" s="2"/>
      <c r="I135" s="28"/>
      <c r="J135" s="2"/>
      <c r="K135" s="28"/>
      <c r="L135" s="2"/>
      <c r="M135" s="52"/>
      <c r="N135" s="2"/>
      <c r="O135" s="2"/>
      <c r="P135" s="36"/>
      <c r="Q135" s="36"/>
      <c r="R135" s="36"/>
      <c r="S135" s="36"/>
      <c r="T135" s="36"/>
      <c r="U135" s="36"/>
      <c r="V135" s="36"/>
      <c r="W135" s="36"/>
      <c r="X135" s="36"/>
      <c r="Y135" s="36"/>
      <c r="Z135" s="36"/>
      <c r="AA135" s="36"/>
      <c r="AB135" s="2"/>
    </row>
    <row r="136" spans="1:28" ht="3.9" customHeight="1" x14ac:dyDescent="0.25">
      <c r="A136" s="149">
        <f>1</f>
        <v>1</v>
      </c>
      <c r="B136" s="131"/>
      <c r="C136" s="2"/>
      <c r="D136" s="2"/>
      <c r="E136" s="2"/>
      <c r="F136" s="2"/>
      <c r="G136" s="2"/>
      <c r="H136" s="2"/>
      <c r="I136" s="28"/>
      <c r="J136" s="2"/>
      <c r="K136" s="28"/>
      <c r="L136" s="2"/>
      <c r="M136" s="52"/>
      <c r="N136" s="2"/>
      <c r="O136" s="2"/>
      <c r="P136" s="36"/>
      <c r="Q136" s="36"/>
      <c r="R136" s="36"/>
      <c r="S136" s="36"/>
      <c r="T136" s="36"/>
      <c r="U136" s="36"/>
      <c r="V136" s="36"/>
      <c r="W136" s="36"/>
      <c r="X136" s="36"/>
      <c r="Y136" s="36"/>
      <c r="Z136" s="36"/>
      <c r="AA136" s="36"/>
      <c r="AB136" s="2"/>
    </row>
    <row r="137" spans="1:28" s="5" customFormat="1" x14ac:dyDescent="0.25">
      <c r="A137" s="150">
        <f>1</f>
        <v>1</v>
      </c>
      <c r="B137" s="129" t="str">
        <f>структура!$J$12</f>
        <v>ОСНО</v>
      </c>
      <c r="C137" s="3"/>
      <c r="D137" s="3"/>
      <c r="E137" s="89" t="str">
        <f>KPI!$E$88</f>
        <v>прибыль</v>
      </c>
      <c r="F137" s="89"/>
      <c r="G137" s="89" t="str">
        <f>IF($E137="","",INDEX(KPI!$G:$G,SUMIFS(KPI!$B:$B,KPI!$E:$E,$E137)))</f>
        <v>тыс.руб.</v>
      </c>
      <c r="H137" s="89"/>
      <c r="I137" s="90"/>
      <c r="J137" s="89"/>
      <c r="K137" s="90"/>
      <c r="L137" s="89"/>
      <c r="M137" s="92">
        <f>SUM($O137:$AB137)</f>
        <v>9166.4911296451519</v>
      </c>
      <c r="N137" s="3"/>
      <c r="O137" s="3"/>
      <c r="P137" s="93">
        <f>IF(P$1="",0,P16-P26-P117-P127)</f>
        <v>1197.3823173583924</v>
      </c>
      <c r="Q137" s="93">
        <f t="shared" ref="Q137:AA137" si="1">IF(Q$1="",0,Q16-Q26-Q117-Q127)</f>
        <v>1217.1937941752769</v>
      </c>
      <c r="R137" s="93">
        <f t="shared" si="1"/>
        <v>1264.563401703768</v>
      </c>
      <c r="S137" s="93">
        <f t="shared" si="1"/>
        <v>1299.216742265781</v>
      </c>
      <c r="T137" s="93">
        <f t="shared" si="1"/>
        <v>1329.2663151994489</v>
      </c>
      <c r="U137" s="93">
        <f t="shared" si="1"/>
        <v>1391.9469428489615</v>
      </c>
      <c r="V137" s="93">
        <f t="shared" si="1"/>
        <v>1466.9216160935225</v>
      </c>
      <c r="W137" s="93">
        <f t="shared" si="1"/>
        <v>0</v>
      </c>
      <c r="X137" s="93">
        <f t="shared" si="1"/>
        <v>0</v>
      </c>
      <c r="Y137" s="93">
        <f t="shared" si="1"/>
        <v>0</v>
      </c>
      <c r="Z137" s="93">
        <f t="shared" si="1"/>
        <v>0</v>
      </c>
      <c r="AA137" s="93">
        <f t="shared" si="1"/>
        <v>0</v>
      </c>
      <c r="AB137" s="3"/>
    </row>
    <row r="138" spans="1:28" s="5" customFormat="1" ht="3.9" customHeight="1" x14ac:dyDescent="0.25">
      <c r="A138" s="150">
        <f>1</f>
        <v>1</v>
      </c>
      <c r="B138" s="128"/>
      <c r="C138" s="3"/>
      <c r="D138" s="3"/>
      <c r="E138" s="3"/>
      <c r="F138" s="3"/>
      <c r="G138" s="3"/>
      <c r="H138" s="3"/>
      <c r="I138" s="28"/>
      <c r="J138" s="3"/>
      <c r="K138" s="28"/>
      <c r="L138" s="3"/>
      <c r="M138" s="55"/>
      <c r="N138" s="3"/>
      <c r="O138" s="3"/>
      <c r="P138" s="46"/>
      <c r="Q138" s="46"/>
      <c r="R138" s="46"/>
      <c r="S138" s="46"/>
      <c r="T138" s="46"/>
      <c r="U138" s="46"/>
      <c r="V138" s="46"/>
      <c r="W138" s="46"/>
      <c r="X138" s="46"/>
      <c r="Y138" s="46"/>
      <c r="Z138" s="46"/>
      <c r="AA138" s="46"/>
      <c r="AB138" s="3"/>
    </row>
    <row r="139" spans="1:28" s="5" customFormat="1" x14ac:dyDescent="0.25">
      <c r="A139" s="150">
        <f>1</f>
        <v>1</v>
      </c>
      <c r="B139" s="129" t="str">
        <f>структура!$J$13</f>
        <v>УСН(6%)</v>
      </c>
      <c r="C139" s="3"/>
      <c r="D139" s="3"/>
      <c r="E139" s="89" t="str">
        <f>E137</f>
        <v>прибыль</v>
      </c>
      <c r="F139" s="89"/>
      <c r="G139" s="89" t="str">
        <f>IF($E139="","",INDEX(KPI!$G:$G,SUMIFS(KPI!$B:$B,KPI!$E:$E,$E139)))</f>
        <v>тыс.руб.</v>
      </c>
      <c r="H139" s="89"/>
      <c r="I139" s="90"/>
      <c r="J139" s="89"/>
      <c r="K139" s="90"/>
      <c r="L139" s="89"/>
      <c r="M139" s="92">
        <f>SUM($O139:$AB139)</f>
        <v>12704.629694467729</v>
      </c>
      <c r="N139" s="3"/>
      <c r="O139" s="3"/>
      <c r="P139" s="93">
        <f>IF(P$1="",0,P18-P28-P119-P129)</f>
        <v>1655.5681760375892</v>
      </c>
      <c r="Q139" s="93">
        <f t="shared" ref="Q139:AA139" si="2">IF(Q$1="",0,Q18-Q28-Q119-Q129)</f>
        <v>1683.2783912629143</v>
      </c>
      <c r="R139" s="93">
        <f t="shared" si="2"/>
        <v>1751.1441025556512</v>
      </c>
      <c r="S139" s="93">
        <f t="shared" si="2"/>
        <v>1801.2953133986712</v>
      </c>
      <c r="T139" s="93">
        <f t="shared" si="2"/>
        <v>1843.3591727991743</v>
      </c>
      <c r="U139" s="93">
        <f t="shared" si="2"/>
        <v>1932.3626142734431</v>
      </c>
      <c r="V139" s="93">
        <f t="shared" si="2"/>
        <v>2037.6219241402846</v>
      </c>
      <c r="W139" s="93">
        <f t="shared" si="2"/>
        <v>0</v>
      </c>
      <c r="X139" s="93">
        <f t="shared" si="2"/>
        <v>0</v>
      </c>
      <c r="Y139" s="93">
        <f t="shared" si="2"/>
        <v>0</v>
      </c>
      <c r="Z139" s="93">
        <f t="shared" si="2"/>
        <v>0</v>
      </c>
      <c r="AA139" s="93">
        <f t="shared" si="2"/>
        <v>0</v>
      </c>
      <c r="AB139" s="3"/>
    </row>
    <row r="140" spans="1:28" s="5" customFormat="1" ht="3.9" customHeight="1" x14ac:dyDescent="0.25">
      <c r="A140" s="150">
        <f>1</f>
        <v>1</v>
      </c>
      <c r="B140" s="128"/>
      <c r="C140" s="3"/>
      <c r="D140" s="3"/>
      <c r="E140" s="3"/>
      <c r="F140" s="3"/>
      <c r="G140" s="3"/>
      <c r="H140" s="3"/>
      <c r="I140" s="28"/>
      <c r="J140" s="3"/>
      <c r="K140" s="28"/>
      <c r="L140" s="3"/>
      <c r="M140" s="55"/>
      <c r="N140" s="3"/>
      <c r="O140" s="3"/>
      <c r="P140" s="46"/>
      <c r="Q140" s="46"/>
      <c r="R140" s="46"/>
      <c r="S140" s="46"/>
      <c r="T140" s="46"/>
      <c r="U140" s="46"/>
      <c r="V140" s="46"/>
      <c r="W140" s="46"/>
      <c r="X140" s="46"/>
      <c r="Y140" s="46"/>
      <c r="Z140" s="46"/>
      <c r="AA140" s="46"/>
      <c r="AB140" s="3"/>
    </row>
    <row r="141" spans="1:28" s="5" customFormat="1" x14ac:dyDescent="0.25">
      <c r="A141" s="150">
        <f>1</f>
        <v>1</v>
      </c>
      <c r="B141" s="129" t="str">
        <f>структура!$J$14</f>
        <v>УСН(15%)</v>
      </c>
      <c r="C141" s="3"/>
      <c r="D141" s="3"/>
      <c r="E141" s="89" t="str">
        <f>E137</f>
        <v>прибыль</v>
      </c>
      <c r="F141" s="89"/>
      <c r="G141" s="89" t="str">
        <f>IF($E141="","",INDEX(KPI!$G:$G,SUMIFS(KPI!$B:$B,KPI!$E:$E,$E141)))</f>
        <v>тыс.руб.</v>
      </c>
      <c r="H141" s="89"/>
      <c r="I141" s="90"/>
      <c r="J141" s="89"/>
      <c r="K141" s="90"/>
      <c r="L141" s="89"/>
      <c r="M141" s="92">
        <f>SUM($O141:$AB141)</f>
        <v>11532.776190297569</v>
      </c>
      <c r="N141" s="3"/>
      <c r="O141" s="3"/>
      <c r="P141" s="93">
        <f>IF(P$1="",0,P20-P30-P121-P131)</f>
        <v>1504.1008709105295</v>
      </c>
      <c r="Q141" s="93">
        <f t="shared" ref="Q141:AA141" si="3">IF(Q$1="",0,Q20-Q30-Q121-Q131)</f>
        <v>1529.3605038520559</v>
      </c>
      <c r="R141" s="93">
        <f t="shared" si="3"/>
        <v>1589.7567534508821</v>
      </c>
      <c r="S141" s="93">
        <f t="shared" si="3"/>
        <v>1633.939762667449</v>
      </c>
      <c r="T141" s="93">
        <f t="shared" si="3"/>
        <v>1672.2529681578771</v>
      </c>
      <c r="U141" s="93">
        <f t="shared" si="3"/>
        <v>1753.8863114359804</v>
      </c>
      <c r="V141" s="93">
        <f t="shared" si="3"/>
        <v>1849.4790198227952</v>
      </c>
      <c r="W141" s="93">
        <f t="shared" si="3"/>
        <v>0</v>
      </c>
      <c r="X141" s="93">
        <f t="shared" si="3"/>
        <v>0</v>
      </c>
      <c r="Y141" s="93">
        <f t="shared" si="3"/>
        <v>0</v>
      </c>
      <c r="Z141" s="93">
        <f t="shared" si="3"/>
        <v>0</v>
      </c>
      <c r="AA141" s="93">
        <f t="shared" si="3"/>
        <v>0</v>
      </c>
      <c r="AB141" s="3"/>
    </row>
    <row r="142" spans="1:28" s="5" customFormat="1" ht="3.9" customHeight="1" x14ac:dyDescent="0.25">
      <c r="A142" s="150">
        <f>1</f>
        <v>1</v>
      </c>
      <c r="B142" s="128"/>
      <c r="C142" s="3"/>
      <c r="D142" s="3"/>
      <c r="E142" s="3"/>
      <c r="F142" s="3"/>
      <c r="G142" s="3"/>
      <c r="H142" s="3"/>
      <c r="I142" s="28"/>
      <c r="J142" s="3"/>
      <c r="K142" s="28"/>
      <c r="L142" s="3"/>
      <c r="M142" s="55"/>
      <c r="N142" s="3"/>
      <c r="O142" s="3"/>
      <c r="P142" s="46"/>
      <c r="Q142" s="46"/>
      <c r="R142" s="46"/>
      <c r="S142" s="46"/>
      <c r="T142" s="46"/>
      <c r="U142" s="46"/>
      <c r="V142" s="46"/>
      <c r="W142" s="46"/>
      <c r="X142" s="46"/>
      <c r="Y142" s="46"/>
      <c r="Z142" s="46"/>
      <c r="AA142" s="46"/>
      <c r="AB142" s="3"/>
    </row>
    <row r="143" spans="1:28" s="5" customFormat="1" x14ac:dyDescent="0.25">
      <c r="A143" s="150">
        <f>1</f>
        <v>1</v>
      </c>
      <c r="B143" s="129" t="str">
        <f>структура!$J$15</f>
        <v>УСН(6%)-ИП</v>
      </c>
      <c r="C143" s="3"/>
      <c r="D143" s="3"/>
      <c r="E143" s="89" t="str">
        <f>E137</f>
        <v>прибыль</v>
      </c>
      <c r="F143" s="89"/>
      <c r="G143" s="89" t="str">
        <f>IF($E143="","",INDEX(KPI!$G:$G,SUMIFS(KPI!$B:$B,KPI!$E:$E,$E143)))</f>
        <v>тыс.руб.</v>
      </c>
      <c r="H143" s="89"/>
      <c r="I143" s="90"/>
      <c r="J143" s="89"/>
      <c r="K143" s="90"/>
      <c r="L143" s="89"/>
      <c r="M143" s="92">
        <f>SUM($O143:$AB143)</f>
        <v>13280.878094467729</v>
      </c>
      <c r="N143" s="3"/>
      <c r="O143" s="3"/>
      <c r="P143" s="93">
        <f>IF(P$1="",0,P22-P32-P123-P133)</f>
        <v>1796.0734760375892</v>
      </c>
      <c r="Q143" s="93">
        <f t="shared" ref="Q143:AA143" si="4">IF(Q$1="",0,Q22-Q32-Q123-Q133)</f>
        <v>1825.7906912629144</v>
      </c>
      <c r="R143" s="93">
        <f t="shared" si="4"/>
        <v>1896.8451025556512</v>
      </c>
      <c r="S143" s="93">
        <f t="shared" si="4"/>
        <v>1948.8251133986712</v>
      </c>
      <c r="T143" s="93">
        <f t="shared" si="4"/>
        <v>1843.3591727991743</v>
      </c>
      <c r="U143" s="93">
        <f t="shared" si="4"/>
        <v>1932.3626142734431</v>
      </c>
      <c r="V143" s="93">
        <f t="shared" si="4"/>
        <v>2037.6219241402846</v>
      </c>
      <c r="W143" s="93">
        <f t="shared" si="4"/>
        <v>0</v>
      </c>
      <c r="X143" s="93">
        <f t="shared" si="4"/>
        <v>0</v>
      </c>
      <c r="Y143" s="93">
        <f t="shared" si="4"/>
        <v>0</v>
      </c>
      <c r="Z143" s="93">
        <f t="shared" si="4"/>
        <v>0</v>
      </c>
      <c r="AA143" s="93">
        <f t="shared" si="4"/>
        <v>0</v>
      </c>
      <c r="AB143" s="3"/>
    </row>
    <row r="144" spans="1:28" ht="3.9" customHeight="1" x14ac:dyDescent="0.25">
      <c r="A144" s="149">
        <f>1</f>
        <v>1</v>
      </c>
      <c r="B144" s="131"/>
      <c r="C144" s="2"/>
      <c r="D144" s="2"/>
      <c r="E144" s="117"/>
      <c r="F144" s="2"/>
      <c r="G144" s="117"/>
      <c r="H144" s="2"/>
      <c r="I144" s="28"/>
      <c r="J144" s="2"/>
      <c r="K144" s="28"/>
      <c r="L144" s="2"/>
      <c r="M144" s="138"/>
      <c r="N144" s="2"/>
      <c r="O144" s="2"/>
      <c r="P144" s="36"/>
      <c r="Q144" s="36"/>
      <c r="R144" s="36"/>
      <c r="S144" s="36"/>
      <c r="T144" s="36"/>
      <c r="U144" s="36"/>
      <c r="V144" s="36"/>
      <c r="W144" s="36"/>
      <c r="X144" s="36"/>
      <c r="Y144" s="36"/>
      <c r="Z144" s="36"/>
      <c r="AA144" s="36"/>
      <c r="AB144" s="2"/>
    </row>
    <row r="145" spans="1:28" ht="8.1" customHeight="1" x14ac:dyDescent="0.25">
      <c r="A145" s="149">
        <f>1</f>
        <v>1</v>
      </c>
      <c r="B145" s="131"/>
      <c r="C145" s="2"/>
      <c r="D145" s="2"/>
      <c r="E145" s="2"/>
      <c r="F145" s="2"/>
      <c r="G145" s="2"/>
      <c r="H145" s="2"/>
      <c r="I145" s="28"/>
      <c r="J145" s="2"/>
      <c r="K145" s="28"/>
      <c r="L145" s="2"/>
      <c r="M145" s="52"/>
      <c r="N145" s="2"/>
      <c r="O145" s="2"/>
      <c r="P145" s="36"/>
      <c r="Q145" s="36"/>
      <c r="R145" s="36"/>
      <c r="S145" s="36"/>
      <c r="T145" s="36"/>
      <c r="U145" s="36"/>
      <c r="V145" s="36"/>
      <c r="W145" s="36"/>
      <c r="X145" s="36"/>
      <c r="Y145" s="36"/>
      <c r="Z145" s="36"/>
      <c r="AA145" s="36"/>
      <c r="AB145" s="2"/>
    </row>
    <row r="146" spans="1:28" s="5" customFormat="1" x14ac:dyDescent="0.25">
      <c r="A146" s="150">
        <f>1</f>
        <v>1</v>
      </c>
      <c r="B146" s="131"/>
      <c r="C146" s="3"/>
      <c r="D146" s="3"/>
      <c r="E146" s="3"/>
      <c r="F146" s="3"/>
      <c r="G146" s="3"/>
      <c r="H146" s="3"/>
      <c r="I146" s="28"/>
      <c r="J146" s="3"/>
      <c r="K146" s="28"/>
      <c r="L146" s="3"/>
      <c r="M146" s="55"/>
      <c r="N146" s="3"/>
      <c r="O146" s="3"/>
      <c r="P146" s="46"/>
      <c r="Q146" s="46"/>
      <c r="R146" s="46"/>
      <c r="S146" s="46"/>
      <c r="T146" s="46"/>
      <c r="U146" s="46"/>
      <c r="V146" s="46"/>
      <c r="W146" s="46"/>
      <c r="X146" s="46"/>
      <c r="Y146" s="46"/>
      <c r="Z146" s="46"/>
      <c r="AA146" s="46"/>
      <c r="AB146" s="3"/>
    </row>
    <row r="147" spans="1:28" ht="3.9" customHeight="1" x14ac:dyDescent="0.25">
      <c r="A147" s="149">
        <f>1</f>
        <v>1</v>
      </c>
      <c r="B147" s="131"/>
      <c r="C147" s="2"/>
      <c r="D147" s="2"/>
      <c r="E147" s="2"/>
      <c r="F147" s="2"/>
      <c r="G147" s="2"/>
      <c r="H147" s="2"/>
      <c r="I147" s="28"/>
      <c r="J147" s="2"/>
      <c r="K147" s="28"/>
      <c r="L147" s="2"/>
      <c r="M147" s="52"/>
      <c r="N147" s="2"/>
      <c r="O147" s="2"/>
      <c r="P147" s="36"/>
      <c r="Q147" s="36"/>
      <c r="R147" s="36"/>
      <c r="S147" s="36"/>
      <c r="T147" s="36"/>
      <c r="U147" s="36"/>
      <c r="V147" s="36"/>
      <c r="W147" s="36"/>
      <c r="X147" s="36"/>
      <c r="Y147" s="36"/>
      <c r="Z147" s="36"/>
      <c r="AA147" s="36"/>
      <c r="AB147" s="2"/>
    </row>
    <row r="148" spans="1:28" s="5" customFormat="1" x14ac:dyDescent="0.25">
      <c r="A148" s="150">
        <f>1</f>
        <v>1</v>
      </c>
      <c r="B148" s="131"/>
      <c r="C148" s="3"/>
      <c r="D148" s="3"/>
      <c r="E148" s="181" t="s">
        <v>275</v>
      </c>
      <c r="F148" s="3"/>
      <c r="G148" s="3"/>
      <c r="H148" s="3"/>
      <c r="I148" s="28"/>
      <c r="J148" s="3"/>
      <c r="K148" s="28"/>
      <c r="L148" s="3"/>
      <c r="M148" s="55"/>
      <c r="N148" s="3"/>
      <c r="O148" s="3"/>
      <c r="P148" s="46"/>
      <c r="Q148" s="46"/>
      <c r="R148" s="46"/>
      <c r="S148" s="46"/>
      <c r="T148" s="46"/>
      <c r="U148" s="46"/>
      <c r="V148" s="46"/>
      <c r="W148" s="46"/>
      <c r="X148" s="46"/>
      <c r="Y148" s="46"/>
      <c r="Z148" s="46"/>
      <c r="AA148" s="46"/>
      <c r="AB148" s="3"/>
    </row>
    <row r="149" spans="1:28" ht="3.9" customHeight="1" x14ac:dyDescent="0.25">
      <c r="A149" s="149">
        <f>1</f>
        <v>1</v>
      </c>
      <c r="B149" s="131"/>
      <c r="C149" s="2"/>
      <c r="D149" s="2"/>
      <c r="E149" s="2"/>
      <c r="F149" s="2"/>
      <c r="G149" s="2"/>
      <c r="H149" s="2"/>
      <c r="I149" s="28"/>
      <c r="J149" s="2"/>
      <c r="K149" s="28"/>
      <c r="L149" s="2"/>
      <c r="M149" s="52"/>
      <c r="N149" s="2"/>
      <c r="O149" s="2"/>
      <c r="P149" s="36"/>
      <c r="Q149" s="36"/>
      <c r="R149" s="36"/>
      <c r="S149" s="36"/>
      <c r="T149" s="36"/>
      <c r="U149" s="36"/>
      <c r="V149" s="36"/>
      <c r="W149" s="36"/>
      <c r="X149" s="36"/>
      <c r="Y149" s="36"/>
      <c r="Z149" s="36"/>
      <c r="AA149" s="36"/>
      <c r="AB149" s="2"/>
    </row>
    <row r="150" spans="1:28" ht="8.1" customHeight="1" x14ac:dyDescent="0.25">
      <c r="A150" s="149">
        <f>1</f>
        <v>1</v>
      </c>
      <c r="B150" s="131"/>
      <c r="C150" s="2"/>
      <c r="D150" s="2"/>
      <c r="E150" s="2"/>
      <c r="F150" s="2"/>
      <c r="G150" s="2"/>
      <c r="H150" s="2"/>
      <c r="I150" s="28"/>
      <c r="J150" s="2"/>
      <c r="K150" s="28"/>
      <c r="L150" s="2"/>
      <c r="M150" s="52"/>
      <c r="N150" s="2"/>
      <c r="O150" s="2"/>
      <c r="P150" s="36"/>
      <c r="Q150" s="36"/>
      <c r="R150" s="36"/>
      <c r="S150" s="36"/>
      <c r="T150" s="36"/>
      <c r="U150" s="36"/>
      <c r="V150" s="36"/>
      <c r="W150" s="36"/>
      <c r="X150" s="36"/>
      <c r="Y150" s="36"/>
      <c r="Z150" s="36"/>
      <c r="AA150" s="36"/>
      <c r="AB150" s="2"/>
    </row>
    <row r="151" spans="1:28" ht="3.9" customHeight="1" x14ac:dyDescent="0.25">
      <c r="A151" s="149">
        <f>1</f>
        <v>1</v>
      </c>
      <c r="B151" s="131"/>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2"/>
    </row>
    <row r="152" spans="1:28" s="157" customFormat="1" x14ac:dyDescent="0.25">
      <c r="A152" s="150">
        <f>1</f>
        <v>1</v>
      </c>
      <c r="B152" s="156" t="str">
        <f>структура!$J$12</f>
        <v>ОСНО</v>
      </c>
      <c r="C152" s="155"/>
      <c r="D152" s="155"/>
      <c r="E152" s="220" t="str">
        <f>KPI!$E$97</f>
        <v>Возмещение НДС по кап/затратам</v>
      </c>
      <c r="F152" s="220"/>
      <c r="G152" s="220" t="str">
        <f>IF($E152="","",INDEX(KPI!$G:$G,SUMIFS(KPI!$B:$B,KPI!$E:$E,$E152)))</f>
        <v>тыс.руб.</v>
      </c>
      <c r="H152" s="220"/>
      <c r="I152" s="221"/>
      <c r="J152" s="220"/>
      <c r="K152" s="221"/>
      <c r="L152" s="220"/>
      <c r="M152" s="222">
        <f>SUM($O152:$AB152)</f>
        <v>171.66666666666697</v>
      </c>
      <c r="N152" s="155"/>
      <c r="O152" s="155"/>
      <c r="P152" s="223">
        <f>отчеты!P152-отч_беседки!P152-отч_вер_парк!P152</f>
        <v>171.66666666666697</v>
      </c>
      <c r="Q152" s="223"/>
      <c r="R152" s="223"/>
      <c r="S152" s="223"/>
      <c r="T152" s="223"/>
      <c r="U152" s="223"/>
      <c r="V152" s="223"/>
      <c r="W152" s="223"/>
      <c r="X152" s="223"/>
      <c r="Y152" s="223"/>
      <c r="Z152" s="223"/>
      <c r="AA152" s="223"/>
      <c r="AB152" s="155"/>
    </row>
    <row r="153" spans="1:28" ht="3.9" customHeight="1" x14ac:dyDescent="0.25">
      <c r="A153" s="149">
        <f>1</f>
        <v>1</v>
      </c>
      <c r="B153" s="131"/>
      <c r="C153" s="2"/>
      <c r="D153" s="2"/>
      <c r="E153" s="117"/>
      <c r="F153" s="2"/>
      <c r="G153" s="117"/>
      <c r="H153" s="2"/>
      <c r="I153" s="28"/>
      <c r="J153" s="2"/>
      <c r="K153" s="28"/>
      <c r="L153" s="2"/>
      <c r="M153" s="138"/>
      <c r="N153" s="2"/>
      <c r="O153" s="2"/>
      <c r="P153" s="36"/>
      <c r="Q153" s="36"/>
      <c r="R153" s="36"/>
      <c r="S153" s="36"/>
      <c r="T153" s="36"/>
      <c r="U153" s="36"/>
      <c r="V153" s="36"/>
      <c r="W153" s="36"/>
      <c r="X153" s="36"/>
      <c r="Y153" s="36"/>
      <c r="Z153" s="36"/>
      <c r="AA153" s="36"/>
      <c r="AB153" s="2"/>
    </row>
    <row r="154" spans="1:28" ht="3.9" customHeight="1" x14ac:dyDescent="0.25">
      <c r="A154" s="149">
        <f>1</f>
        <v>1</v>
      </c>
      <c r="B154" s="131"/>
      <c r="C154" s="2"/>
      <c r="D154" s="2"/>
      <c r="E154" s="2"/>
      <c r="F154" s="2"/>
      <c r="G154" s="2"/>
      <c r="H154" s="2"/>
      <c r="I154" s="28"/>
      <c r="J154" s="2"/>
      <c r="K154" s="28"/>
      <c r="L154" s="2"/>
      <c r="M154" s="52"/>
      <c r="N154" s="2"/>
      <c r="O154" s="2"/>
      <c r="P154" s="36"/>
      <c r="Q154" s="36"/>
      <c r="R154" s="36"/>
      <c r="S154" s="36"/>
      <c r="T154" s="36"/>
      <c r="U154" s="36"/>
      <c r="V154" s="36"/>
      <c r="W154" s="36"/>
      <c r="X154" s="36"/>
      <c r="Y154" s="36"/>
      <c r="Z154" s="36"/>
      <c r="AA154" s="36"/>
      <c r="AB154" s="2"/>
    </row>
    <row r="155" spans="1:28" s="5" customFormat="1" x14ac:dyDescent="0.25">
      <c r="A155" s="150">
        <f>1</f>
        <v>1</v>
      </c>
      <c r="B155" s="129" t="str">
        <f>структура!$J$12</f>
        <v>ОСНО</v>
      </c>
      <c r="C155" s="3"/>
      <c r="D155" s="3"/>
      <c r="E155" s="147" t="str">
        <f>KPI!$E$89</f>
        <v>приток денежных средств</v>
      </c>
      <c r="F155" s="147"/>
      <c r="G155" s="147" t="str">
        <f>IF($E155="","",INDEX(KPI!$G:$G,SUMIFS(KPI!$B:$B,KPI!$E:$E,$E155)))</f>
        <v>тыс.руб.</v>
      </c>
      <c r="H155" s="147"/>
      <c r="I155" s="170"/>
      <c r="J155" s="147"/>
      <c r="K155" s="170"/>
      <c r="L155" s="147"/>
      <c r="M155" s="171">
        <f>SUM($O155:$AB155)</f>
        <v>17590.116666666669</v>
      </c>
      <c r="N155" s="3"/>
      <c r="O155" s="3"/>
      <c r="P155" s="172">
        <f>отчеты!P155-отч_беседки!P155-отч_вер_парк!P155</f>
        <v>2513.4216666666653</v>
      </c>
      <c r="Q155" s="172">
        <f>отчеты!Q155-отч_беседки!Q155-отч_вер_парк!Q155</f>
        <v>2375.2049999999999</v>
      </c>
      <c r="R155" s="172">
        <f>отчеты!R155-отч_беседки!R155-отч_вер_парк!R155</f>
        <v>2428.3499999999995</v>
      </c>
      <c r="S155" s="172">
        <f>отчеты!S155-отч_беседки!S155-отч_вер_парк!S155</f>
        <v>2458.829999999999</v>
      </c>
      <c r="T155" s="172">
        <f>отчеты!T155-отч_беседки!T155-отч_вер_парк!T155</f>
        <v>2509.0050000000028</v>
      </c>
      <c r="U155" s="172">
        <f>отчеты!U155-отч_беседки!U155-отч_вер_парк!U155</f>
        <v>2592.6300000000028</v>
      </c>
      <c r="V155" s="172">
        <f>отчеты!V155-отч_беседки!V155-отч_вер_парк!V155</f>
        <v>2712.6749999999975</v>
      </c>
      <c r="W155" s="172">
        <f>отчеты!W155-отч_беседки!W155-отч_вер_парк!W155</f>
        <v>0</v>
      </c>
      <c r="X155" s="172">
        <f>отчеты!X155-отч_беседки!X155-отч_вер_парк!X155</f>
        <v>0</v>
      </c>
      <c r="Y155" s="172">
        <f>отчеты!Y155-отч_беседки!Y155-отч_вер_парк!Y155</f>
        <v>0</v>
      </c>
      <c r="Z155" s="172">
        <f>отчеты!Z155-отч_беседки!Z155-отч_вер_парк!Z155</f>
        <v>0</v>
      </c>
      <c r="AA155" s="172">
        <f>отчеты!AA155-отч_беседки!AA155-отч_вер_парк!AA155</f>
        <v>0</v>
      </c>
      <c r="AB155" s="3"/>
    </row>
    <row r="156" spans="1:28" s="5" customFormat="1" ht="3.9" customHeight="1" x14ac:dyDescent="0.25">
      <c r="A156" s="150">
        <f>1</f>
        <v>1</v>
      </c>
      <c r="B156" s="128"/>
      <c r="C156" s="3"/>
      <c r="D156" s="3"/>
      <c r="E156" s="3"/>
      <c r="F156" s="3"/>
      <c r="G156" s="3"/>
      <c r="H156" s="3"/>
      <c r="I156" s="28"/>
      <c r="J156" s="3"/>
      <c r="K156" s="28"/>
      <c r="L156" s="3"/>
      <c r="M156" s="55"/>
      <c r="N156" s="3"/>
      <c r="O156" s="3"/>
      <c r="P156" s="46"/>
      <c r="Q156" s="46"/>
      <c r="R156" s="46"/>
      <c r="S156" s="46"/>
      <c r="T156" s="46"/>
      <c r="U156" s="46"/>
      <c r="V156" s="46"/>
      <c r="W156" s="46"/>
      <c r="X156" s="46"/>
      <c r="Y156" s="46"/>
      <c r="Z156" s="46"/>
      <c r="AA156" s="46"/>
      <c r="AB156" s="3"/>
    </row>
    <row r="157" spans="1:28" s="5" customFormat="1" x14ac:dyDescent="0.25">
      <c r="A157" s="150">
        <f>1</f>
        <v>1</v>
      </c>
      <c r="B157" s="129" t="str">
        <f>структура!$J$13</f>
        <v>УСН(6%)</v>
      </c>
      <c r="C157" s="3"/>
      <c r="D157" s="3"/>
      <c r="E157" s="147" t="str">
        <f>E155</f>
        <v>приток денежных средств</v>
      </c>
      <c r="F157" s="147"/>
      <c r="G157" s="147" t="str">
        <f>IF($E157="","",INDEX(KPI!$G:$G,SUMIFS(KPI!$B:$B,KPI!$E:$E,$E157)))</f>
        <v>тыс.руб.</v>
      </c>
      <c r="H157" s="147"/>
      <c r="I157" s="170"/>
      <c r="J157" s="147"/>
      <c r="K157" s="170"/>
      <c r="L157" s="147"/>
      <c r="M157" s="171">
        <f>SUM($O157:$AB157)</f>
        <v>17418.450000000012</v>
      </c>
      <c r="N157" s="3"/>
      <c r="O157" s="3"/>
      <c r="P157" s="172">
        <f>отчеты!P157-отч_беседки!P157-отч_вер_парк!P157</f>
        <v>2341.7550000000001</v>
      </c>
      <c r="Q157" s="172">
        <f>отчеты!Q157-отч_беседки!Q157-отч_вер_парк!Q157</f>
        <v>2375.2050000000008</v>
      </c>
      <c r="R157" s="172">
        <f>отчеты!R157-отч_беседки!R157-отч_вер_парк!R157</f>
        <v>2428.3500000000013</v>
      </c>
      <c r="S157" s="172">
        <f>отчеты!S157-отч_беседки!S157-отч_вер_парк!S157</f>
        <v>2458.8300000000008</v>
      </c>
      <c r="T157" s="172">
        <f>отчеты!T157-отч_беседки!T157-отч_вер_парк!T157</f>
        <v>2509.0050000000047</v>
      </c>
      <c r="U157" s="172">
        <f>отчеты!U157-отч_беседки!U157-отч_вер_парк!U157</f>
        <v>2592.6300000000047</v>
      </c>
      <c r="V157" s="172">
        <f>отчеты!V157-отч_беседки!V157-отч_вер_парк!V157</f>
        <v>2712.6749999999993</v>
      </c>
      <c r="W157" s="172">
        <f>отчеты!W157-отч_беседки!W157-отч_вер_парк!W157</f>
        <v>0</v>
      </c>
      <c r="X157" s="172">
        <f>отчеты!X157-отч_беседки!X157-отч_вер_парк!X157</f>
        <v>0</v>
      </c>
      <c r="Y157" s="172">
        <f>отчеты!Y157-отч_беседки!Y157-отч_вер_парк!Y157</f>
        <v>0</v>
      </c>
      <c r="Z157" s="172">
        <f>отчеты!Z157-отч_беседки!Z157-отч_вер_парк!Z157</f>
        <v>0</v>
      </c>
      <c r="AA157" s="172">
        <f>отчеты!AA157-отч_беседки!AA157-отч_вер_парк!AA157</f>
        <v>0</v>
      </c>
      <c r="AB157" s="3"/>
    </row>
    <row r="158" spans="1:28" s="5" customFormat="1" ht="3.9" customHeight="1" x14ac:dyDescent="0.25">
      <c r="A158" s="150">
        <f>1</f>
        <v>1</v>
      </c>
      <c r="B158" s="128"/>
      <c r="C158" s="3"/>
      <c r="D158" s="3"/>
      <c r="E158" s="3"/>
      <c r="F158" s="3"/>
      <c r="G158" s="3"/>
      <c r="H158" s="3"/>
      <c r="I158" s="28"/>
      <c r="J158" s="3"/>
      <c r="K158" s="28"/>
      <c r="L158" s="3"/>
      <c r="M158" s="55"/>
      <c r="N158" s="3"/>
      <c r="O158" s="3"/>
      <c r="P158" s="46"/>
      <c r="Q158" s="46"/>
      <c r="R158" s="46"/>
      <c r="S158" s="46"/>
      <c r="T158" s="46"/>
      <c r="U158" s="46"/>
      <c r="V158" s="46"/>
      <c r="W158" s="46"/>
      <c r="X158" s="46"/>
      <c r="Y158" s="46"/>
      <c r="Z158" s="46"/>
      <c r="AA158" s="46"/>
      <c r="AB158" s="3"/>
    </row>
    <row r="159" spans="1:28" s="5" customFormat="1" x14ac:dyDescent="0.25">
      <c r="A159" s="150">
        <f>1</f>
        <v>1</v>
      </c>
      <c r="B159" s="129" t="str">
        <f>структура!$J$14</f>
        <v>УСН(15%)</v>
      </c>
      <c r="C159" s="3"/>
      <c r="D159" s="3"/>
      <c r="E159" s="147" t="str">
        <f>E155</f>
        <v>приток денежных средств</v>
      </c>
      <c r="F159" s="147"/>
      <c r="G159" s="147" t="str">
        <f>IF($E159="","",INDEX(KPI!$G:$G,SUMIFS(KPI!$B:$B,KPI!$E:$E,$E159)))</f>
        <v>тыс.руб.</v>
      </c>
      <c r="H159" s="147"/>
      <c r="I159" s="170"/>
      <c r="J159" s="147"/>
      <c r="K159" s="170"/>
      <c r="L159" s="147"/>
      <c r="M159" s="171">
        <f>SUM($O159:$AB159)</f>
        <v>17418.450000000012</v>
      </c>
      <c r="N159" s="3"/>
      <c r="O159" s="3"/>
      <c r="P159" s="172">
        <f>отчеты!P159-отч_беседки!P159-отч_вер_парк!P159</f>
        <v>2341.7550000000001</v>
      </c>
      <c r="Q159" s="172">
        <f>отчеты!Q159-отч_беседки!Q159-отч_вер_парк!Q159</f>
        <v>2375.2050000000008</v>
      </c>
      <c r="R159" s="172">
        <f>отчеты!R159-отч_беседки!R159-отч_вер_парк!R159</f>
        <v>2428.3500000000013</v>
      </c>
      <c r="S159" s="172">
        <f>отчеты!S159-отч_беседки!S159-отч_вер_парк!S159</f>
        <v>2458.8300000000008</v>
      </c>
      <c r="T159" s="172">
        <f>отчеты!T159-отч_беседки!T159-отч_вер_парк!T159</f>
        <v>2509.0050000000047</v>
      </c>
      <c r="U159" s="172">
        <f>отчеты!U159-отч_беседки!U159-отч_вер_парк!U159</f>
        <v>2592.6300000000047</v>
      </c>
      <c r="V159" s="172">
        <f>отчеты!V159-отч_беседки!V159-отч_вер_парк!V159</f>
        <v>2712.6749999999993</v>
      </c>
      <c r="W159" s="172">
        <f>отчеты!W159-отч_беседки!W159-отч_вер_парк!W159</f>
        <v>0</v>
      </c>
      <c r="X159" s="172">
        <f>отчеты!X159-отч_беседки!X159-отч_вер_парк!X159</f>
        <v>0</v>
      </c>
      <c r="Y159" s="172">
        <f>отчеты!Y159-отч_беседки!Y159-отч_вер_парк!Y159</f>
        <v>0</v>
      </c>
      <c r="Z159" s="172">
        <f>отчеты!Z159-отч_беседки!Z159-отч_вер_парк!Z159</f>
        <v>0</v>
      </c>
      <c r="AA159" s="172">
        <f>отчеты!AA159-отч_беседки!AA159-отч_вер_парк!AA159</f>
        <v>0</v>
      </c>
      <c r="AB159" s="3"/>
    </row>
    <row r="160" spans="1:28" s="5" customFormat="1" ht="3.9" customHeight="1" x14ac:dyDescent="0.25">
      <c r="A160" s="150">
        <f>1</f>
        <v>1</v>
      </c>
      <c r="B160" s="128"/>
      <c r="C160" s="3"/>
      <c r="D160" s="3"/>
      <c r="E160" s="3"/>
      <c r="F160" s="3"/>
      <c r="G160" s="3"/>
      <c r="H160" s="3"/>
      <c r="I160" s="28"/>
      <c r="J160" s="3"/>
      <c r="K160" s="28"/>
      <c r="L160" s="3"/>
      <c r="M160" s="55"/>
      <c r="N160" s="3"/>
      <c r="O160" s="3"/>
      <c r="P160" s="46"/>
      <c r="Q160" s="46"/>
      <c r="R160" s="46"/>
      <c r="S160" s="46"/>
      <c r="T160" s="46"/>
      <c r="U160" s="46"/>
      <c r="V160" s="46"/>
      <c r="W160" s="46"/>
      <c r="X160" s="46"/>
      <c r="Y160" s="46"/>
      <c r="Z160" s="46"/>
      <c r="AA160" s="46"/>
      <c r="AB160" s="3"/>
    </row>
    <row r="161" spans="1:28" s="5" customFormat="1" x14ac:dyDescent="0.25">
      <c r="A161" s="150">
        <f>1</f>
        <v>1</v>
      </c>
      <c r="B161" s="129" t="str">
        <f>структура!$J$15</f>
        <v>УСН(6%)-ИП</v>
      </c>
      <c r="C161" s="3"/>
      <c r="D161" s="3"/>
      <c r="E161" s="147" t="str">
        <f>E155</f>
        <v>приток денежных средств</v>
      </c>
      <c r="F161" s="147"/>
      <c r="G161" s="147" t="str">
        <f>IF($E161="","",INDEX(KPI!$G:$G,SUMIFS(KPI!$B:$B,KPI!$E:$E,$E161)))</f>
        <v>тыс.руб.</v>
      </c>
      <c r="H161" s="147"/>
      <c r="I161" s="170"/>
      <c r="J161" s="147"/>
      <c r="K161" s="170"/>
      <c r="L161" s="147"/>
      <c r="M161" s="171">
        <f>SUM($O161:$AB161)</f>
        <v>17418.450000000012</v>
      </c>
      <c r="N161" s="3"/>
      <c r="O161" s="3"/>
      <c r="P161" s="172">
        <f>отчеты!P161-отч_беседки!P161-отч_вер_парк!P161</f>
        <v>2341.7550000000001</v>
      </c>
      <c r="Q161" s="172">
        <f>отчеты!Q161-отч_беседки!Q161-отч_вер_парк!Q161</f>
        <v>2375.2050000000008</v>
      </c>
      <c r="R161" s="172">
        <f>отчеты!R161-отч_беседки!R161-отч_вер_парк!R161</f>
        <v>2428.3500000000013</v>
      </c>
      <c r="S161" s="172">
        <f>отчеты!S161-отч_беседки!S161-отч_вер_парк!S161</f>
        <v>2458.8300000000008</v>
      </c>
      <c r="T161" s="172">
        <f>отчеты!T161-отч_беседки!T161-отч_вер_парк!T161</f>
        <v>2509.0050000000047</v>
      </c>
      <c r="U161" s="172">
        <f>отчеты!U161-отч_беседки!U161-отч_вер_парк!U161</f>
        <v>2592.6300000000047</v>
      </c>
      <c r="V161" s="172">
        <f>отчеты!V161-отч_беседки!V161-отч_вер_парк!V161</f>
        <v>2712.6749999999993</v>
      </c>
      <c r="W161" s="172">
        <f>отчеты!W161-отч_беседки!W161-отч_вер_парк!W161</f>
        <v>0</v>
      </c>
      <c r="X161" s="172">
        <f>отчеты!X161-отч_беседки!X161-отч_вер_парк!X161</f>
        <v>0</v>
      </c>
      <c r="Y161" s="172">
        <f>отчеты!Y161-отч_беседки!Y161-отч_вер_парк!Y161</f>
        <v>0</v>
      </c>
      <c r="Z161" s="172">
        <f>отчеты!Z161-отч_беседки!Z161-отч_вер_парк!Z161</f>
        <v>0</v>
      </c>
      <c r="AA161" s="172">
        <f>отчеты!AA161-отч_беседки!AA161-отч_вер_парк!AA161</f>
        <v>0</v>
      </c>
      <c r="AB161" s="3"/>
    </row>
    <row r="162" spans="1:28" ht="3.9" customHeight="1" x14ac:dyDescent="0.25">
      <c r="A162" s="149">
        <f>1</f>
        <v>1</v>
      </c>
      <c r="B162" s="131"/>
      <c r="C162" s="2"/>
      <c r="D162" s="2"/>
      <c r="E162" s="117"/>
      <c r="F162" s="2"/>
      <c r="G162" s="117"/>
      <c r="H162" s="2"/>
      <c r="I162" s="28"/>
      <c r="J162" s="2"/>
      <c r="K162" s="28"/>
      <c r="L162" s="2"/>
      <c r="M162" s="138"/>
      <c r="N162" s="2"/>
      <c r="O162" s="2"/>
      <c r="P162" s="36"/>
      <c r="Q162" s="36"/>
      <c r="R162" s="36"/>
      <c r="S162" s="36"/>
      <c r="T162" s="36"/>
      <c r="U162" s="36"/>
      <c r="V162" s="36"/>
      <c r="W162" s="36"/>
      <c r="X162" s="36"/>
      <c r="Y162" s="36"/>
      <c r="Z162" s="36"/>
      <c r="AA162" s="36"/>
      <c r="AB162" s="2"/>
    </row>
    <row r="163" spans="1:28" ht="8.1" customHeight="1" x14ac:dyDescent="0.25">
      <c r="A163" s="149">
        <f>1</f>
        <v>1</v>
      </c>
      <c r="B163" s="131"/>
      <c r="C163" s="2"/>
      <c r="D163" s="2"/>
      <c r="E163" s="2"/>
      <c r="F163" s="2"/>
      <c r="G163" s="2"/>
      <c r="H163" s="2"/>
      <c r="I163" s="28"/>
      <c r="J163" s="2"/>
      <c r="K163" s="28"/>
      <c r="L163" s="2"/>
      <c r="M163" s="52"/>
      <c r="N163" s="2"/>
      <c r="O163" s="2"/>
      <c r="P163" s="36"/>
      <c r="Q163" s="36"/>
      <c r="R163" s="36"/>
      <c r="S163" s="36"/>
      <c r="T163" s="36"/>
      <c r="U163" s="36"/>
      <c r="V163" s="36"/>
      <c r="W163" s="36"/>
      <c r="X163" s="36"/>
      <c r="Y163" s="36"/>
      <c r="Z163" s="36"/>
      <c r="AA163" s="36"/>
      <c r="AB163" s="2"/>
    </row>
    <row r="164" spans="1:28" ht="3.9" customHeight="1" x14ac:dyDescent="0.25">
      <c r="A164" s="149">
        <f>1</f>
        <v>1</v>
      </c>
      <c r="B164" s="131"/>
      <c r="C164" s="2"/>
      <c r="D164" s="2"/>
      <c r="E164" s="2"/>
      <c r="F164" s="2"/>
      <c r="G164" s="2"/>
      <c r="H164" s="2"/>
      <c r="I164" s="28"/>
      <c r="J164" s="2"/>
      <c r="K164" s="28"/>
      <c r="L164" s="2"/>
      <c r="M164" s="52"/>
      <c r="N164" s="2"/>
      <c r="O164" s="2"/>
      <c r="P164" s="36"/>
      <c r="Q164" s="36"/>
      <c r="R164" s="36"/>
      <c r="S164" s="36"/>
      <c r="T164" s="36"/>
      <c r="U164" s="36"/>
      <c r="V164" s="36"/>
      <c r="W164" s="36"/>
      <c r="X164" s="36"/>
      <c r="Y164" s="36"/>
      <c r="Z164" s="36"/>
      <c r="AA164" s="36"/>
      <c r="AB164" s="2"/>
    </row>
    <row r="165" spans="1:28" s="5" customFormat="1" x14ac:dyDescent="0.25">
      <c r="A165" s="150">
        <f>1</f>
        <v>1</v>
      </c>
      <c r="B165" s="129" t="str">
        <f>структура!$J$12</f>
        <v>ОСНО</v>
      </c>
      <c r="C165" s="3"/>
      <c r="D165" s="3"/>
      <c r="E165" s="173" t="str">
        <f>KPI!$E$90</f>
        <v>отток денежных средств</v>
      </c>
      <c r="F165" s="173"/>
      <c r="G165" s="173" t="str">
        <f>IF($E165="","",INDEX(KPI!$G:$G,SUMIFS(KPI!$B:$B,KPI!$E:$E,$E165)))</f>
        <v>тыс.руб.</v>
      </c>
      <c r="H165" s="173"/>
      <c r="I165" s="174"/>
      <c r="J165" s="173"/>
      <c r="K165" s="174"/>
      <c r="L165" s="173"/>
      <c r="M165" s="175">
        <f>SUM($O165:$AB165)</f>
        <v>6632.54468380858</v>
      </c>
      <c r="N165" s="3"/>
      <c r="O165" s="3"/>
      <c r="P165" s="176">
        <f>отчеты!P165-отч_беседки!P165-отч_вер_парк!P165</f>
        <v>390.8131880939145</v>
      </c>
      <c r="Q165" s="176">
        <f>отчеты!Q165-отч_беседки!Q165-отч_вер_парк!Q165</f>
        <v>1022.7633356306069</v>
      </c>
      <c r="R165" s="176">
        <f>отчеты!R165-отч_беседки!R165-отч_вер_парк!R165</f>
        <v>1014.7596627463117</v>
      </c>
      <c r="S165" s="176">
        <f>отчеты!S165-отч_беседки!S165-отч_вер_парк!S165</f>
        <v>1016.9444556675408</v>
      </c>
      <c r="T165" s="176">
        <f>отчеты!T165-отч_беседки!T165-отч_вер_парк!T165</f>
        <v>1039.3717665480453</v>
      </c>
      <c r="U165" s="176">
        <f>отчеты!U165-отч_беседки!U165-отч_вер_парк!U165</f>
        <v>1055.4375650404436</v>
      </c>
      <c r="V165" s="176">
        <f>отчеты!V165-отч_беседки!V165-отч_вер_парк!V165</f>
        <v>1092.4547100817172</v>
      </c>
      <c r="W165" s="176">
        <f>отчеты!W165-отч_беседки!W165-отч_вер_парк!W165</f>
        <v>0</v>
      </c>
      <c r="X165" s="176">
        <f>отчеты!X165-отч_беседки!X165-отч_вер_парк!X165</f>
        <v>0</v>
      </c>
      <c r="Y165" s="176">
        <f>отчеты!Y165-отч_беседки!Y165-отч_вер_парк!Y165</f>
        <v>0</v>
      </c>
      <c r="Z165" s="176">
        <f>отчеты!Z165-отч_беседки!Z165-отч_вер_парк!Z165</f>
        <v>0</v>
      </c>
      <c r="AA165" s="176">
        <f>отчеты!AA165-отч_беседки!AA165-отч_вер_парк!AA165</f>
        <v>0</v>
      </c>
      <c r="AB165" s="3"/>
    </row>
    <row r="166" spans="1:28" s="5" customFormat="1" ht="3.9" customHeight="1" x14ac:dyDescent="0.25">
      <c r="A166" s="150">
        <f>1</f>
        <v>1</v>
      </c>
      <c r="B166" s="128"/>
      <c r="C166" s="3"/>
      <c r="D166" s="3"/>
      <c r="E166" s="3"/>
      <c r="F166" s="3"/>
      <c r="G166" s="3"/>
      <c r="H166" s="3"/>
      <c r="I166" s="28"/>
      <c r="J166" s="3"/>
      <c r="K166" s="28"/>
      <c r="L166" s="3"/>
      <c r="M166" s="55"/>
      <c r="N166" s="3"/>
      <c r="O166" s="3"/>
      <c r="P166" s="46"/>
      <c r="Q166" s="46"/>
      <c r="R166" s="46"/>
      <c r="S166" s="46"/>
      <c r="T166" s="46"/>
      <c r="U166" s="46"/>
      <c r="V166" s="46"/>
      <c r="W166" s="46"/>
      <c r="X166" s="46"/>
      <c r="Y166" s="46"/>
      <c r="Z166" s="46"/>
      <c r="AA166" s="46"/>
      <c r="AB166" s="3"/>
    </row>
    <row r="167" spans="1:28" s="5" customFormat="1" x14ac:dyDescent="0.25">
      <c r="A167" s="150">
        <f>1</f>
        <v>1</v>
      </c>
      <c r="B167" s="129" t="str">
        <f>структура!$J$13</f>
        <v>УСН(6%)</v>
      </c>
      <c r="C167" s="3"/>
      <c r="D167" s="3"/>
      <c r="E167" s="173" t="str">
        <f>E165</f>
        <v>отток денежных средств</v>
      </c>
      <c r="F167" s="173"/>
      <c r="G167" s="173" t="str">
        <f>IF($E167="","",INDEX(KPI!$G:$G,SUMIFS(KPI!$B:$B,KPI!$E:$E,$E167)))</f>
        <v>тыс.руб.</v>
      </c>
      <c r="H167" s="173"/>
      <c r="I167" s="174"/>
      <c r="J167" s="173"/>
      <c r="K167" s="174"/>
      <c r="L167" s="173"/>
      <c r="M167" s="175">
        <f>SUM($O167:$AB167)</f>
        <v>3075.4287778065909</v>
      </c>
      <c r="N167" s="3"/>
      <c r="O167" s="3"/>
      <c r="P167" s="176">
        <f>отчеты!P167-отч_беседки!P167-отч_вер_парк!P167</f>
        <v>390.81318809391541</v>
      </c>
      <c r="Q167" s="176">
        <f>отчеты!Q167-отч_беседки!Q167-отч_вер_парк!Q167</f>
        <v>469.25640059427587</v>
      </c>
      <c r="R167" s="176">
        <f>отчеты!R167-отч_беседки!R167-отч_вер_парк!R167</f>
        <v>452.3504893015388</v>
      </c>
      <c r="S167" s="176">
        <f>отчеты!S167-отч_беседки!S167-отч_вер_парк!S167</f>
        <v>432.44482845851962</v>
      </c>
      <c r="T167" s="176">
        <f>отчеты!T167-отч_беседки!T167-отч_вер_парк!T167</f>
        <v>438.45986905801965</v>
      </c>
      <c r="U167" s="176">
        <f>отчеты!U167-отч_беседки!U167-отч_вер_парк!U167</f>
        <v>441.00613108358357</v>
      </c>
      <c r="V167" s="176">
        <f>отчеты!V167-отч_беседки!V167-отч_вер_парк!V167</f>
        <v>451.09787121673799</v>
      </c>
      <c r="W167" s="176">
        <f>отчеты!W167-отч_беседки!W167-отч_вер_парк!W167</f>
        <v>0</v>
      </c>
      <c r="X167" s="176">
        <f>отчеты!X167-отч_беседки!X167-отч_вер_парк!X167</f>
        <v>0</v>
      </c>
      <c r="Y167" s="176">
        <f>отчеты!Y167-отч_беседки!Y167-отч_вер_парк!Y167</f>
        <v>0</v>
      </c>
      <c r="Z167" s="176">
        <f>отчеты!Z167-отч_беседки!Z167-отч_вер_парк!Z167</f>
        <v>0</v>
      </c>
      <c r="AA167" s="176">
        <f>отчеты!AA167-отч_беседки!AA167-отч_вер_парк!AA167</f>
        <v>0</v>
      </c>
      <c r="AB167" s="3"/>
    </row>
    <row r="168" spans="1:28" s="5" customFormat="1" ht="3.9" customHeight="1" x14ac:dyDescent="0.25">
      <c r="A168" s="150">
        <f>1</f>
        <v>1</v>
      </c>
      <c r="B168" s="128"/>
      <c r="C168" s="3"/>
      <c r="D168" s="3"/>
      <c r="E168" s="3"/>
      <c r="F168" s="3"/>
      <c r="G168" s="3"/>
      <c r="H168" s="3"/>
      <c r="I168" s="28"/>
      <c r="J168" s="3"/>
      <c r="K168" s="28"/>
      <c r="L168" s="3"/>
      <c r="M168" s="55"/>
      <c r="N168" s="3"/>
      <c r="O168" s="3"/>
      <c r="P168" s="46"/>
      <c r="Q168" s="46"/>
      <c r="R168" s="46"/>
      <c r="S168" s="46"/>
      <c r="T168" s="46"/>
      <c r="U168" s="46"/>
      <c r="V168" s="46"/>
      <c r="W168" s="46"/>
      <c r="X168" s="46"/>
      <c r="Y168" s="46"/>
      <c r="Z168" s="46"/>
      <c r="AA168" s="46"/>
      <c r="AB168" s="3"/>
    </row>
    <row r="169" spans="1:28" s="5" customFormat="1" x14ac:dyDescent="0.25">
      <c r="A169" s="150">
        <f>1</f>
        <v>1</v>
      </c>
      <c r="B169" s="129" t="str">
        <f>структура!$J$14</f>
        <v>УСН(15%)</v>
      </c>
      <c r="C169" s="3"/>
      <c r="D169" s="3"/>
      <c r="E169" s="173" t="str">
        <f>E165</f>
        <v>отток денежных средств</v>
      </c>
      <c r="F169" s="173"/>
      <c r="G169" s="173" t="str">
        <f>IF($E169="","",INDEX(KPI!$G:$G,SUMIFS(KPI!$B:$B,KPI!$E:$E,$E169)))</f>
        <v>тыс.руб.</v>
      </c>
      <c r="H169" s="173"/>
      <c r="I169" s="174"/>
      <c r="J169" s="173"/>
      <c r="K169" s="174"/>
      <c r="L169" s="173"/>
      <c r="M169" s="175">
        <f>SUM($O169:$AB169)</f>
        <v>4500.3126276592639</v>
      </c>
      <c r="N169" s="3"/>
      <c r="O169" s="3"/>
      <c r="P169" s="176">
        <f>отчеты!P169-отч_беседки!P169-отч_вер_парк!P169</f>
        <v>390.81318809391541</v>
      </c>
      <c r="Q169" s="176">
        <f>отчеты!Q169-отч_беседки!Q169-отч_вер_парк!Q169</f>
        <v>690.9763557213364</v>
      </c>
      <c r="R169" s="176">
        <f>отчеты!R169-отч_беседки!R169-отч_вер_парк!R169</f>
        <v>677.52452671239826</v>
      </c>
      <c r="S169" s="176">
        <f>отчеты!S169-отч_беседки!S169-отч_вер_парк!S169</f>
        <v>666.68267756328896</v>
      </c>
      <c r="T169" s="176">
        <f>отчеты!T169-отч_беседки!T169-отч_вер_парк!T169</f>
        <v>679.580319789241</v>
      </c>
      <c r="U169" s="176">
        <f>отчеты!U169-отч_беседки!U169-отч_вер_парк!U169</f>
        <v>687.38248572488283</v>
      </c>
      <c r="V169" s="176">
        <f>отчеты!V169-отч_беседки!V169-отч_вер_парк!V169</f>
        <v>707.35307405420099</v>
      </c>
      <c r="W169" s="176">
        <f>отчеты!W169-отч_беседки!W169-отч_вер_парк!W169</f>
        <v>0</v>
      </c>
      <c r="X169" s="176">
        <f>отчеты!X169-отч_беседки!X169-отч_вер_парк!X169</f>
        <v>0</v>
      </c>
      <c r="Y169" s="176">
        <f>отчеты!Y169-отч_беседки!Y169-отч_вер_парк!Y169</f>
        <v>0</v>
      </c>
      <c r="Z169" s="176">
        <f>отчеты!Z169-отч_беседки!Z169-отч_вер_парк!Z169</f>
        <v>0</v>
      </c>
      <c r="AA169" s="176">
        <f>отчеты!AA169-отч_беседки!AA169-отч_вер_парк!AA169</f>
        <v>0</v>
      </c>
      <c r="AB169" s="3"/>
    </row>
    <row r="170" spans="1:28" s="5" customFormat="1" ht="3.9" customHeight="1" x14ac:dyDescent="0.25">
      <c r="A170" s="150">
        <f>1</f>
        <v>1</v>
      </c>
      <c r="B170" s="128"/>
      <c r="C170" s="3"/>
      <c r="D170" s="3"/>
      <c r="E170" s="3"/>
      <c r="F170" s="3"/>
      <c r="G170" s="3"/>
      <c r="H170" s="3"/>
      <c r="I170" s="28"/>
      <c r="J170" s="3"/>
      <c r="K170" s="28"/>
      <c r="L170" s="3"/>
      <c r="M170" s="55"/>
      <c r="N170" s="3"/>
      <c r="O170" s="3"/>
      <c r="P170" s="46"/>
      <c r="Q170" s="46"/>
      <c r="R170" s="46"/>
      <c r="S170" s="46"/>
      <c r="T170" s="46"/>
      <c r="U170" s="46"/>
      <c r="V170" s="46"/>
      <c r="W170" s="46"/>
      <c r="X170" s="46"/>
      <c r="Y170" s="46"/>
      <c r="Z170" s="46"/>
      <c r="AA170" s="46"/>
      <c r="AB170" s="3"/>
    </row>
    <row r="171" spans="1:28" s="5" customFormat="1" x14ac:dyDescent="0.25">
      <c r="A171" s="150">
        <f>1</f>
        <v>1</v>
      </c>
      <c r="B171" s="129" t="str">
        <f>структура!$J$15</f>
        <v>УСН(6%)-ИП</v>
      </c>
      <c r="C171" s="3"/>
      <c r="D171" s="3"/>
      <c r="E171" s="173" t="str">
        <f>E165</f>
        <v>отток денежных средств</v>
      </c>
      <c r="F171" s="173"/>
      <c r="G171" s="173" t="str">
        <f>IF($E171="","",INDEX(KPI!$G:$G,SUMIFS(KPI!$B:$B,KPI!$E:$E,$E171)))</f>
        <v>тыс.руб.</v>
      </c>
      <c r="H171" s="173"/>
      <c r="I171" s="174"/>
      <c r="J171" s="173"/>
      <c r="K171" s="174"/>
      <c r="L171" s="173"/>
      <c r="M171" s="175">
        <f>SUM($O171:$AB171)</f>
        <v>2787.3045778065925</v>
      </c>
      <c r="N171" s="3"/>
      <c r="O171" s="3"/>
      <c r="P171" s="176">
        <f>отчеты!P171-отч_беседки!P171-отч_вер_парк!P171</f>
        <v>390.81318809391541</v>
      </c>
      <c r="Q171" s="176">
        <f>отчеты!Q171-отч_беседки!Q171-отч_вер_парк!Q171</f>
        <v>399.00375059427643</v>
      </c>
      <c r="R171" s="176">
        <f>отчеты!R171-отч_беседки!R171-отч_вер_парк!R171</f>
        <v>381.09433930153955</v>
      </c>
      <c r="S171" s="176">
        <f>отчеты!S171-отч_беседки!S171-отч_вер_парк!S171</f>
        <v>359.59432845852007</v>
      </c>
      <c r="T171" s="176">
        <f>отчеты!T171-отч_беседки!T171-отч_вер_парк!T171</f>
        <v>364.69496905801952</v>
      </c>
      <c r="U171" s="176">
        <f>отчеты!U171-отч_беседки!U171-отч_вер_парк!U171</f>
        <v>441.00613108358357</v>
      </c>
      <c r="V171" s="176">
        <f>отчеты!V171-отч_беседки!V171-отч_вер_парк!V171</f>
        <v>451.09787121673799</v>
      </c>
      <c r="W171" s="176">
        <f>отчеты!W171-отч_беседки!W171-отч_вер_парк!W171</f>
        <v>0</v>
      </c>
      <c r="X171" s="176">
        <f>отчеты!X171-отч_беседки!X171-отч_вер_парк!X171</f>
        <v>0</v>
      </c>
      <c r="Y171" s="176">
        <f>отчеты!Y171-отч_беседки!Y171-отч_вер_парк!Y171</f>
        <v>0</v>
      </c>
      <c r="Z171" s="176">
        <f>отчеты!Z171-отч_беседки!Z171-отч_вер_парк!Z171</f>
        <v>0</v>
      </c>
      <c r="AA171" s="176">
        <f>отчеты!AA171-отч_беседки!AA171-отч_вер_парк!AA171</f>
        <v>0</v>
      </c>
      <c r="AB171" s="3"/>
    </row>
    <row r="172" spans="1:28" ht="3.9" customHeight="1" x14ac:dyDescent="0.25">
      <c r="A172" s="149">
        <f>1</f>
        <v>1</v>
      </c>
      <c r="B172" s="131"/>
      <c r="C172" s="2"/>
      <c r="D172" s="2"/>
      <c r="E172" s="118"/>
      <c r="F172" s="2"/>
      <c r="G172" s="118"/>
      <c r="H172" s="2"/>
      <c r="I172" s="28"/>
      <c r="J172" s="2"/>
      <c r="K172" s="28"/>
      <c r="L172" s="2"/>
      <c r="M172" s="139"/>
      <c r="N172" s="2"/>
      <c r="O172" s="2"/>
      <c r="P172" s="36"/>
      <c r="Q172" s="36"/>
      <c r="R172" s="36"/>
      <c r="S172" s="36"/>
      <c r="T172" s="36"/>
      <c r="U172" s="36"/>
      <c r="V172" s="36"/>
      <c r="W172" s="36"/>
      <c r="X172" s="36"/>
      <c r="Y172" s="36"/>
      <c r="Z172" s="36"/>
      <c r="AA172" s="36"/>
      <c r="AB172" s="2"/>
    </row>
    <row r="173" spans="1:28" ht="8.1" customHeight="1" x14ac:dyDescent="0.25">
      <c r="A173" s="149">
        <f>1</f>
        <v>1</v>
      </c>
      <c r="B173" s="131"/>
      <c r="C173" s="2"/>
      <c r="D173" s="2"/>
      <c r="E173" s="2"/>
      <c r="F173" s="2"/>
      <c r="G173" s="2"/>
      <c r="H173" s="2"/>
      <c r="I173" s="28"/>
      <c r="J173" s="2"/>
      <c r="K173" s="28"/>
      <c r="L173" s="2"/>
      <c r="M173" s="52"/>
      <c r="N173" s="2"/>
      <c r="O173" s="2"/>
      <c r="P173" s="36"/>
      <c r="Q173" s="36"/>
      <c r="R173" s="36"/>
      <c r="S173" s="36"/>
      <c r="T173" s="36"/>
      <c r="U173" s="36"/>
      <c r="V173" s="36"/>
      <c r="W173" s="36"/>
      <c r="X173" s="36"/>
      <c r="Y173" s="36"/>
      <c r="Z173" s="36"/>
      <c r="AA173" s="36"/>
      <c r="AB173" s="2"/>
    </row>
    <row r="174" spans="1:28" ht="3.9" customHeight="1" x14ac:dyDescent="0.25">
      <c r="A174" s="149">
        <f>1</f>
        <v>1</v>
      </c>
      <c r="B174" s="131"/>
      <c r="C174" s="2"/>
      <c r="D174" s="2"/>
      <c r="E174" s="2"/>
      <c r="F174" s="2"/>
      <c r="G174" s="2"/>
      <c r="H174" s="2"/>
      <c r="I174" s="28"/>
      <c r="J174" s="2"/>
      <c r="K174" s="28"/>
      <c r="L174" s="2"/>
      <c r="M174" s="52"/>
      <c r="N174" s="2"/>
      <c r="O174" s="2"/>
      <c r="P174" s="36"/>
      <c r="Q174" s="36"/>
      <c r="R174" s="36"/>
      <c r="S174" s="36"/>
      <c r="T174" s="36"/>
      <c r="U174" s="36"/>
      <c r="V174" s="36"/>
      <c r="W174" s="36"/>
      <c r="X174" s="36"/>
      <c r="Y174" s="36"/>
      <c r="Z174" s="36"/>
      <c r="AA174" s="36"/>
      <c r="AB174" s="2"/>
    </row>
    <row r="175" spans="1:28" s="5" customFormat="1" x14ac:dyDescent="0.25">
      <c r="A175" s="150">
        <f>1</f>
        <v>1</v>
      </c>
      <c r="B175" s="129" t="str">
        <f>структура!$J$12</f>
        <v>ОСНО</v>
      </c>
      <c r="C175" s="3"/>
      <c r="D175" s="3"/>
      <c r="E175" s="146" t="str">
        <f>KPI!$E$91</f>
        <v>финансовый поток (CF)</v>
      </c>
      <c r="F175" s="146"/>
      <c r="G175" s="146" t="str">
        <f>IF($E175="","",INDEX(KPI!$G:$G,SUMIFS(KPI!$B:$B,KPI!$E:$E,$E175)))</f>
        <v>тыс.руб.</v>
      </c>
      <c r="H175" s="146"/>
      <c r="I175" s="177"/>
      <c r="J175" s="146"/>
      <c r="K175" s="177"/>
      <c r="L175" s="146"/>
      <c r="M175" s="178">
        <f>SUM($O175:$AB175)</f>
        <v>10957.571982858088</v>
      </c>
      <c r="N175" s="3"/>
      <c r="O175" s="3"/>
      <c r="P175" s="179">
        <f>IF(P$1="",0,P155-P165)</f>
        <v>2122.6084785727508</v>
      </c>
      <c r="Q175" s="179">
        <f>IF(Q$1="",0,Q155-Q165)</f>
        <v>1352.441664369393</v>
      </c>
      <c r="R175" s="179">
        <f t="shared" ref="R175:AA175" si="5">IF(R$1="",0,R155-R165)</f>
        <v>1413.5903372536877</v>
      </c>
      <c r="S175" s="179">
        <f t="shared" si="5"/>
        <v>1441.8855443324583</v>
      </c>
      <c r="T175" s="179">
        <f t="shared" si="5"/>
        <v>1469.6332334519575</v>
      </c>
      <c r="U175" s="179">
        <f t="shared" si="5"/>
        <v>1537.1924349595593</v>
      </c>
      <c r="V175" s="179">
        <f t="shared" si="5"/>
        <v>1620.2202899182803</v>
      </c>
      <c r="W175" s="179">
        <f t="shared" si="5"/>
        <v>0</v>
      </c>
      <c r="X175" s="179">
        <f t="shared" si="5"/>
        <v>0</v>
      </c>
      <c r="Y175" s="179">
        <f t="shared" si="5"/>
        <v>0</v>
      </c>
      <c r="Z175" s="179">
        <f t="shared" si="5"/>
        <v>0</v>
      </c>
      <c r="AA175" s="179">
        <f t="shared" si="5"/>
        <v>0</v>
      </c>
      <c r="AB175" s="3"/>
    </row>
    <row r="176" spans="1:28" s="5" customFormat="1" ht="3.9" customHeight="1" x14ac:dyDescent="0.25">
      <c r="A176" s="150">
        <f>1</f>
        <v>1</v>
      </c>
      <c r="B176" s="128"/>
      <c r="C176" s="3"/>
      <c r="D176" s="3"/>
      <c r="E176" s="3"/>
      <c r="F176" s="3"/>
      <c r="G176" s="3"/>
      <c r="H176" s="3"/>
      <c r="I176" s="28"/>
      <c r="J176" s="3"/>
      <c r="K176" s="28"/>
      <c r="L176" s="3"/>
      <c r="M176" s="55"/>
      <c r="N176" s="3"/>
      <c r="O176" s="3"/>
      <c r="P176" s="46"/>
      <c r="Q176" s="46"/>
      <c r="R176" s="46"/>
      <c r="S176" s="46"/>
      <c r="T176" s="46"/>
      <c r="U176" s="46"/>
      <c r="V176" s="46"/>
      <c r="W176" s="46"/>
      <c r="X176" s="46"/>
      <c r="Y176" s="46"/>
      <c r="Z176" s="46"/>
      <c r="AA176" s="46"/>
      <c r="AB176" s="3"/>
    </row>
    <row r="177" spans="1:28" s="5" customFormat="1" x14ac:dyDescent="0.25">
      <c r="A177" s="150">
        <f>1</f>
        <v>1</v>
      </c>
      <c r="B177" s="129" t="str">
        <f>структура!$J$13</f>
        <v>УСН(6%)</v>
      </c>
      <c r="C177" s="3"/>
      <c r="D177" s="3"/>
      <c r="E177" s="146" t="str">
        <f>E175</f>
        <v>финансовый поток (CF)</v>
      </c>
      <c r="F177" s="146"/>
      <c r="G177" s="146" t="str">
        <f>IF($E177="","",INDEX(KPI!$G:$G,SUMIFS(KPI!$B:$B,KPI!$E:$E,$E177)))</f>
        <v>тыс.руб.</v>
      </c>
      <c r="H177" s="146"/>
      <c r="I177" s="177"/>
      <c r="J177" s="146"/>
      <c r="K177" s="177"/>
      <c r="L177" s="146"/>
      <c r="M177" s="178">
        <f>SUM($O177:$AB177)</f>
        <v>14343.02122219342</v>
      </c>
      <c r="N177" s="3"/>
      <c r="O177" s="3"/>
      <c r="P177" s="179">
        <f>IF(P$1="",0,P157-P167)</f>
        <v>1950.9418119060847</v>
      </c>
      <c r="Q177" s="179">
        <f>IF(Q$1="",0,Q157-Q167)</f>
        <v>1905.948599405725</v>
      </c>
      <c r="R177" s="179">
        <f t="shared" ref="R177:AA177" si="6">IF(R$1="",0,R157-R167)</f>
        <v>1975.9995106984625</v>
      </c>
      <c r="S177" s="179">
        <f t="shared" si="6"/>
        <v>2026.3851715414812</v>
      </c>
      <c r="T177" s="179">
        <f t="shared" si="6"/>
        <v>2070.545130941985</v>
      </c>
      <c r="U177" s="179">
        <f t="shared" si="6"/>
        <v>2151.6238689164211</v>
      </c>
      <c r="V177" s="179">
        <f t="shared" si="6"/>
        <v>2261.5771287832613</v>
      </c>
      <c r="W177" s="179">
        <f t="shared" si="6"/>
        <v>0</v>
      </c>
      <c r="X177" s="179">
        <f t="shared" si="6"/>
        <v>0</v>
      </c>
      <c r="Y177" s="179">
        <f t="shared" si="6"/>
        <v>0</v>
      </c>
      <c r="Z177" s="179">
        <f t="shared" si="6"/>
        <v>0</v>
      </c>
      <c r="AA177" s="179">
        <f t="shared" si="6"/>
        <v>0</v>
      </c>
      <c r="AB177" s="3"/>
    </row>
    <row r="178" spans="1:28" s="5" customFormat="1" ht="3.9" customHeight="1" x14ac:dyDescent="0.25">
      <c r="A178" s="150">
        <f>1</f>
        <v>1</v>
      </c>
      <c r="B178" s="128"/>
      <c r="C178" s="3"/>
      <c r="D178" s="3"/>
      <c r="E178" s="3"/>
      <c r="F178" s="3"/>
      <c r="G178" s="3"/>
      <c r="H178" s="3"/>
      <c r="I178" s="28"/>
      <c r="J178" s="3"/>
      <c r="K178" s="28"/>
      <c r="L178" s="3"/>
      <c r="M178" s="55"/>
      <c r="N178" s="3"/>
      <c r="O178" s="3"/>
      <c r="P178" s="46"/>
      <c r="Q178" s="46"/>
      <c r="R178" s="46"/>
      <c r="S178" s="46"/>
      <c r="T178" s="46"/>
      <c r="U178" s="46"/>
      <c r="V178" s="46"/>
      <c r="W178" s="46"/>
      <c r="X178" s="46"/>
      <c r="Y178" s="46"/>
      <c r="Z178" s="46"/>
      <c r="AA178" s="46"/>
      <c r="AB178" s="3"/>
    </row>
    <row r="179" spans="1:28" s="5" customFormat="1" x14ac:dyDescent="0.25">
      <c r="A179" s="150">
        <f>1</f>
        <v>1</v>
      </c>
      <c r="B179" s="129" t="str">
        <f>структура!$J$14</f>
        <v>УСН(15%)</v>
      </c>
      <c r="C179" s="3"/>
      <c r="D179" s="3"/>
      <c r="E179" s="146" t="str">
        <f>E175</f>
        <v>финансовый поток (CF)</v>
      </c>
      <c r="F179" s="146"/>
      <c r="G179" s="146" t="str">
        <f>IF($E179="","",INDEX(KPI!$G:$G,SUMIFS(KPI!$B:$B,KPI!$E:$E,$E179)))</f>
        <v>тыс.руб.</v>
      </c>
      <c r="H179" s="146"/>
      <c r="I179" s="177"/>
      <c r="J179" s="146"/>
      <c r="K179" s="177"/>
      <c r="L179" s="146"/>
      <c r="M179" s="178">
        <f>SUM($O179:$AB179)</f>
        <v>12918.137372340749</v>
      </c>
      <c r="N179" s="3"/>
      <c r="O179" s="3"/>
      <c r="P179" s="179">
        <f>IF(P$1="",0,P159-P169)</f>
        <v>1950.9418119060847</v>
      </c>
      <c r="Q179" s="179">
        <f t="shared" ref="Q179:AA179" si="7">IF(Q$1="",0,Q159-Q169)</f>
        <v>1684.2286442786644</v>
      </c>
      <c r="R179" s="179">
        <f t="shared" si="7"/>
        <v>1750.825473287603</v>
      </c>
      <c r="S179" s="179">
        <f t="shared" si="7"/>
        <v>1792.1473224367119</v>
      </c>
      <c r="T179" s="179">
        <f t="shared" si="7"/>
        <v>1829.4246802107637</v>
      </c>
      <c r="U179" s="179">
        <f t="shared" si="7"/>
        <v>1905.2475142751218</v>
      </c>
      <c r="V179" s="179">
        <f t="shared" si="7"/>
        <v>2005.3219259457983</v>
      </c>
      <c r="W179" s="179">
        <f t="shared" si="7"/>
        <v>0</v>
      </c>
      <c r="X179" s="179">
        <f t="shared" si="7"/>
        <v>0</v>
      </c>
      <c r="Y179" s="179">
        <f t="shared" si="7"/>
        <v>0</v>
      </c>
      <c r="Z179" s="179">
        <f t="shared" si="7"/>
        <v>0</v>
      </c>
      <c r="AA179" s="179">
        <f t="shared" si="7"/>
        <v>0</v>
      </c>
      <c r="AB179" s="3"/>
    </row>
    <row r="180" spans="1:28" s="5" customFormat="1" ht="3.9" customHeight="1" x14ac:dyDescent="0.25">
      <c r="A180" s="150">
        <f>1</f>
        <v>1</v>
      </c>
      <c r="B180" s="128"/>
      <c r="C180" s="3"/>
      <c r="D180" s="3"/>
      <c r="E180" s="3"/>
      <c r="F180" s="3"/>
      <c r="G180" s="3"/>
      <c r="H180" s="3"/>
      <c r="I180" s="28"/>
      <c r="J180" s="3"/>
      <c r="K180" s="28"/>
      <c r="L180" s="3"/>
      <c r="M180" s="55"/>
      <c r="N180" s="3"/>
      <c r="O180" s="3"/>
      <c r="P180" s="46"/>
      <c r="Q180" s="46"/>
      <c r="R180" s="46"/>
      <c r="S180" s="46"/>
      <c r="T180" s="46"/>
      <c r="U180" s="46"/>
      <c r="V180" s="46"/>
      <c r="W180" s="46"/>
      <c r="X180" s="46"/>
      <c r="Y180" s="46"/>
      <c r="Z180" s="46"/>
      <c r="AA180" s="46"/>
      <c r="AB180" s="3"/>
    </row>
    <row r="181" spans="1:28" s="5" customFormat="1" x14ac:dyDescent="0.25">
      <c r="A181" s="150">
        <f>1</f>
        <v>1</v>
      </c>
      <c r="B181" s="129" t="str">
        <f>структура!$J$15</f>
        <v>УСН(6%)-ИП</v>
      </c>
      <c r="C181" s="3"/>
      <c r="D181" s="3"/>
      <c r="E181" s="146" t="str">
        <f>E175</f>
        <v>финансовый поток (CF)</v>
      </c>
      <c r="F181" s="146"/>
      <c r="G181" s="146" t="str">
        <f>IF($E181="","",INDEX(KPI!$G:$G,SUMIFS(KPI!$B:$B,KPI!$E:$E,$E181)))</f>
        <v>тыс.руб.</v>
      </c>
      <c r="H181" s="146"/>
      <c r="I181" s="177"/>
      <c r="J181" s="146"/>
      <c r="K181" s="177"/>
      <c r="L181" s="146"/>
      <c r="M181" s="178">
        <f>SUM($O181:$AB181)</f>
        <v>14631.145422193418</v>
      </c>
      <c r="N181" s="3"/>
      <c r="O181" s="3"/>
      <c r="P181" s="179">
        <f>IF(P$1="",0,P161-P171)</f>
        <v>1950.9418119060847</v>
      </c>
      <c r="Q181" s="179">
        <f t="shared" ref="Q181:AA181" si="8">IF(Q$1="",0,Q161-Q171)</f>
        <v>1976.2012494057244</v>
      </c>
      <c r="R181" s="179">
        <f t="shared" si="8"/>
        <v>2047.2556606984617</v>
      </c>
      <c r="S181" s="179">
        <f t="shared" si="8"/>
        <v>2099.2356715414808</v>
      </c>
      <c r="T181" s="179">
        <f t="shared" si="8"/>
        <v>2144.3100309419851</v>
      </c>
      <c r="U181" s="179">
        <f t="shared" si="8"/>
        <v>2151.6238689164211</v>
      </c>
      <c r="V181" s="179">
        <f t="shared" si="8"/>
        <v>2261.5771287832613</v>
      </c>
      <c r="W181" s="179">
        <f t="shared" si="8"/>
        <v>0</v>
      </c>
      <c r="X181" s="179">
        <f t="shared" si="8"/>
        <v>0</v>
      </c>
      <c r="Y181" s="179">
        <f t="shared" si="8"/>
        <v>0</v>
      </c>
      <c r="Z181" s="179">
        <f t="shared" si="8"/>
        <v>0</v>
      </c>
      <c r="AA181" s="179">
        <f t="shared" si="8"/>
        <v>0</v>
      </c>
      <c r="AB181" s="3"/>
    </row>
    <row r="182" spans="1:28" ht="3.9" customHeight="1" x14ac:dyDescent="0.25">
      <c r="A182" s="149">
        <f>1</f>
        <v>1</v>
      </c>
      <c r="B182" s="131"/>
      <c r="C182" s="2"/>
      <c r="D182" s="2"/>
      <c r="E182" s="119"/>
      <c r="F182" s="2"/>
      <c r="G182" s="119"/>
      <c r="H182" s="2"/>
      <c r="I182" s="28"/>
      <c r="J182" s="2"/>
      <c r="K182" s="28"/>
      <c r="L182" s="2"/>
      <c r="M182" s="142"/>
      <c r="N182" s="2"/>
      <c r="O182" s="2"/>
      <c r="P182" s="36"/>
      <c r="Q182" s="36"/>
      <c r="R182" s="36"/>
      <c r="S182" s="36"/>
      <c r="T182" s="36"/>
      <c r="U182" s="36"/>
      <c r="V182" s="36"/>
      <c r="W182" s="36"/>
      <c r="X182" s="36"/>
      <c r="Y182" s="36"/>
      <c r="Z182" s="36"/>
      <c r="AA182" s="36"/>
      <c r="AB182" s="2"/>
    </row>
    <row r="183" spans="1:28" ht="8.1" customHeight="1" x14ac:dyDescent="0.25">
      <c r="A183" s="149">
        <f>1</f>
        <v>1</v>
      </c>
      <c r="B183" s="131"/>
      <c r="C183" s="2"/>
      <c r="D183" s="2"/>
      <c r="E183" s="2"/>
      <c r="F183" s="2"/>
      <c r="G183" s="2"/>
      <c r="H183" s="2"/>
      <c r="I183" s="28"/>
      <c r="J183" s="2"/>
      <c r="K183" s="28"/>
      <c r="L183" s="2"/>
      <c r="M183" s="52"/>
      <c r="N183" s="2"/>
      <c r="O183" s="2"/>
      <c r="P183" s="36"/>
      <c r="Q183" s="36"/>
      <c r="R183" s="36"/>
      <c r="S183" s="36"/>
      <c r="T183" s="36"/>
      <c r="U183" s="36"/>
      <c r="V183" s="36"/>
      <c r="W183" s="36"/>
      <c r="X183" s="36"/>
      <c r="Y183" s="36"/>
      <c r="Z183" s="36"/>
      <c r="AA183" s="36"/>
      <c r="AB183" s="2"/>
    </row>
    <row r="184" spans="1:28" s="5" customFormat="1" x14ac:dyDescent="0.25">
      <c r="A184" s="150">
        <f>1</f>
        <v>1</v>
      </c>
      <c r="B184" s="131"/>
      <c r="C184" s="3"/>
      <c r="D184" s="3"/>
      <c r="E184" s="3"/>
      <c r="F184" s="3"/>
      <c r="G184" s="3"/>
      <c r="H184" s="3"/>
      <c r="I184" s="28"/>
      <c r="J184" s="3"/>
      <c r="K184" s="28"/>
      <c r="L184" s="3"/>
      <c r="M184" s="55"/>
      <c r="N184" s="3"/>
      <c r="O184" s="3"/>
      <c r="P184" s="46"/>
      <c r="Q184" s="46"/>
      <c r="R184" s="46"/>
      <c r="S184" s="46"/>
      <c r="T184" s="46"/>
      <c r="U184" s="46"/>
      <c r="V184" s="46"/>
      <c r="W184" s="46"/>
      <c r="X184" s="46"/>
      <c r="Y184" s="46"/>
      <c r="Z184" s="46"/>
      <c r="AA184" s="46"/>
      <c r="AB184" s="3"/>
    </row>
    <row r="185" spans="1:28" ht="3.9" customHeight="1" x14ac:dyDescent="0.25">
      <c r="A185" s="149">
        <f>1</f>
        <v>1</v>
      </c>
      <c r="B185" s="131"/>
      <c r="C185" s="2"/>
      <c r="D185" s="2"/>
      <c r="E185" s="2"/>
      <c r="F185" s="2"/>
      <c r="G185" s="2"/>
      <c r="H185" s="2"/>
      <c r="I185" s="28"/>
      <c r="J185" s="2"/>
      <c r="K185" s="28"/>
      <c r="L185" s="2"/>
      <c r="M185" s="52"/>
      <c r="N185" s="2"/>
      <c r="O185" s="2"/>
      <c r="P185" s="36"/>
      <c r="Q185" s="36"/>
      <c r="R185" s="36"/>
      <c r="S185" s="36"/>
      <c r="T185" s="36"/>
      <c r="U185" s="36"/>
      <c r="V185" s="36"/>
      <c r="W185" s="36"/>
      <c r="X185" s="36"/>
      <c r="Y185" s="36"/>
      <c r="Z185" s="36"/>
      <c r="AA185" s="36"/>
      <c r="AB185" s="2"/>
    </row>
    <row r="186" spans="1:28" s="5" customFormat="1" x14ac:dyDescent="0.25">
      <c r="A186" s="150">
        <f>1</f>
        <v>1</v>
      </c>
      <c r="B186" s="131"/>
      <c r="C186" s="3"/>
      <c r="D186" s="3"/>
      <c r="E186" s="181" t="s">
        <v>286</v>
      </c>
      <c r="F186" s="3"/>
      <c r="G186" s="3"/>
      <c r="H186" s="3"/>
      <c r="I186" s="28"/>
      <c r="J186" s="3"/>
      <c r="K186" s="28"/>
      <c r="L186" s="3"/>
      <c r="M186" s="55"/>
      <c r="N186" s="3"/>
      <c r="O186" s="3"/>
      <c r="P186" s="46"/>
      <c r="Q186" s="46"/>
      <c r="R186" s="46"/>
      <c r="S186" s="46"/>
      <c r="T186" s="46"/>
      <c r="U186" s="46"/>
      <c r="V186" s="46"/>
      <c r="W186" s="46"/>
      <c r="X186" s="46"/>
      <c r="Y186" s="46"/>
      <c r="Z186" s="46"/>
      <c r="AA186" s="46"/>
      <c r="AB186" s="3"/>
    </row>
    <row r="187" spans="1:28" ht="3.9" customHeight="1" x14ac:dyDescent="0.25">
      <c r="A187" s="149">
        <f>1</f>
        <v>1</v>
      </c>
      <c r="B187" s="131"/>
      <c r="C187" s="2"/>
      <c r="D187" s="2"/>
      <c r="E187" s="2"/>
      <c r="F187" s="2"/>
      <c r="G187" s="2"/>
      <c r="H187" s="2"/>
      <c r="I187" s="28"/>
      <c r="J187" s="2"/>
      <c r="K187" s="28"/>
      <c r="L187" s="2"/>
      <c r="M187" s="52"/>
      <c r="N187" s="2"/>
      <c r="O187" s="2"/>
      <c r="P187" s="36"/>
      <c r="Q187" s="36"/>
      <c r="R187" s="36"/>
      <c r="S187" s="36"/>
      <c r="T187" s="36"/>
      <c r="U187" s="36"/>
      <c r="V187" s="36"/>
      <c r="W187" s="36"/>
      <c r="X187" s="36"/>
      <c r="Y187" s="36"/>
      <c r="Z187" s="36"/>
      <c r="AA187" s="36"/>
      <c r="AB187" s="2"/>
    </row>
    <row r="188" spans="1:28" ht="8.1" customHeight="1" x14ac:dyDescent="0.25">
      <c r="A188" s="149">
        <f>1</f>
        <v>1</v>
      </c>
      <c r="B188" s="131"/>
      <c r="C188" s="2"/>
      <c r="D188" s="2"/>
      <c r="E188" s="2"/>
      <c r="F188" s="2"/>
      <c r="G188" s="2"/>
      <c r="H188" s="2"/>
      <c r="I188" s="28"/>
      <c r="J188" s="2"/>
      <c r="K188" s="28"/>
      <c r="L188" s="2"/>
      <c r="M188" s="52"/>
      <c r="N188" s="2"/>
      <c r="O188" s="2"/>
      <c r="P188" s="36"/>
      <c r="Q188" s="36"/>
      <c r="R188" s="36"/>
      <c r="S188" s="36"/>
      <c r="T188" s="36"/>
      <c r="U188" s="36"/>
      <c r="V188" s="36"/>
      <c r="W188" s="36"/>
      <c r="X188" s="36"/>
      <c r="Y188" s="36"/>
      <c r="Z188" s="36"/>
      <c r="AA188" s="36"/>
      <c r="AB188" s="2"/>
    </row>
    <row r="189" spans="1:28" ht="3.9" customHeight="1" thickBot="1" x14ac:dyDescent="0.3">
      <c r="A189" s="149">
        <f>1</f>
        <v>1</v>
      </c>
      <c r="B189" s="131"/>
      <c r="C189" s="2"/>
      <c r="D189" s="2"/>
      <c r="E189" s="2"/>
      <c r="F189" s="2"/>
      <c r="G189" s="2"/>
      <c r="H189" s="2"/>
      <c r="I189" s="28"/>
      <c r="J189" s="2"/>
      <c r="K189" s="28"/>
      <c r="L189" s="2"/>
      <c r="M189" s="52"/>
      <c r="N189" s="2"/>
      <c r="O189" s="2"/>
      <c r="P189" s="36"/>
      <c r="Q189" s="36"/>
      <c r="R189" s="36"/>
      <c r="S189" s="36"/>
      <c r="T189" s="36"/>
      <c r="U189" s="36"/>
      <c r="V189" s="36"/>
      <c r="W189" s="36"/>
      <c r="X189" s="36"/>
      <c r="Y189" s="36"/>
      <c r="Z189" s="36"/>
      <c r="AA189" s="36"/>
      <c r="AB189" s="2"/>
    </row>
    <row r="190" spans="1:28" s="5" customFormat="1" ht="12.6" thickBot="1" x14ac:dyDescent="0.3">
      <c r="A190" s="150">
        <f>1</f>
        <v>1</v>
      </c>
      <c r="B190" s="129"/>
      <c r="C190" s="3"/>
      <c r="D190" s="3"/>
      <c r="E190" s="183" t="str">
        <f>KPI!$E$98</f>
        <v>Инвестиционные вложения</v>
      </c>
      <c r="F190" s="183"/>
      <c r="G190" s="183" t="str">
        <f>IF($E190="","",INDEX(KPI!$G:$G,SUMIFS(KPI!$B:$B,KPI!$E:$E,$E190)))</f>
        <v>тыс.руб.</v>
      </c>
      <c r="H190" s="183"/>
      <c r="I190" s="184"/>
      <c r="J190" s="183"/>
      <c r="K190" s="184"/>
      <c r="L190" s="183"/>
      <c r="M190" s="186">
        <f>капитал!$J$20*IF(аренда!$M$41+аренда!$M$43=0,0,P$11/(аренда!$M$41+аренда!$M$43))+(капитал!$J$87/1000)</f>
        <v>3627.8789999999999</v>
      </c>
      <c r="N190" s="3"/>
      <c r="O190" s="3"/>
      <c r="P190" s="46"/>
      <c r="Q190" s="46"/>
      <c r="R190" s="46"/>
      <c r="S190" s="46"/>
      <c r="T190" s="46"/>
      <c r="U190" s="46"/>
      <c r="V190" s="46"/>
      <c r="W190" s="46"/>
      <c r="X190" s="46"/>
      <c r="Y190" s="46"/>
      <c r="Z190" s="46"/>
      <c r="AA190" s="46"/>
      <c r="AB190" s="3"/>
    </row>
    <row r="191" spans="1:28" ht="3.9" customHeight="1" x14ac:dyDescent="0.25">
      <c r="A191" s="149">
        <f>1</f>
        <v>1</v>
      </c>
      <c r="B191" s="131"/>
      <c r="C191" s="2"/>
      <c r="D191" s="2"/>
      <c r="E191" s="140"/>
      <c r="F191" s="2"/>
      <c r="G191" s="140"/>
      <c r="H191" s="2"/>
      <c r="I191" s="28"/>
      <c r="J191" s="2"/>
      <c r="K191" s="28"/>
      <c r="L191" s="2"/>
      <c r="M191" s="141"/>
      <c r="N191" s="2"/>
      <c r="O191" s="2"/>
      <c r="P191" s="36"/>
      <c r="Q191" s="36"/>
      <c r="R191" s="36"/>
      <c r="S191" s="36"/>
      <c r="T191" s="36"/>
      <c r="U191" s="36"/>
      <c r="V191" s="36"/>
      <c r="W191" s="36"/>
      <c r="X191" s="36"/>
      <c r="Y191" s="36"/>
      <c r="Z191" s="36"/>
      <c r="AA191" s="36"/>
      <c r="AB191" s="2"/>
    </row>
    <row r="192" spans="1:28" ht="3.9" customHeight="1" x14ac:dyDescent="0.25">
      <c r="A192" s="149">
        <f>1</f>
        <v>1</v>
      </c>
      <c r="B192" s="131"/>
      <c r="C192" s="2"/>
      <c r="D192" s="2"/>
      <c r="E192" s="2"/>
      <c r="F192" s="2"/>
      <c r="G192" s="2"/>
      <c r="H192" s="2"/>
      <c r="I192" s="28"/>
      <c r="J192" s="2"/>
      <c r="K192" s="28"/>
      <c r="L192" s="2"/>
      <c r="M192" s="52"/>
      <c r="N192" s="2"/>
      <c r="O192" s="2"/>
      <c r="P192" s="36"/>
      <c r="Q192" s="36"/>
      <c r="R192" s="36"/>
      <c r="S192" s="36"/>
      <c r="T192" s="36"/>
      <c r="U192" s="36"/>
      <c r="V192" s="36"/>
      <c r="W192" s="36"/>
      <c r="X192" s="36"/>
      <c r="Y192" s="36"/>
      <c r="Z192" s="36"/>
      <c r="AA192" s="36"/>
      <c r="AB192" s="2"/>
    </row>
    <row r="193" spans="1:28" s="5" customFormat="1" x14ac:dyDescent="0.25">
      <c r="A193" s="150">
        <f>1</f>
        <v>1</v>
      </c>
      <c r="B193" s="129"/>
      <c r="C193" s="3"/>
      <c r="D193" s="3"/>
      <c r="E193" s="3" t="str">
        <f>KPI!$E$99</f>
        <v>Коэффициент дисконтиования</v>
      </c>
      <c r="F193" s="3"/>
      <c r="G193" s="3" t="str">
        <f>IF($E193="","",INDEX(KPI!$G:$G,SUMIFS(KPI!$B:$B,KPI!$E:$E,$E193)))</f>
        <v>%</v>
      </c>
      <c r="H193" s="3"/>
      <c r="I193" s="28"/>
      <c r="J193" s="3"/>
      <c r="K193" s="28"/>
      <c r="L193" s="3"/>
      <c r="M193" s="55"/>
      <c r="N193" s="3"/>
      <c r="O193" s="3"/>
      <c r="P193" s="185">
        <f>IF(P$1="",0,(1+операции!P$445))</f>
        <v>1.1000000000000001</v>
      </c>
      <c r="Q193" s="185">
        <f>IF(Q$1="",0,P193*(1+операции!Q$445))</f>
        <v>1.2100000000000002</v>
      </c>
      <c r="R193" s="185">
        <f>IF(R$1="",0,Q193*(1+операции!R$445))</f>
        <v>1.3310000000000004</v>
      </c>
      <c r="S193" s="185">
        <f>IF(S$1="",0,R193*(1+операции!S$445))</f>
        <v>1.4641000000000006</v>
      </c>
      <c r="T193" s="185">
        <f>IF(T$1="",0,S193*(1+операции!T$445))</f>
        <v>1.6105100000000008</v>
      </c>
      <c r="U193" s="185">
        <f>IF(U$1="",0,T193*(1+операции!U$445))</f>
        <v>1.7715610000000011</v>
      </c>
      <c r="V193" s="185">
        <f>IF(V$1="",0,U193*(1+операции!V$445))</f>
        <v>1.9487171000000014</v>
      </c>
      <c r="W193" s="185">
        <f>IF(W$1="",0,V193*(1+операции!W$445))</f>
        <v>0</v>
      </c>
      <c r="X193" s="185">
        <f>IF(X$1="",0,W193*(1+операции!X$445))</f>
        <v>0</v>
      </c>
      <c r="Y193" s="185">
        <f>IF(Y$1="",0,X193*(1+операции!Y$445))</f>
        <v>0</v>
      </c>
      <c r="Z193" s="185">
        <f>IF(Z$1="",0,Y193*(1+операции!Z$445))</f>
        <v>0</v>
      </c>
      <c r="AA193" s="185">
        <f>IF(AA$1="",0,Z193*(1+операции!AA$445))</f>
        <v>0</v>
      </c>
      <c r="AB193" s="3"/>
    </row>
    <row r="194" spans="1:28" s="5" customFormat="1" ht="3.9" customHeight="1" x14ac:dyDescent="0.25">
      <c r="A194" s="150">
        <f>1</f>
        <v>1</v>
      </c>
      <c r="B194" s="128"/>
      <c r="C194" s="3"/>
      <c r="D194" s="3"/>
      <c r="E194" s="3"/>
      <c r="F194" s="3"/>
      <c r="G194" s="3"/>
      <c r="H194" s="3"/>
      <c r="I194" s="28"/>
      <c r="J194" s="3"/>
      <c r="K194" s="28"/>
      <c r="L194" s="3"/>
      <c r="M194" s="55"/>
      <c r="N194" s="3"/>
      <c r="O194" s="3"/>
      <c r="P194" s="46"/>
      <c r="Q194" s="46"/>
      <c r="R194" s="46"/>
      <c r="S194" s="46"/>
      <c r="T194" s="46"/>
      <c r="U194" s="46"/>
      <c r="V194" s="46"/>
      <c r="W194" s="46"/>
      <c r="X194" s="46"/>
      <c r="Y194" s="46"/>
      <c r="Z194" s="46"/>
      <c r="AA194" s="46"/>
      <c r="AB194" s="3"/>
    </row>
    <row r="195" spans="1:28" ht="3.9" customHeight="1" x14ac:dyDescent="0.25">
      <c r="A195" s="149">
        <f>1</f>
        <v>1</v>
      </c>
      <c r="B195" s="131"/>
      <c r="C195" s="2"/>
      <c r="D195" s="2"/>
      <c r="E195" s="2"/>
      <c r="F195" s="2"/>
      <c r="G195" s="2"/>
      <c r="H195" s="2"/>
      <c r="I195" s="28"/>
      <c r="J195" s="2"/>
      <c r="K195" s="28"/>
      <c r="L195" s="2"/>
      <c r="M195" s="52"/>
      <c r="N195" s="2"/>
      <c r="O195" s="2"/>
      <c r="P195" s="36"/>
      <c r="Q195" s="36"/>
      <c r="R195" s="36"/>
      <c r="S195" s="36"/>
      <c r="T195" s="36"/>
      <c r="U195" s="36"/>
      <c r="V195" s="36"/>
      <c r="W195" s="36"/>
      <c r="X195" s="36"/>
      <c r="Y195" s="36"/>
      <c r="Z195" s="36"/>
      <c r="AA195" s="36"/>
      <c r="AB195" s="2"/>
    </row>
    <row r="196" spans="1:28" s="5" customFormat="1" x14ac:dyDescent="0.25">
      <c r="A196" s="150">
        <f>1</f>
        <v>1</v>
      </c>
      <c r="B196" s="129" t="str">
        <f>структура!$J$12</f>
        <v>ОСНО</v>
      </c>
      <c r="C196" s="3"/>
      <c r="D196" s="3"/>
      <c r="E196" s="146" t="str">
        <f>KPI!$E$100</f>
        <v>NPV(CF)</v>
      </c>
      <c r="F196" s="146"/>
      <c r="G196" s="146" t="str">
        <f>IF($E196="","",INDEX(KPI!$G:$G,SUMIFS(KPI!$B:$B,KPI!$E:$E,$E196)))</f>
        <v>тыс.руб.</v>
      </c>
      <c r="H196" s="146"/>
      <c r="I196" s="177"/>
      <c r="J196" s="146"/>
      <c r="K196" s="177"/>
      <c r="L196" s="146"/>
      <c r="M196" s="178">
        <f>SUM($O196:$AB196)</f>
        <v>7705.9038877026624</v>
      </c>
      <c r="N196" s="3"/>
      <c r="O196" s="3"/>
      <c r="P196" s="179">
        <f>IF(P$1="",0,IF(P$193=0,0,P175/P$193))</f>
        <v>1929.6440714297732</v>
      </c>
      <c r="Q196" s="179">
        <f t="shared" ref="Q196:AA196" si="9">IF(Q$1="",0,IF(Q$193=0,0,Q175/Q$193))</f>
        <v>1117.7203837763577</v>
      </c>
      <c r="R196" s="179">
        <f t="shared" si="9"/>
        <v>1062.0513427901483</v>
      </c>
      <c r="S196" s="179">
        <f t="shared" si="9"/>
        <v>984.82722787545777</v>
      </c>
      <c r="T196" s="179">
        <f t="shared" si="9"/>
        <v>912.52661172669332</v>
      </c>
      <c r="U196" s="179">
        <f t="shared" si="9"/>
        <v>867.70505501055754</v>
      </c>
      <c r="V196" s="179">
        <f t="shared" si="9"/>
        <v>831.42919509367425</v>
      </c>
      <c r="W196" s="179">
        <f t="shared" si="9"/>
        <v>0</v>
      </c>
      <c r="X196" s="179">
        <f t="shared" si="9"/>
        <v>0</v>
      </c>
      <c r="Y196" s="179">
        <f t="shared" si="9"/>
        <v>0</v>
      </c>
      <c r="Z196" s="179">
        <f t="shared" si="9"/>
        <v>0</v>
      </c>
      <c r="AA196" s="179">
        <f t="shared" si="9"/>
        <v>0</v>
      </c>
      <c r="AB196" s="3"/>
    </row>
    <row r="197" spans="1:28" s="5" customFormat="1" ht="3.9" customHeight="1" x14ac:dyDescent="0.25">
      <c r="A197" s="150">
        <f>1</f>
        <v>1</v>
      </c>
      <c r="B197" s="128"/>
      <c r="C197" s="3"/>
      <c r="D197" s="3"/>
      <c r="E197" s="3"/>
      <c r="F197" s="3"/>
      <c r="G197" s="3"/>
      <c r="H197" s="3"/>
      <c r="I197" s="28"/>
      <c r="J197" s="3"/>
      <c r="K197" s="28"/>
      <c r="L197" s="3"/>
      <c r="M197" s="55"/>
      <c r="N197" s="3"/>
      <c r="O197" s="3"/>
      <c r="P197" s="46"/>
      <c r="Q197" s="46"/>
      <c r="R197" s="46"/>
      <c r="S197" s="46"/>
      <c r="T197" s="46"/>
      <c r="U197" s="46"/>
      <c r="V197" s="46"/>
      <c r="W197" s="46"/>
      <c r="X197" s="46"/>
      <c r="Y197" s="46"/>
      <c r="Z197" s="46"/>
      <c r="AA197" s="46"/>
      <c r="AB197" s="3"/>
    </row>
    <row r="198" spans="1:28" s="5" customFormat="1" x14ac:dyDescent="0.25">
      <c r="A198" s="150">
        <f>1</f>
        <v>1</v>
      </c>
      <c r="B198" s="129" t="str">
        <f>структура!$J$13</f>
        <v>УСН(6%)</v>
      </c>
      <c r="C198" s="3"/>
      <c r="D198" s="3"/>
      <c r="E198" s="146" t="str">
        <f>E196</f>
        <v>NPV(CF)</v>
      </c>
      <c r="F198" s="146"/>
      <c r="G198" s="146" t="str">
        <f>IF($E198="","",INDEX(KPI!$G:$G,SUMIFS(KPI!$B:$B,KPI!$E:$E,$E198)))</f>
        <v>тыс.руб.</v>
      </c>
      <c r="H198" s="146"/>
      <c r="I198" s="177"/>
      <c r="J198" s="146"/>
      <c r="K198" s="177"/>
      <c r="L198" s="146"/>
      <c r="M198" s="178">
        <f>SUM($O198:$AB198)</f>
        <v>9878.1214810695292</v>
      </c>
      <c r="N198" s="3"/>
      <c r="O198" s="3"/>
      <c r="P198" s="179">
        <f>IF(P$1="",0,IF(P$193=0,0,P177/P$193))</f>
        <v>1773.5834653691677</v>
      </c>
      <c r="Q198" s="179">
        <f t="shared" ref="Q198:AA198" si="10">IF(Q$1="",0,IF(Q$193=0,0,Q177/Q$193))</f>
        <v>1575.1641317402684</v>
      </c>
      <c r="R198" s="179">
        <f t="shared" si="10"/>
        <v>1484.5976789620299</v>
      </c>
      <c r="S198" s="179">
        <f t="shared" si="10"/>
        <v>1384.048337915088</v>
      </c>
      <c r="T198" s="179">
        <f t="shared" si="10"/>
        <v>1285.6456221581884</v>
      </c>
      <c r="U198" s="179">
        <f t="shared" si="10"/>
        <v>1214.5355812847652</v>
      </c>
      <c r="V198" s="179">
        <f t="shared" si="10"/>
        <v>1160.5466636400222</v>
      </c>
      <c r="W198" s="179">
        <f t="shared" si="10"/>
        <v>0</v>
      </c>
      <c r="X198" s="179">
        <f t="shared" si="10"/>
        <v>0</v>
      </c>
      <c r="Y198" s="179">
        <f t="shared" si="10"/>
        <v>0</v>
      </c>
      <c r="Z198" s="179">
        <f t="shared" si="10"/>
        <v>0</v>
      </c>
      <c r="AA198" s="179">
        <f t="shared" si="10"/>
        <v>0</v>
      </c>
      <c r="AB198" s="3"/>
    </row>
    <row r="199" spans="1:28" s="5" customFormat="1" ht="3.9" customHeight="1" x14ac:dyDescent="0.25">
      <c r="A199" s="150">
        <f>1</f>
        <v>1</v>
      </c>
      <c r="B199" s="128"/>
      <c r="C199" s="3"/>
      <c r="D199" s="3"/>
      <c r="E199" s="3"/>
      <c r="F199" s="3"/>
      <c r="G199" s="3"/>
      <c r="H199" s="3"/>
      <c r="I199" s="28"/>
      <c r="J199" s="3"/>
      <c r="K199" s="28"/>
      <c r="L199" s="3"/>
      <c r="M199" s="55"/>
      <c r="N199" s="3"/>
      <c r="O199" s="3"/>
      <c r="P199" s="46"/>
      <c r="Q199" s="46"/>
      <c r="R199" s="46"/>
      <c r="S199" s="46"/>
      <c r="T199" s="46"/>
      <c r="U199" s="46"/>
      <c r="V199" s="46"/>
      <c r="W199" s="46"/>
      <c r="X199" s="46"/>
      <c r="Y199" s="46"/>
      <c r="Z199" s="46"/>
      <c r="AA199" s="46"/>
      <c r="AB199" s="3"/>
    </row>
    <row r="200" spans="1:28" s="5" customFormat="1" x14ac:dyDescent="0.25">
      <c r="A200" s="150">
        <f>1</f>
        <v>1</v>
      </c>
      <c r="B200" s="129" t="str">
        <f>структура!$J$14</f>
        <v>УСН(15%)</v>
      </c>
      <c r="C200" s="3"/>
      <c r="D200" s="3"/>
      <c r="E200" s="146" t="str">
        <f>E196</f>
        <v>NPV(CF)</v>
      </c>
      <c r="F200" s="146"/>
      <c r="G200" s="146" t="str">
        <f>IF($E200="","",INDEX(KPI!$G:$G,SUMIFS(KPI!$B:$B,KPI!$E:$E,$E200)))</f>
        <v>тыс.руб.</v>
      </c>
      <c r="H200" s="146"/>
      <c r="I200" s="177"/>
      <c r="J200" s="146"/>
      <c r="K200" s="177"/>
      <c r="L200" s="146"/>
      <c r="M200" s="178">
        <f>SUM($O200:$AB200)</f>
        <v>8945.4283628169942</v>
      </c>
      <c r="N200" s="3"/>
      <c r="O200" s="3"/>
      <c r="P200" s="179">
        <f>IF(P$1="",0,IF(P$193=0,0,P179/P$193))</f>
        <v>1773.5834653691677</v>
      </c>
      <c r="Q200" s="179">
        <f t="shared" ref="Q200:AA200" si="11">IF(Q$1="",0,IF(Q$193=0,0,Q179/Q$193))</f>
        <v>1391.9244994038547</v>
      </c>
      <c r="R200" s="179">
        <f t="shared" si="11"/>
        <v>1315.4210918764857</v>
      </c>
      <c r="S200" s="179">
        <f t="shared" si="11"/>
        <v>1224.0607352207576</v>
      </c>
      <c r="T200" s="179">
        <f t="shared" si="11"/>
        <v>1135.9287928735387</v>
      </c>
      <c r="U200" s="179">
        <f t="shared" si="11"/>
        <v>1075.4625521080677</v>
      </c>
      <c r="V200" s="179">
        <f t="shared" si="11"/>
        <v>1029.0472259651217</v>
      </c>
      <c r="W200" s="179">
        <f t="shared" si="11"/>
        <v>0</v>
      </c>
      <c r="X200" s="179">
        <f t="shared" si="11"/>
        <v>0</v>
      </c>
      <c r="Y200" s="179">
        <f t="shared" si="11"/>
        <v>0</v>
      </c>
      <c r="Z200" s="179">
        <f t="shared" si="11"/>
        <v>0</v>
      </c>
      <c r="AA200" s="179">
        <f t="shared" si="11"/>
        <v>0</v>
      </c>
      <c r="AB200" s="3"/>
    </row>
    <row r="201" spans="1:28" s="5" customFormat="1" ht="3.9" customHeight="1" x14ac:dyDescent="0.25">
      <c r="A201" s="150">
        <f>1</f>
        <v>1</v>
      </c>
      <c r="B201" s="128"/>
      <c r="C201" s="3"/>
      <c r="D201" s="3"/>
      <c r="E201" s="3"/>
      <c r="F201" s="3"/>
      <c r="G201" s="3"/>
      <c r="H201" s="3"/>
      <c r="I201" s="28"/>
      <c r="J201" s="3"/>
      <c r="K201" s="28"/>
      <c r="L201" s="3"/>
      <c r="M201" s="55"/>
      <c r="N201" s="3"/>
      <c r="O201" s="3"/>
      <c r="P201" s="46"/>
      <c r="Q201" s="46"/>
      <c r="R201" s="46"/>
      <c r="S201" s="46"/>
      <c r="T201" s="46"/>
      <c r="U201" s="46"/>
      <c r="V201" s="46"/>
      <c r="W201" s="46"/>
      <c r="X201" s="46"/>
      <c r="Y201" s="46"/>
      <c r="Z201" s="46"/>
      <c r="AA201" s="46"/>
      <c r="AB201" s="3"/>
    </row>
    <row r="202" spans="1:28" s="5" customFormat="1" x14ac:dyDescent="0.25">
      <c r="A202" s="150">
        <f>1</f>
        <v>1</v>
      </c>
      <c r="B202" s="129" t="str">
        <f>структура!$J$15</f>
        <v>УСН(6%)-ИП</v>
      </c>
      <c r="C202" s="3"/>
      <c r="D202" s="3"/>
      <c r="E202" s="146" t="str">
        <f>E196</f>
        <v>NPV(CF)</v>
      </c>
      <c r="F202" s="146"/>
      <c r="G202" s="146" t="str">
        <f>IF($E202="","",INDEX(KPI!$G:$G,SUMIFS(KPI!$B:$B,KPI!$E:$E,$E202)))</f>
        <v>тыс.руб.</v>
      </c>
      <c r="H202" s="146"/>
      <c r="I202" s="177"/>
      <c r="J202" s="146"/>
      <c r="K202" s="177"/>
      <c r="L202" s="146"/>
      <c r="M202" s="178">
        <f>SUM($O202:$AB202)</f>
        <v>10085.277393575505</v>
      </c>
      <c r="N202" s="3"/>
      <c r="O202" s="3"/>
      <c r="P202" s="179">
        <f>IF(P$1="",0,IF(P$193=0,0,P181/P$193))</f>
        <v>1773.5834653691677</v>
      </c>
      <c r="Q202" s="179">
        <f t="shared" ref="Q202:AA202" si="12">IF(Q$1="",0,IF(Q$193=0,0,Q181/Q$193))</f>
        <v>1633.2241730625819</v>
      </c>
      <c r="R202" s="179">
        <f t="shared" si="12"/>
        <v>1538.1334791122924</v>
      </c>
      <c r="S202" s="179">
        <f t="shared" si="12"/>
        <v>1433.8062096451608</v>
      </c>
      <c r="T202" s="179">
        <f t="shared" si="12"/>
        <v>1331.4478214615146</v>
      </c>
      <c r="U202" s="179">
        <f t="shared" si="12"/>
        <v>1214.5355812847652</v>
      </c>
      <c r="V202" s="179">
        <f t="shared" si="12"/>
        <v>1160.5466636400222</v>
      </c>
      <c r="W202" s="179">
        <f t="shared" si="12"/>
        <v>0</v>
      </c>
      <c r="X202" s="179">
        <f t="shared" si="12"/>
        <v>0</v>
      </c>
      <c r="Y202" s="179">
        <f t="shared" si="12"/>
        <v>0</v>
      </c>
      <c r="Z202" s="179">
        <f t="shared" si="12"/>
        <v>0</v>
      </c>
      <c r="AA202" s="179">
        <f t="shared" si="12"/>
        <v>0</v>
      </c>
      <c r="AB202" s="3"/>
    </row>
    <row r="203" spans="1:28" ht="3.9" customHeight="1" x14ac:dyDescent="0.25">
      <c r="A203" s="149">
        <f>1</f>
        <v>1</v>
      </c>
      <c r="B203" s="131"/>
      <c r="C203" s="2"/>
      <c r="D203" s="2"/>
      <c r="E203" s="119"/>
      <c r="F203" s="2"/>
      <c r="G203" s="119"/>
      <c r="H203" s="2"/>
      <c r="I203" s="28"/>
      <c r="J203" s="2"/>
      <c r="K203" s="28"/>
      <c r="L203" s="2"/>
      <c r="M203" s="142"/>
      <c r="N203" s="2"/>
      <c r="O203" s="2"/>
      <c r="P203" s="36"/>
      <c r="Q203" s="36"/>
      <c r="R203" s="36"/>
      <c r="S203" s="36"/>
      <c r="T203" s="36"/>
      <c r="U203" s="36"/>
      <c r="V203" s="36"/>
      <c r="W203" s="36"/>
      <c r="X203" s="36"/>
      <c r="Y203" s="36"/>
      <c r="Z203" s="36"/>
      <c r="AA203" s="36"/>
      <c r="AB203" s="2"/>
    </row>
    <row r="204" spans="1:28" ht="8.1" customHeight="1" x14ac:dyDescent="0.25">
      <c r="A204" s="149">
        <f>1</f>
        <v>1</v>
      </c>
      <c r="B204" s="131"/>
      <c r="C204" s="2"/>
      <c r="D204" s="2"/>
      <c r="E204" s="2"/>
      <c r="F204" s="2"/>
      <c r="G204" s="2"/>
      <c r="H204" s="2"/>
      <c r="I204" s="28"/>
      <c r="J204" s="2"/>
      <c r="K204" s="28"/>
      <c r="L204" s="2"/>
      <c r="M204" s="52"/>
      <c r="N204" s="2"/>
      <c r="O204" s="2"/>
      <c r="P204" s="36"/>
      <c r="Q204" s="36"/>
      <c r="R204" s="36"/>
      <c r="S204" s="36"/>
      <c r="T204" s="36"/>
      <c r="U204" s="36"/>
      <c r="V204" s="36"/>
      <c r="W204" s="36"/>
      <c r="X204" s="36"/>
      <c r="Y204" s="36"/>
      <c r="Z204" s="36"/>
      <c r="AA204" s="36"/>
      <c r="AB204" s="2"/>
    </row>
    <row r="205" spans="1:28" ht="3.9" customHeight="1" x14ac:dyDescent="0.25">
      <c r="A205" s="149">
        <f>1</f>
        <v>1</v>
      </c>
      <c r="B205" s="131"/>
      <c r="C205" s="2"/>
      <c r="D205" s="2"/>
      <c r="E205" s="2"/>
      <c r="F205" s="2"/>
      <c r="G205" s="2"/>
      <c r="H205" s="2"/>
      <c r="I205" s="28"/>
      <c r="J205" s="2"/>
      <c r="K205" s="28"/>
      <c r="L205" s="2"/>
      <c r="M205" s="52"/>
      <c r="N205" s="2"/>
      <c r="O205" s="2"/>
      <c r="P205" s="36"/>
      <c r="Q205" s="36"/>
      <c r="R205" s="36"/>
      <c r="S205" s="36"/>
      <c r="T205" s="36"/>
      <c r="U205" s="36"/>
      <c r="V205" s="36"/>
      <c r="W205" s="36"/>
      <c r="X205" s="36"/>
      <c r="Y205" s="36"/>
      <c r="Z205" s="36"/>
      <c r="AA205" s="36"/>
      <c r="AB205" s="2"/>
    </row>
    <row r="206" spans="1:28" s="5" customFormat="1" x14ac:dyDescent="0.25">
      <c r="A206" s="150">
        <f>1</f>
        <v>1</v>
      </c>
      <c r="B206" s="129" t="str">
        <f>структура!$J$12</f>
        <v>ОСНО</v>
      </c>
      <c r="C206" s="3"/>
      <c r="D206" s="3"/>
      <c r="E206" s="147" t="str">
        <f>KPI!$E$101</f>
        <v>NPV(CF)-Inv</v>
      </c>
      <c r="F206" s="147"/>
      <c r="G206" s="147" t="str">
        <f>IF($E206="","",INDEX(KPI!$G:$G,SUMIFS(KPI!$B:$B,KPI!$E:$E,$E206)))</f>
        <v>тыс.руб.</v>
      </c>
      <c r="H206" s="147"/>
      <c r="I206" s="170"/>
      <c r="J206" s="147"/>
      <c r="K206" s="170"/>
      <c r="L206" s="147"/>
      <c r="M206" s="171">
        <f>M196-M$190</f>
        <v>4078.0248877026625</v>
      </c>
      <c r="N206" s="3"/>
      <c r="O206" s="3"/>
      <c r="P206" s="46"/>
      <c r="Q206" s="46"/>
      <c r="R206" s="46"/>
      <c r="S206" s="46"/>
      <c r="T206" s="46"/>
      <c r="U206" s="46"/>
      <c r="V206" s="46"/>
      <c r="W206" s="46"/>
      <c r="X206" s="46"/>
      <c r="Y206" s="46"/>
      <c r="Z206" s="46"/>
      <c r="AA206" s="46"/>
      <c r="AB206" s="3"/>
    </row>
    <row r="207" spans="1:28" s="5" customFormat="1" ht="3.9" customHeight="1" x14ac:dyDescent="0.25">
      <c r="A207" s="150">
        <f>1</f>
        <v>1</v>
      </c>
      <c r="B207" s="128"/>
      <c r="C207" s="3"/>
      <c r="D207" s="3"/>
      <c r="E207" s="3"/>
      <c r="F207" s="3"/>
      <c r="G207" s="3"/>
      <c r="H207" s="3"/>
      <c r="I207" s="28"/>
      <c r="J207" s="3"/>
      <c r="K207" s="28"/>
      <c r="L207" s="3"/>
      <c r="M207" s="55"/>
      <c r="N207" s="3"/>
      <c r="O207" s="3"/>
      <c r="P207" s="46"/>
      <c r="Q207" s="46"/>
      <c r="R207" s="46"/>
      <c r="S207" s="46"/>
      <c r="T207" s="46"/>
      <c r="U207" s="46"/>
      <c r="V207" s="46"/>
      <c r="W207" s="46"/>
      <c r="X207" s="46"/>
      <c r="Y207" s="46"/>
      <c r="Z207" s="46"/>
      <c r="AA207" s="46"/>
      <c r="AB207" s="3"/>
    </row>
    <row r="208" spans="1:28" s="5" customFormat="1" x14ac:dyDescent="0.25">
      <c r="A208" s="150">
        <f>1</f>
        <v>1</v>
      </c>
      <c r="B208" s="129" t="str">
        <f>структура!$J$13</f>
        <v>УСН(6%)</v>
      </c>
      <c r="C208" s="3"/>
      <c r="D208" s="3"/>
      <c r="E208" s="147" t="str">
        <f>E206</f>
        <v>NPV(CF)-Inv</v>
      </c>
      <c r="F208" s="147"/>
      <c r="G208" s="147" t="str">
        <f>IF($E208="","",INDEX(KPI!$G:$G,SUMIFS(KPI!$B:$B,KPI!$E:$E,$E208)))</f>
        <v>тыс.руб.</v>
      </c>
      <c r="H208" s="147"/>
      <c r="I208" s="170"/>
      <c r="J208" s="147"/>
      <c r="K208" s="170"/>
      <c r="L208" s="147"/>
      <c r="M208" s="171">
        <f>M198-M$190</f>
        <v>6250.2424810695293</v>
      </c>
      <c r="N208" s="3"/>
      <c r="O208" s="3"/>
      <c r="P208" s="46"/>
      <c r="Q208" s="46"/>
      <c r="R208" s="46"/>
      <c r="S208" s="46"/>
      <c r="T208" s="46"/>
      <c r="U208" s="46"/>
      <c r="V208" s="46"/>
      <c r="W208" s="46"/>
      <c r="X208" s="46"/>
      <c r="Y208" s="46"/>
      <c r="Z208" s="46"/>
      <c r="AA208" s="46"/>
      <c r="AB208" s="3"/>
    </row>
    <row r="209" spans="1:28" s="5" customFormat="1" ht="3.9" customHeight="1" x14ac:dyDescent="0.25">
      <c r="A209" s="150">
        <f>1</f>
        <v>1</v>
      </c>
      <c r="B209" s="128"/>
      <c r="C209" s="3"/>
      <c r="D209" s="3"/>
      <c r="E209" s="3"/>
      <c r="F209" s="3"/>
      <c r="G209" s="3"/>
      <c r="H209" s="3"/>
      <c r="I209" s="28"/>
      <c r="J209" s="3"/>
      <c r="K209" s="28"/>
      <c r="L209" s="3"/>
      <c r="M209" s="55"/>
      <c r="N209" s="3"/>
      <c r="O209" s="3"/>
      <c r="P209" s="46"/>
      <c r="Q209" s="46"/>
      <c r="R209" s="46"/>
      <c r="S209" s="46"/>
      <c r="T209" s="46"/>
      <c r="U209" s="46"/>
      <c r="V209" s="46"/>
      <c r="W209" s="46"/>
      <c r="X209" s="46"/>
      <c r="Y209" s="46"/>
      <c r="Z209" s="46"/>
      <c r="AA209" s="46"/>
      <c r="AB209" s="3"/>
    </row>
    <row r="210" spans="1:28" s="5" customFormat="1" x14ac:dyDescent="0.25">
      <c r="A210" s="150">
        <f>1</f>
        <v>1</v>
      </c>
      <c r="B210" s="129" t="str">
        <f>структура!$J$14</f>
        <v>УСН(15%)</v>
      </c>
      <c r="C210" s="3"/>
      <c r="D210" s="3"/>
      <c r="E210" s="147" t="str">
        <f>E206</f>
        <v>NPV(CF)-Inv</v>
      </c>
      <c r="F210" s="147"/>
      <c r="G210" s="147" t="str">
        <f>IF($E210="","",INDEX(KPI!$G:$G,SUMIFS(KPI!$B:$B,KPI!$E:$E,$E210)))</f>
        <v>тыс.руб.</v>
      </c>
      <c r="H210" s="147"/>
      <c r="I210" s="170"/>
      <c r="J210" s="147"/>
      <c r="K210" s="170"/>
      <c r="L210" s="147"/>
      <c r="M210" s="171">
        <f>M200-M$190</f>
        <v>5317.5493628169943</v>
      </c>
      <c r="N210" s="3"/>
      <c r="O210" s="3"/>
      <c r="P210" s="46"/>
      <c r="Q210" s="46"/>
      <c r="R210" s="46"/>
      <c r="S210" s="46"/>
      <c r="T210" s="46"/>
      <c r="U210" s="46"/>
      <c r="V210" s="46"/>
      <c r="W210" s="46"/>
      <c r="X210" s="46"/>
      <c r="Y210" s="46"/>
      <c r="Z210" s="46"/>
      <c r="AA210" s="46"/>
      <c r="AB210" s="3"/>
    </row>
    <row r="211" spans="1:28" s="5" customFormat="1" ht="3.9" customHeight="1" x14ac:dyDescent="0.25">
      <c r="A211" s="150">
        <f>1</f>
        <v>1</v>
      </c>
      <c r="B211" s="128"/>
      <c r="C211" s="3"/>
      <c r="D211" s="3"/>
      <c r="E211" s="3"/>
      <c r="F211" s="3"/>
      <c r="G211" s="3"/>
      <c r="H211" s="3"/>
      <c r="I211" s="28"/>
      <c r="J211" s="3"/>
      <c r="K211" s="28"/>
      <c r="L211" s="3"/>
      <c r="M211" s="55"/>
      <c r="N211" s="3"/>
      <c r="O211" s="3"/>
      <c r="P211" s="46"/>
      <c r="Q211" s="46"/>
      <c r="R211" s="46"/>
      <c r="S211" s="46"/>
      <c r="T211" s="46"/>
      <c r="U211" s="46"/>
      <c r="V211" s="46"/>
      <c r="W211" s="46"/>
      <c r="X211" s="46"/>
      <c r="Y211" s="46"/>
      <c r="Z211" s="46"/>
      <c r="AA211" s="46"/>
      <c r="AB211" s="3"/>
    </row>
    <row r="212" spans="1:28" s="5" customFormat="1" x14ac:dyDescent="0.25">
      <c r="A212" s="150">
        <f>1</f>
        <v>1</v>
      </c>
      <c r="B212" s="129" t="str">
        <f>структура!$J$15</f>
        <v>УСН(6%)-ИП</v>
      </c>
      <c r="C212" s="3"/>
      <c r="D212" s="3"/>
      <c r="E212" s="147" t="str">
        <f>E206</f>
        <v>NPV(CF)-Inv</v>
      </c>
      <c r="F212" s="147"/>
      <c r="G212" s="147" t="str">
        <f>IF($E212="","",INDEX(KPI!$G:$G,SUMIFS(KPI!$B:$B,KPI!$E:$E,$E212)))</f>
        <v>тыс.руб.</v>
      </c>
      <c r="H212" s="147"/>
      <c r="I212" s="170"/>
      <c r="J212" s="147"/>
      <c r="K212" s="170"/>
      <c r="L212" s="147"/>
      <c r="M212" s="171">
        <f>M202-M$190</f>
        <v>6457.398393575505</v>
      </c>
      <c r="N212" s="3"/>
      <c r="O212" s="3"/>
      <c r="P212" s="46"/>
      <c r="Q212" s="46"/>
      <c r="R212" s="46"/>
      <c r="S212" s="46"/>
      <c r="T212" s="46"/>
      <c r="U212" s="46"/>
      <c r="V212" s="46"/>
      <c r="W212" s="46"/>
      <c r="X212" s="46"/>
      <c r="Y212" s="46"/>
      <c r="Z212" s="46"/>
      <c r="AA212" s="46"/>
      <c r="AB212" s="3"/>
    </row>
    <row r="213" spans="1:28" ht="3.9" customHeight="1" x14ac:dyDescent="0.25">
      <c r="A213" s="149">
        <f>1</f>
        <v>1</v>
      </c>
      <c r="B213" s="131"/>
      <c r="C213" s="2"/>
      <c r="D213" s="2"/>
      <c r="E213" s="117"/>
      <c r="F213" s="2"/>
      <c r="G213" s="117"/>
      <c r="H213" s="2"/>
      <c r="I213" s="28"/>
      <c r="J213" s="2"/>
      <c r="K213" s="28"/>
      <c r="L213" s="2"/>
      <c r="M213" s="138"/>
      <c r="N213" s="2"/>
      <c r="O213" s="2"/>
      <c r="P213" s="36"/>
      <c r="Q213" s="36"/>
      <c r="R213" s="36"/>
      <c r="S213" s="36"/>
      <c r="T213" s="36"/>
      <c r="U213" s="36"/>
      <c r="V213" s="36"/>
      <c r="W213" s="36"/>
      <c r="X213" s="36"/>
      <c r="Y213" s="36"/>
      <c r="Z213" s="36"/>
      <c r="AA213" s="36"/>
      <c r="AB213" s="2"/>
    </row>
    <row r="214" spans="1:28" ht="8.1" customHeight="1" x14ac:dyDescent="0.25">
      <c r="A214" s="149">
        <f>1</f>
        <v>1</v>
      </c>
      <c r="B214" s="131"/>
      <c r="C214" s="2"/>
      <c r="D214" s="2"/>
      <c r="E214" s="2"/>
      <c r="F214" s="2"/>
      <c r="G214" s="2"/>
      <c r="H214" s="2"/>
      <c r="I214" s="28"/>
      <c r="J214" s="2"/>
      <c r="K214" s="28"/>
      <c r="L214" s="2"/>
      <c r="M214" s="52"/>
      <c r="N214" s="2"/>
      <c r="O214" s="2"/>
      <c r="P214" s="36"/>
      <c r="Q214" s="36"/>
      <c r="R214" s="36"/>
      <c r="S214" s="36"/>
      <c r="T214" s="36"/>
      <c r="U214" s="36"/>
      <c r="V214" s="36"/>
      <c r="W214" s="36"/>
      <c r="X214" s="36"/>
      <c r="Y214" s="36"/>
      <c r="Z214" s="36"/>
      <c r="AA214" s="36"/>
      <c r="AB214" s="2"/>
    </row>
    <row r="215" spans="1:28" ht="3.9" customHeight="1" x14ac:dyDescent="0.25">
      <c r="A215" s="149">
        <f>1</f>
        <v>1</v>
      </c>
      <c r="B215" s="131"/>
      <c r="C215" s="2"/>
      <c r="D215" s="2"/>
      <c r="E215" s="2"/>
      <c r="F215" s="2"/>
      <c r="G215" s="2"/>
      <c r="H215" s="2"/>
      <c r="I215" s="28"/>
      <c r="J215" s="2"/>
      <c r="K215" s="28"/>
      <c r="L215" s="2"/>
      <c r="M215" s="52"/>
      <c r="N215" s="2"/>
      <c r="O215" s="2"/>
      <c r="P215" s="36"/>
      <c r="Q215" s="36"/>
      <c r="R215" s="36"/>
      <c r="S215" s="36"/>
      <c r="T215" s="36"/>
      <c r="U215" s="36"/>
      <c r="V215" s="36"/>
      <c r="W215" s="36"/>
      <c r="X215" s="36"/>
      <c r="Y215" s="36"/>
      <c r="Z215" s="36"/>
      <c r="AA215" s="36"/>
      <c r="AB215" s="2"/>
    </row>
    <row r="216" spans="1:28" s="5" customFormat="1" x14ac:dyDescent="0.25">
      <c r="A216" s="150">
        <f>1</f>
        <v>1</v>
      </c>
      <c r="B216" s="129" t="str">
        <f>структура!$J$12</f>
        <v>ОСНО</v>
      </c>
      <c r="C216" s="3"/>
      <c r="D216" s="3"/>
      <c r="E216" s="147" t="str">
        <f>KPI!$E$102</f>
        <v>PI</v>
      </c>
      <c r="F216" s="147"/>
      <c r="G216" s="147" t="str">
        <f>IF($E216="","",INDEX(KPI!$G:$G,SUMIFS(KPI!$B:$B,KPI!$E:$E,$E216)))</f>
        <v>разы</v>
      </c>
      <c r="H216" s="147"/>
      <c r="I216" s="170"/>
      <c r="J216" s="147"/>
      <c r="K216" s="170"/>
      <c r="L216" s="147"/>
      <c r="M216" s="187">
        <f>IF(M$190=0,0,M196/M$190)</f>
        <v>2.1240796310192986</v>
      </c>
      <c r="N216" s="3"/>
      <c r="O216" s="3"/>
      <c r="P216" s="46"/>
      <c r="Q216" s="46"/>
      <c r="R216" s="46"/>
      <c r="S216" s="46"/>
      <c r="T216" s="46"/>
      <c r="U216" s="46"/>
      <c r="V216" s="46"/>
      <c r="W216" s="46"/>
      <c r="X216" s="46"/>
      <c r="Y216" s="46"/>
      <c r="Z216" s="46"/>
      <c r="AA216" s="46"/>
      <c r="AB216" s="3"/>
    </row>
    <row r="217" spans="1:28" s="5" customFormat="1" ht="3.9" customHeight="1" x14ac:dyDescent="0.25">
      <c r="A217" s="150">
        <f>1</f>
        <v>1</v>
      </c>
      <c r="B217" s="128"/>
      <c r="C217" s="3"/>
      <c r="D217" s="3"/>
      <c r="E217" s="3"/>
      <c r="F217" s="3"/>
      <c r="G217" s="3"/>
      <c r="H217" s="3"/>
      <c r="I217" s="28"/>
      <c r="J217" s="3"/>
      <c r="K217" s="28"/>
      <c r="L217" s="3"/>
      <c r="M217" s="55"/>
      <c r="N217" s="3"/>
      <c r="O217" s="3"/>
      <c r="P217" s="46"/>
      <c r="Q217" s="46"/>
      <c r="R217" s="46"/>
      <c r="S217" s="46"/>
      <c r="T217" s="46"/>
      <c r="U217" s="46"/>
      <c r="V217" s="46"/>
      <c r="W217" s="46"/>
      <c r="X217" s="46"/>
      <c r="Y217" s="46"/>
      <c r="Z217" s="46"/>
      <c r="AA217" s="46"/>
      <c r="AB217" s="3"/>
    </row>
    <row r="218" spans="1:28" s="5" customFormat="1" x14ac:dyDescent="0.25">
      <c r="A218" s="150">
        <f>1</f>
        <v>1</v>
      </c>
      <c r="B218" s="129" t="str">
        <f>структура!$J$13</f>
        <v>УСН(6%)</v>
      </c>
      <c r="C218" s="3"/>
      <c r="D218" s="3"/>
      <c r="E218" s="147" t="str">
        <f>E216</f>
        <v>PI</v>
      </c>
      <c r="F218" s="147"/>
      <c r="G218" s="147" t="str">
        <f>IF($E218="","",INDEX(KPI!$G:$G,SUMIFS(KPI!$B:$B,KPI!$E:$E,$E218)))</f>
        <v>разы</v>
      </c>
      <c r="H218" s="147"/>
      <c r="I218" s="170"/>
      <c r="J218" s="147"/>
      <c r="K218" s="170"/>
      <c r="L218" s="147"/>
      <c r="M218" s="187">
        <f>IF(M$190=0,0,M198/M$190)</f>
        <v>2.7228365337073064</v>
      </c>
      <c r="N218" s="3"/>
      <c r="O218" s="3"/>
      <c r="P218" s="46"/>
      <c r="Q218" s="46"/>
      <c r="R218" s="46"/>
      <c r="S218" s="46"/>
      <c r="T218" s="46"/>
      <c r="U218" s="46"/>
      <c r="V218" s="46"/>
      <c r="W218" s="46"/>
      <c r="X218" s="46"/>
      <c r="Y218" s="46"/>
      <c r="Z218" s="46"/>
      <c r="AA218" s="46"/>
      <c r="AB218" s="3"/>
    </row>
    <row r="219" spans="1:28" s="5" customFormat="1" ht="3.9" customHeight="1" x14ac:dyDescent="0.25">
      <c r="A219" s="150">
        <f>1</f>
        <v>1</v>
      </c>
      <c r="B219" s="128"/>
      <c r="C219" s="3"/>
      <c r="D219" s="3"/>
      <c r="E219" s="3"/>
      <c r="F219" s="3"/>
      <c r="G219" s="3"/>
      <c r="H219" s="3"/>
      <c r="I219" s="28"/>
      <c r="J219" s="3"/>
      <c r="K219" s="28"/>
      <c r="L219" s="3"/>
      <c r="M219" s="55"/>
      <c r="N219" s="3"/>
      <c r="O219" s="3"/>
      <c r="P219" s="46"/>
      <c r="Q219" s="46"/>
      <c r="R219" s="46"/>
      <c r="S219" s="46"/>
      <c r="T219" s="46"/>
      <c r="U219" s="46"/>
      <c r="V219" s="46"/>
      <c r="W219" s="46"/>
      <c r="X219" s="46"/>
      <c r="Y219" s="46"/>
      <c r="Z219" s="46"/>
      <c r="AA219" s="46"/>
      <c r="AB219" s="3"/>
    </row>
    <row r="220" spans="1:28" s="5" customFormat="1" x14ac:dyDescent="0.25">
      <c r="A220" s="150">
        <f>1</f>
        <v>1</v>
      </c>
      <c r="B220" s="129" t="str">
        <f>структура!$J$14</f>
        <v>УСН(15%)</v>
      </c>
      <c r="C220" s="3"/>
      <c r="D220" s="3"/>
      <c r="E220" s="147" t="str">
        <f>E216</f>
        <v>PI</v>
      </c>
      <c r="F220" s="147"/>
      <c r="G220" s="147" t="str">
        <f>IF($E220="","",INDEX(KPI!$G:$G,SUMIFS(KPI!$B:$B,KPI!$E:$E,$E220)))</f>
        <v>разы</v>
      </c>
      <c r="H220" s="147"/>
      <c r="I220" s="170"/>
      <c r="J220" s="147"/>
      <c r="K220" s="170"/>
      <c r="L220" s="147"/>
      <c r="M220" s="187">
        <f>IF(M$190=0,0,M200/M$190)</f>
        <v>2.4657460634208017</v>
      </c>
      <c r="N220" s="3"/>
      <c r="O220" s="3"/>
      <c r="P220" s="46"/>
      <c r="Q220" s="46"/>
      <c r="R220" s="46"/>
      <c r="S220" s="46"/>
      <c r="T220" s="46"/>
      <c r="U220" s="46"/>
      <c r="V220" s="46"/>
      <c r="W220" s="46"/>
      <c r="X220" s="46"/>
      <c r="Y220" s="46"/>
      <c r="Z220" s="46"/>
      <c r="AA220" s="46"/>
      <c r="AB220" s="3"/>
    </row>
    <row r="221" spans="1:28" s="5" customFormat="1" ht="3.9" customHeight="1" x14ac:dyDescent="0.25">
      <c r="A221" s="150">
        <f>1</f>
        <v>1</v>
      </c>
      <c r="B221" s="128"/>
      <c r="C221" s="3"/>
      <c r="D221" s="3"/>
      <c r="E221" s="3"/>
      <c r="F221" s="3"/>
      <c r="G221" s="3"/>
      <c r="H221" s="3"/>
      <c r="I221" s="28"/>
      <c r="J221" s="3"/>
      <c r="K221" s="28"/>
      <c r="L221" s="3"/>
      <c r="M221" s="55"/>
      <c r="N221" s="3"/>
      <c r="O221" s="3"/>
      <c r="P221" s="46"/>
      <c r="Q221" s="46"/>
      <c r="R221" s="46"/>
      <c r="S221" s="46"/>
      <c r="T221" s="46"/>
      <c r="U221" s="46"/>
      <c r="V221" s="46"/>
      <c r="W221" s="46"/>
      <c r="X221" s="46"/>
      <c r="Y221" s="46"/>
      <c r="Z221" s="46"/>
      <c r="AA221" s="46"/>
      <c r="AB221" s="3"/>
    </row>
    <row r="222" spans="1:28" s="5" customFormat="1" x14ac:dyDescent="0.25">
      <c r="A222" s="150">
        <f>1</f>
        <v>1</v>
      </c>
      <c r="B222" s="129" t="str">
        <f>структура!$J$15</f>
        <v>УСН(6%)-ИП</v>
      </c>
      <c r="C222" s="3"/>
      <c r="D222" s="3"/>
      <c r="E222" s="147" t="str">
        <f>E216</f>
        <v>PI</v>
      </c>
      <c r="F222" s="147"/>
      <c r="G222" s="147" t="str">
        <f>IF($E222="","",INDEX(KPI!$G:$G,SUMIFS(KPI!$B:$B,KPI!$E:$E,$E222)))</f>
        <v>разы</v>
      </c>
      <c r="H222" s="147"/>
      <c r="I222" s="170"/>
      <c r="J222" s="147"/>
      <c r="K222" s="170"/>
      <c r="L222" s="147"/>
      <c r="M222" s="187">
        <f>IF(M$190=0,0,M202/M$190)</f>
        <v>2.7799376422354509</v>
      </c>
      <c r="N222" s="3"/>
      <c r="O222" s="3"/>
      <c r="P222" s="46"/>
      <c r="Q222" s="46"/>
      <c r="R222" s="46"/>
      <c r="S222" s="46"/>
      <c r="T222" s="46"/>
      <c r="U222" s="46"/>
      <c r="V222" s="46"/>
      <c r="W222" s="46"/>
      <c r="X222" s="46"/>
      <c r="Y222" s="46"/>
      <c r="Z222" s="46"/>
      <c r="AA222" s="46"/>
      <c r="AB222" s="3"/>
    </row>
    <row r="223" spans="1:28" ht="3.9" customHeight="1" x14ac:dyDescent="0.25">
      <c r="A223" s="149">
        <f>1</f>
        <v>1</v>
      </c>
      <c r="B223" s="131"/>
      <c r="C223" s="2"/>
      <c r="D223" s="2"/>
      <c r="E223" s="117"/>
      <c r="F223" s="2"/>
      <c r="G223" s="117"/>
      <c r="H223" s="2"/>
      <c r="I223" s="28"/>
      <c r="J223" s="2"/>
      <c r="K223" s="28"/>
      <c r="L223" s="2"/>
      <c r="M223" s="138"/>
      <c r="N223" s="2"/>
      <c r="O223" s="2"/>
      <c r="P223" s="36"/>
      <c r="Q223" s="36"/>
      <c r="R223" s="36"/>
      <c r="S223" s="36"/>
      <c r="T223" s="36"/>
      <c r="U223" s="36"/>
      <c r="V223" s="36"/>
      <c r="W223" s="36"/>
      <c r="X223" s="36"/>
      <c r="Y223" s="36"/>
      <c r="Z223" s="36"/>
      <c r="AA223" s="36"/>
      <c r="AB223" s="2"/>
    </row>
    <row r="224" spans="1:28" ht="8.1" customHeight="1" x14ac:dyDescent="0.25">
      <c r="A224" s="149">
        <f>1</f>
        <v>1</v>
      </c>
      <c r="B224" s="131"/>
      <c r="C224" s="2"/>
      <c r="D224" s="2"/>
      <c r="E224" s="2"/>
      <c r="F224" s="2"/>
      <c r="G224" s="2"/>
      <c r="H224" s="2"/>
      <c r="I224" s="28"/>
      <c r="J224" s="2"/>
      <c r="K224" s="28"/>
      <c r="L224" s="2"/>
      <c r="M224" s="52"/>
      <c r="N224" s="2"/>
      <c r="O224" s="2"/>
      <c r="P224" s="36"/>
      <c r="Q224" s="36"/>
      <c r="R224" s="36"/>
      <c r="S224" s="36"/>
      <c r="T224" s="36"/>
      <c r="U224" s="36"/>
      <c r="V224" s="36"/>
      <c r="W224" s="36"/>
      <c r="X224" s="36"/>
      <c r="Y224" s="36"/>
      <c r="Z224" s="36"/>
      <c r="AA224" s="36"/>
      <c r="AB224" s="2"/>
    </row>
    <row r="225" spans="1:28" ht="3.9" customHeight="1" x14ac:dyDescent="0.25">
      <c r="A225" s="149">
        <f>1</f>
        <v>1</v>
      </c>
      <c r="B225" s="131"/>
      <c r="C225" s="2"/>
      <c r="D225" s="2"/>
      <c r="E225" s="2"/>
      <c r="F225" s="2"/>
      <c r="G225" s="2"/>
      <c r="H225" s="2"/>
      <c r="I225" s="28"/>
      <c r="J225" s="2"/>
      <c r="K225" s="28"/>
      <c r="L225" s="2"/>
      <c r="M225" s="52"/>
      <c r="N225" s="2"/>
      <c r="O225" s="2"/>
      <c r="P225" s="36"/>
      <c r="Q225" s="36"/>
      <c r="R225" s="36"/>
      <c r="S225" s="36"/>
      <c r="T225" s="36"/>
      <c r="U225" s="36"/>
      <c r="V225" s="36"/>
      <c r="W225" s="36"/>
      <c r="X225" s="36"/>
      <c r="Y225" s="36"/>
      <c r="Z225" s="36"/>
      <c r="AA225" s="36"/>
      <c r="AB225" s="2"/>
    </row>
    <row r="226" spans="1:28" s="5" customFormat="1" x14ac:dyDescent="0.25">
      <c r="A226" s="150">
        <f>1</f>
        <v>1</v>
      </c>
      <c r="B226" s="129" t="str">
        <f>структура!$J$12</f>
        <v>ОСНО</v>
      </c>
      <c r="C226" s="3"/>
      <c r="D226" s="3"/>
      <c r="E226" s="147" t="str">
        <f>KPI!$E$103</f>
        <v>ROI</v>
      </c>
      <c r="F226" s="147"/>
      <c r="G226" s="147" t="str">
        <f>IF($E226="","",INDEX(KPI!$G:$G,SUMIFS(KPI!$B:$B,KPI!$E:$E,$E226)))</f>
        <v>%</v>
      </c>
      <c r="H226" s="147"/>
      <c r="I226" s="170"/>
      <c r="J226" s="147"/>
      <c r="K226" s="170"/>
      <c r="L226" s="147"/>
      <c r="M226" s="188">
        <f>IF(M$190=0,0,M206/M$190)</f>
        <v>1.1240796310192989</v>
      </c>
      <c r="N226" s="3"/>
      <c r="O226" s="3"/>
      <c r="P226" s="46"/>
      <c r="Q226" s="46"/>
      <c r="R226" s="46"/>
      <c r="S226" s="46"/>
      <c r="T226" s="46"/>
      <c r="U226" s="46"/>
      <c r="V226" s="46"/>
      <c r="W226" s="46"/>
      <c r="X226" s="46"/>
      <c r="Y226" s="46"/>
      <c r="Z226" s="46"/>
      <c r="AA226" s="46"/>
      <c r="AB226" s="3"/>
    </row>
    <row r="227" spans="1:28" s="5" customFormat="1" ht="3.9" customHeight="1" x14ac:dyDescent="0.25">
      <c r="A227" s="150">
        <f>1</f>
        <v>1</v>
      </c>
      <c r="B227" s="128"/>
      <c r="C227" s="3"/>
      <c r="D227" s="3"/>
      <c r="E227" s="3"/>
      <c r="F227" s="3"/>
      <c r="G227" s="3"/>
      <c r="H227" s="3"/>
      <c r="I227" s="28"/>
      <c r="J227" s="3"/>
      <c r="K227" s="28"/>
      <c r="L227" s="3"/>
      <c r="M227" s="55"/>
      <c r="N227" s="3"/>
      <c r="O227" s="3"/>
      <c r="P227" s="46"/>
      <c r="Q227" s="46"/>
      <c r="R227" s="46"/>
      <c r="S227" s="46"/>
      <c r="T227" s="46"/>
      <c r="U227" s="46"/>
      <c r="V227" s="46"/>
      <c r="W227" s="46"/>
      <c r="X227" s="46"/>
      <c r="Y227" s="46"/>
      <c r="Z227" s="46"/>
      <c r="AA227" s="46"/>
      <c r="AB227" s="3"/>
    </row>
    <row r="228" spans="1:28" s="5" customFormat="1" x14ac:dyDescent="0.25">
      <c r="A228" s="150">
        <f>1</f>
        <v>1</v>
      </c>
      <c r="B228" s="129" t="str">
        <f>структура!$J$13</f>
        <v>УСН(6%)</v>
      </c>
      <c r="C228" s="3"/>
      <c r="D228" s="3"/>
      <c r="E228" s="147" t="str">
        <f>E226</f>
        <v>ROI</v>
      </c>
      <c r="F228" s="147"/>
      <c r="G228" s="147" t="str">
        <f>IF($E228="","",INDEX(KPI!$G:$G,SUMIFS(KPI!$B:$B,KPI!$E:$E,$E228)))</f>
        <v>%</v>
      </c>
      <c r="H228" s="147"/>
      <c r="I228" s="170"/>
      <c r="J228" s="147"/>
      <c r="K228" s="170"/>
      <c r="L228" s="147"/>
      <c r="M228" s="188">
        <f>IF(M$190=0,0,M208/M$190)</f>
        <v>1.7228365337073066</v>
      </c>
      <c r="N228" s="3"/>
      <c r="O228" s="3"/>
      <c r="P228" s="46"/>
      <c r="Q228" s="46"/>
      <c r="R228" s="46"/>
      <c r="S228" s="46"/>
      <c r="T228" s="46"/>
      <c r="U228" s="46"/>
      <c r="V228" s="46"/>
      <c r="W228" s="46"/>
      <c r="X228" s="46"/>
      <c r="Y228" s="46"/>
      <c r="Z228" s="46"/>
      <c r="AA228" s="46"/>
      <c r="AB228" s="3"/>
    </row>
    <row r="229" spans="1:28" s="5" customFormat="1" ht="3.9" customHeight="1" x14ac:dyDescent="0.25">
      <c r="A229" s="150">
        <f>1</f>
        <v>1</v>
      </c>
      <c r="B229" s="128"/>
      <c r="C229" s="3"/>
      <c r="D229" s="3"/>
      <c r="E229" s="3"/>
      <c r="F229" s="3"/>
      <c r="G229" s="3"/>
      <c r="H229" s="3"/>
      <c r="I229" s="28"/>
      <c r="J229" s="3"/>
      <c r="K229" s="28"/>
      <c r="L229" s="3"/>
      <c r="M229" s="55"/>
      <c r="N229" s="3"/>
      <c r="O229" s="3"/>
      <c r="P229" s="46"/>
      <c r="Q229" s="46"/>
      <c r="R229" s="46"/>
      <c r="S229" s="46"/>
      <c r="T229" s="46"/>
      <c r="U229" s="46"/>
      <c r="V229" s="46"/>
      <c r="W229" s="46"/>
      <c r="X229" s="46"/>
      <c r="Y229" s="46"/>
      <c r="Z229" s="46"/>
      <c r="AA229" s="46"/>
      <c r="AB229" s="3"/>
    </row>
    <row r="230" spans="1:28" s="5" customFormat="1" x14ac:dyDescent="0.25">
      <c r="A230" s="150">
        <f>1</f>
        <v>1</v>
      </c>
      <c r="B230" s="129" t="str">
        <f>структура!$J$14</f>
        <v>УСН(15%)</v>
      </c>
      <c r="C230" s="3"/>
      <c r="D230" s="3"/>
      <c r="E230" s="147" t="str">
        <f>E226</f>
        <v>ROI</v>
      </c>
      <c r="F230" s="147"/>
      <c r="G230" s="147" t="str">
        <f>IF($E230="","",INDEX(KPI!$G:$G,SUMIFS(KPI!$B:$B,KPI!$E:$E,$E230)))</f>
        <v>%</v>
      </c>
      <c r="H230" s="147"/>
      <c r="I230" s="170"/>
      <c r="J230" s="147"/>
      <c r="K230" s="170"/>
      <c r="L230" s="147"/>
      <c r="M230" s="188">
        <f>IF(M$190=0,0,M210/M$190)</f>
        <v>1.4657460634208017</v>
      </c>
      <c r="N230" s="3"/>
      <c r="O230" s="3"/>
      <c r="P230" s="46"/>
      <c r="Q230" s="46"/>
      <c r="R230" s="46"/>
      <c r="S230" s="46"/>
      <c r="T230" s="46"/>
      <c r="U230" s="46"/>
      <c r="V230" s="46"/>
      <c r="W230" s="46"/>
      <c r="X230" s="46"/>
      <c r="Y230" s="46"/>
      <c r="Z230" s="46"/>
      <c r="AA230" s="46"/>
      <c r="AB230" s="3"/>
    </row>
    <row r="231" spans="1:28" s="5" customFormat="1" ht="3.9" customHeight="1" x14ac:dyDescent="0.25">
      <c r="A231" s="150">
        <f>1</f>
        <v>1</v>
      </c>
      <c r="B231" s="128"/>
      <c r="C231" s="3"/>
      <c r="D231" s="3"/>
      <c r="E231" s="3"/>
      <c r="F231" s="3"/>
      <c r="G231" s="3"/>
      <c r="H231" s="3"/>
      <c r="I231" s="28"/>
      <c r="J231" s="3"/>
      <c r="K231" s="28"/>
      <c r="L231" s="3"/>
      <c r="M231" s="55"/>
      <c r="N231" s="3"/>
      <c r="O231" s="3"/>
      <c r="P231" s="46"/>
      <c r="Q231" s="46"/>
      <c r="R231" s="46"/>
      <c r="S231" s="46"/>
      <c r="T231" s="46"/>
      <c r="U231" s="46"/>
      <c r="V231" s="46"/>
      <c r="W231" s="46"/>
      <c r="X231" s="46"/>
      <c r="Y231" s="46"/>
      <c r="Z231" s="46"/>
      <c r="AA231" s="46"/>
      <c r="AB231" s="3"/>
    </row>
    <row r="232" spans="1:28" s="5" customFormat="1" x14ac:dyDescent="0.25">
      <c r="A232" s="150">
        <f>1</f>
        <v>1</v>
      </c>
      <c r="B232" s="129" t="str">
        <f>структура!$J$15</f>
        <v>УСН(6%)-ИП</v>
      </c>
      <c r="C232" s="3"/>
      <c r="D232" s="3"/>
      <c r="E232" s="147" t="str">
        <f>E226</f>
        <v>ROI</v>
      </c>
      <c r="F232" s="147"/>
      <c r="G232" s="147" t="str">
        <f>IF($E232="","",INDEX(KPI!$G:$G,SUMIFS(KPI!$B:$B,KPI!$E:$E,$E232)))</f>
        <v>%</v>
      </c>
      <c r="H232" s="147"/>
      <c r="I232" s="170"/>
      <c r="J232" s="147"/>
      <c r="K232" s="170"/>
      <c r="L232" s="147"/>
      <c r="M232" s="188">
        <f>IF(M$190=0,0,M212/M$190)</f>
        <v>1.7799376422354509</v>
      </c>
      <c r="N232" s="3"/>
      <c r="O232" s="3"/>
      <c r="P232" s="46"/>
      <c r="Q232" s="46"/>
      <c r="R232" s="46"/>
      <c r="S232" s="46"/>
      <c r="T232" s="46"/>
      <c r="U232" s="46"/>
      <c r="V232" s="46"/>
      <c r="W232" s="46"/>
      <c r="X232" s="46"/>
      <c r="Y232" s="46"/>
      <c r="Z232" s="46"/>
      <c r="AA232" s="46"/>
      <c r="AB232" s="3"/>
    </row>
    <row r="233" spans="1:28" ht="3.9" customHeight="1" x14ac:dyDescent="0.25">
      <c r="A233" s="149">
        <f>1</f>
        <v>1</v>
      </c>
      <c r="B233" s="131"/>
      <c r="C233" s="2"/>
      <c r="D233" s="2"/>
      <c r="E233" s="117"/>
      <c r="F233" s="2"/>
      <c r="G233" s="117"/>
      <c r="H233" s="2"/>
      <c r="I233" s="28"/>
      <c r="J233" s="2"/>
      <c r="K233" s="28"/>
      <c r="L233" s="2"/>
      <c r="M233" s="138"/>
      <c r="N233" s="2"/>
      <c r="O233" s="2"/>
      <c r="P233" s="36"/>
      <c r="Q233" s="36"/>
      <c r="R233" s="36"/>
      <c r="S233" s="36"/>
      <c r="T233" s="36"/>
      <c r="U233" s="36"/>
      <c r="V233" s="36"/>
      <c r="W233" s="36"/>
      <c r="X233" s="36"/>
      <c r="Y233" s="36"/>
      <c r="Z233" s="36"/>
      <c r="AA233" s="36"/>
      <c r="AB233" s="2"/>
    </row>
    <row r="234" spans="1:28" ht="8.1" customHeight="1" x14ac:dyDescent="0.25">
      <c r="A234" s="149">
        <f>1</f>
        <v>1</v>
      </c>
      <c r="B234" s="131"/>
      <c r="C234" s="2"/>
      <c r="D234" s="2"/>
      <c r="E234" s="2"/>
      <c r="F234" s="2"/>
      <c r="G234" s="2"/>
      <c r="H234" s="2"/>
      <c r="I234" s="28"/>
      <c r="J234" s="2"/>
      <c r="K234" s="28"/>
      <c r="L234" s="2"/>
      <c r="M234" s="52"/>
      <c r="N234" s="2"/>
      <c r="O234" s="2"/>
      <c r="P234" s="36"/>
      <c r="Q234" s="36"/>
      <c r="R234" s="36"/>
      <c r="S234" s="36"/>
      <c r="T234" s="36"/>
      <c r="U234" s="36"/>
      <c r="V234" s="36"/>
      <c r="W234" s="36"/>
      <c r="X234" s="36"/>
      <c r="Y234" s="36"/>
      <c r="Z234" s="36"/>
      <c r="AA234" s="36"/>
      <c r="AB234" s="2"/>
    </row>
    <row r="235" spans="1:28" ht="3.9" customHeight="1" x14ac:dyDescent="0.25">
      <c r="A235" s="149">
        <f>1</f>
        <v>1</v>
      </c>
      <c r="B235" s="131"/>
      <c r="C235" s="2"/>
      <c r="D235" s="2"/>
      <c r="E235" s="2"/>
      <c r="F235" s="2"/>
      <c r="G235" s="2"/>
      <c r="H235" s="2"/>
      <c r="I235" s="28"/>
      <c r="J235" s="2"/>
      <c r="K235" s="28"/>
      <c r="L235" s="2"/>
      <c r="M235" s="52"/>
      <c r="N235" s="2"/>
      <c r="O235" s="2"/>
      <c r="P235" s="36"/>
      <c r="Q235" s="36"/>
      <c r="R235" s="36"/>
      <c r="S235" s="36"/>
      <c r="T235" s="36"/>
      <c r="U235" s="36"/>
      <c r="V235" s="36"/>
      <c r="W235" s="36"/>
      <c r="X235" s="36"/>
      <c r="Y235" s="36"/>
      <c r="Z235" s="36"/>
      <c r="AA235" s="36"/>
      <c r="AB235" s="2"/>
    </row>
    <row r="236" spans="1:28" s="157" customFormat="1" x14ac:dyDescent="0.25">
      <c r="A236" s="155">
        <f>1</f>
        <v>1</v>
      </c>
      <c r="B236" s="156" t="str">
        <f>структура!$J$12</f>
        <v>ОСНО</v>
      </c>
      <c r="C236" s="155"/>
      <c r="D236" s="155"/>
      <c r="E236" s="189" t="str">
        <f>KPI!$E$104</f>
        <v>График возврата инвестиций (приведенный)</v>
      </c>
      <c r="F236" s="189"/>
      <c r="G236" s="189" t="str">
        <f>IF($E236="","",INDEX(KPI!$G:$G,SUMIFS(KPI!$B:$B,KPI!$E:$E,$E236)))</f>
        <v>тыс.руб.</v>
      </c>
      <c r="H236" s="189"/>
      <c r="I236" s="190"/>
      <c r="J236" s="189"/>
      <c r="K236" s="190"/>
      <c r="L236" s="189"/>
      <c r="M236" s="191">
        <f>SUM($O236:$AB236)</f>
        <v>3627.8789999999999</v>
      </c>
      <c r="N236" s="155"/>
      <c r="O236" s="155"/>
      <c r="P236" s="192">
        <f>IF(P$1="",0,IF($M206&lt;0,0,IF(SUM($O236:O236)=$M$190,0,IF(SUM($O196:P196)&lt;=$M$190,P196,$M$190-SUM($O196:O196)))))</f>
        <v>1929.6440714297732</v>
      </c>
      <c r="Q236" s="192">
        <f>IF(Q$1="",0,IF($M206&lt;0,0,IF(SUM($O236:P236)=$M$190,0,IF(SUM($O196:Q196)&lt;=$M$190,Q196,$M$190-SUM($O196:P196)))))</f>
        <v>1117.7203837763577</v>
      </c>
      <c r="R236" s="192">
        <f>IF(R$1="",0,IF($M206&lt;0,0,IF(SUM($O236:Q236)=$M$190,0,IF(SUM($O196:R196)&lt;=$M$190,R196,$M$190-SUM($O196:Q196)))))</f>
        <v>580.51454479386894</v>
      </c>
      <c r="S236" s="192">
        <f>IF(S$1="",0,IF($M206&lt;0,0,IF(SUM($O236:R236)=$M$190,0,IF(SUM($O196:S196)&lt;=$M$190,S196,$M$190-SUM($O196:R196)))))</f>
        <v>0</v>
      </c>
      <c r="T236" s="192">
        <f>IF(T$1="",0,IF($M206&lt;0,0,IF(SUM($O236:S236)=$M$190,0,IF(SUM($O196:T196)&lt;=$M$190,T196,$M$190-SUM($O196:S196)))))</f>
        <v>0</v>
      </c>
      <c r="U236" s="192">
        <f>IF(U$1="",0,IF($M206&lt;0,0,IF(SUM($O236:T236)=$M$190,0,IF(SUM($O196:U196)&lt;=$M$190,U196,$M$190-SUM($O196:T196)))))</f>
        <v>0</v>
      </c>
      <c r="V236" s="192">
        <f>IF(V$1="",0,IF($M206&lt;0,0,IF(SUM($O236:U236)=$M$190,0,IF(SUM($O196:V196)&lt;=$M$190,V196,$M$190-SUM($O196:U196)))))</f>
        <v>0</v>
      </c>
      <c r="W236" s="192">
        <f>IF(W$1="",0,IF($M206&lt;0,0,IF(SUM($O236:V236)=$M$190,0,IF(SUM($O196:W196)&lt;=$M$190,W196,$M$190-SUM($O196:V196)))))</f>
        <v>0</v>
      </c>
      <c r="X236" s="192">
        <f>IF(X$1="",0,IF($M206&lt;0,0,IF(SUM($O236:W236)=$M$190,0,IF(SUM($O196:X196)&lt;=$M$190,X196,$M$190-SUM($O196:W196)))))</f>
        <v>0</v>
      </c>
      <c r="Y236" s="192">
        <f>IF(Y$1="",0,IF($M206&lt;0,0,IF(SUM($O236:X236)=$M$190,0,IF(SUM($O196:Y196)&lt;=$M$190,Y196,$M$190-SUM($O196:X196)))))</f>
        <v>0</v>
      </c>
      <c r="Z236" s="192">
        <f>IF(Z$1="",0,IF($M206&lt;0,0,IF(SUM($O236:Y236)=$M$190,0,IF(SUM($O196:Z196)&lt;=$M$190,Z196,$M$190-SUM($O196:Y196)))))</f>
        <v>0</v>
      </c>
      <c r="AA236" s="192">
        <f>IF(AA$1="",0,IF($M206&lt;0,0,IF(SUM($O236:Z236)=$M$190,0,IF(SUM($O196:AA196)&lt;=$M$190,AA196,$M$190-SUM($O196:Z196)))))</f>
        <v>0</v>
      </c>
      <c r="AB236" s="155"/>
    </row>
    <row r="237" spans="1:28" s="5" customFormat="1" ht="3.9" customHeight="1" x14ac:dyDescent="0.25">
      <c r="A237" s="150">
        <f>1</f>
        <v>1</v>
      </c>
      <c r="B237" s="128"/>
      <c r="C237" s="3"/>
      <c r="D237" s="3"/>
      <c r="E237" s="3"/>
      <c r="F237" s="3"/>
      <c r="G237" s="3"/>
      <c r="H237" s="3"/>
      <c r="I237" s="28"/>
      <c r="J237" s="3"/>
      <c r="K237" s="28"/>
      <c r="L237" s="3"/>
      <c r="M237" s="55"/>
      <c r="N237" s="3"/>
      <c r="O237" s="3"/>
      <c r="P237" s="46"/>
      <c r="Q237" s="46"/>
      <c r="R237" s="46"/>
      <c r="S237" s="46"/>
      <c r="T237" s="46"/>
      <c r="U237" s="46"/>
      <c r="V237" s="46"/>
      <c r="W237" s="46"/>
      <c r="X237" s="46"/>
      <c r="Y237" s="46"/>
      <c r="Z237" s="46"/>
      <c r="AA237" s="46"/>
      <c r="AB237" s="3"/>
    </row>
    <row r="238" spans="1:28" s="157" customFormat="1" x14ac:dyDescent="0.25">
      <c r="A238" s="155">
        <f>1</f>
        <v>1</v>
      </c>
      <c r="B238" s="156" t="str">
        <f>структура!$J$13</f>
        <v>УСН(6%)</v>
      </c>
      <c r="C238" s="155"/>
      <c r="D238" s="155"/>
      <c r="E238" s="189" t="str">
        <f>E236</f>
        <v>График возврата инвестиций (приведенный)</v>
      </c>
      <c r="F238" s="189"/>
      <c r="G238" s="189" t="str">
        <f>IF($E238="","",INDEX(KPI!$G:$G,SUMIFS(KPI!$B:$B,KPI!$E:$E,$E238)))</f>
        <v>тыс.руб.</v>
      </c>
      <c r="H238" s="189"/>
      <c r="I238" s="190"/>
      <c r="J238" s="189"/>
      <c r="K238" s="190"/>
      <c r="L238" s="189"/>
      <c r="M238" s="191">
        <f>SUM($O238:$AB238)</f>
        <v>3627.8789999999999</v>
      </c>
      <c r="N238" s="155"/>
      <c r="O238" s="155"/>
      <c r="P238" s="192">
        <f>IF(P$1="",0,IF($M208&lt;0,0,IF(SUM($O238:O238)=$M$190,0,IF(SUM($O198:P198)&lt;=$M$190,P198,$M$190-SUM($O198:O198)))))</f>
        <v>1773.5834653691677</v>
      </c>
      <c r="Q238" s="192">
        <f>IF(Q$1="",0,IF($M208&lt;0,0,IF(SUM($O238:P238)=$M$190,0,IF(SUM($O198:Q198)&lt;=$M$190,Q198,$M$190-SUM($O198:P198)))))</f>
        <v>1575.1641317402684</v>
      </c>
      <c r="R238" s="192">
        <f>IF(R$1="",0,IF($M208&lt;0,0,IF(SUM($O238:Q238)=$M$190,0,IF(SUM($O198:R198)&lt;=$M$190,R198,$M$190-SUM($O198:Q198)))))</f>
        <v>279.13140289056355</v>
      </c>
      <c r="S238" s="192">
        <f>IF(S$1="",0,IF($M208&lt;0,0,IF(SUM($O238:R238)=$M$190,0,IF(SUM($O198:S198)&lt;=$M$190,S198,$M$190-SUM($O198:R198)))))</f>
        <v>0</v>
      </c>
      <c r="T238" s="192">
        <f>IF(T$1="",0,IF($M208&lt;0,0,IF(SUM($O238:S238)=$M$190,0,IF(SUM($O198:T198)&lt;=$M$190,T198,$M$190-SUM($O198:S198)))))</f>
        <v>0</v>
      </c>
      <c r="U238" s="192">
        <f>IF(U$1="",0,IF($M208&lt;0,0,IF(SUM($O238:T238)=$M$190,0,IF(SUM($O198:U198)&lt;=$M$190,U198,$M$190-SUM($O198:T198)))))</f>
        <v>0</v>
      </c>
      <c r="V238" s="192">
        <f>IF(V$1="",0,IF($M208&lt;0,0,IF(SUM($O238:U238)=$M$190,0,IF(SUM($O198:V198)&lt;=$M$190,V198,$M$190-SUM($O198:U198)))))</f>
        <v>0</v>
      </c>
      <c r="W238" s="192">
        <f>IF(W$1="",0,IF($M208&lt;0,0,IF(SUM($O238:V238)=$M$190,0,IF(SUM($O198:W198)&lt;=$M$190,W198,$M$190-SUM($O198:V198)))))</f>
        <v>0</v>
      </c>
      <c r="X238" s="192">
        <f>IF(X$1="",0,IF($M208&lt;0,0,IF(SUM($O238:W238)=$M$190,0,IF(SUM($O198:X198)&lt;=$M$190,X198,$M$190-SUM($O198:W198)))))</f>
        <v>0</v>
      </c>
      <c r="Y238" s="192">
        <f>IF(Y$1="",0,IF($M208&lt;0,0,IF(SUM($O238:X238)=$M$190,0,IF(SUM($O198:Y198)&lt;=$M$190,Y198,$M$190-SUM($O198:X198)))))</f>
        <v>0</v>
      </c>
      <c r="Z238" s="192">
        <f>IF(Z$1="",0,IF($M208&lt;0,0,IF(SUM($O238:Y238)=$M$190,0,IF(SUM($O198:Z198)&lt;=$M$190,Z198,$M$190-SUM($O198:Y198)))))</f>
        <v>0</v>
      </c>
      <c r="AA238" s="192">
        <f>IF(AA$1="",0,IF($M208&lt;0,0,IF(SUM($O238:Z238)=$M$190,0,IF(SUM($O198:AA198)&lt;=$M$190,AA198,$M$190-SUM($O198:Z198)))))</f>
        <v>0</v>
      </c>
      <c r="AB238" s="155"/>
    </row>
    <row r="239" spans="1:28" s="5" customFormat="1" ht="3.9" customHeight="1" x14ac:dyDescent="0.25">
      <c r="A239" s="150">
        <f>1</f>
        <v>1</v>
      </c>
      <c r="B239" s="128"/>
      <c r="C239" s="3"/>
      <c r="D239" s="3"/>
      <c r="E239" s="3"/>
      <c r="F239" s="3"/>
      <c r="G239" s="3"/>
      <c r="H239" s="3"/>
      <c r="I239" s="28"/>
      <c r="J239" s="3"/>
      <c r="K239" s="28"/>
      <c r="L239" s="3"/>
      <c r="M239" s="55"/>
      <c r="N239" s="3"/>
      <c r="O239" s="3"/>
      <c r="P239" s="46"/>
      <c r="Q239" s="46"/>
      <c r="R239" s="46"/>
      <c r="S239" s="46"/>
      <c r="T239" s="46"/>
      <c r="U239" s="46"/>
      <c r="V239" s="46"/>
      <c r="W239" s="46"/>
      <c r="X239" s="46"/>
      <c r="Y239" s="46"/>
      <c r="Z239" s="46"/>
      <c r="AA239" s="46"/>
      <c r="AB239" s="3"/>
    </row>
    <row r="240" spans="1:28" s="157" customFormat="1" x14ac:dyDescent="0.25">
      <c r="A240" s="155">
        <f>1</f>
        <v>1</v>
      </c>
      <c r="B240" s="156" t="str">
        <f>структура!$J$14</f>
        <v>УСН(15%)</v>
      </c>
      <c r="C240" s="155"/>
      <c r="D240" s="155"/>
      <c r="E240" s="189" t="str">
        <f>E236</f>
        <v>График возврата инвестиций (приведенный)</v>
      </c>
      <c r="F240" s="189"/>
      <c r="G240" s="189" t="str">
        <f>IF($E240="","",INDEX(KPI!$G:$G,SUMIFS(KPI!$B:$B,KPI!$E:$E,$E240)))</f>
        <v>тыс.руб.</v>
      </c>
      <c r="H240" s="189"/>
      <c r="I240" s="190"/>
      <c r="J240" s="189"/>
      <c r="K240" s="190"/>
      <c r="L240" s="189"/>
      <c r="M240" s="191">
        <f>SUM($O240:$AB240)</f>
        <v>3627.8789999999999</v>
      </c>
      <c r="N240" s="155"/>
      <c r="O240" s="155"/>
      <c r="P240" s="192">
        <f>IF(P$1="",0,IF($M210&lt;0,0,IF(SUM($O240:O240)=$M$190,0,IF(SUM($O200:P200)&lt;=$M$190,P200,$M$190-SUM($O200:O200)))))</f>
        <v>1773.5834653691677</v>
      </c>
      <c r="Q240" s="192">
        <f>IF(Q$1="",0,IF($M210&lt;0,0,IF(SUM($O240:P240)=$M$190,0,IF(SUM($O200:Q200)&lt;=$M$190,Q200,$M$190-SUM($O200:P200)))))</f>
        <v>1391.9244994038547</v>
      </c>
      <c r="R240" s="192">
        <f>IF(R$1="",0,IF($M210&lt;0,0,IF(SUM($O240:Q240)=$M$190,0,IF(SUM($O200:R200)&lt;=$M$190,R200,$M$190-SUM($O200:Q200)))))</f>
        <v>462.37103522697726</v>
      </c>
      <c r="S240" s="192">
        <f>IF(S$1="",0,IF($M210&lt;0,0,IF(SUM($O240:R240)=$M$190,0,IF(SUM($O200:S200)&lt;=$M$190,S200,$M$190-SUM($O200:R200)))))</f>
        <v>0</v>
      </c>
      <c r="T240" s="192">
        <f>IF(T$1="",0,IF($M210&lt;0,0,IF(SUM($O240:S240)=$M$190,0,IF(SUM($O200:T200)&lt;=$M$190,T200,$M$190-SUM($O200:S200)))))</f>
        <v>0</v>
      </c>
      <c r="U240" s="192">
        <f>IF(U$1="",0,IF($M210&lt;0,0,IF(SUM($O240:T240)=$M$190,0,IF(SUM($O200:U200)&lt;=$M$190,U200,$M$190-SUM($O200:T200)))))</f>
        <v>0</v>
      </c>
      <c r="V240" s="192">
        <f>IF(V$1="",0,IF($M210&lt;0,0,IF(SUM($O240:U240)=$M$190,0,IF(SUM($O200:V200)&lt;=$M$190,V200,$M$190-SUM($O200:U200)))))</f>
        <v>0</v>
      </c>
      <c r="W240" s="192">
        <f>IF(W$1="",0,IF($M210&lt;0,0,IF(SUM($O240:V240)=$M$190,0,IF(SUM($O200:W200)&lt;=$M$190,W200,$M$190-SUM($O200:V200)))))</f>
        <v>0</v>
      </c>
      <c r="X240" s="192">
        <f>IF(X$1="",0,IF($M210&lt;0,0,IF(SUM($O240:W240)=$M$190,0,IF(SUM($O200:X200)&lt;=$M$190,X200,$M$190-SUM($O200:W200)))))</f>
        <v>0</v>
      </c>
      <c r="Y240" s="192">
        <f>IF(Y$1="",0,IF($M210&lt;0,0,IF(SUM($O240:X240)=$M$190,0,IF(SUM($O200:Y200)&lt;=$M$190,Y200,$M$190-SUM($O200:X200)))))</f>
        <v>0</v>
      </c>
      <c r="Z240" s="192">
        <f>IF(Z$1="",0,IF($M210&lt;0,0,IF(SUM($O240:Y240)=$M$190,0,IF(SUM($O200:Z200)&lt;=$M$190,Z200,$M$190-SUM($O200:Y200)))))</f>
        <v>0</v>
      </c>
      <c r="AA240" s="192">
        <f>IF(AA$1="",0,IF($M210&lt;0,0,IF(SUM($O240:Z240)=$M$190,0,IF(SUM($O200:AA200)&lt;=$M$190,AA200,$M$190-SUM($O200:Z200)))))</f>
        <v>0</v>
      </c>
      <c r="AB240" s="155"/>
    </row>
    <row r="241" spans="1:28" s="5" customFormat="1" ht="3.9" customHeight="1" x14ac:dyDescent="0.25">
      <c r="A241" s="150">
        <f>1</f>
        <v>1</v>
      </c>
      <c r="B241" s="128"/>
      <c r="C241" s="3"/>
      <c r="D241" s="3"/>
      <c r="E241" s="3"/>
      <c r="F241" s="3"/>
      <c r="G241" s="3"/>
      <c r="H241" s="3"/>
      <c r="I241" s="28"/>
      <c r="J241" s="3"/>
      <c r="K241" s="28"/>
      <c r="L241" s="3"/>
      <c r="M241" s="55"/>
      <c r="N241" s="3"/>
      <c r="O241" s="3"/>
      <c r="P241" s="46"/>
      <c r="Q241" s="46"/>
      <c r="R241" s="46"/>
      <c r="S241" s="46"/>
      <c r="T241" s="46"/>
      <c r="U241" s="46"/>
      <c r="V241" s="46"/>
      <c r="W241" s="46"/>
      <c r="X241" s="46"/>
      <c r="Y241" s="46"/>
      <c r="Z241" s="46"/>
      <c r="AA241" s="46"/>
      <c r="AB241" s="3"/>
    </row>
    <row r="242" spans="1:28" s="157" customFormat="1" x14ac:dyDescent="0.25">
      <c r="A242" s="155">
        <f>1</f>
        <v>1</v>
      </c>
      <c r="B242" s="156" t="str">
        <f>структура!$J$15</f>
        <v>УСН(6%)-ИП</v>
      </c>
      <c r="C242" s="155"/>
      <c r="D242" s="155"/>
      <c r="E242" s="189" t="str">
        <f>E236</f>
        <v>График возврата инвестиций (приведенный)</v>
      </c>
      <c r="F242" s="189"/>
      <c r="G242" s="189" t="str">
        <f>IF($E242="","",INDEX(KPI!$G:$G,SUMIFS(KPI!$B:$B,KPI!$E:$E,$E242)))</f>
        <v>тыс.руб.</v>
      </c>
      <c r="H242" s="189"/>
      <c r="I242" s="190"/>
      <c r="J242" s="189"/>
      <c r="K242" s="190"/>
      <c r="L242" s="189"/>
      <c r="M242" s="191">
        <f>SUM($O242:$AB242)</f>
        <v>3627.8789999999999</v>
      </c>
      <c r="N242" s="155"/>
      <c r="O242" s="155"/>
      <c r="P242" s="192">
        <f>IF(P$1="",0,IF($M212&lt;0,0,IF(SUM($O242:O242)=$M$190,0,IF(SUM($O202:P202)&lt;=$M$190,P202,$M$190-SUM($O202:O202)))))</f>
        <v>1773.5834653691677</v>
      </c>
      <c r="Q242" s="192">
        <f>IF(Q$1="",0,IF($M212&lt;0,0,IF(SUM($O242:P242)=$M$190,0,IF(SUM($O202:Q202)&lt;=$M$190,Q202,$M$190-SUM($O202:P202)))))</f>
        <v>1633.2241730625819</v>
      </c>
      <c r="R242" s="192">
        <f>IF(R$1="",0,IF($M212&lt;0,0,IF(SUM($O242:Q242)=$M$190,0,IF(SUM($O202:R202)&lt;=$M$190,R202,$M$190-SUM($O202:Q202)))))</f>
        <v>221.07136156825027</v>
      </c>
      <c r="S242" s="192">
        <f>IF(S$1="",0,IF($M212&lt;0,0,IF(SUM($O242:R242)=$M$190,0,IF(SUM($O202:S202)&lt;=$M$190,S202,$M$190-SUM($O202:R202)))))</f>
        <v>0</v>
      </c>
      <c r="T242" s="192">
        <f>IF(T$1="",0,IF($M212&lt;0,0,IF(SUM($O242:S242)=$M$190,0,IF(SUM($O202:T202)&lt;=$M$190,T202,$M$190-SUM($O202:S202)))))</f>
        <v>0</v>
      </c>
      <c r="U242" s="192">
        <f>IF(U$1="",0,IF($M212&lt;0,0,IF(SUM($O242:T242)=$M$190,0,IF(SUM($O202:U202)&lt;=$M$190,U202,$M$190-SUM($O202:T202)))))</f>
        <v>0</v>
      </c>
      <c r="V242" s="192">
        <f>IF(V$1="",0,IF($M212&lt;0,0,IF(SUM($O242:U242)=$M$190,0,IF(SUM($O202:V202)&lt;=$M$190,V202,$M$190-SUM($O202:U202)))))</f>
        <v>0</v>
      </c>
      <c r="W242" s="192">
        <f>IF(W$1="",0,IF($M212&lt;0,0,IF(SUM($O242:V242)=$M$190,0,IF(SUM($O202:W202)&lt;=$M$190,W202,$M$190-SUM($O202:V202)))))</f>
        <v>0</v>
      </c>
      <c r="X242" s="192">
        <f>IF(X$1="",0,IF($M212&lt;0,0,IF(SUM($O242:W242)=$M$190,0,IF(SUM($O202:X202)&lt;=$M$190,X202,$M$190-SUM($O202:W202)))))</f>
        <v>0</v>
      </c>
      <c r="Y242" s="192">
        <f>IF(Y$1="",0,IF($M212&lt;0,0,IF(SUM($O242:X242)=$M$190,0,IF(SUM($O202:Y202)&lt;=$M$190,Y202,$M$190-SUM($O202:X202)))))</f>
        <v>0</v>
      </c>
      <c r="Z242" s="192">
        <f>IF(Z$1="",0,IF($M212&lt;0,0,IF(SUM($O242:Y242)=$M$190,0,IF(SUM($O202:Z202)&lt;=$M$190,Z202,$M$190-SUM($O202:Y202)))))</f>
        <v>0</v>
      </c>
      <c r="AA242" s="192">
        <f>IF(AA$1="",0,IF($M212&lt;0,0,IF(SUM($O242:Z242)=$M$190,0,IF(SUM($O202:AA202)&lt;=$M$190,AA202,$M$190-SUM($O202:Z202)))))</f>
        <v>0</v>
      </c>
      <c r="AB242" s="155"/>
    </row>
    <row r="243" spans="1:28" ht="3.9" customHeight="1" x14ac:dyDescent="0.25">
      <c r="A243" s="149">
        <f>1</f>
        <v>1</v>
      </c>
      <c r="B243" s="131"/>
      <c r="C243" s="2"/>
      <c r="D243" s="2"/>
      <c r="E243" s="119"/>
      <c r="F243" s="2"/>
      <c r="G243" s="119"/>
      <c r="H243" s="2"/>
      <c r="I243" s="28"/>
      <c r="J243" s="2"/>
      <c r="K243" s="28"/>
      <c r="L243" s="2"/>
      <c r="M243" s="142"/>
      <c r="N243" s="2"/>
      <c r="O243" s="2"/>
      <c r="P243" s="36"/>
      <c r="Q243" s="36"/>
      <c r="R243" s="36"/>
      <c r="S243" s="36"/>
      <c r="T243" s="36"/>
      <c r="U243" s="36"/>
      <c r="V243" s="36"/>
      <c r="W243" s="36"/>
      <c r="X243" s="36"/>
      <c r="Y243" s="36"/>
      <c r="Z243" s="36"/>
      <c r="AA243" s="36"/>
      <c r="AB243" s="2"/>
    </row>
    <row r="244" spans="1:28" ht="8.1" customHeight="1" x14ac:dyDescent="0.25">
      <c r="A244" s="149">
        <f>1</f>
        <v>1</v>
      </c>
      <c r="B244" s="131"/>
      <c r="C244" s="2"/>
      <c r="D244" s="2"/>
      <c r="E244" s="2"/>
      <c r="F244" s="2"/>
      <c r="G244" s="2"/>
      <c r="H244" s="2"/>
      <c r="I244" s="28"/>
      <c r="J244" s="2"/>
      <c r="K244" s="28"/>
      <c r="L244" s="2"/>
      <c r="M244" s="52"/>
      <c r="N244" s="2"/>
      <c r="O244" s="2"/>
      <c r="P244" s="36"/>
      <c r="Q244" s="36"/>
      <c r="R244" s="36"/>
      <c r="S244" s="36"/>
      <c r="T244" s="36"/>
      <c r="U244" s="36"/>
      <c r="V244" s="36"/>
      <c r="W244" s="36"/>
      <c r="X244" s="36"/>
      <c r="Y244" s="36"/>
      <c r="Z244" s="36"/>
      <c r="AA244" s="36"/>
      <c r="AB244" s="2"/>
    </row>
    <row r="245" spans="1:28" ht="3.9" customHeight="1" x14ac:dyDescent="0.25">
      <c r="A245" s="149">
        <f>1</f>
        <v>1</v>
      </c>
      <c r="B245" s="131"/>
      <c r="C245" s="2"/>
      <c r="D245" s="2"/>
      <c r="E245" s="2"/>
      <c r="F245" s="2"/>
      <c r="G245" s="2"/>
      <c r="H245" s="2"/>
      <c r="I245" s="28"/>
      <c r="J245" s="2"/>
      <c r="K245" s="28"/>
      <c r="L245" s="2"/>
      <c r="M245" s="52"/>
      <c r="N245" s="2"/>
      <c r="O245" s="2"/>
      <c r="P245" s="36"/>
      <c r="Q245" s="36"/>
      <c r="R245" s="36"/>
      <c r="S245" s="36"/>
      <c r="T245" s="36"/>
      <c r="U245" s="36"/>
      <c r="V245" s="36"/>
      <c r="W245" s="36"/>
      <c r="X245" s="36"/>
      <c r="Y245" s="36"/>
      <c r="Z245" s="36"/>
      <c r="AA245" s="36"/>
      <c r="AB245" s="2"/>
    </row>
    <row r="246" spans="1:28" s="5" customFormat="1" x14ac:dyDescent="0.25">
      <c r="A246" s="150">
        <f>1</f>
        <v>1</v>
      </c>
      <c r="B246" s="129" t="str">
        <f>структура!$J$12</f>
        <v>ОСНО</v>
      </c>
      <c r="C246" s="3"/>
      <c r="D246" s="3"/>
      <c r="E246" s="147" t="str">
        <f>KPI!$E$105</f>
        <v>приведенный средневзвешенный срок окуп-ти</v>
      </c>
      <c r="F246" s="147"/>
      <c r="G246" s="147" t="str">
        <f>IF($E246="","",INDEX(KPI!$G:$G,SUMIFS(KPI!$B:$B,KPI!$E:$E,$E246)))</f>
        <v>лет</v>
      </c>
      <c r="H246" s="147"/>
      <c r="I246" s="170"/>
      <c r="J246" s="147"/>
      <c r="K246" s="170"/>
      <c r="L246" s="147"/>
      <c r="M246" s="187">
        <f>IF(OR($M206&lt;0,$M236=0),"&gt;"&amp;MAX($1:$1),SUMPRODUCT($O$2:$AB$2,$O236:$AB236)/$M236)</f>
        <v>1.6281216858015648</v>
      </c>
      <c r="N246" s="3"/>
      <c r="O246" s="3"/>
      <c r="P246" s="104"/>
      <c r="Q246" s="46"/>
      <c r="R246" s="46"/>
      <c r="S246" s="46"/>
      <c r="T246" s="46"/>
      <c r="U246" s="46"/>
      <c r="V246" s="46"/>
      <c r="W246" s="46"/>
      <c r="X246" s="46"/>
      <c r="Y246" s="46"/>
      <c r="Z246" s="46"/>
      <c r="AA246" s="46"/>
      <c r="AB246" s="3"/>
    </row>
    <row r="247" spans="1:28" s="5" customFormat="1" ht="3.9" customHeight="1" x14ac:dyDescent="0.25">
      <c r="A247" s="150">
        <f>1</f>
        <v>1</v>
      </c>
      <c r="B247" s="128"/>
      <c r="C247" s="3"/>
      <c r="D247" s="3"/>
      <c r="E247" s="3"/>
      <c r="F247" s="3"/>
      <c r="G247" s="3"/>
      <c r="H247" s="3"/>
      <c r="I247" s="28"/>
      <c r="J247" s="3"/>
      <c r="K247" s="28"/>
      <c r="L247" s="3"/>
      <c r="M247" s="55"/>
      <c r="N247" s="3"/>
      <c r="O247" s="3"/>
      <c r="P247" s="46"/>
      <c r="Q247" s="46"/>
      <c r="R247" s="46"/>
      <c r="S247" s="46"/>
      <c r="T247" s="46"/>
      <c r="U247" s="46"/>
      <c r="V247" s="46"/>
      <c r="W247" s="46"/>
      <c r="X247" s="46"/>
      <c r="Y247" s="46"/>
      <c r="Z247" s="46"/>
      <c r="AA247" s="46"/>
      <c r="AB247" s="3"/>
    </row>
    <row r="248" spans="1:28" s="5" customFormat="1" x14ac:dyDescent="0.25">
      <c r="A248" s="150">
        <f>1</f>
        <v>1</v>
      </c>
      <c r="B248" s="129" t="str">
        <f>структура!$J$13</f>
        <v>УСН(6%)</v>
      </c>
      <c r="C248" s="3"/>
      <c r="D248" s="3"/>
      <c r="E248" s="147" t="str">
        <f>E246</f>
        <v>приведенный средневзвешенный срок окуп-ти</v>
      </c>
      <c r="F248" s="147"/>
      <c r="G248" s="147" t="str">
        <f>IF($E248="","",INDEX(KPI!$G:$G,SUMIFS(KPI!$B:$B,KPI!$E:$E,$E248)))</f>
        <v>лет</v>
      </c>
      <c r="H248" s="147"/>
      <c r="I248" s="170"/>
      <c r="J248" s="147"/>
      <c r="K248" s="170"/>
      <c r="L248" s="147"/>
      <c r="M248" s="187">
        <f>IF(OR($M208&lt;0,$M238=0),"&gt;"&amp;MAX($1:$1),SUMPRODUCT($O$2:$AB$2,$O238:$AB238)/$M238)</f>
        <v>1.5880645240707849</v>
      </c>
      <c r="N248" s="3"/>
      <c r="O248" s="3"/>
      <c r="P248" s="46"/>
      <c r="Q248" s="46"/>
      <c r="R248" s="46"/>
      <c r="S248" s="46"/>
      <c r="T248" s="46"/>
      <c r="U248" s="46"/>
      <c r="V248" s="46"/>
      <c r="W248" s="46"/>
      <c r="X248" s="46"/>
      <c r="Y248" s="46"/>
      <c r="Z248" s="46"/>
      <c r="AA248" s="46"/>
      <c r="AB248" s="3"/>
    </row>
    <row r="249" spans="1:28" s="5" customFormat="1" ht="3.9" customHeight="1" x14ac:dyDescent="0.25">
      <c r="A249" s="150">
        <f>1</f>
        <v>1</v>
      </c>
      <c r="B249" s="128"/>
      <c r="C249" s="3"/>
      <c r="D249" s="3"/>
      <c r="E249" s="3"/>
      <c r="F249" s="3"/>
      <c r="G249" s="3"/>
      <c r="H249" s="3"/>
      <c r="I249" s="28"/>
      <c r="J249" s="3"/>
      <c r="K249" s="28"/>
      <c r="L249" s="3"/>
      <c r="M249" s="55"/>
      <c r="N249" s="3"/>
      <c r="O249" s="3"/>
      <c r="P249" s="46"/>
      <c r="Q249" s="46"/>
      <c r="R249" s="46"/>
      <c r="S249" s="46"/>
      <c r="T249" s="46"/>
      <c r="U249" s="46"/>
      <c r="V249" s="46"/>
      <c r="W249" s="46"/>
      <c r="X249" s="46"/>
      <c r="Y249" s="46"/>
      <c r="Z249" s="46"/>
      <c r="AA249" s="46"/>
      <c r="AB249" s="3"/>
    </row>
    <row r="250" spans="1:28" s="5" customFormat="1" x14ac:dyDescent="0.25">
      <c r="A250" s="150">
        <f>1</f>
        <v>1</v>
      </c>
      <c r="B250" s="129" t="str">
        <f>структура!$J$14</f>
        <v>УСН(15%)</v>
      </c>
      <c r="C250" s="3"/>
      <c r="D250" s="3"/>
      <c r="E250" s="147" t="str">
        <f>E246</f>
        <v>приведенный средневзвешенный срок окуп-ти</v>
      </c>
      <c r="F250" s="147"/>
      <c r="G250" s="147" t="str">
        <f>IF($E250="","",INDEX(KPI!$G:$G,SUMIFS(KPI!$B:$B,KPI!$E:$E,$E250)))</f>
        <v>лет</v>
      </c>
      <c r="H250" s="147"/>
      <c r="I250" s="170"/>
      <c r="J250" s="147"/>
      <c r="K250" s="170"/>
      <c r="L250" s="147"/>
      <c r="M250" s="187">
        <f>IF(OR($M210&lt;0,$M240=0),"&gt;"&amp;MAX($1:$1),SUMPRODUCT($O$2:$AB$2,$O240:$AB240)/$M240)</f>
        <v>1.6385732737662444</v>
      </c>
      <c r="N250" s="3"/>
      <c r="O250" s="3"/>
      <c r="P250" s="46"/>
      <c r="Q250" s="46"/>
      <c r="R250" s="46"/>
      <c r="S250" s="46"/>
      <c r="T250" s="46"/>
      <c r="U250" s="46"/>
      <c r="V250" s="46"/>
      <c r="W250" s="46"/>
      <c r="X250" s="46"/>
      <c r="Y250" s="46"/>
      <c r="Z250" s="46"/>
      <c r="AA250" s="46"/>
      <c r="AB250" s="3"/>
    </row>
    <row r="251" spans="1:28" s="5" customFormat="1" ht="3.9" customHeight="1" x14ac:dyDescent="0.25">
      <c r="A251" s="150">
        <f>1</f>
        <v>1</v>
      </c>
      <c r="B251" s="128"/>
      <c r="C251" s="3"/>
      <c r="D251" s="3"/>
      <c r="E251" s="3"/>
      <c r="F251" s="3"/>
      <c r="G251" s="3"/>
      <c r="H251" s="3"/>
      <c r="I251" s="28"/>
      <c r="J251" s="3"/>
      <c r="K251" s="28"/>
      <c r="L251" s="3"/>
      <c r="M251" s="55"/>
      <c r="N251" s="3"/>
      <c r="O251" s="3"/>
      <c r="P251" s="46"/>
      <c r="Q251" s="46"/>
      <c r="R251" s="46"/>
      <c r="S251" s="46"/>
      <c r="T251" s="46"/>
      <c r="U251" s="46"/>
      <c r="V251" s="46"/>
      <c r="W251" s="46"/>
      <c r="X251" s="46"/>
      <c r="Y251" s="46"/>
      <c r="Z251" s="46"/>
      <c r="AA251" s="46"/>
      <c r="AB251" s="3"/>
    </row>
    <row r="252" spans="1:28" s="5" customFormat="1" x14ac:dyDescent="0.25">
      <c r="A252" s="150">
        <f>1</f>
        <v>1</v>
      </c>
      <c r="B252" s="129" t="str">
        <f>структура!$J$15</f>
        <v>УСН(6%)-ИП</v>
      </c>
      <c r="C252" s="3"/>
      <c r="D252" s="3"/>
      <c r="E252" s="147" t="str">
        <f>E246</f>
        <v>приведенный средневзвешенный срок окуп-ти</v>
      </c>
      <c r="F252" s="147"/>
      <c r="G252" s="147" t="str">
        <f>IF($E252="","",INDEX(KPI!$G:$G,SUMIFS(KPI!$B:$B,KPI!$E:$E,$E252)))</f>
        <v>лет</v>
      </c>
      <c r="H252" s="147"/>
      <c r="I252" s="170"/>
      <c r="J252" s="147"/>
      <c r="K252" s="170"/>
      <c r="L252" s="147"/>
      <c r="M252" s="187">
        <f>IF(OR($M212&lt;0,$M242=0),"&gt;"&amp;MAX($1:$1),SUMPRODUCT($O$2:$AB$2,$O242:$AB242)/$M242)</f>
        <v>1.572060671317616</v>
      </c>
      <c r="N252" s="3"/>
      <c r="O252" s="3"/>
      <c r="P252" s="46"/>
      <c r="Q252" s="46"/>
      <c r="R252" s="46"/>
      <c r="S252" s="46"/>
      <c r="T252" s="46"/>
      <c r="U252" s="46"/>
      <c r="V252" s="46"/>
      <c r="W252" s="46"/>
      <c r="X252" s="46"/>
      <c r="Y252" s="46"/>
      <c r="Z252" s="46"/>
      <c r="AA252" s="46"/>
      <c r="AB252" s="3"/>
    </row>
    <row r="253" spans="1:28" ht="3.9" customHeight="1" x14ac:dyDescent="0.25">
      <c r="A253" s="149">
        <f>1</f>
        <v>1</v>
      </c>
      <c r="B253" s="131"/>
      <c r="C253" s="2"/>
      <c r="D253" s="2"/>
      <c r="E253" s="117"/>
      <c r="F253" s="2"/>
      <c r="G253" s="117"/>
      <c r="H253" s="2"/>
      <c r="I253" s="28"/>
      <c r="J253" s="2"/>
      <c r="K253" s="28"/>
      <c r="L253" s="2"/>
      <c r="M253" s="138"/>
      <c r="N253" s="2"/>
      <c r="O253" s="2"/>
      <c r="P253" s="36"/>
      <c r="Q253" s="36"/>
      <c r="R253" s="36"/>
      <c r="S253" s="36"/>
      <c r="T253" s="36"/>
      <c r="U253" s="36"/>
      <c r="V253" s="36"/>
      <c r="W253" s="36"/>
      <c r="X253" s="36"/>
      <c r="Y253" s="36"/>
      <c r="Z253" s="36"/>
      <c r="AA253" s="36"/>
      <c r="AB253" s="2"/>
    </row>
    <row r="254" spans="1:28" ht="8.1" customHeight="1" x14ac:dyDescent="0.25">
      <c r="A254" s="149">
        <f>1</f>
        <v>1</v>
      </c>
      <c r="B254" s="131"/>
      <c r="C254" s="2"/>
      <c r="D254" s="2"/>
      <c r="E254" s="2"/>
      <c r="F254" s="2"/>
      <c r="G254" s="2"/>
      <c r="H254" s="2"/>
      <c r="I254" s="28"/>
      <c r="J254" s="2"/>
      <c r="K254" s="28"/>
      <c r="L254" s="2"/>
      <c r="M254" s="52"/>
      <c r="N254" s="2"/>
      <c r="O254" s="2"/>
      <c r="P254" s="36"/>
      <c r="Q254" s="36"/>
      <c r="R254" s="36"/>
      <c r="S254" s="36"/>
      <c r="T254" s="36"/>
      <c r="U254" s="36"/>
      <c r="V254" s="36"/>
      <c r="W254" s="36"/>
      <c r="X254" s="36"/>
      <c r="Y254" s="36"/>
      <c r="Z254" s="36"/>
      <c r="AA254" s="36"/>
      <c r="AB254" s="2"/>
    </row>
    <row r="255" spans="1:28" ht="3.9" customHeight="1" x14ac:dyDescent="0.25">
      <c r="A255" s="149">
        <f>1</f>
        <v>1</v>
      </c>
      <c r="B255" s="131"/>
      <c r="C255" s="2"/>
      <c r="D255" s="2"/>
      <c r="E255" s="2"/>
      <c r="F255" s="2"/>
      <c r="G255" s="2"/>
      <c r="H255" s="2"/>
      <c r="I255" s="28"/>
      <c r="J255" s="2"/>
      <c r="K255" s="28"/>
      <c r="L255" s="2"/>
      <c r="M255" s="52"/>
      <c r="N255" s="2"/>
      <c r="O255" s="2"/>
      <c r="P255" s="36"/>
      <c r="Q255" s="36"/>
      <c r="R255" s="36"/>
      <c r="S255" s="36"/>
      <c r="T255" s="36"/>
      <c r="U255" s="36"/>
      <c r="V255" s="36"/>
      <c r="W255" s="36"/>
      <c r="X255" s="36"/>
      <c r="Y255" s="36"/>
      <c r="Z255" s="36"/>
      <c r="AA255" s="36"/>
      <c r="AB255" s="2"/>
    </row>
    <row r="256" spans="1:28" s="5" customFormat="1" x14ac:dyDescent="0.25">
      <c r="A256" s="150">
        <f>1</f>
        <v>1</v>
      </c>
      <c r="B256" s="129" t="str">
        <f>структура!$J$12</f>
        <v>ОСНО</v>
      </c>
      <c r="C256" s="3"/>
      <c r="D256" s="3"/>
      <c r="E256" s="146" t="str">
        <f>KPI!$E$107</f>
        <v>IRR</v>
      </c>
      <c r="F256" s="146"/>
      <c r="G256" s="146" t="str">
        <f>IF($E256="","",INDEX(KPI!$G:$G,SUMIFS(KPI!$B:$B,KPI!$E:$E,$E256)))</f>
        <v>%</v>
      </c>
      <c r="H256" s="146"/>
      <c r="I256" s="177"/>
      <c r="J256" s="146"/>
      <c r="K256" s="177"/>
      <c r="L256" s="146"/>
      <c r="M256" s="292">
        <f>IRR(P256:AA256)</f>
        <v>0.41492669790641035</v>
      </c>
      <c r="N256" s="3"/>
      <c r="O256" s="3"/>
      <c r="P256" s="179">
        <f>-$M$190</f>
        <v>-3627.8789999999999</v>
      </c>
      <c r="Q256" s="179">
        <f>P175</f>
        <v>2122.6084785727508</v>
      </c>
      <c r="R256" s="179">
        <f t="shared" ref="R256:AA256" si="13">Q175</f>
        <v>1352.441664369393</v>
      </c>
      <c r="S256" s="179">
        <f t="shared" si="13"/>
        <v>1413.5903372536877</v>
      </c>
      <c r="T256" s="179">
        <f t="shared" si="13"/>
        <v>1441.8855443324583</v>
      </c>
      <c r="U256" s="179">
        <f t="shared" si="13"/>
        <v>1469.6332334519575</v>
      </c>
      <c r="V256" s="179">
        <f t="shared" si="13"/>
        <v>1537.1924349595593</v>
      </c>
      <c r="W256" s="179">
        <f t="shared" si="13"/>
        <v>1620.2202899182803</v>
      </c>
      <c r="X256" s="179">
        <f t="shared" si="13"/>
        <v>0</v>
      </c>
      <c r="Y256" s="179">
        <f t="shared" si="13"/>
        <v>0</v>
      </c>
      <c r="Z256" s="179">
        <f t="shared" si="13"/>
        <v>0</v>
      </c>
      <c r="AA256" s="179">
        <f t="shared" si="13"/>
        <v>0</v>
      </c>
      <c r="AB256" s="3"/>
    </row>
    <row r="257" spans="1:28" s="5" customFormat="1" ht="3.9" customHeight="1" x14ac:dyDescent="0.25">
      <c r="A257" s="150">
        <f>1</f>
        <v>1</v>
      </c>
      <c r="B257" s="128"/>
      <c r="C257" s="3"/>
      <c r="D257" s="3"/>
      <c r="E257" s="3"/>
      <c r="F257" s="3"/>
      <c r="G257" s="3"/>
      <c r="H257" s="3"/>
      <c r="I257" s="28"/>
      <c r="J257" s="3"/>
      <c r="K257" s="28"/>
      <c r="L257" s="3"/>
      <c r="M257" s="55"/>
      <c r="N257" s="3"/>
      <c r="O257" s="3"/>
      <c r="P257" s="46"/>
      <c r="Q257" s="46"/>
      <c r="R257" s="46"/>
      <c r="S257" s="46"/>
      <c r="T257" s="46"/>
      <c r="U257" s="46"/>
      <c r="V257" s="46"/>
      <c r="W257" s="46"/>
      <c r="X257" s="46"/>
      <c r="Y257" s="46"/>
      <c r="Z257" s="46"/>
      <c r="AA257" s="46"/>
      <c r="AB257" s="3"/>
    </row>
    <row r="258" spans="1:28" s="5" customFormat="1" x14ac:dyDescent="0.25">
      <c r="A258" s="150">
        <f>1</f>
        <v>1</v>
      </c>
      <c r="B258" s="129" t="str">
        <f>структура!$J$13</f>
        <v>УСН(6%)</v>
      </c>
      <c r="C258" s="3"/>
      <c r="D258" s="3"/>
      <c r="E258" s="146" t="str">
        <f>E256</f>
        <v>IRR</v>
      </c>
      <c r="F258" s="146"/>
      <c r="G258" s="146" t="str">
        <f>IF($E258="","",INDEX(KPI!$G:$G,SUMIFS(KPI!$B:$B,KPI!$E:$E,$E258)))</f>
        <v>%</v>
      </c>
      <c r="H258" s="146"/>
      <c r="I258" s="177"/>
      <c r="J258" s="146"/>
      <c r="K258" s="177"/>
      <c r="L258" s="146"/>
      <c r="M258" s="292">
        <f>IRR(P258:AA258)</f>
        <v>0.51564758545373057</v>
      </c>
      <c r="N258" s="3"/>
      <c r="O258" s="3"/>
      <c r="P258" s="179">
        <f>-$M$190</f>
        <v>-3627.8789999999999</v>
      </c>
      <c r="Q258" s="179">
        <f>P177</f>
        <v>1950.9418119060847</v>
      </c>
      <c r="R258" s="179">
        <f t="shared" ref="R258:AA258" si="14">Q177</f>
        <v>1905.948599405725</v>
      </c>
      <c r="S258" s="179">
        <f t="shared" si="14"/>
        <v>1975.9995106984625</v>
      </c>
      <c r="T258" s="179">
        <f t="shared" si="14"/>
        <v>2026.3851715414812</v>
      </c>
      <c r="U258" s="179">
        <f t="shared" si="14"/>
        <v>2070.545130941985</v>
      </c>
      <c r="V258" s="179">
        <f t="shared" si="14"/>
        <v>2151.6238689164211</v>
      </c>
      <c r="W258" s="179">
        <f t="shared" si="14"/>
        <v>2261.5771287832613</v>
      </c>
      <c r="X258" s="179">
        <f t="shared" si="14"/>
        <v>0</v>
      </c>
      <c r="Y258" s="179">
        <f t="shared" si="14"/>
        <v>0</v>
      </c>
      <c r="Z258" s="179">
        <f t="shared" si="14"/>
        <v>0</v>
      </c>
      <c r="AA258" s="179">
        <f t="shared" si="14"/>
        <v>0</v>
      </c>
      <c r="AB258" s="3"/>
    </row>
    <row r="259" spans="1:28" s="5" customFormat="1" ht="3.9" customHeight="1" x14ac:dyDescent="0.25">
      <c r="A259" s="150">
        <f>1</f>
        <v>1</v>
      </c>
      <c r="B259" s="128"/>
      <c r="C259" s="3"/>
      <c r="D259" s="3"/>
      <c r="E259" s="3"/>
      <c r="F259" s="3"/>
      <c r="G259" s="3"/>
      <c r="H259" s="3"/>
      <c r="I259" s="28"/>
      <c r="J259" s="3"/>
      <c r="K259" s="28"/>
      <c r="L259" s="3"/>
      <c r="M259" s="55"/>
      <c r="N259" s="3"/>
      <c r="O259" s="3"/>
      <c r="P259" s="46"/>
      <c r="Q259" s="46"/>
      <c r="R259" s="46"/>
      <c r="S259" s="46"/>
      <c r="T259" s="46"/>
      <c r="U259" s="46"/>
      <c r="V259" s="46"/>
      <c r="W259" s="46"/>
      <c r="X259" s="46"/>
      <c r="Y259" s="46"/>
      <c r="Z259" s="46"/>
      <c r="AA259" s="46"/>
      <c r="AB259" s="3"/>
    </row>
    <row r="260" spans="1:28" s="5" customFormat="1" x14ac:dyDescent="0.25">
      <c r="A260" s="150">
        <f>1</f>
        <v>1</v>
      </c>
      <c r="B260" s="129" t="str">
        <f>структура!$J$14</f>
        <v>УСН(15%)</v>
      </c>
      <c r="C260" s="3"/>
      <c r="D260" s="3"/>
      <c r="E260" s="146" t="str">
        <f>E256</f>
        <v>IRR</v>
      </c>
      <c r="F260" s="146"/>
      <c r="G260" s="146" t="str">
        <f>IF($E260="","",INDEX(KPI!$G:$G,SUMIFS(KPI!$B:$B,KPI!$E:$E,$E260)))</f>
        <v>%</v>
      </c>
      <c r="H260" s="146"/>
      <c r="I260" s="177"/>
      <c r="J260" s="146"/>
      <c r="K260" s="177"/>
      <c r="L260" s="146"/>
      <c r="M260" s="292">
        <f>IRR(P260:AA260)</f>
        <v>0.47065358082772901</v>
      </c>
      <c r="N260" s="3"/>
      <c r="O260" s="3"/>
      <c r="P260" s="179">
        <f>-$M$190</f>
        <v>-3627.8789999999999</v>
      </c>
      <c r="Q260" s="179">
        <f>P179</f>
        <v>1950.9418119060847</v>
      </c>
      <c r="R260" s="179">
        <f t="shared" ref="R260:AA260" si="15">Q179</f>
        <v>1684.2286442786644</v>
      </c>
      <c r="S260" s="179">
        <f t="shared" si="15"/>
        <v>1750.825473287603</v>
      </c>
      <c r="T260" s="179">
        <f t="shared" si="15"/>
        <v>1792.1473224367119</v>
      </c>
      <c r="U260" s="179">
        <f t="shared" si="15"/>
        <v>1829.4246802107637</v>
      </c>
      <c r="V260" s="179">
        <f t="shared" si="15"/>
        <v>1905.2475142751218</v>
      </c>
      <c r="W260" s="179">
        <f t="shared" si="15"/>
        <v>2005.3219259457983</v>
      </c>
      <c r="X260" s="179">
        <f t="shared" si="15"/>
        <v>0</v>
      </c>
      <c r="Y260" s="179">
        <f t="shared" si="15"/>
        <v>0</v>
      </c>
      <c r="Z260" s="179">
        <f t="shared" si="15"/>
        <v>0</v>
      </c>
      <c r="AA260" s="179">
        <f t="shared" si="15"/>
        <v>0</v>
      </c>
      <c r="AB260" s="3"/>
    </row>
    <row r="261" spans="1:28" s="5" customFormat="1" ht="3.9" customHeight="1" x14ac:dyDescent="0.25">
      <c r="A261" s="150">
        <f>1</f>
        <v>1</v>
      </c>
      <c r="B261" s="128"/>
      <c r="C261" s="3"/>
      <c r="D261" s="3"/>
      <c r="E261" s="3"/>
      <c r="F261" s="3"/>
      <c r="G261" s="3"/>
      <c r="H261" s="3"/>
      <c r="I261" s="28"/>
      <c r="J261" s="3"/>
      <c r="K261" s="28"/>
      <c r="L261" s="3"/>
      <c r="M261" s="55"/>
      <c r="N261" s="3"/>
      <c r="O261" s="3"/>
      <c r="P261" s="46"/>
      <c r="Q261" s="46"/>
      <c r="R261" s="46"/>
      <c r="S261" s="46"/>
      <c r="T261" s="46"/>
      <c r="U261" s="46"/>
      <c r="V261" s="46"/>
      <c r="W261" s="46"/>
      <c r="X261" s="46"/>
      <c r="Y261" s="46"/>
      <c r="Z261" s="46"/>
      <c r="AA261" s="46"/>
      <c r="AB261" s="3"/>
    </row>
    <row r="262" spans="1:28" s="5" customFormat="1" x14ac:dyDescent="0.25">
      <c r="A262" s="150">
        <f>1</f>
        <v>1</v>
      </c>
      <c r="B262" s="129" t="str">
        <f>структура!$J$15</f>
        <v>УСН(6%)-ИП</v>
      </c>
      <c r="C262" s="3"/>
      <c r="D262" s="3"/>
      <c r="E262" s="146" t="str">
        <f>E256</f>
        <v>IRR</v>
      </c>
      <c r="F262" s="146"/>
      <c r="G262" s="146" t="str">
        <f>IF($E262="","",INDEX(KPI!$G:$G,SUMIFS(KPI!$B:$B,KPI!$E:$E,$E262)))</f>
        <v>%</v>
      </c>
      <c r="H262" s="146"/>
      <c r="I262" s="177"/>
      <c r="J262" s="146"/>
      <c r="K262" s="177"/>
      <c r="L262" s="146"/>
      <c r="M262" s="292">
        <f>IRR(P262:AA262)</f>
        <v>0.52752054974973928</v>
      </c>
      <c r="N262" s="3"/>
      <c r="O262" s="3"/>
      <c r="P262" s="179">
        <f>-$M$190</f>
        <v>-3627.8789999999999</v>
      </c>
      <c r="Q262" s="179">
        <f>P181</f>
        <v>1950.9418119060847</v>
      </c>
      <c r="R262" s="179">
        <f t="shared" ref="R262:AA262" si="16">Q181</f>
        <v>1976.2012494057244</v>
      </c>
      <c r="S262" s="179">
        <f t="shared" si="16"/>
        <v>2047.2556606984617</v>
      </c>
      <c r="T262" s="179">
        <f t="shared" si="16"/>
        <v>2099.2356715414808</v>
      </c>
      <c r="U262" s="179">
        <f t="shared" si="16"/>
        <v>2144.3100309419851</v>
      </c>
      <c r="V262" s="179">
        <f t="shared" si="16"/>
        <v>2151.6238689164211</v>
      </c>
      <c r="W262" s="179">
        <f t="shared" si="16"/>
        <v>2261.5771287832613</v>
      </c>
      <c r="X262" s="179">
        <f t="shared" si="16"/>
        <v>0</v>
      </c>
      <c r="Y262" s="179">
        <f t="shared" si="16"/>
        <v>0</v>
      </c>
      <c r="Z262" s="179">
        <f t="shared" si="16"/>
        <v>0</v>
      </c>
      <c r="AA262" s="179">
        <f t="shared" si="16"/>
        <v>0</v>
      </c>
      <c r="AB262" s="3"/>
    </row>
    <row r="263" spans="1:28" ht="3.9" customHeight="1" x14ac:dyDescent="0.25">
      <c r="A263" s="149">
        <f>1</f>
        <v>1</v>
      </c>
      <c r="B263" s="131"/>
      <c r="C263" s="2"/>
      <c r="D263" s="2"/>
      <c r="E263" s="119"/>
      <c r="F263" s="2"/>
      <c r="G263" s="119"/>
      <c r="H263" s="2"/>
      <c r="I263" s="28"/>
      <c r="J263" s="2"/>
      <c r="K263" s="28"/>
      <c r="L263" s="2"/>
      <c r="M263" s="142"/>
      <c r="N263" s="2"/>
      <c r="O263" s="2"/>
      <c r="P263" s="36"/>
      <c r="Q263" s="36"/>
      <c r="R263" s="36"/>
      <c r="S263" s="36"/>
      <c r="T263" s="36"/>
      <c r="U263" s="36"/>
      <c r="V263" s="36"/>
      <c r="W263" s="36"/>
      <c r="X263" s="36"/>
      <c r="Y263" s="36"/>
      <c r="Z263" s="36"/>
      <c r="AA263" s="36"/>
      <c r="AB263" s="2"/>
    </row>
    <row r="264" spans="1:28" ht="8.1" customHeight="1" x14ac:dyDescent="0.25">
      <c r="A264" s="149">
        <f>1</f>
        <v>1</v>
      </c>
      <c r="B264" s="131"/>
      <c r="C264" s="2"/>
      <c r="D264" s="2"/>
      <c r="E264" s="2"/>
      <c r="F264" s="2"/>
      <c r="G264" s="2"/>
      <c r="H264" s="2"/>
      <c r="I264" s="28"/>
      <c r="J264" s="2"/>
      <c r="K264" s="28"/>
      <c r="L264" s="2"/>
      <c r="M264" s="52"/>
      <c r="N264" s="2"/>
      <c r="O264" s="2"/>
      <c r="P264" s="36"/>
      <c r="Q264" s="36"/>
      <c r="R264" s="36"/>
      <c r="S264" s="36"/>
      <c r="T264" s="36"/>
      <c r="U264" s="36"/>
      <c r="V264" s="36"/>
      <c r="W264" s="36"/>
      <c r="X264" s="36"/>
      <c r="Y264" s="36"/>
      <c r="Z264" s="36"/>
      <c r="AA264" s="36"/>
      <c r="AB264" s="2"/>
    </row>
    <row r="265" spans="1:28" s="5" customFormat="1" x14ac:dyDescent="0.25">
      <c r="A265" s="150">
        <f>1</f>
        <v>1</v>
      </c>
      <c r="B265" s="131"/>
      <c r="C265" s="3"/>
      <c r="D265" s="3"/>
      <c r="E265" s="3"/>
      <c r="F265" s="3"/>
      <c r="G265" s="3"/>
      <c r="H265" s="3"/>
      <c r="I265" s="28"/>
      <c r="J265" s="3"/>
      <c r="K265" s="28"/>
      <c r="L265" s="3"/>
      <c r="M265" s="55"/>
      <c r="N265" s="3"/>
      <c r="O265" s="3"/>
      <c r="P265" s="46"/>
      <c r="Q265" s="46"/>
      <c r="R265" s="46"/>
      <c r="S265" s="46"/>
      <c r="T265" s="46"/>
      <c r="U265" s="46"/>
      <c r="V265" s="46"/>
      <c r="W265" s="46"/>
      <c r="X265" s="46"/>
      <c r="Y265" s="46"/>
      <c r="Z265" s="46"/>
      <c r="AA265" s="46"/>
      <c r="AB265" s="3"/>
    </row>
    <row r="266" spans="1:28" ht="3.9" customHeight="1" x14ac:dyDescent="0.25">
      <c r="A266" s="149">
        <f>1</f>
        <v>1</v>
      </c>
      <c r="B266" s="131"/>
      <c r="C266" s="2"/>
      <c r="D266" s="2"/>
      <c r="E266" s="2"/>
      <c r="F266" s="2"/>
      <c r="G266" s="2"/>
      <c r="H266" s="2"/>
      <c r="I266" s="28"/>
      <c r="J266" s="2"/>
      <c r="K266" s="28"/>
      <c r="L266" s="2"/>
      <c r="M266" s="52"/>
      <c r="N266" s="2"/>
      <c r="O266" s="2"/>
      <c r="P266" s="36"/>
      <c r="Q266" s="36"/>
      <c r="R266" s="36"/>
      <c r="S266" s="36"/>
      <c r="T266" s="36"/>
      <c r="U266" s="36"/>
      <c r="V266" s="36"/>
      <c r="W266" s="36"/>
      <c r="X266" s="36"/>
      <c r="Y266" s="36"/>
      <c r="Z266" s="36"/>
      <c r="AA266" s="36"/>
      <c r="AB266" s="2"/>
    </row>
    <row r="267" spans="1:28" x14ac:dyDescent="0.25">
      <c r="A267" s="149">
        <f>1</f>
        <v>1</v>
      </c>
      <c r="B267" s="131"/>
      <c r="C267" s="2"/>
      <c r="D267" s="2"/>
      <c r="E267" s="2"/>
      <c r="F267" s="2"/>
      <c r="G267" s="2"/>
      <c r="H267" s="2"/>
      <c r="I267" s="28"/>
      <c r="J267" s="2"/>
      <c r="K267" s="28"/>
      <c r="L267" s="2"/>
      <c r="M267" s="52"/>
      <c r="N267" s="2"/>
      <c r="O267" s="2"/>
      <c r="P267" s="36"/>
      <c r="Q267" s="36"/>
      <c r="R267" s="36"/>
      <c r="S267" s="36"/>
      <c r="T267" s="36"/>
      <c r="U267" s="36"/>
      <c r="V267" s="36"/>
      <c r="W267" s="36"/>
      <c r="X267" s="36"/>
      <c r="Y267" s="36"/>
      <c r="Z267" s="36"/>
      <c r="AA267" s="36"/>
      <c r="AB267" s="2"/>
    </row>
    <row r="268" spans="1:28" x14ac:dyDescent="0.25">
      <c r="A268" s="149">
        <f>1</f>
        <v>1</v>
      </c>
      <c r="B268" s="131"/>
      <c r="C268" s="2"/>
      <c r="D268" s="2"/>
      <c r="E268" s="2"/>
      <c r="F268" s="2"/>
      <c r="G268" s="2"/>
      <c r="H268" s="2"/>
      <c r="I268" s="28"/>
      <c r="J268" s="2"/>
      <c r="K268" s="28"/>
      <c r="L268" s="2"/>
      <c r="M268" s="52"/>
      <c r="N268" s="2"/>
      <c r="O268" s="2"/>
      <c r="P268" s="36"/>
      <c r="Q268" s="36"/>
      <c r="R268" s="36"/>
      <c r="S268" s="36"/>
      <c r="T268" s="36"/>
      <c r="U268" s="36"/>
      <c r="V268" s="36"/>
      <c r="W268" s="36"/>
      <c r="X268" s="36"/>
      <c r="Y268" s="36"/>
      <c r="Z268" s="36"/>
      <c r="AA268" s="36"/>
      <c r="AB268" s="2"/>
    </row>
    <row r="269" spans="1:28" x14ac:dyDescent="0.25">
      <c r="A269" s="149">
        <f>1</f>
        <v>1</v>
      </c>
      <c r="B269" s="131"/>
      <c r="C269" s="2"/>
      <c r="D269" s="2"/>
      <c r="E269" s="2"/>
      <c r="F269" s="2"/>
      <c r="G269" s="2"/>
      <c r="H269" s="2"/>
      <c r="I269" s="28"/>
      <c r="J269" s="2"/>
      <c r="K269" s="28"/>
      <c r="L269" s="2"/>
      <c r="M269" s="52"/>
      <c r="N269" s="2"/>
      <c r="O269" s="2"/>
      <c r="P269" s="36"/>
      <c r="Q269" s="36"/>
      <c r="R269" s="36"/>
      <c r="S269" s="36"/>
      <c r="T269" s="36"/>
      <c r="U269" s="36"/>
      <c r="V269" s="36"/>
      <c r="W269" s="36"/>
      <c r="X269" s="36"/>
      <c r="Y269" s="36"/>
      <c r="Z269" s="36"/>
      <c r="AA269" s="36"/>
      <c r="AB269" s="2"/>
    </row>
    <row r="270" spans="1:28" x14ac:dyDescent="0.25">
      <c r="A270" s="149">
        <f>1</f>
        <v>1</v>
      </c>
      <c r="B270" s="131"/>
      <c r="C270" s="2"/>
      <c r="D270" s="2"/>
      <c r="E270" s="2"/>
      <c r="F270" s="2"/>
      <c r="G270" s="2"/>
      <c r="H270" s="2"/>
      <c r="I270" s="28"/>
      <c r="J270" s="2"/>
      <c r="K270" s="28"/>
      <c r="L270" s="2"/>
      <c r="M270" s="52"/>
      <c r="N270" s="2"/>
      <c r="O270" s="2"/>
      <c r="P270" s="36"/>
      <c r="Q270" s="36"/>
      <c r="R270" s="36"/>
      <c r="S270" s="36"/>
      <c r="T270" s="36"/>
      <c r="U270" s="36"/>
      <c r="V270" s="36"/>
      <c r="W270" s="36"/>
      <c r="X270" s="36"/>
      <c r="Y270" s="36"/>
      <c r="Z270" s="36"/>
      <c r="AA270" s="36"/>
      <c r="AB270" s="2"/>
    </row>
    <row r="271" spans="1:28" x14ac:dyDescent="0.25">
      <c r="A271" s="149">
        <f>1</f>
        <v>1</v>
      </c>
      <c r="B271" s="131"/>
      <c r="C271" s="2"/>
      <c r="D271" s="2"/>
      <c r="E271" s="2"/>
      <c r="F271" s="2"/>
      <c r="G271" s="2"/>
      <c r="H271" s="2"/>
      <c r="I271" s="28"/>
      <c r="J271" s="2"/>
      <c r="K271" s="28"/>
      <c r="L271" s="2"/>
      <c r="M271" s="52"/>
      <c r="N271" s="2"/>
      <c r="O271" s="2"/>
      <c r="P271" s="36"/>
      <c r="Q271" s="36"/>
      <c r="R271" s="36"/>
      <c r="S271" s="36"/>
      <c r="T271" s="36"/>
      <c r="U271" s="36"/>
      <c r="V271" s="36"/>
      <c r="W271" s="36"/>
      <c r="X271" s="36"/>
      <c r="Y271" s="36"/>
      <c r="Z271" s="36"/>
      <c r="AA271" s="36"/>
      <c r="AB271" s="2"/>
    </row>
    <row r="272" spans="1:28" x14ac:dyDescent="0.25">
      <c r="A272" s="149">
        <f>1</f>
        <v>1</v>
      </c>
      <c r="B272" s="131"/>
      <c r="C272" s="2"/>
      <c r="D272" s="2"/>
      <c r="E272" s="2"/>
      <c r="F272" s="2"/>
      <c r="G272" s="2"/>
      <c r="H272" s="2"/>
      <c r="I272" s="28"/>
      <c r="J272" s="2"/>
      <c r="K272" s="28"/>
      <c r="L272" s="2"/>
      <c r="M272" s="52"/>
      <c r="N272" s="2"/>
      <c r="O272" s="2"/>
      <c r="P272" s="36"/>
      <c r="Q272" s="36"/>
      <c r="R272" s="36"/>
      <c r="S272" s="36"/>
      <c r="T272" s="36"/>
      <c r="U272" s="36"/>
      <c r="V272" s="36"/>
      <c r="W272" s="36"/>
      <c r="X272" s="36"/>
      <c r="Y272" s="36"/>
      <c r="Z272" s="36"/>
      <c r="AA272" s="36"/>
      <c r="AB272" s="2"/>
    </row>
    <row r="273" spans="1:28" x14ac:dyDescent="0.25">
      <c r="A273" s="149">
        <f>1</f>
        <v>1</v>
      </c>
      <c r="B273" s="131"/>
      <c r="C273" s="2"/>
      <c r="D273" s="2"/>
      <c r="E273" s="2"/>
      <c r="F273" s="2"/>
      <c r="G273" s="2"/>
      <c r="H273" s="2"/>
      <c r="I273" s="28"/>
      <c r="J273" s="2"/>
      <c r="K273" s="28"/>
      <c r="L273" s="2"/>
      <c r="M273" s="52"/>
      <c r="N273" s="2"/>
      <c r="O273" s="2"/>
      <c r="P273" s="36"/>
      <c r="Q273" s="36"/>
      <c r="R273" s="36"/>
      <c r="S273" s="36"/>
      <c r="T273" s="36"/>
      <c r="U273" s="36"/>
      <c r="V273" s="36"/>
      <c r="W273" s="36"/>
      <c r="X273" s="36"/>
      <c r="Y273" s="36"/>
      <c r="Z273" s="36"/>
      <c r="AA273" s="36"/>
      <c r="AB273" s="2"/>
    </row>
    <row r="274" spans="1:28" x14ac:dyDescent="0.25">
      <c r="A274" s="149">
        <f>1</f>
        <v>1</v>
      </c>
      <c r="B274" s="131"/>
      <c r="C274" s="2"/>
      <c r="D274" s="2"/>
      <c r="E274" s="2"/>
      <c r="F274" s="2"/>
      <c r="G274" s="2"/>
      <c r="H274" s="2"/>
      <c r="I274" s="28"/>
      <c r="J274" s="2"/>
      <c r="K274" s="28"/>
      <c r="L274" s="2"/>
      <c r="M274" s="52"/>
      <c r="N274" s="2"/>
      <c r="O274" s="2"/>
      <c r="P274" s="36"/>
      <c r="Q274" s="36"/>
      <c r="R274" s="36"/>
      <c r="S274" s="36"/>
      <c r="T274" s="36"/>
      <c r="U274" s="36"/>
      <c r="V274" s="36"/>
      <c r="W274" s="36"/>
      <c r="X274" s="36"/>
      <c r="Y274" s="36"/>
      <c r="Z274" s="36"/>
      <c r="AA274" s="36"/>
      <c r="AB274" s="2"/>
    </row>
    <row r="275" spans="1:28" x14ac:dyDescent="0.25">
      <c r="A275" s="149">
        <f>1</f>
        <v>1</v>
      </c>
      <c r="B275" s="131"/>
      <c r="C275" s="2"/>
      <c r="D275" s="2"/>
      <c r="E275" s="2"/>
      <c r="F275" s="2"/>
      <c r="G275" s="2"/>
      <c r="H275" s="2"/>
      <c r="I275" s="28"/>
      <c r="J275" s="2"/>
      <c r="K275" s="28"/>
      <c r="L275" s="2"/>
      <c r="M275" s="52"/>
      <c r="N275" s="2"/>
      <c r="O275" s="2"/>
      <c r="P275" s="36"/>
      <c r="Q275" s="36"/>
      <c r="R275" s="36"/>
      <c r="S275" s="36"/>
      <c r="T275" s="36"/>
      <c r="U275" s="36"/>
      <c r="V275" s="36"/>
      <c r="W275" s="36"/>
      <c r="X275" s="36"/>
      <c r="Y275" s="36"/>
      <c r="Z275" s="36"/>
      <c r="AA275" s="36"/>
      <c r="AB275" s="2"/>
    </row>
    <row r="276" spans="1:28" x14ac:dyDescent="0.25">
      <c r="A276" s="149">
        <f>1</f>
        <v>1</v>
      </c>
      <c r="B276" s="131"/>
      <c r="C276" s="2"/>
      <c r="D276" s="2"/>
      <c r="E276" s="2"/>
      <c r="F276" s="2"/>
      <c r="G276" s="2"/>
      <c r="H276" s="2"/>
      <c r="I276" s="28"/>
      <c r="J276" s="2"/>
      <c r="K276" s="28"/>
      <c r="L276" s="2"/>
      <c r="M276" s="52"/>
      <c r="N276" s="2"/>
      <c r="O276" s="2"/>
      <c r="P276" s="36"/>
      <c r="Q276" s="36"/>
      <c r="R276" s="36"/>
      <c r="S276" s="36"/>
      <c r="T276" s="36"/>
      <c r="U276" s="36"/>
      <c r="V276" s="36"/>
      <c r="W276" s="36"/>
      <c r="X276" s="36"/>
      <c r="Y276" s="36"/>
      <c r="Z276" s="36"/>
      <c r="AA276" s="36"/>
      <c r="AB276" s="2"/>
    </row>
    <row r="277" spans="1:28" x14ac:dyDescent="0.25">
      <c r="A277" s="149">
        <f>1</f>
        <v>1</v>
      </c>
      <c r="B277" s="131"/>
      <c r="C277" s="2"/>
      <c r="D277" s="2"/>
      <c r="E277" s="2"/>
      <c r="F277" s="2"/>
      <c r="G277" s="2"/>
      <c r="H277" s="2"/>
      <c r="I277" s="28"/>
      <c r="J277" s="2"/>
      <c r="K277" s="28"/>
      <c r="L277" s="2"/>
      <c r="M277" s="52"/>
      <c r="N277" s="2"/>
      <c r="O277" s="2"/>
      <c r="P277" s="36"/>
      <c r="Q277" s="36"/>
      <c r="R277" s="36"/>
      <c r="S277" s="36"/>
      <c r="T277" s="36"/>
      <c r="U277" s="36"/>
      <c r="V277" s="36"/>
      <c r="W277" s="36"/>
      <c r="X277" s="36"/>
      <c r="Y277" s="36"/>
      <c r="Z277" s="36"/>
      <c r="AA277" s="36"/>
      <c r="AB277" s="2"/>
    </row>
    <row r="278" spans="1:28" x14ac:dyDescent="0.25">
      <c r="P278" s="57"/>
      <c r="Q278" s="57"/>
      <c r="R278" s="57"/>
      <c r="S278" s="57"/>
      <c r="T278" s="57"/>
      <c r="U278" s="57"/>
      <c r="V278" s="57"/>
      <c r="W278" s="57"/>
      <c r="X278" s="57"/>
      <c r="Y278" s="57"/>
      <c r="Z278" s="57"/>
      <c r="AA278" s="57"/>
    </row>
  </sheetData>
  <autoFilter ref="A8:B277"/>
  <conditionalFormatting sqref="A1:XFD1048576">
    <cfRule type="cellIs" dxfId="6643" priority="1149" operator="equal">
      <formula>0</formula>
    </cfRule>
  </conditionalFormatting>
  <conditionalFormatting sqref="P16:AA16">
    <cfRule type="expression" dxfId="6642" priority="1148">
      <formula>P$1=""</formula>
    </cfRule>
  </conditionalFormatting>
  <conditionalFormatting sqref="P18:AA18">
    <cfRule type="expression" dxfId="6641" priority="1147">
      <formula>P$1=""</formula>
    </cfRule>
  </conditionalFormatting>
  <conditionalFormatting sqref="P20:AA20">
    <cfRule type="expression" dxfId="6640" priority="1146">
      <formula>P$1=""</formula>
    </cfRule>
  </conditionalFormatting>
  <conditionalFormatting sqref="P22:AA22">
    <cfRule type="expression" dxfId="6639" priority="1145">
      <formula>P$1=""</formula>
    </cfRule>
  </conditionalFormatting>
  <conditionalFormatting sqref="P26:AA26">
    <cfRule type="expression" dxfId="6638" priority="1144">
      <formula>P$1=""</formula>
    </cfRule>
  </conditionalFormatting>
  <conditionalFormatting sqref="P28:AA28">
    <cfRule type="expression" dxfId="6637" priority="1143">
      <formula>P$1=""</formula>
    </cfRule>
  </conditionalFormatting>
  <conditionalFormatting sqref="P30:AA30">
    <cfRule type="expression" dxfId="6636" priority="1142">
      <formula>P$1=""</formula>
    </cfRule>
  </conditionalFormatting>
  <conditionalFormatting sqref="P32:AA32">
    <cfRule type="expression" dxfId="6635" priority="1141">
      <formula>P$1=""</formula>
    </cfRule>
  </conditionalFormatting>
  <conditionalFormatting sqref="P36:AA36">
    <cfRule type="expression" dxfId="6634" priority="1140">
      <formula>P$1=""</formula>
    </cfRule>
  </conditionalFormatting>
  <conditionalFormatting sqref="P38:AA38">
    <cfRule type="expression" dxfId="6633" priority="1139">
      <formula>P$1=""</formula>
    </cfRule>
  </conditionalFormatting>
  <conditionalFormatting sqref="P40:AA40">
    <cfRule type="expression" dxfId="6632" priority="1138">
      <formula>P$1=""</formula>
    </cfRule>
  </conditionalFormatting>
  <conditionalFormatting sqref="P42:AA42">
    <cfRule type="expression" dxfId="6631" priority="1137">
      <formula>P$1=""</formula>
    </cfRule>
  </conditionalFormatting>
  <conditionalFormatting sqref="P42:AA42 P40:AA40 P38:AA38">
    <cfRule type="expression" dxfId="6630" priority="1136">
      <formula>P$1=""</formula>
    </cfRule>
  </conditionalFormatting>
  <conditionalFormatting sqref="P46:AA46">
    <cfRule type="expression" dxfId="6629" priority="1135">
      <formula>P$1=""</formula>
    </cfRule>
  </conditionalFormatting>
  <conditionalFormatting sqref="P48:AA48">
    <cfRule type="expression" dxfId="6628" priority="1134">
      <formula>P$1=""</formula>
    </cfRule>
  </conditionalFormatting>
  <conditionalFormatting sqref="P50:AA50">
    <cfRule type="expression" dxfId="6627" priority="1133">
      <formula>P$1=""</formula>
    </cfRule>
  </conditionalFormatting>
  <conditionalFormatting sqref="P52:AA52">
    <cfRule type="expression" dxfId="6626" priority="1132">
      <formula>P$1=""</formula>
    </cfRule>
  </conditionalFormatting>
  <conditionalFormatting sqref="P52:AA52 P50:AA50 P48:AA48">
    <cfRule type="expression" dxfId="6625" priority="1131">
      <formula>P$1=""</formula>
    </cfRule>
  </conditionalFormatting>
  <conditionalFormatting sqref="P52:AA52 P50:AA50 P48:AA48">
    <cfRule type="expression" dxfId="6624" priority="1130">
      <formula>P$1=""</formula>
    </cfRule>
  </conditionalFormatting>
  <conditionalFormatting sqref="P56:AA56">
    <cfRule type="expression" dxfId="6623" priority="1129">
      <formula>P$1=""</formula>
    </cfRule>
  </conditionalFormatting>
  <conditionalFormatting sqref="P58:AA58">
    <cfRule type="expression" dxfId="6622" priority="1128">
      <formula>P$1=""</formula>
    </cfRule>
  </conditionalFormatting>
  <conditionalFormatting sqref="P60:AA60">
    <cfRule type="expression" dxfId="6621" priority="1127">
      <formula>P$1=""</formula>
    </cfRule>
  </conditionalFormatting>
  <conditionalFormatting sqref="P62:AA62">
    <cfRule type="expression" dxfId="6620" priority="1126">
      <formula>P$1=""</formula>
    </cfRule>
  </conditionalFormatting>
  <conditionalFormatting sqref="P62:AA62 P60:AA60 P58:AA58">
    <cfRule type="expression" dxfId="6619" priority="1125">
      <formula>P$1=""</formula>
    </cfRule>
  </conditionalFormatting>
  <conditionalFormatting sqref="P62:AA62 P60:AA60 P58:AA58">
    <cfRule type="expression" dxfId="6618" priority="1124">
      <formula>P$1=""</formula>
    </cfRule>
  </conditionalFormatting>
  <conditionalFormatting sqref="P62:AA62 P60:AA60 P58:AA58">
    <cfRule type="expression" dxfId="6617" priority="1123">
      <formula>P$1=""</formula>
    </cfRule>
  </conditionalFormatting>
  <conditionalFormatting sqref="P66:AA66">
    <cfRule type="expression" dxfId="6616" priority="1122">
      <formula>P$1=""</formula>
    </cfRule>
  </conditionalFormatting>
  <conditionalFormatting sqref="P68:AA68">
    <cfRule type="expression" dxfId="6615" priority="1121">
      <formula>P$1=""</formula>
    </cfRule>
  </conditionalFormatting>
  <conditionalFormatting sqref="P70:AA70">
    <cfRule type="expression" dxfId="6614" priority="1120">
      <formula>P$1=""</formula>
    </cfRule>
  </conditionalFormatting>
  <conditionalFormatting sqref="P72:AA72">
    <cfRule type="expression" dxfId="6613" priority="1119">
      <formula>P$1=""</formula>
    </cfRule>
  </conditionalFormatting>
  <conditionalFormatting sqref="P72:AA72 P70:AA70 P68:AA68">
    <cfRule type="expression" dxfId="6612" priority="1118">
      <formula>P$1=""</formula>
    </cfRule>
  </conditionalFormatting>
  <conditionalFormatting sqref="P72:AA72 P70:AA70 P68:AA68">
    <cfRule type="expression" dxfId="6611" priority="1117">
      <formula>P$1=""</formula>
    </cfRule>
  </conditionalFormatting>
  <conditionalFormatting sqref="P72:AA72 P70:AA70 P68:AA68">
    <cfRule type="expression" dxfId="6610" priority="1116">
      <formula>P$1=""</formula>
    </cfRule>
  </conditionalFormatting>
  <conditionalFormatting sqref="P72:AA72 P70:AA70 P68:AA68">
    <cfRule type="expression" dxfId="6609" priority="1115">
      <formula>P$1=""</formula>
    </cfRule>
  </conditionalFormatting>
  <conditionalFormatting sqref="P76:AA82">
    <cfRule type="expression" dxfId="6608" priority="1114">
      <formula>P$1=""</formula>
    </cfRule>
  </conditionalFormatting>
  <conditionalFormatting sqref="P78:AA78">
    <cfRule type="expression" dxfId="6607" priority="1113">
      <formula>P$1=""</formula>
    </cfRule>
  </conditionalFormatting>
  <conditionalFormatting sqref="P80:AA80">
    <cfRule type="expression" dxfId="6606" priority="1112">
      <formula>P$1=""</formula>
    </cfRule>
  </conditionalFormatting>
  <conditionalFormatting sqref="P82:AA82">
    <cfRule type="expression" dxfId="6605" priority="1111">
      <formula>P$1=""</formula>
    </cfRule>
  </conditionalFormatting>
  <conditionalFormatting sqref="P82:AA82 P80:AA80 P78:AA78">
    <cfRule type="expression" dxfId="6604" priority="1110">
      <formula>P$1=""</formula>
    </cfRule>
  </conditionalFormatting>
  <conditionalFormatting sqref="P82:AA82 P80:AA80 P78:AA78">
    <cfRule type="expression" dxfId="6603" priority="1109">
      <formula>P$1=""</formula>
    </cfRule>
  </conditionalFormatting>
  <conditionalFormatting sqref="P82:AA82 P80:AA80 P78:AA78">
    <cfRule type="expression" dxfId="6602" priority="1108">
      <formula>P$1=""</formula>
    </cfRule>
  </conditionalFormatting>
  <conditionalFormatting sqref="P82:AA82 P80:AA80 P78:AA78">
    <cfRule type="expression" dxfId="6601" priority="1107">
      <formula>P$1=""</formula>
    </cfRule>
  </conditionalFormatting>
  <conditionalFormatting sqref="P82:AA82 P80:AA80 P78:AA78">
    <cfRule type="expression" dxfId="6600" priority="1106">
      <formula>P$1=""</formula>
    </cfRule>
  </conditionalFormatting>
  <conditionalFormatting sqref="P85:AA85">
    <cfRule type="expression" dxfId="6599" priority="1105">
      <formula>P$1=""</formula>
    </cfRule>
  </conditionalFormatting>
  <conditionalFormatting sqref="P87:AA87">
    <cfRule type="expression" dxfId="6598" priority="1104">
      <formula>P$1=""</formula>
    </cfRule>
  </conditionalFormatting>
  <conditionalFormatting sqref="P89:AA89">
    <cfRule type="expression" dxfId="6597" priority="1103">
      <formula>P$1=""</formula>
    </cfRule>
  </conditionalFormatting>
  <conditionalFormatting sqref="P91:AA91">
    <cfRule type="expression" dxfId="6596" priority="1102">
      <formula>P$1=""</formula>
    </cfRule>
  </conditionalFormatting>
  <conditionalFormatting sqref="P91:AA91 P89:AA89 P87:AA87">
    <cfRule type="expression" dxfId="6595" priority="1101">
      <formula>P$1=""</formula>
    </cfRule>
  </conditionalFormatting>
  <conditionalFormatting sqref="P91:AA91 P89:AA89 P87:AA87">
    <cfRule type="expression" dxfId="6594" priority="1100">
      <formula>P$1=""</formula>
    </cfRule>
  </conditionalFormatting>
  <conditionalFormatting sqref="P91:AA91 P89:AA89 P87:AA87">
    <cfRule type="expression" dxfId="6593" priority="1099">
      <formula>P$1=""</formula>
    </cfRule>
  </conditionalFormatting>
  <conditionalFormatting sqref="P91:AA91 P89:AA89 P87:AA87">
    <cfRule type="expression" dxfId="6592" priority="1098">
      <formula>P$1=""</formula>
    </cfRule>
  </conditionalFormatting>
  <conditionalFormatting sqref="P95:AA95">
    <cfRule type="expression" dxfId="6591" priority="1097">
      <formula>P$1=""</formula>
    </cfRule>
  </conditionalFormatting>
  <conditionalFormatting sqref="P97:AA97">
    <cfRule type="expression" dxfId="6590" priority="1096">
      <formula>P$1=""</formula>
    </cfRule>
  </conditionalFormatting>
  <conditionalFormatting sqref="P99:AA99">
    <cfRule type="expression" dxfId="6589" priority="1095">
      <formula>P$1=""</formula>
    </cfRule>
  </conditionalFormatting>
  <conditionalFormatting sqref="P101:AA101">
    <cfRule type="expression" dxfId="6588" priority="1094">
      <formula>P$1=""</formula>
    </cfRule>
  </conditionalFormatting>
  <conditionalFormatting sqref="P101:AA101 P99:AA99 P97:AA97">
    <cfRule type="expression" dxfId="6587" priority="1093">
      <formula>P$1=""</formula>
    </cfRule>
  </conditionalFormatting>
  <conditionalFormatting sqref="P101:AA101 P99:AA99 P97:AA97">
    <cfRule type="expression" dxfId="6586" priority="1092">
      <formula>P$1=""</formula>
    </cfRule>
  </conditionalFormatting>
  <conditionalFormatting sqref="P101:AA101 P99:AA99 P97:AA97">
    <cfRule type="expression" dxfId="6585" priority="1091">
      <formula>P$1=""</formula>
    </cfRule>
  </conditionalFormatting>
  <conditionalFormatting sqref="P101:AA101 P99:AA99 P97:AA97">
    <cfRule type="expression" dxfId="6584" priority="1090">
      <formula>P$1=""</formula>
    </cfRule>
  </conditionalFormatting>
  <conditionalFormatting sqref="P101:AA101 P99:AA99 P97:AA97">
    <cfRule type="expression" dxfId="6583" priority="1089">
      <formula>P$1=""</formula>
    </cfRule>
  </conditionalFormatting>
  <conditionalFormatting sqref="P105:AA105">
    <cfRule type="expression" dxfId="6582" priority="1088">
      <formula>P$1=""</formula>
    </cfRule>
  </conditionalFormatting>
  <conditionalFormatting sqref="P107:AA107">
    <cfRule type="expression" dxfId="6581" priority="1087">
      <formula>P$1=""</formula>
    </cfRule>
  </conditionalFormatting>
  <conditionalFormatting sqref="P109:AA109">
    <cfRule type="expression" dxfId="6580" priority="1086">
      <formula>P$1=""</formula>
    </cfRule>
  </conditionalFormatting>
  <conditionalFormatting sqref="P111:AA111">
    <cfRule type="expression" dxfId="6579" priority="1085">
      <formula>P$1=""</formula>
    </cfRule>
  </conditionalFormatting>
  <conditionalFormatting sqref="P107:AA107 P109:AA109 P111:AA111">
    <cfRule type="expression" dxfId="6578" priority="1084">
      <formula>P$1=""</formula>
    </cfRule>
  </conditionalFormatting>
  <conditionalFormatting sqref="P107:AA107 P109:AA109 P111:AA111">
    <cfRule type="expression" dxfId="6577" priority="1083">
      <formula>P$1=""</formula>
    </cfRule>
  </conditionalFormatting>
  <conditionalFormatting sqref="P107:AA107 P109:AA109 P111:AA111">
    <cfRule type="expression" dxfId="6576" priority="1082">
      <formula>P$1=""</formula>
    </cfRule>
  </conditionalFormatting>
  <conditionalFormatting sqref="P107:AA107 P109:AA109 P111:AA111">
    <cfRule type="expression" dxfId="6575" priority="1081">
      <formula>P$1=""</formula>
    </cfRule>
  </conditionalFormatting>
  <conditionalFormatting sqref="P107:AA107 P109:AA109 P111:AA111">
    <cfRule type="expression" dxfId="6574" priority="1080">
      <formula>P$1=""</formula>
    </cfRule>
  </conditionalFormatting>
  <conditionalFormatting sqref="P111:AA111 P109:AA109">
    <cfRule type="expression" dxfId="6573" priority="1079">
      <formula>P$1=""</formula>
    </cfRule>
  </conditionalFormatting>
  <conditionalFormatting sqref="P117:AA117">
    <cfRule type="expression" dxfId="6572" priority="1078">
      <formula>P$1=""</formula>
    </cfRule>
  </conditionalFormatting>
  <conditionalFormatting sqref="P119:AA119">
    <cfRule type="expression" dxfId="6571" priority="1077">
      <formula>P$1=""</formula>
    </cfRule>
  </conditionalFormatting>
  <conditionalFormatting sqref="P121:AA121">
    <cfRule type="expression" dxfId="6570" priority="1076">
      <formula>P$1=""</formula>
    </cfRule>
  </conditionalFormatting>
  <conditionalFormatting sqref="P123:AA123">
    <cfRule type="expression" dxfId="6569" priority="1075">
      <formula>P$1=""</formula>
    </cfRule>
  </conditionalFormatting>
  <conditionalFormatting sqref="P119:AA119 P121:AA121 P123:AA123">
    <cfRule type="expression" dxfId="6568" priority="1074">
      <formula>P$1=""</formula>
    </cfRule>
  </conditionalFormatting>
  <conditionalFormatting sqref="P119:AA119 P121:AA121 P123:AA123">
    <cfRule type="expression" dxfId="6567" priority="1073">
      <formula>P$1=""</formula>
    </cfRule>
  </conditionalFormatting>
  <conditionalFormatting sqref="P119:AA119 P121:AA121 P123:AA123">
    <cfRule type="expression" dxfId="6566" priority="1072">
      <formula>P$1=""</formula>
    </cfRule>
  </conditionalFormatting>
  <conditionalFormatting sqref="P119:AA119 P121:AA121 P123:AA123">
    <cfRule type="expression" dxfId="6565" priority="1071">
      <formula>P$1=""</formula>
    </cfRule>
  </conditionalFormatting>
  <conditionalFormatting sqref="P119:AA119 P121:AA121 P123:AA123">
    <cfRule type="expression" dxfId="6564" priority="1070">
      <formula>P$1=""</formula>
    </cfRule>
  </conditionalFormatting>
  <conditionalFormatting sqref="P123:AA123 P121:AA121">
    <cfRule type="expression" dxfId="6563" priority="1069">
      <formula>P$1=""</formula>
    </cfRule>
  </conditionalFormatting>
  <conditionalFormatting sqref="P32:AA32 P30:AA30 P28:AA28">
    <cfRule type="expression" dxfId="6562" priority="1068">
      <formula>P$1=""</formula>
    </cfRule>
  </conditionalFormatting>
  <conditionalFormatting sqref="P119:AA119">
    <cfRule type="expression" dxfId="6561" priority="1067">
      <formula>P$1=""</formula>
    </cfRule>
  </conditionalFormatting>
  <conditionalFormatting sqref="P123:AA123 P121:AA121">
    <cfRule type="expression" dxfId="6560" priority="1066">
      <formula>P$1=""</formula>
    </cfRule>
  </conditionalFormatting>
  <conditionalFormatting sqref="P123:AA123 P121:AA121">
    <cfRule type="expression" dxfId="6559" priority="1065">
      <formula>P$1=""</formula>
    </cfRule>
  </conditionalFormatting>
  <conditionalFormatting sqref="P127:AA127">
    <cfRule type="expression" dxfId="6558" priority="1064">
      <formula>P$1=""</formula>
    </cfRule>
  </conditionalFormatting>
  <conditionalFormatting sqref="P129:AA129">
    <cfRule type="expression" dxfId="6557" priority="1063">
      <formula>P$1=""</formula>
    </cfRule>
  </conditionalFormatting>
  <conditionalFormatting sqref="P131:AA131">
    <cfRule type="expression" dxfId="6556" priority="1062">
      <formula>P$1=""</formula>
    </cfRule>
  </conditionalFormatting>
  <conditionalFormatting sqref="P133:AA133">
    <cfRule type="expression" dxfId="6555" priority="1061">
      <formula>P$1=""</formula>
    </cfRule>
  </conditionalFormatting>
  <conditionalFormatting sqref="P131:AA131 P129:AA129 P133:AA133">
    <cfRule type="expression" dxfId="6554" priority="1060">
      <formula>P$1=""</formula>
    </cfRule>
  </conditionalFormatting>
  <conditionalFormatting sqref="P131:AA131 P129:AA129 P133:AA133">
    <cfRule type="expression" dxfId="6553" priority="1059">
      <formula>P$1=""</formula>
    </cfRule>
  </conditionalFormatting>
  <conditionalFormatting sqref="P131:AA131 P129:AA129 P133:AA133">
    <cfRule type="expression" dxfId="6552" priority="1058">
      <formula>P$1=""</formula>
    </cfRule>
  </conditionalFormatting>
  <conditionalFormatting sqref="P131:AA131 P129:AA129 P133:AA133">
    <cfRule type="expression" dxfId="6551" priority="1057">
      <formula>P$1=""</formula>
    </cfRule>
  </conditionalFormatting>
  <conditionalFormatting sqref="P131:AA131 P129:AA129 P133:AA133">
    <cfRule type="expression" dxfId="6550" priority="1056">
      <formula>P$1=""</formula>
    </cfRule>
  </conditionalFormatting>
  <conditionalFormatting sqref="P131:AA131 P133:AA133">
    <cfRule type="expression" dxfId="6549" priority="1055">
      <formula>P$1=""</formula>
    </cfRule>
  </conditionalFormatting>
  <conditionalFormatting sqref="P129:AA129">
    <cfRule type="expression" dxfId="6548" priority="1054">
      <formula>P$1=""</formula>
    </cfRule>
  </conditionalFormatting>
  <conditionalFormatting sqref="P131:AA131 P133:AA133">
    <cfRule type="expression" dxfId="6547" priority="1053">
      <formula>P$1=""</formula>
    </cfRule>
  </conditionalFormatting>
  <conditionalFormatting sqref="P131:AA131 P133:AA133">
    <cfRule type="expression" dxfId="6546" priority="1052">
      <formula>P$1=""</formula>
    </cfRule>
  </conditionalFormatting>
  <conditionalFormatting sqref="P133:AA133">
    <cfRule type="expression" dxfId="6545" priority="1051">
      <formula>P$1=""</formula>
    </cfRule>
  </conditionalFormatting>
  <conditionalFormatting sqref="P133:AA133">
    <cfRule type="expression" dxfId="6544" priority="1050">
      <formula>P$1=""</formula>
    </cfRule>
  </conditionalFormatting>
  <conditionalFormatting sqref="P133:AA133">
    <cfRule type="expression" dxfId="6543" priority="1049">
      <formula>P$1=""</formula>
    </cfRule>
  </conditionalFormatting>
  <conditionalFormatting sqref="P133:AA133">
    <cfRule type="expression" dxfId="6542" priority="1048">
      <formula>P$1=""</formula>
    </cfRule>
  </conditionalFormatting>
  <conditionalFormatting sqref="P137:AA137">
    <cfRule type="expression" dxfId="6541" priority="1047">
      <formula>P$1=""</formula>
    </cfRule>
  </conditionalFormatting>
  <conditionalFormatting sqref="P139:AA139">
    <cfRule type="expression" dxfId="6540" priority="1046">
      <formula>P$1=""</formula>
    </cfRule>
  </conditionalFormatting>
  <conditionalFormatting sqref="P141:AA141">
    <cfRule type="expression" dxfId="6539" priority="1045">
      <formula>P$1=""</formula>
    </cfRule>
  </conditionalFormatting>
  <conditionalFormatting sqref="P143:AA143">
    <cfRule type="expression" dxfId="6538" priority="1044">
      <formula>P$1=""</formula>
    </cfRule>
  </conditionalFormatting>
  <conditionalFormatting sqref="P139:AA139 P141:AA141 P143:AA143">
    <cfRule type="expression" dxfId="6537" priority="1043">
      <formula>P$1=""</formula>
    </cfRule>
  </conditionalFormatting>
  <conditionalFormatting sqref="P139:AA139 P141:AA141 P143:AA143">
    <cfRule type="expression" dxfId="6536" priority="1042">
      <formula>P$1=""</formula>
    </cfRule>
  </conditionalFormatting>
  <conditionalFormatting sqref="P139:AA139 P141:AA141 P143:AA143">
    <cfRule type="expression" dxfId="6535" priority="1041">
      <formula>P$1=""</formula>
    </cfRule>
  </conditionalFormatting>
  <conditionalFormatting sqref="P139:AA139 P141:AA141 P143:AA143">
    <cfRule type="expression" dxfId="6534" priority="1040">
      <formula>P$1=""</formula>
    </cfRule>
  </conditionalFormatting>
  <conditionalFormatting sqref="P139:AA139 P141:AA141 P143:AA143">
    <cfRule type="expression" dxfId="6533" priority="1039">
      <formula>P$1=""</formula>
    </cfRule>
  </conditionalFormatting>
  <conditionalFormatting sqref="P141:AA141 P143:AA143">
    <cfRule type="expression" dxfId="6532" priority="1038">
      <formula>P$1=""</formula>
    </cfRule>
  </conditionalFormatting>
  <conditionalFormatting sqref="P139:AA139">
    <cfRule type="expression" dxfId="6531" priority="1037">
      <formula>P$1=""</formula>
    </cfRule>
  </conditionalFormatting>
  <conditionalFormatting sqref="P141:AA141 P143:AA143">
    <cfRule type="expression" dxfId="6530" priority="1036">
      <formula>P$1=""</formula>
    </cfRule>
  </conditionalFormatting>
  <conditionalFormatting sqref="P141:AA141 P143:AA143">
    <cfRule type="expression" dxfId="6529" priority="1035">
      <formula>P$1=""</formula>
    </cfRule>
  </conditionalFormatting>
  <conditionalFormatting sqref="P143:AA143">
    <cfRule type="expression" dxfId="6528" priority="1034">
      <formula>P$1=""</formula>
    </cfRule>
  </conditionalFormatting>
  <conditionalFormatting sqref="P143:AA143">
    <cfRule type="expression" dxfId="6527" priority="1033">
      <formula>P$1=""</formula>
    </cfRule>
  </conditionalFormatting>
  <conditionalFormatting sqref="P143:AA143">
    <cfRule type="expression" dxfId="6526" priority="1032">
      <formula>P$1=""</formula>
    </cfRule>
  </conditionalFormatting>
  <conditionalFormatting sqref="P143:AA143">
    <cfRule type="expression" dxfId="6525" priority="1031">
      <formula>P$1=""</formula>
    </cfRule>
  </conditionalFormatting>
  <conditionalFormatting sqref="P137:AA137">
    <cfRule type="expression" dxfId="6524" priority="1030">
      <formula>P$1=""</formula>
    </cfRule>
  </conditionalFormatting>
  <conditionalFormatting sqref="P137:AA137">
    <cfRule type="expression" dxfId="6523" priority="1029">
      <formula>P$1=""</formula>
    </cfRule>
  </conditionalFormatting>
  <conditionalFormatting sqref="P137:AA137">
    <cfRule type="expression" dxfId="6522" priority="1028">
      <formula>P$1=""</formula>
    </cfRule>
  </conditionalFormatting>
  <conditionalFormatting sqref="P137:AA137">
    <cfRule type="expression" dxfId="6521" priority="1027">
      <formula>P$1=""</formula>
    </cfRule>
  </conditionalFormatting>
  <conditionalFormatting sqref="P137:AA137">
    <cfRule type="expression" dxfId="6520" priority="1026">
      <formula>P$1=""</formula>
    </cfRule>
  </conditionalFormatting>
  <conditionalFormatting sqref="P137:AA137">
    <cfRule type="expression" dxfId="6519" priority="1025">
      <formula>P$1=""</formula>
    </cfRule>
  </conditionalFormatting>
  <conditionalFormatting sqref="P137:AA137">
    <cfRule type="expression" dxfId="6518" priority="1024">
      <formula>P$1=""</formula>
    </cfRule>
  </conditionalFormatting>
  <conditionalFormatting sqref="P143:AA143 P141:AA141">
    <cfRule type="expression" dxfId="6517" priority="1023">
      <formula>P$1=""</formula>
    </cfRule>
  </conditionalFormatting>
  <conditionalFormatting sqref="P143:AA143 P141:AA141">
    <cfRule type="expression" dxfId="6516" priority="1022">
      <formula>P$1=""</formula>
    </cfRule>
  </conditionalFormatting>
  <conditionalFormatting sqref="P155:AA155">
    <cfRule type="expression" dxfId="6515" priority="1021">
      <formula>P$1=""</formula>
    </cfRule>
  </conditionalFormatting>
  <conditionalFormatting sqref="P157:AA157">
    <cfRule type="expression" dxfId="6514" priority="1020">
      <formula>P$1=""</formula>
    </cfRule>
  </conditionalFormatting>
  <conditionalFormatting sqref="P159:AA159">
    <cfRule type="expression" dxfId="6513" priority="1019">
      <formula>P$1=""</formula>
    </cfRule>
  </conditionalFormatting>
  <conditionalFormatting sqref="P161:AA161">
    <cfRule type="expression" dxfId="6512" priority="1018">
      <formula>P$1=""</formula>
    </cfRule>
  </conditionalFormatting>
  <conditionalFormatting sqref="P157:AA157 P159:AA159 P161:AA161">
    <cfRule type="expression" dxfId="6511" priority="1017">
      <formula>P$1=""</formula>
    </cfRule>
  </conditionalFormatting>
  <conditionalFormatting sqref="P157:AA157 P159:AA159 P161:AA161">
    <cfRule type="expression" dxfId="6510" priority="1016">
      <formula>P$1=""</formula>
    </cfRule>
  </conditionalFormatting>
  <conditionalFormatting sqref="P157:AA157 P159:AA159 P161:AA161">
    <cfRule type="expression" dxfId="6509" priority="1015">
      <formula>P$1=""</formula>
    </cfRule>
  </conditionalFormatting>
  <conditionalFormatting sqref="P157:AA157 P159:AA159 P161:AA161">
    <cfRule type="expression" dxfId="6508" priority="1014">
      <formula>P$1=""</formula>
    </cfRule>
  </conditionalFormatting>
  <conditionalFormatting sqref="P157:AA157 P159:AA159 P161:AA161">
    <cfRule type="expression" dxfId="6507" priority="1013">
      <formula>P$1=""</formula>
    </cfRule>
  </conditionalFormatting>
  <conditionalFormatting sqref="P159:AA159 P161:AA161">
    <cfRule type="expression" dxfId="6506" priority="1012">
      <formula>P$1=""</formula>
    </cfRule>
  </conditionalFormatting>
  <conditionalFormatting sqref="P157:AA157">
    <cfRule type="expression" dxfId="6505" priority="1011">
      <formula>P$1=""</formula>
    </cfRule>
  </conditionalFormatting>
  <conditionalFormatting sqref="P159:AA159 P161:AA161">
    <cfRule type="expression" dxfId="6504" priority="1010">
      <formula>P$1=""</formula>
    </cfRule>
  </conditionalFormatting>
  <conditionalFormatting sqref="P159:AA159 P161:AA161">
    <cfRule type="expression" dxfId="6503" priority="1009">
      <formula>P$1=""</formula>
    </cfRule>
  </conditionalFormatting>
  <conditionalFormatting sqref="P161:AA161">
    <cfRule type="expression" dxfId="6502" priority="1008">
      <formula>P$1=""</formula>
    </cfRule>
  </conditionalFormatting>
  <conditionalFormatting sqref="P161:AA161">
    <cfRule type="expression" dxfId="6501" priority="1007">
      <formula>P$1=""</formula>
    </cfRule>
  </conditionalFormatting>
  <conditionalFormatting sqref="P161:AA161">
    <cfRule type="expression" dxfId="6500" priority="1006">
      <formula>P$1=""</formula>
    </cfRule>
  </conditionalFormatting>
  <conditionalFormatting sqref="P161:AA161">
    <cfRule type="expression" dxfId="6499" priority="1005">
      <formula>P$1=""</formula>
    </cfRule>
  </conditionalFormatting>
  <conditionalFormatting sqref="P155:AA155">
    <cfRule type="expression" dxfId="6498" priority="1004">
      <formula>P$1=""</formula>
    </cfRule>
  </conditionalFormatting>
  <conditionalFormatting sqref="P155:AA155">
    <cfRule type="expression" dxfId="6497" priority="1003">
      <formula>P$1=""</formula>
    </cfRule>
  </conditionalFormatting>
  <conditionalFormatting sqref="P155:AA155">
    <cfRule type="expression" dxfId="6496" priority="1002">
      <formula>P$1=""</formula>
    </cfRule>
  </conditionalFormatting>
  <conditionalFormatting sqref="P155:AA155">
    <cfRule type="expression" dxfId="6495" priority="1001">
      <formula>P$1=""</formula>
    </cfRule>
  </conditionalFormatting>
  <conditionalFormatting sqref="P155:AA155">
    <cfRule type="expression" dxfId="6494" priority="1000">
      <formula>P$1=""</formula>
    </cfRule>
  </conditionalFormatting>
  <conditionalFormatting sqref="P155:AA155">
    <cfRule type="expression" dxfId="6493" priority="999">
      <formula>P$1=""</formula>
    </cfRule>
  </conditionalFormatting>
  <conditionalFormatting sqref="P155:AA155">
    <cfRule type="expression" dxfId="6492" priority="998">
      <formula>P$1=""</formula>
    </cfRule>
  </conditionalFormatting>
  <conditionalFormatting sqref="P161:AA161 P159:AA159">
    <cfRule type="expression" dxfId="6491" priority="997">
      <formula>P$1=""</formula>
    </cfRule>
  </conditionalFormatting>
  <conditionalFormatting sqref="P161:AA161 P159:AA159">
    <cfRule type="expression" dxfId="6490" priority="996">
      <formula>P$1=""</formula>
    </cfRule>
  </conditionalFormatting>
  <conditionalFormatting sqref="P161:AA161 P159:AA159">
    <cfRule type="expression" dxfId="6489" priority="995">
      <formula>P$1=""</formula>
    </cfRule>
  </conditionalFormatting>
  <conditionalFormatting sqref="P161:AA161 P159:AA159">
    <cfRule type="expression" dxfId="6488" priority="994">
      <formula>P$1=""</formula>
    </cfRule>
  </conditionalFormatting>
  <conditionalFormatting sqref="P165:AA165">
    <cfRule type="expression" dxfId="6487" priority="993">
      <formula>P$1=""</formula>
    </cfRule>
  </conditionalFormatting>
  <conditionalFormatting sqref="P167:AA167">
    <cfRule type="expression" dxfId="6486" priority="992">
      <formula>P$1=""</formula>
    </cfRule>
  </conditionalFormatting>
  <conditionalFormatting sqref="P169:AA169">
    <cfRule type="expression" dxfId="6485" priority="991">
      <formula>P$1=""</formula>
    </cfRule>
  </conditionalFormatting>
  <conditionalFormatting sqref="P171:AA171">
    <cfRule type="expression" dxfId="6484" priority="990">
      <formula>P$1=""</formula>
    </cfRule>
  </conditionalFormatting>
  <conditionalFormatting sqref="P167:AA167 P169:AA169 P171:AA171">
    <cfRule type="expression" dxfId="6483" priority="989">
      <formula>P$1=""</formula>
    </cfRule>
  </conditionalFormatting>
  <conditionalFormatting sqref="P167:AA167 P169:AA169 P171:AA171">
    <cfRule type="expression" dxfId="6482" priority="988">
      <formula>P$1=""</formula>
    </cfRule>
  </conditionalFormatting>
  <conditionalFormatting sqref="P167:AA167 P169:AA169 P171:AA171">
    <cfRule type="expression" dxfId="6481" priority="987">
      <formula>P$1=""</formula>
    </cfRule>
  </conditionalFormatting>
  <conditionalFormatting sqref="P167:AA167 P169:AA169 P171:AA171">
    <cfRule type="expression" dxfId="6480" priority="986">
      <formula>P$1=""</formula>
    </cfRule>
  </conditionalFormatting>
  <conditionalFormatting sqref="P167:AA167 P169:AA169 P171:AA171">
    <cfRule type="expression" dxfId="6479" priority="985">
      <formula>P$1=""</formula>
    </cfRule>
  </conditionalFormatting>
  <conditionalFormatting sqref="P169:AA169 P171:AA171">
    <cfRule type="expression" dxfId="6478" priority="984">
      <formula>P$1=""</formula>
    </cfRule>
  </conditionalFormatting>
  <conditionalFormatting sqref="P167:AA167">
    <cfRule type="expression" dxfId="6477" priority="983">
      <formula>P$1=""</formula>
    </cfRule>
  </conditionalFormatting>
  <conditionalFormatting sqref="P169:AA169 P171:AA171">
    <cfRule type="expression" dxfId="6476" priority="982">
      <formula>P$1=""</formula>
    </cfRule>
  </conditionalFormatting>
  <conditionalFormatting sqref="P169:AA169 P171:AA171">
    <cfRule type="expression" dxfId="6475" priority="981">
      <formula>P$1=""</formula>
    </cfRule>
  </conditionalFormatting>
  <conditionalFormatting sqref="P171:AA171">
    <cfRule type="expression" dxfId="6474" priority="980">
      <formula>P$1=""</formula>
    </cfRule>
  </conditionalFormatting>
  <conditionalFormatting sqref="P171:AA171">
    <cfRule type="expression" dxfId="6473" priority="979">
      <formula>P$1=""</formula>
    </cfRule>
  </conditionalFormatting>
  <conditionalFormatting sqref="P171:AA171">
    <cfRule type="expression" dxfId="6472" priority="978">
      <formula>P$1=""</formula>
    </cfRule>
  </conditionalFormatting>
  <conditionalFormatting sqref="P171:AA171">
    <cfRule type="expression" dxfId="6471" priority="977">
      <formula>P$1=""</formula>
    </cfRule>
  </conditionalFormatting>
  <conditionalFormatting sqref="P165:AA165">
    <cfRule type="expression" dxfId="6470" priority="976">
      <formula>P$1=""</formula>
    </cfRule>
  </conditionalFormatting>
  <conditionalFormatting sqref="P165:AA165">
    <cfRule type="expression" dxfId="6469" priority="975">
      <formula>P$1=""</formula>
    </cfRule>
  </conditionalFormatting>
  <conditionalFormatting sqref="P165:AA165">
    <cfRule type="expression" dxfId="6468" priority="974">
      <formula>P$1=""</formula>
    </cfRule>
  </conditionalFormatting>
  <conditionalFormatting sqref="P165:AA165">
    <cfRule type="expression" dxfId="6467" priority="973">
      <formula>P$1=""</formula>
    </cfRule>
  </conditionalFormatting>
  <conditionalFormatting sqref="P165:AA165">
    <cfRule type="expression" dxfId="6466" priority="972">
      <formula>P$1=""</formula>
    </cfRule>
  </conditionalFormatting>
  <conditionalFormatting sqref="P165:AA165">
    <cfRule type="expression" dxfId="6465" priority="971">
      <formula>P$1=""</formula>
    </cfRule>
  </conditionalFormatting>
  <conditionalFormatting sqref="P165:AA165">
    <cfRule type="expression" dxfId="6464" priority="970">
      <formula>P$1=""</formula>
    </cfRule>
  </conditionalFormatting>
  <conditionalFormatting sqref="P169:AA169 P171:AA171">
    <cfRule type="expression" dxfId="6463" priority="969">
      <formula>P$1=""</formula>
    </cfRule>
  </conditionalFormatting>
  <conditionalFormatting sqref="P169:AA169 P171:AA171">
    <cfRule type="expression" dxfId="6462" priority="968">
      <formula>P$1=""</formula>
    </cfRule>
  </conditionalFormatting>
  <conditionalFormatting sqref="P169:AA169 P171:AA171">
    <cfRule type="expression" dxfId="6461" priority="967">
      <formula>P$1=""</formula>
    </cfRule>
  </conditionalFormatting>
  <conditionalFormatting sqref="P169:AA169 P171:AA171">
    <cfRule type="expression" dxfId="6460" priority="966">
      <formula>P$1=""</formula>
    </cfRule>
  </conditionalFormatting>
  <conditionalFormatting sqref="P171:AA171 P169:AA169 P167:AA167">
    <cfRule type="expression" dxfId="6459" priority="965">
      <formula>P$1=""</formula>
    </cfRule>
  </conditionalFormatting>
  <conditionalFormatting sqref="P171:AA171 P169:AA169 P167:AA167">
    <cfRule type="expression" dxfId="6458" priority="964">
      <formula>P$1=""</formula>
    </cfRule>
  </conditionalFormatting>
  <conditionalFormatting sqref="P171:AA171 P169:AA169 P167:AA167">
    <cfRule type="expression" dxfId="6457" priority="963">
      <formula>P$1=""</formula>
    </cfRule>
  </conditionalFormatting>
  <conditionalFormatting sqref="P171:AA171 P169:AA169 P167:AA167">
    <cfRule type="expression" dxfId="6456" priority="962">
      <formula>P$1=""</formula>
    </cfRule>
  </conditionalFormatting>
  <conditionalFormatting sqref="P171:AA171 P169:AA169 P167:AA167">
    <cfRule type="expression" dxfId="6455" priority="961">
      <formula>P$1=""</formula>
    </cfRule>
  </conditionalFormatting>
  <conditionalFormatting sqref="P171:AA171 P169:AA169 P167:AA167">
    <cfRule type="expression" dxfId="6454" priority="960">
      <formula>P$1=""</formula>
    </cfRule>
  </conditionalFormatting>
  <conditionalFormatting sqref="P171:AA171 P169:AA169 P167:AA167">
    <cfRule type="expression" dxfId="6453" priority="959">
      <formula>P$1=""</formula>
    </cfRule>
  </conditionalFormatting>
  <conditionalFormatting sqref="P171:AA171 P169:AA169 P167:AA167">
    <cfRule type="expression" dxfId="6452" priority="958">
      <formula>P$1=""</formula>
    </cfRule>
  </conditionalFormatting>
  <conditionalFormatting sqref="Q167:AA167">
    <cfRule type="expression" dxfId="6451" priority="957">
      <formula>Q$1=""</formula>
    </cfRule>
  </conditionalFormatting>
  <conditionalFormatting sqref="Q167:AA167">
    <cfRule type="expression" dxfId="6450" priority="956">
      <formula>Q$1=""</formula>
    </cfRule>
  </conditionalFormatting>
  <conditionalFormatting sqref="Q167:AA167">
    <cfRule type="expression" dxfId="6449" priority="955">
      <formula>Q$1=""</formula>
    </cfRule>
  </conditionalFormatting>
  <conditionalFormatting sqref="Q167:AA167">
    <cfRule type="expression" dxfId="6448" priority="954">
      <formula>Q$1=""</formula>
    </cfRule>
  </conditionalFormatting>
  <conditionalFormatting sqref="Q167:AA167">
    <cfRule type="expression" dxfId="6447" priority="953">
      <formula>Q$1=""</formula>
    </cfRule>
  </conditionalFormatting>
  <conditionalFormatting sqref="Q167:AA167">
    <cfRule type="expression" dxfId="6446" priority="952">
      <formula>Q$1=""</formula>
    </cfRule>
  </conditionalFormatting>
  <conditionalFormatting sqref="Q167:AA167">
    <cfRule type="expression" dxfId="6445" priority="951">
      <formula>Q$1=""</formula>
    </cfRule>
  </conditionalFormatting>
  <conditionalFormatting sqref="Q167:AA167">
    <cfRule type="expression" dxfId="6444" priority="950">
      <formula>Q$1=""</formula>
    </cfRule>
  </conditionalFormatting>
  <conditionalFormatting sqref="Q169:AA169 Q171:AA171">
    <cfRule type="expression" dxfId="6443" priority="949">
      <formula>Q$1=""</formula>
    </cfRule>
  </conditionalFormatting>
  <conditionalFormatting sqref="Q169:AA169 Q171:AA171">
    <cfRule type="expression" dxfId="6442" priority="948">
      <formula>Q$1=""</formula>
    </cfRule>
  </conditionalFormatting>
  <conditionalFormatting sqref="Q169:AA169 Q171:AA171">
    <cfRule type="expression" dxfId="6441" priority="947">
      <formula>Q$1=""</formula>
    </cfRule>
  </conditionalFormatting>
  <conditionalFormatting sqref="Q169:AA169 Q171:AA171">
    <cfRule type="expression" dxfId="6440" priority="946">
      <formula>Q$1=""</formula>
    </cfRule>
  </conditionalFormatting>
  <conditionalFormatting sqref="Q169:AA169 Q171:AA171">
    <cfRule type="expression" dxfId="6439" priority="945">
      <formula>Q$1=""</formula>
    </cfRule>
  </conditionalFormatting>
  <conditionalFormatting sqref="Q169:AA169 Q171:AA171">
    <cfRule type="expression" dxfId="6438" priority="944">
      <formula>Q$1=""</formula>
    </cfRule>
  </conditionalFormatting>
  <conditionalFormatting sqref="Q169:AA169 Q171:AA171">
    <cfRule type="expression" dxfId="6437" priority="943">
      <formula>Q$1=""</formula>
    </cfRule>
  </conditionalFormatting>
  <conditionalFormatting sqref="Q169:AA169 Q171:AA171">
    <cfRule type="expression" dxfId="6436" priority="942">
      <formula>Q$1=""</formula>
    </cfRule>
  </conditionalFormatting>
  <conditionalFormatting sqref="Q169:AA169 Q171:AA171">
    <cfRule type="expression" dxfId="6435" priority="941">
      <formula>Q$1=""</formula>
    </cfRule>
  </conditionalFormatting>
  <conditionalFormatting sqref="Q169:AA169 Q171:AA171">
    <cfRule type="expression" dxfId="6434" priority="940">
      <formula>Q$1=""</formula>
    </cfRule>
  </conditionalFormatting>
  <conditionalFormatting sqref="P175:AA175">
    <cfRule type="expression" dxfId="6433" priority="939">
      <formula>P$1=""</formula>
    </cfRule>
  </conditionalFormatting>
  <conditionalFormatting sqref="P177:AA177">
    <cfRule type="expression" dxfId="6432" priority="938">
      <formula>P$1=""</formula>
    </cfRule>
  </conditionalFormatting>
  <conditionalFormatting sqref="P179:AA179">
    <cfRule type="expression" dxfId="6431" priority="937">
      <formula>P$1=""</formula>
    </cfRule>
  </conditionalFormatting>
  <conditionalFormatting sqref="P181:AA181">
    <cfRule type="expression" dxfId="6430" priority="936">
      <formula>P$1=""</formula>
    </cfRule>
  </conditionalFormatting>
  <conditionalFormatting sqref="P177:AA177 P179:AA179 P181:AA181">
    <cfRule type="expression" dxfId="6429" priority="935">
      <formula>P$1=""</formula>
    </cfRule>
  </conditionalFormatting>
  <conditionalFormatting sqref="P177:AA177 P179:AA179 P181:AA181">
    <cfRule type="expression" dxfId="6428" priority="934">
      <formula>P$1=""</formula>
    </cfRule>
  </conditionalFormatting>
  <conditionalFormatting sqref="P177:AA177 P179:AA179 P181:AA181">
    <cfRule type="expression" dxfId="6427" priority="933">
      <formula>P$1=""</formula>
    </cfRule>
  </conditionalFormatting>
  <conditionalFormatting sqref="P177:AA177 P179:AA179 P181:AA181">
    <cfRule type="expression" dxfId="6426" priority="932">
      <formula>P$1=""</formula>
    </cfRule>
  </conditionalFormatting>
  <conditionalFormatting sqref="P177:AA177 P179:AA179 P181:AA181">
    <cfRule type="expression" dxfId="6425" priority="931">
      <formula>P$1=""</formula>
    </cfRule>
  </conditionalFormatting>
  <conditionalFormatting sqref="P179:AA179 P181:AA181">
    <cfRule type="expression" dxfId="6424" priority="930">
      <formula>P$1=""</formula>
    </cfRule>
  </conditionalFormatting>
  <conditionalFormatting sqref="P177:AA177">
    <cfRule type="expression" dxfId="6423" priority="929">
      <formula>P$1=""</formula>
    </cfRule>
  </conditionalFormatting>
  <conditionalFormatting sqref="P179:AA179 P181:AA181">
    <cfRule type="expression" dxfId="6422" priority="928">
      <formula>P$1=""</formula>
    </cfRule>
  </conditionalFormatting>
  <conditionalFormatting sqref="P179:AA179 P181:AA181">
    <cfRule type="expression" dxfId="6421" priority="927">
      <formula>P$1=""</formula>
    </cfRule>
  </conditionalFormatting>
  <conditionalFormatting sqref="P181:AA181">
    <cfRule type="expression" dxfId="6420" priority="926">
      <formula>P$1=""</formula>
    </cfRule>
  </conditionalFormatting>
  <conditionalFormatting sqref="P181:AA181">
    <cfRule type="expression" dxfId="6419" priority="925">
      <formula>P$1=""</formula>
    </cfRule>
  </conditionalFormatting>
  <conditionalFormatting sqref="P181:AA181">
    <cfRule type="expression" dxfId="6418" priority="924">
      <formula>P$1=""</formula>
    </cfRule>
  </conditionalFormatting>
  <conditionalFormatting sqref="P181:AA181">
    <cfRule type="expression" dxfId="6417" priority="923">
      <formula>P$1=""</formula>
    </cfRule>
  </conditionalFormatting>
  <conditionalFormatting sqref="P175:AA175">
    <cfRule type="expression" dxfId="6416" priority="922">
      <formula>P$1=""</formula>
    </cfRule>
  </conditionalFormatting>
  <conditionalFormatting sqref="P175:AA175">
    <cfRule type="expression" dxfId="6415" priority="921">
      <formula>P$1=""</formula>
    </cfRule>
  </conditionalFormatting>
  <conditionalFormatting sqref="P175:AA175">
    <cfRule type="expression" dxfId="6414" priority="920">
      <formula>P$1=""</formula>
    </cfRule>
  </conditionalFormatting>
  <conditionalFormatting sqref="P175:AA175">
    <cfRule type="expression" dxfId="6413" priority="919">
      <formula>P$1=""</formula>
    </cfRule>
  </conditionalFormatting>
  <conditionalFormatting sqref="P175:AA175">
    <cfRule type="expression" dxfId="6412" priority="918">
      <formula>P$1=""</formula>
    </cfRule>
  </conditionalFormatting>
  <conditionalFormatting sqref="P175:AA175">
    <cfRule type="expression" dxfId="6411" priority="917">
      <formula>P$1=""</formula>
    </cfRule>
  </conditionalFormatting>
  <conditionalFormatting sqref="P175:AA175">
    <cfRule type="expression" dxfId="6410" priority="916">
      <formula>P$1=""</formula>
    </cfRule>
  </conditionalFormatting>
  <conditionalFormatting sqref="P179:AA179 P181:AA181">
    <cfRule type="expression" dxfId="6409" priority="915">
      <formula>P$1=""</formula>
    </cfRule>
  </conditionalFormatting>
  <conditionalFormatting sqref="P179:AA179 P181:AA181">
    <cfRule type="expression" dxfId="6408" priority="914">
      <formula>P$1=""</formula>
    </cfRule>
  </conditionalFormatting>
  <conditionalFormatting sqref="P179:AA179 P181:AA181">
    <cfRule type="expression" dxfId="6407" priority="913">
      <formula>P$1=""</formula>
    </cfRule>
  </conditionalFormatting>
  <conditionalFormatting sqref="P179:AA179 P181:AA181">
    <cfRule type="expression" dxfId="6406" priority="912">
      <formula>P$1=""</formula>
    </cfRule>
  </conditionalFormatting>
  <conditionalFormatting sqref="P177:AA177 P179:AA179 P181:AA181">
    <cfRule type="expression" dxfId="6405" priority="911">
      <formula>P$1=""</formula>
    </cfRule>
  </conditionalFormatting>
  <conditionalFormatting sqref="P177:AA177 P179:AA179 P181:AA181">
    <cfRule type="expression" dxfId="6404" priority="910">
      <formula>P$1=""</formula>
    </cfRule>
  </conditionalFormatting>
  <conditionalFormatting sqref="P177:AA177 P179:AA179 P181:AA181">
    <cfRule type="expression" dxfId="6403" priority="909">
      <formula>P$1=""</formula>
    </cfRule>
  </conditionalFormatting>
  <conditionalFormatting sqref="P177:AA177 P179:AA179 P181:AA181">
    <cfRule type="expression" dxfId="6402" priority="908">
      <formula>P$1=""</formula>
    </cfRule>
  </conditionalFormatting>
  <conditionalFormatting sqref="P177:AA177 P179:AA179 P181:AA181">
    <cfRule type="expression" dxfId="6401" priority="907">
      <formula>P$1=""</formula>
    </cfRule>
  </conditionalFormatting>
  <conditionalFormatting sqref="P177:AA177 P179:AA179 P181:AA181">
    <cfRule type="expression" dxfId="6400" priority="906">
      <formula>P$1=""</formula>
    </cfRule>
  </conditionalFormatting>
  <conditionalFormatting sqref="P177:AA177 P179:AA179 P181:AA181">
    <cfRule type="expression" dxfId="6399" priority="905">
      <formula>P$1=""</formula>
    </cfRule>
  </conditionalFormatting>
  <conditionalFormatting sqref="P177:AA177 P179:AA179 P181:AA181">
    <cfRule type="expression" dxfId="6398" priority="904">
      <formula>P$1=""</formula>
    </cfRule>
  </conditionalFormatting>
  <conditionalFormatting sqref="Q177:AA177">
    <cfRule type="expression" dxfId="6397" priority="903">
      <formula>Q$1=""</formula>
    </cfRule>
  </conditionalFormatting>
  <conditionalFormatting sqref="Q177:AA177">
    <cfRule type="expression" dxfId="6396" priority="902">
      <formula>Q$1=""</formula>
    </cfRule>
  </conditionalFormatting>
  <conditionalFormatting sqref="Q177:AA177">
    <cfRule type="expression" dxfId="6395" priority="901">
      <formula>Q$1=""</formula>
    </cfRule>
  </conditionalFormatting>
  <conditionalFormatting sqref="Q177:AA177">
    <cfRule type="expression" dxfId="6394" priority="900">
      <formula>Q$1=""</formula>
    </cfRule>
  </conditionalFormatting>
  <conditionalFormatting sqref="Q177:AA177">
    <cfRule type="expression" dxfId="6393" priority="899">
      <formula>Q$1=""</formula>
    </cfRule>
  </conditionalFormatting>
  <conditionalFormatting sqref="Q177:AA177">
    <cfRule type="expression" dxfId="6392" priority="898">
      <formula>Q$1=""</formula>
    </cfRule>
  </conditionalFormatting>
  <conditionalFormatting sqref="Q177:AA177">
    <cfRule type="expression" dxfId="6391" priority="897">
      <formula>Q$1=""</formula>
    </cfRule>
  </conditionalFormatting>
  <conditionalFormatting sqref="Q177:AA177">
    <cfRule type="expression" dxfId="6390" priority="896">
      <formula>Q$1=""</formula>
    </cfRule>
  </conditionalFormatting>
  <conditionalFormatting sqref="Q179:AA179 Q181:AA181">
    <cfRule type="expression" dxfId="6389" priority="895">
      <formula>Q$1=""</formula>
    </cfRule>
  </conditionalFormatting>
  <conditionalFormatting sqref="Q179:AA179 Q181:AA181">
    <cfRule type="expression" dxfId="6388" priority="894">
      <formula>Q$1=""</formula>
    </cfRule>
  </conditionalFormatting>
  <conditionalFormatting sqref="Q179:AA179 Q181:AA181">
    <cfRule type="expression" dxfId="6387" priority="893">
      <formula>Q$1=""</formula>
    </cfRule>
  </conditionalFormatting>
  <conditionalFormatting sqref="Q179:AA179 Q181:AA181">
    <cfRule type="expression" dxfId="6386" priority="892">
      <formula>Q$1=""</formula>
    </cfRule>
  </conditionalFormatting>
  <conditionalFormatting sqref="Q179:AA179 Q181:AA181">
    <cfRule type="expression" dxfId="6385" priority="891">
      <formula>Q$1=""</formula>
    </cfRule>
  </conditionalFormatting>
  <conditionalFormatting sqref="Q179:AA179 Q181:AA181">
    <cfRule type="expression" dxfId="6384" priority="890">
      <formula>Q$1=""</formula>
    </cfRule>
  </conditionalFormatting>
  <conditionalFormatting sqref="Q179:AA179 Q181:AA181">
    <cfRule type="expression" dxfId="6383" priority="889">
      <formula>Q$1=""</formula>
    </cfRule>
  </conditionalFormatting>
  <conditionalFormatting sqref="Q179:AA179 Q181:AA181">
    <cfRule type="expression" dxfId="6382" priority="888">
      <formula>Q$1=""</formula>
    </cfRule>
  </conditionalFormatting>
  <conditionalFormatting sqref="Q179:AA179 Q181:AA181">
    <cfRule type="expression" dxfId="6381" priority="887">
      <formula>Q$1=""</formula>
    </cfRule>
  </conditionalFormatting>
  <conditionalFormatting sqref="Q179:AA179 Q181:AA181">
    <cfRule type="expression" dxfId="6380" priority="886">
      <formula>Q$1=""</formula>
    </cfRule>
  </conditionalFormatting>
  <conditionalFormatting sqref="P175:AA175 P179:AA179 P181:AA181">
    <cfRule type="expression" dxfId="6379" priority="885">
      <formula>P$1=""</formula>
    </cfRule>
  </conditionalFormatting>
  <conditionalFormatting sqref="P175:AA175">
    <cfRule type="expression" dxfId="6378" priority="884">
      <formula>P$1=""</formula>
    </cfRule>
  </conditionalFormatting>
  <conditionalFormatting sqref="P175:AA175">
    <cfRule type="expression" dxfId="6377" priority="883">
      <formula>P$1=""</formula>
    </cfRule>
  </conditionalFormatting>
  <conditionalFormatting sqref="P175:AA175">
    <cfRule type="expression" dxfId="6376" priority="882">
      <formula>P$1=""</formula>
    </cfRule>
  </conditionalFormatting>
  <conditionalFormatting sqref="P175:AA175">
    <cfRule type="expression" dxfId="6375" priority="881">
      <formula>P$1=""</formula>
    </cfRule>
  </conditionalFormatting>
  <conditionalFormatting sqref="P175:AA175">
    <cfRule type="expression" dxfId="6374" priority="880">
      <formula>P$1=""</formula>
    </cfRule>
  </conditionalFormatting>
  <conditionalFormatting sqref="P175:AA175 P179:AA179 P181:AA181">
    <cfRule type="expression" dxfId="6373" priority="879">
      <formula>P$1=""</formula>
    </cfRule>
  </conditionalFormatting>
  <conditionalFormatting sqref="P175:AA175">
    <cfRule type="expression" dxfId="6372" priority="878">
      <formula>P$1=""</formula>
    </cfRule>
  </conditionalFormatting>
  <conditionalFormatting sqref="P175:AA175">
    <cfRule type="expression" dxfId="6371" priority="877">
      <formula>P$1=""</formula>
    </cfRule>
  </conditionalFormatting>
  <conditionalFormatting sqref="P175:AA175">
    <cfRule type="expression" dxfId="6370" priority="876">
      <formula>P$1=""</formula>
    </cfRule>
  </conditionalFormatting>
  <conditionalFormatting sqref="P175:AA175">
    <cfRule type="expression" dxfId="6369" priority="875">
      <formula>P$1=""</formula>
    </cfRule>
  </conditionalFormatting>
  <conditionalFormatting sqref="P175:AA175">
    <cfRule type="expression" dxfId="6368" priority="874">
      <formula>P$1=""</formula>
    </cfRule>
  </conditionalFormatting>
  <conditionalFormatting sqref="P175:AA175">
    <cfRule type="expression" dxfId="6367" priority="873">
      <formula>P$1=""</formula>
    </cfRule>
  </conditionalFormatting>
  <conditionalFormatting sqref="P175:AA175">
    <cfRule type="expression" dxfId="6366" priority="872">
      <formula>P$1=""</formula>
    </cfRule>
  </conditionalFormatting>
  <conditionalFormatting sqref="P175:AA175">
    <cfRule type="expression" dxfId="6365" priority="871">
      <formula>P$1=""</formula>
    </cfRule>
  </conditionalFormatting>
  <conditionalFormatting sqref="P152:AA152">
    <cfRule type="expression" dxfId="6364" priority="870">
      <formula>P$1=""</formula>
    </cfRule>
  </conditionalFormatting>
  <conditionalFormatting sqref="P152:AA152">
    <cfRule type="expression" dxfId="6363" priority="869">
      <formula>P$1=""</formula>
    </cfRule>
  </conditionalFormatting>
  <conditionalFormatting sqref="P152:AA152">
    <cfRule type="expression" dxfId="6362" priority="868">
      <formula>P$1=""</formula>
    </cfRule>
  </conditionalFormatting>
  <conditionalFormatting sqref="P152:AA152">
    <cfRule type="expression" dxfId="6361" priority="867">
      <formula>P$1=""</formula>
    </cfRule>
  </conditionalFormatting>
  <conditionalFormatting sqref="P152:AA152">
    <cfRule type="expression" dxfId="6360" priority="866">
      <formula>P$1=""</formula>
    </cfRule>
  </conditionalFormatting>
  <conditionalFormatting sqref="P152:AA152">
    <cfRule type="expression" dxfId="6359" priority="865">
      <formula>P$1=""</formula>
    </cfRule>
  </conditionalFormatting>
  <conditionalFormatting sqref="P152:AA152">
    <cfRule type="expression" dxfId="6358" priority="864">
      <formula>P$1=""</formula>
    </cfRule>
  </conditionalFormatting>
  <conditionalFormatting sqref="P152:AA152">
    <cfRule type="expression" dxfId="6357" priority="863">
      <formula>P$1=""</formula>
    </cfRule>
  </conditionalFormatting>
  <conditionalFormatting sqref="P161:AA161 P159:AA159 P157:AA157">
    <cfRule type="expression" dxfId="6356" priority="862">
      <formula>P$1=""</formula>
    </cfRule>
  </conditionalFormatting>
  <conditionalFormatting sqref="P161:AA161 P159:AA159 P157:AA157">
    <cfRule type="expression" dxfId="6355" priority="861">
      <formula>P$1=""</formula>
    </cfRule>
  </conditionalFormatting>
  <conditionalFormatting sqref="P161:AA161 P159:AA159 P157:AA157">
    <cfRule type="expression" dxfId="6354" priority="860">
      <formula>P$1=""</formula>
    </cfRule>
  </conditionalFormatting>
  <conditionalFormatting sqref="P161:AA161 P159:AA159 P157:AA157">
    <cfRule type="expression" dxfId="6353" priority="859">
      <formula>P$1=""</formula>
    </cfRule>
  </conditionalFormatting>
  <conditionalFormatting sqref="P161:AA161 P159:AA159 P157:AA157">
    <cfRule type="expression" dxfId="6352" priority="858">
      <formula>P$1=""</formula>
    </cfRule>
  </conditionalFormatting>
  <conditionalFormatting sqref="P161:AA161 P159:AA159 P157:AA157">
    <cfRule type="expression" dxfId="6351" priority="857">
      <formula>P$1=""</formula>
    </cfRule>
  </conditionalFormatting>
  <conditionalFormatting sqref="P161:AA161 P159:AA159 P157:AA157">
    <cfRule type="expression" dxfId="6350" priority="856">
      <formula>P$1=""</formula>
    </cfRule>
  </conditionalFormatting>
  <conditionalFormatting sqref="P161:AA161 P159:AA159 P157:AA157">
    <cfRule type="expression" dxfId="6349" priority="855">
      <formula>P$1=""</formula>
    </cfRule>
  </conditionalFormatting>
  <conditionalFormatting sqref="P171:AA171 P169:AA169 P167:AA167">
    <cfRule type="expression" dxfId="6348" priority="854">
      <formula>P$1=""</formula>
    </cfRule>
  </conditionalFormatting>
  <conditionalFormatting sqref="P171:AA171 P169:AA169 P167:AA167">
    <cfRule type="expression" dxfId="6347" priority="853">
      <formula>P$1=""</formula>
    </cfRule>
  </conditionalFormatting>
  <conditionalFormatting sqref="P171:AA171 P169:AA169 P167:AA167">
    <cfRule type="expression" dxfId="6346" priority="852">
      <formula>P$1=""</formula>
    </cfRule>
  </conditionalFormatting>
  <conditionalFormatting sqref="P171:AA171 P169:AA169 P167:AA167">
    <cfRule type="expression" dxfId="6345" priority="851">
      <formula>P$1=""</formula>
    </cfRule>
  </conditionalFormatting>
  <conditionalFormatting sqref="P171:AA171 P169:AA169 P167:AA167">
    <cfRule type="expression" dxfId="6344" priority="850">
      <formula>P$1=""</formula>
    </cfRule>
  </conditionalFormatting>
  <conditionalFormatting sqref="P171:AA171 P169:AA169 P167:AA167">
    <cfRule type="expression" dxfId="6343" priority="849">
      <formula>P$1=""</formula>
    </cfRule>
  </conditionalFormatting>
  <conditionalFormatting sqref="P171:AA171 P169:AA169 P167:AA167">
    <cfRule type="expression" dxfId="6342" priority="848">
      <formula>P$1=""</formula>
    </cfRule>
  </conditionalFormatting>
  <conditionalFormatting sqref="P171:AA171 P169:AA169 P167:AA167">
    <cfRule type="expression" dxfId="6341" priority="847">
      <formula>P$1=""</formula>
    </cfRule>
  </conditionalFormatting>
  <conditionalFormatting sqref="P177:AA177 P179:AA179 P181:AA181">
    <cfRule type="expression" dxfId="6340" priority="846">
      <formula>P$1=""</formula>
    </cfRule>
  </conditionalFormatting>
  <conditionalFormatting sqref="P177:AA177 P179:AA179 P181:AA181">
    <cfRule type="expression" dxfId="6339" priority="845">
      <formula>P$1=""</formula>
    </cfRule>
  </conditionalFormatting>
  <conditionalFormatting sqref="P177:AA177 P179:AA179 P181:AA181">
    <cfRule type="expression" dxfId="6338" priority="844">
      <formula>P$1=""</formula>
    </cfRule>
  </conditionalFormatting>
  <conditionalFormatting sqref="P177:AA177 P179:AA179 P181:AA181">
    <cfRule type="expression" dxfId="6337" priority="843">
      <formula>P$1=""</formula>
    </cfRule>
  </conditionalFormatting>
  <conditionalFormatting sqref="P177:AA177 P179:AA179 P181:AA181">
    <cfRule type="expression" dxfId="6336" priority="842">
      <formula>P$1=""</formula>
    </cfRule>
  </conditionalFormatting>
  <conditionalFormatting sqref="P177:AA177 P179:AA179 P181:AA181">
    <cfRule type="expression" dxfId="6335" priority="841">
      <formula>P$1=""</formula>
    </cfRule>
  </conditionalFormatting>
  <conditionalFormatting sqref="P177:AA177 P179:AA179 P181:AA181">
    <cfRule type="expression" dxfId="6334" priority="840">
      <formula>P$1=""</formula>
    </cfRule>
  </conditionalFormatting>
  <conditionalFormatting sqref="P177:AA177 P179:AA179 P181:AA181">
    <cfRule type="expression" dxfId="6333" priority="839">
      <formula>P$1=""</formula>
    </cfRule>
  </conditionalFormatting>
  <conditionalFormatting sqref="P177:AA177">
    <cfRule type="expression" dxfId="6332" priority="838">
      <formula>P$1=""</formula>
    </cfRule>
  </conditionalFormatting>
  <conditionalFormatting sqref="P177:AA177 P179:AA179 P181:AA181">
    <cfRule type="expression" dxfId="6331" priority="837">
      <formula>P$1=""</formula>
    </cfRule>
  </conditionalFormatting>
  <conditionalFormatting sqref="P177:AA177 P179:AA179 P181:AA181">
    <cfRule type="expression" dxfId="6330" priority="836">
      <formula>P$1=""</formula>
    </cfRule>
  </conditionalFormatting>
  <conditionalFormatting sqref="P177:AA177 P179:AA179 P181:AA181">
    <cfRule type="expression" dxfId="6329" priority="835">
      <formula>P$1=""</formula>
    </cfRule>
  </conditionalFormatting>
  <conditionalFormatting sqref="P177:AA177 P179:AA179 P181:AA181">
    <cfRule type="expression" dxfId="6328" priority="834">
      <formula>P$1=""</formula>
    </cfRule>
  </conditionalFormatting>
  <conditionalFormatting sqref="P177:AA177 P179:AA179 P181:AA181">
    <cfRule type="expression" dxfId="6327" priority="833">
      <formula>P$1=""</formula>
    </cfRule>
  </conditionalFormatting>
  <conditionalFormatting sqref="P177:AA177">
    <cfRule type="expression" dxfId="6326" priority="832">
      <formula>P$1=""</formula>
    </cfRule>
  </conditionalFormatting>
  <conditionalFormatting sqref="P177:AA177 P179:AA179 P181:AA181">
    <cfRule type="expression" dxfId="6325" priority="831">
      <formula>P$1=""</formula>
    </cfRule>
  </conditionalFormatting>
  <conditionalFormatting sqref="P177:AA177 P179:AA179 P181:AA181">
    <cfRule type="expression" dxfId="6324" priority="830">
      <formula>P$1=""</formula>
    </cfRule>
  </conditionalFormatting>
  <conditionalFormatting sqref="P177:AA177 P179:AA179 P181:AA181">
    <cfRule type="expression" dxfId="6323" priority="829">
      <formula>P$1=""</formula>
    </cfRule>
  </conditionalFormatting>
  <conditionalFormatting sqref="P177:AA177 P179:AA179 P181:AA181">
    <cfRule type="expression" dxfId="6322" priority="828">
      <formula>P$1=""</formula>
    </cfRule>
  </conditionalFormatting>
  <conditionalFormatting sqref="P177:AA177 P179:AA179 P181:AA181">
    <cfRule type="expression" dxfId="6321" priority="827">
      <formula>P$1=""</formula>
    </cfRule>
  </conditionalFormatting>
  <conditionalFormatting sqref="P177:AA177 P179:AA179 P181:AA181">
    <cfRule type="expression" dxfId="6320" priority="826">
      <formula>P$1=""</formula>
    </cfRule>
  </conditionalFormatting>
  <conditionalFormatting sqref="P177:AA177 P179:AA179 P181:AA181">
    <cfRule type="expression" dxfId="6319" priority="825">
      <formula>P$1=""</formula>
    </cfRule>
  </conditionalFormatting>
  <conditionalFormatting sqref="P177:AA177 P179:AA179 P181:AA181">
    <cfRule type="expression" dxfId="6318" priority="824">
      <formula>P$1=""</formula>
    </cfRule>
  </conditionalFormatting>
  <conditionalFormatting sqref="P181:AA181 P179:AA179">
    <cfRule type="expression" dxfId="6317" priority="823">
      <formula>P$1=""</formula>
    </cfRule>
  </conditionalFormatting>
  <conditionalFormatting sqref="P181:AA181 P179:AA179">
    <cfRule type="expression" dxfId="6316" priority="822">
      <formula>P$1=""</formula>
    </cfRule>
  </conditionalFormatting>
  <conditionalFormatting sqref="Q181:AA181 Q179:AA179">
    <cfRule type="expression" dxfId="6315" priority="821">
      <formula>Q$1=""</formula>
    </cfRule>
  </conditionalFormatting>
  <conditionalFormatting sqref="Q181:AA181 Q179:AA179">
    <cfRule type="expression" dxfId="6314" priority="820">
      <formula>Q$1=""</formula>
    </cfRule>
  </conditionalFormatting>
  <conditionalFormatting sqref="Q181:AA181 Q179:AA179">
    <cfRule type="expression" dxfId="6313" priority="819">
      <formula>Q$1=""</formula>
    </cfRule>
  </conditionalFormatting>
  <conditionalFormatting sqref="Q181:AA181 Q179:AA179">
    <cfRule type="expression" dxfId="6312" priority="818">
      <formula>Q$1=""</formula>
    </cfRule>
  </conditionalFormatting>
  <conditionalFormatting sqref="Q181:AA181 Q179:AA179">
    <cfRule type="expression" dxfId="6311" priority="817">
      <formula>Q$1=""</formula>
    </cfRule>
  </conditionalFormatting>
  <conditionalFormatting sqref="Q181:AA181 Q179:AA179">
    <cfRule type="expression" dxfId="6310" priority="816">
      <formula>Q$1=""</formula>
    </cfRule>
  </conditionalFormatting>
  <conditionalFormatting sqref="Q181:AA181 Q179:AA179">
    <cfRule type="expression" dxfId="6309" priority="815">
      <formula>Q$1=""</formula>
    </cfRule>
  </conditionalFormatting>
  <conditionalFormatting sqref="Q181:AA181 Q179:AA179">
    <cfRule type="expression" dxfId="6308" priority="814">
      <formula>Q$1=""</formula>
    </cfRule>
  </conditionalFormatting>
  <conditionalFormatting sqref="P181:AA181 P179:AA179">
    <cfRule type="expression" dxfId="6307" priority="813">
      <formula>P$1=""</formula>
    </cfRule>
  </conditionalFormatting>
  <conditionalFormatting sqref="P181:AA181 P179:AA179">
    <cfRule type="expression" dxfId="6306" priority="812">
      <formula>P$1=""</formula>
    </cfRule>
  </conditionalFormatting>
  <conditionalFormatting sqref="P193:AA193">
    <cfRule type="expression" dxfId="6305" priority="811">
      <formula>P$1=""</formula>
    </cfRule>
  </conditionalFormatting>
  <conditionalFormatting sqref="P193:AA193">
    <cfRule type="expression" dxfId="6304" priority="810">
      <formula>P$1=""</formula>
    </cfRule>
  </conditionalFormatting>
  <conditionalFormatting sqref="P193:AA193">
    <cfRule type="expression" dxfId="6303" priority="809">
      <formula>P$1=""</formula>
    </cfRule>
  </conditionalFormatting>
  <conditionalFormatting sqref="P193:AA193">
    <cfRule type="expression" dxfId="6302" priority="808">
      <formula>P$1=""</formula>
    </cfRule>
  </conditionalFormatting>
  <conditionalFormatting sqref="P193:AA193">
    <cfRule type="expression" dxfId="6301" priority="807">
      <formula>P$1=""</formula>
    </cfRule>
  </conditionalFormatting>
  <conditionalFormatting sqref="P193:AA193">
    <cfRule type="expression" dxfId="6300" priority="806">
      <formula>P$1=""</formula>
    </cfRule>
  </conditionalFormatting>
  <conditionalFormatting sqref="P193:AA193">
    <cfRule type="expression" dxfId="6299" priority="805">
      <formula>P$1=""</formula>
    </cfRule>
  </conditionalFormatting>
  <conditionalFormatting sqref="P193:AA193">
    <cfRule type="expression" dxfId="6298" priority="804">
      <formula>P$1=""</formula>
    </cfRule>
  </conditionalFormatting>
  <conditionalFormatting sqref="P206:AA206">
    <cfRule type="expression" dxfId="6297" priority="803">
      <formula>P$1=""</formula>
    </cfRule>
  </conditionalFormatting>
  <conditionalFormatting sqref="P208:AA208">
    <cfRule type="expression" dxfId="6296" priority="802">
      <formula>P$1=""</formula>
    </cfRule>
  </conditionalFormatting>
  <conditionalFormatting sqref="P210:AA210">
    <cfRule type="expression" dxfId="6295" priority="801">
      <formula>P$1=""</formula>
    </cfRule>
  </conditionalFormatting>
  <conditionalFormatting sqref="P212:AA212">
    <cfRule type="expression" dxfId="6294" priority="800">
      <formula>P$1=""</formula>
    </cfRule>
  </conditionalFormatting>
  <conditionalFormatting sqref="P208:AA208 P210:AA210 P212:AA212">
    <cfRule type="expression" dxfId="6293" priority="799">
      <formula>P$1=""</formula>
    </cfRule>
  </conditionalFormatting>
  <conditionalFormatting sqref="P208:AA208 P210:AA210 P212:AA212">
    <cfRule type="expression" dxfId="6292" priority="798">
      <formula>P$1=""</formula>
    </cfRule>
  </conditionalFormatting>
  <conditionalFormatting sqref="P208:AA208 P210:AA210 P212:AA212">
    <cfRule type="expression" dxfId="6291" priority="797">
      <formula>P$1=""</formula>
    </cfRule>
  </conditionalFormatting>
  <conditionalFormatting sqref="P208:AA208 P210:AA210 P212:AA212">
    <cfRule type="expression" dxfId="6290" priority="796">
      <formula>P$1=""</formula>
    </cfRule>
  </conditionalFormatting>
  <conditionalFormatting sqref="P208:AA208 P210:AA210 P212:AA212">
    <cfRule type="expression" dxfId="6289" priority="795">
      <formula>P$1=""</formula>
    </cfRule>
  </conditionalFormatting>
  <conditionalFormatting sqref="P210:AA210 P212:AA212">
    <cfRule type="expression" dxfId="6288" priority="794">
      <formula>P$1=""</formula>
    </cfRule>
  </conditionalFormatting>
  <conditionalFormatting sqref="P208:AA208">
    <cfRule type="expression" dxfId="6287" priority="793">
      <formula>P$1=""</formula>
    </cfRule>
  </conditionalFormatting>
  <conditionalFormatting sqref="P210:AA210 P212:AA212">
    <cfRule type="expression" dxfId="6286" priority="792">
      <formula>P$1=""</formula>
    </cfRule>
  </conditionalFormatting>
  <conditionalFormatting sqref="P210:AA210 P212:AA212">
    <cfRule type="expression" dxfId="6285" priority="791">
      <formula>P$1=""</formula>
    </cfRule>
  </conditionalFormatting>
  <conditionalFormatting sqref="P212:AA212">
    <cfRule type="expression" dxfId="6284" priority="790">
      <formula>P$1=""</formula>
    </cfRule>
  </conditionalFormatting>
  <conditionalFormatting sqref="P212:AA212">
    <cfRule type="expression" dxfId="6283" priority="789">
      <formula>P$1=""</formula>
    </cfRule>
  </conditionalFormatting>
  <conditionalFormatting sqref="P212:AA212">
    <cfRule type="expression" dxfId="6282" priority="788">
      <formula>P$1=""</formula>
    </cfRule>
  </conditionalFormatting>
  <conditionalFormatting sqref="P212:AA212">
    <cfRule type="expression" dxfId="6281" priority="787">
      <formula>P$1=""</formula>
    </cfRule>
  </conditionalFormatting>
  <conditionalFormatting sqref="P206:AA206">
    <cfRule type="expression" dxfId="6280" priority="786">
      <formula>P$1=""</formula>
    </cfRule>
  </conditionalFormatting>
  <conditionalFormatting sqref="P206:AA206">
    <cfRule type="expression" dxfId="6279" priority="785">
      <formula>P$1=""</formula>
    </cfRule>
  </conditionalFormatting>
  <conditionalFormatting sqref="P206:AA206">
    <cfRule type="expression" dxfId="6278" priority="784">
      <formula>P$1=""</formula>
    </cfRule>
  </conditionalFormatting>
  <conditionalFormatting sqref="P206:AA206">
    <cfRule type="expression" dxfId="6277" priority="783">
      <formula>P$1=""</formula>
    </cfRule>
  </conditionalFormatting>
  <conditionalFormatting sqref="P206:AA206">
    <cfRule type="expression" dxfId="6276" priority="782">
      <formula>P$1=""</formula>
    </cfRule>
  </conditionalFormatting>
  <conditionalFormatting sqref="P206:AA206">
    <cfRule type="expression" dxfId="6275" priority="781">
      <formula>P$1=""</formula>
    </cfRule>
  </conditionalFormatting>
  <conditionalFormatting sqref="P206:AA206">
    <cfRule type="expression" dxfId="6274" priority="780">
      <formula>P$1=""</formula>
    </cfRule>
  </conditionalFormatting>
  <conditionalFormatting sqref="P210:AA210 P212:AA212">
    <cfRule type="expression" dxfId="6273" priority="779">
      <formula>P$1=""</formula>
    </cfRule>
  </conditionalFormatting>
  <conditionalFormatting sqref="P210:AA210 P212:AA212">
    <cfRule type="expression" dxfId="6272" priority="778">
      <formula>P$1=""</formula>
    </cfRule>
  </conditionalFormatting>
  <conditionalFormatting sqref="P210:AA210 P212:AA212">
    <cfRule type="expression" dxfId="6271" priority="777">
      <formula>P$1=""</formula>
    </cfRule>
  </conditionalFormatting>
  <conditionalFormatting sqref="P210:AA210 P212:AA212">
    <cfRule type="expression" dxfId="6270" priority="776">
      <formula>P$1=""</formula>
    </cfRule>
  </conditionalFormatting>
  <conditionalFormatting sqref="P212 P210 P208">
    <cfRule type="expression" dxfId="6269" priority="775">
      <formula>P$1=""</formula>
    </cfRule>
  </conditionalFormatting>
  <conditionalFormatting sqref="P212 P210 P208">
    <cfRule type="expression" dxfId="6268" priority="774">
      <formula>P$1=""</formula>
    </cfRule>
  </conditionalFormatting>
  <conditionalFormatting sqref="P212 P210 P208">
    <cfRule type="expression" dxfId="6267" priority="773">
      <formula>P$1=""</formula>
    </cfRule>
  </conditionalFormatting>
  <conditionalFormatting sqref="P236:AA236">
    <cfRule type="expression" dxfId="6266" priority="772">
      <formula>P$1=""</formula>
    </cfRule>
  </conditionalFormatting>
  <conditionalFormatting sqref="P238:AA238">
    <cfRule type="expression" dxfId="6265" priority="771">
      <formula>P$1=""</formula>
    </cfRule>
  </conditionalFormatting>
  <conditionalFormatting sqref="P240:AA240">
    <cfRule type="expression" dxfId="6264" priority="770">
      <formula>P$1=""</formula>
    </cfRule>
  </conditionalFormatting>
  <conditionalFormatting sqref="P242:AA242">
    <cfRule type="expression" dxfId="6263" priority="769">
      <formula>P$1=""</formula>
    </cfRule>
  </conditionalFormatting>
  <conditionalFormatting sqref="P238:AA238 P240:AA240 P242:AA242">
    <cfRule type="expression" dxfId="6262" priority="768">
      <formula>P$1=""</formula>
    </cfRule>
  </conditionalFormatting>
  <conditionalFormatting sqref="P238:AA238 P240:AA240 P242:AA242">
    <cfRule type="expression" dxfId="6261" priority="767">
      <formula>P$1=""</formula>
    </cfRule>
  </conditionalFormatting>
  <conditionalFormatting sqref="P238:AA238 P240:AA240 P242:AA242">
    <cfRule type="expression" dxfId="6260" priority="766">
      <formula>P$1=""</formula>
    </cfRule>
  </conditionalFormatting>
  <conditionalFormatting sqref="P238:AA238 P240:AA240 P242:AA242">
    <cfRule type="expression" dxfId="6259" priority="765">
      <formula>P$1=""</formula>
    </cfRule>
  </conditionalFormatting>
  <conditionalFormatting sqref="P238:AA238 P240:AA240 P242:AA242">
    <cfRule type="expression" dxfId="6258" priority="764">
      <formula>P$1=""</formula>
    </cfRule>
  </conditionalFormatting>
  <conditionalFormatting sqref="P240:AA240 P242:AA242">
    <cfRule type="expression" dxfId="6257" priority="763">
      <formula>P$1=""</formula>
    </cfRule>
  </conditionalFormatting>
  <conditionalFormatting sqref="P238:AA238">
    <cfRule type="expression" dxfId="6256" priority="762">
      <formula>P$1=""</formula>
    </cfRule>
  </conditionalFormatting>
  <conditionalFormatting sqref="P240:AA240 P242:AA242">
    <cfRule type="expression" dxfId="6255" priority="761">
      <formula>P$1=""</formula>
    </cfRule>
  </conditionalFormatting>
  <conditionalFormatting sqref="P240:AA240 P242:AA242">
    <cfRule type="expression" dxfId="6254" priority="760">
      <formula>P$1=""</formula>
    </cfRule>
  </conditionalFormatting>
  <conditionalFormatting sqref="P242:AA242">
    <cfRule type="expression" dxfId="6253" priority="759">
      <formula>P$1=""</formula>
    </cfRule>
  </conditionalFormatting>
  <conditionalFormatting sqref="P242:AA242">
    <cfRule type="expression" dxfId="6252" priority="758">
      <formula>P$1=""</formula>
    </cfRule>
  </conditionalFormatting>
  <conditionalFormatting sqref="P242:AA242">
    <cfRule type="expression" dxfId="6251" priority="757">
      <formula>P$1=""</formula>
    </cfRule>
  </conditionalFormatting>
  <conditionalFormatting sqref="P242:AA242">
    <cfRule type="expression" dxfId="6250" priority="756">
      <formula>P$1=""</formula>
    </cfRule>
  </conditionalFormatting>
  <conditionalFormatting sqref="P236:AA236">
    <cfRule type="expression" dxfId="6249" priority="755">
      <formula>P$1=""</formula>
    </cfRule>
  </conditionalFormatting>
  <conditionalFormatting sqref="P236:AA236">
    <cfRule type="expression" dxfId="6248" priority="754">
      <formula>P$1=""</formula>
    </cfRule>
  </conditionalFormatting>
  <conditionalFormatting sqref="P236:AA236">
    <cfRule type="expression" dxfId="6247" priority="753">
      <formula>P$1=""</formula>
    </cfRule>
  </conditionalFormatting>
  <conditionalFormatting sqref="P236:AA236">
    <cfRule type="expression" dxfId="6246" priority="752">
      <formula>P$1=""</formula>
    </cfRule>
  </conditionalFormatting>
  <conditionalFormatting sqref="P236:AA236">
    <cfRule type="expression" dxfId="6245" priority="751">
      <formula>P$1=""</formula>
    </cfRule>
  </conditionalFormatting>
  <conditionalFormatting sqref="P236:AA236">
    <cfRule type="expression" dxfId="6244" priority="750">
      <formula>P$1=""</formula>
    </cfRule>
  </conditionalFormatting>
  <conditionalFormatting sqref="P236:AA236">
    <cfRule type="expression" dxfId="6243" priority="749">
      <formula>P$1=""</formula>
    </cfRule>
  </conditionalFormatting>
  <conditionalFormatting sqref="P240:AA240 P242:AA242">
    <cfRule type="expression" dxfId="6242" priority="748">
      <formula>P$1=""</formula>
    </cfRule>
  </conditionalFormatting>
  <conditionalFormatting sqref="P240:AA240 P242:AA242">
    <cfRule type="expression" dxfId="6241" priority="747">
      <formula>P$1=""</formula>
    </cfRule>
  </conditionalFormatting>
  <conditionalFormatting sqref="P240:AA240 P242:AA242">
    <cfRule type="expression" dxfId="6240" priority="746">
      <formula>P$1=""</formula>
    </cfRule>
  </conditionalFormatting>
  <conditionalFormatting sqref="P240:AA240 P242:AA242">
    <cfRule type="expression" dxfId="6239" priority="745">
      <formula>P$1=""</formula>
    </cfRule>
  </conditionalFormatting>
  <conditionalFormatting sqref="P238:AA238 P240:AA240 P242:AA242">
    <cfRule type="expression" dxfId="6238" priority="744">
      <formula>P$1=""</formula>
    </cfRule>
  </conditionalFormatting>
  <conditionalFormatting sqref="P238:AA238 P240:AA240 P242:AA242">
    <cfRule type="expression" dxfId="6237" priority="743">
      <formula>P$1=""</formula>
    </cfRule>
  </conditionalFormatting>
  <conditionalFormatting sqref="P238:AA238 P240:AA240 P242:AA242">
    <cfRule type="expression" dxfId="6236" priority="742">
      <formula>P$1=""</formula>
    </cfRule>
  </conditionalFormatting>
  <conditionalFormatting sqref="P238:AA238 P240:AA240 P242:AA242">
    <cfRule type="expression" dxfId="6235" priority="741">
      <formula>P$1=""</formula>
    </cfRule>
  </conditionalFormatting>
  <conditionalFormatting sqref="P238:AA238 P240:AA240 P242:AA242">
    <cfRule type="expression" dxfId="6234" priority="740">
      <formula>P$1=""</formula>
    </cfRule>
  </conditionalFormatting>
  <conditionalFormatting sqref="P238:AA238 P240:AA240 P242:AA242">
    <cfRule type="expression" dxfId="6233" priority="739">
      <formula>P$1=""</formula>
    </cfRule>
  </conditionalFormatting>
  <conditionalFormatting sqref="P238:AA238 P240:AA240 P242:AA242">
    <cfRule type="expression" dxfId="6232" priority="738">
      <formula>P$1=""</formula>
    </cfRule>
  </conditionalFormatting>
  <conditionalFormatting sqref="P238:AA238 P240:AA240 P242:AA242">
    <cfRule type="expression" dxfId="6231" priority="737">
      <formula>P$1=""</formula>
    </cfRule>
  </conditionalFormatting>
  <conditionalFormatting sqref="Q238:AA238">
    <cfRule type="expression" dxfId="6230" priority="736">
      <formula>Q$1=""</formula>
    </cfRule>
  </conditionalFormatting>
  <conditionalFormatting sqref="Q238:AA238">
    <cfRule type="expression" dxfId="6229" priority="735">
      <formula>Q$1=""</formula>
    </cfRule>
  </conditionalFormatting>
  <conditionalFormatting sqref="Q238:AA238">
    <cfRule type="expression" dxfId="6228" priority="734">
      <formula>Q$1=""</formula>
    </cfRule>
  </conditionalFormatting>
  <conditionalFormatting sqref="Q238:AA238">
    <cfRule type="expression" dxfId="6227" priority="733">
      <formula>Q$1=""</formula>
    </cfRule>
  </conditionalFormatting>
  <conditionalFormatting sqref="Q238:AA238">
    <cfRule type="expression" dxfId="6226" priority="732">
      <formula>Q$1=""</formula>
    </cfRule>
  </conditionalFormatting>
  <conditionalFormatting sqref="Q238:AA238">
    <cfRule type="expression" dxfId="6225" priority="731">
      <formula>Q$1=""</formula>
    </cfRule>
  </conditionalFormatting>
  <conditionalFormatting sqref="Q238:AA238">
    <cfRule type="expression" dxfId="6224" priority="730">
      <formula>Q$1=""</formula>
    </cfRule>
  </conditionalFormatting>
  <conditionalFormatting sqref="Q238:AA238">
    <cfRule type="expression" dxfId="6223" priority="729">
      <formula>Q$1=""</formula>
    </cfRule>
  </conditionalFormatting>
  <conditionalFormatting sqref="Q240:AA240 Q242:AA242">
    <cfRule type="expression" dxfId="6222" priority="728">
      <formula>Q$1=""</formula>
    </cfRule>
  </conditionalFormatting>
  <conditionalFormatting sqref="Q240:AA240 Q242:AA242">
    <cfRule type="expression" dxfId="6221" priority="727">
      <formula>Q$1=""</formula>
    </cfRule>
  </conditionalFormatting>
  <conditionalFormatting sqref="Q240:AA240 Q242:AA242">
    <cfRule type="expression" dxfId="6220" priority="726">
      <formula>Q$1=""</formula>
    </cfRule>
  </conditionalFormatting>
  <conditionalFormatting sqref="Q240:AA240 Q242:AA242">
    <cfRule type="expression" dxfId="6219" priority="725">
      <formula>Q$1=""</formula>
    </cfRule>
  </conditionalFormatting>
  <conditionalFormatting sqref="Q240:AA240 Q242:AA242">
    <cfRule type="expression" dxfId="6218" priority="724">
      <formula>Q$1=""</formula>
    </cfRule>
  </conditionalFormatting>
  <conditionalFormatting sqref="Q240:AA240 Q242:AA242">
    <cfRule type="expression" dxfId="6217" priority="723">
      <formula>Q$1=""</formula>
    </cfRule>
  </conditionalFormatting>
  <conditionalFormatting sqref="Q240:AA240 Q242:AA242">
    <cfRule type="expression" dxfId="6216" priority="722">
      <formula>Q$1=""</formula>
    </cfRule>
  </conditionalFormatting>
  <conditionalFormatting sqref="Q240:AA240 Q242:AA242">
    <cfRule type="expression" dxfId="6215" priority="721">
      <formula>Q$1=""</formula>
    </cfRule>
  </conditionalFormatting>
  <conditionalFormatting sqref="Q240:AA240 Q242:AA242">
    <cfRule type="expression" dxfId="6214" priority="720">
      <formula>Q$1=""</formula>
    </cfRule>
  </conditionalFormatting>
  <conditionalFormatting sqref="Q240:AA240 Q242:AA242">
    <cfRule type="expression" dxfId="6213" priority="719">
      <formula>Q$1=""</formula>
    </cfRule>
  </conditionalFormatting>
  <conditionalFormatting sqref="P236:AA236 P240:AA240 P242:AA242">
    <cfRule type="expression" dxfId="6212" priority="718">
      <formula>P$1=""</formula>
    </cfRule>
  </conditionalFormatting>
  <conditionalFormatting sqref="P236:AA236">
    <cfRule type="expression" dxfId="6211" priority="717">
      <formula>P$1=""</formula>
    </cfRule>
  </conditionalFormatting>
  <conditionalFormatting sqref="P236:AA236">
    <cfRule type="expression" dxfId="6210" priority="716">
      <formula>P$1=""</formula>
    </cfRule>
  </conditionalFormatting>
  <conditionalFormatting sqref="P236:AA236">
    <cfRule type="expression" dxfId="6209" priority="715">
      <formula>P$1=""</formula>
    </cfRule>
  </conditionalFormatting>
  <conditionalFormatting sqref="P236:AA236">
    <cfRule type="expression" dxfId="6208" priority="714">
      <formula>P$1=""</formula>
    </cfRule>
  </conditionalFormatting>
  <conditionalFormatting sqref="P236:AA236">
    <cfRule type="expression" dxfId="6207" priority="713">
      <formula>P$1=""</formula>
    </cfRule>
  </conditionalFormatting>
  <conditionalFormatting sqref="P236:AA236 P240:AA240 P242:AA242">
    <cfRule type="expression" dxfId="6206" priority="712">
      <formula>P$1=""</formula>
    </cfRule>
  </conditionalFormatting>
  <conditionalFormatting sqref="P236:AA236">
    <cfRule type="expression" dxfId="6205" priority="711">
      <formula>P$1=""</formula>
    </cfRule>
  </conditionalFormatting>
  <conditionalFormatting sqref="P236:AA236">
    <cfRule type="expression" dxfId="6204" priority="710">
      <formula>P$1=""</formula>
    </cfRule>
  </conditionalFormatting>
  <conditionalFormatting sqref="P236:AA236">
    <cfRule type="expression" dxfId="6203" priority="709">
      <formula>P$1=""</formula>
    </cfRule>
  </conditionalFormatting>
  <conditionalFormatting sqref="P236:AA236">
    <cfRule type="expression" dxfId="6202" priority="708">
      <formula>P$1=""</formula>
    </cfRule>
  </conditionalFormatting>
  <conditionalFormatting sqref="P236:AA236">
    <cfRule type="expression" dxfId="6201" priority="707">
      <formula>P$1=""</formula>
    </cfRule>
  </conditionalFormatting>
  <conditionalFormatting sqref="P236:AA236">
    <cfRule type="expression" dxfId="6200" priority="706">
      <formula>P$1=""</formula>
    </cfRule>
  </conditionalFormatting>
  <conditionalFormatting sqref="P236:AA236">
    <cfRule type="expression" dxfId="6199" priority="705">
      <formula>P$1=""</formula>
    </cfRule>
  </conditionalFormatting>
  <conditionalFormatting sqref="P236:AA236">
    <cfRule type="expression" dxfId="6198" priority="704">
      <formula>P$1=""</formula>
    </cfRule>
  </conditionalFormatting>
  <conditionalFormatting sqref="P238:AA238 P240:AA240 P242:AA242">
    <cfRule type="expression" dxfId="6197" priority="703">
      <formula>P$1=""</formula>
    </cfRule>
  </conditionalFormatting>
  <conditionalFormatting sqref="P238:AA238 P240:AA240 P242:AA242">
    <cfRule type="expression" dxfId="6196" priority="702">
      <formula>P$1=""</formula>
    </cfRule>
  </conditionalFormatting>
  <conditionalFormatting sqref="P238:AA238 P240:AA240 P242:AA242">
    <cfRule type="expression" dxfId="6195" priority="701">
      <formula>P$1=""</formula>
    </cfRule>
  </conditionalFormatting>
  <conditionalFormatting sqref="P238:AA238 P240:AA240 P242:AA242">
    <cfRule type="expression" dxfId="6194" priority="700">
      <formula>P$1=""</formula>
    </cfRule>
  </conditionalFormatting>
  <conditionalFormatting sqref="P238:AA238 P240:AA240 P242:AA242">
    <cfRule type="expression" dxfId="6193" priority="699">
      <formula>P$1=""</formula>
    </cfRule>
  </conditionalFormatting>
  <conditionalFormatting sqref="P238:AA238 P240:AA240 P242:AA242">
    <cfRule type="expression" dxfId="6192" priority="698">
      <formula>P$1=""</formula>
    </cfRule>
  </conditionalFormatting>
  <conditionalFormatting sqref="P238:AA238 P240:AA240 P242:AA242">
    <cfRule type="expression" dxfId="6191" priority="697">
      <formula>P$1=""</formula>
    </cfRule>
  </conditionalFormatting>
  <conditionalFormatting sqref="P238:AA238 P240:AA240 P242:AA242">
    <cfRule type="expression" dxfId="6190" priority="696">
      <formula>P$1=""</formula>
    </cfRule>
  </conditionalFormatting>
  <conditionalFormatting sqref="P238:AA238">
    <cfRule type="expression" dxfId="6189" priority="695">
      <formula>P$1=""</formula>
    </cfRule>
  </conditionalFormatting>
  <conditionalFormatting sqref="P238:AA238 P240:AA240 P242:AA242">
    <cfRule type="expression" dxfId="6188" priority="694">
      <formula>P$1=""</formula>
    </cfRule>
  </conditionalFormatting>
  <conditionalFormatting sqref="P238:AA238 P240:AA240 P242:AA242">
    <cfRule type="expression" dxfId="6187" priority="693">
      <formula>P$1=""</formula>
    </cfRule>
  </conditionalFormatting>
  <conditionalFormatting sqref="P238:AA238 P240:AA240 P242:AA242">
    <cfRule type="expression" dxfId="6186" priority="692">
      <formula>P$1=""</formula>
    </cfRule>
  </conditionalFormatting>
  <conditionalFormatting sqref="P238:AA238 P240:AA240 P242:AA242">
    <cfRule type="expression" dxfId="6185" priority="691">
      <formula>P$1=""</formula>
    </cfRule>
  </conditionalFormatting>
  <conditionalFormatting sqref="P238:AA238 P240:AA240 P242:AA242">
    <cfRule type="expression" dxfId="6184" priority="690">
      <formula>P$1=""</formula>
    </cfRule>
  </conditionalFormatting>
  <conditionalFormatting sqref="P238:AA238">
    <cfRule type="expression" dxfId="6183" priority="689">
      <formula>P$1=""</formula>
    </cfRule>
  </conditionalFormatting>
  <conditionalFormatting sqref="P238:AA238 P240:AA240 P242:AA242">
    <cfRule type="expression" dxfId="6182" priority="688">
      <formula>P$1=""</formula>
    </cfRule>
  </conditionalFormatting>
  <conditionalFormatting sqref="P238:AA238 P240:AA240 P242:AA242">
    <cfRule type="expression" dxfId="6181" priority="687">
      <formula>P$1=""</formula>
    </cfRule>
  </conditionalFormatting>
  <conditionalFormatting sqref="P238:AA238 P240:AA240 P242:AA242">
    <cfRule type="expression" dxfId="6180" priority="686">
      <formula>P$1=""</formula>
    </cfRule>
  </conditionalFormatting>
  <conditionalFormatting sqref="P238:AA238 P240:AA240 P242:AA242">
    <cfRule type="expression" dxfId="6179" priority="685">
      <formula>P$1=""</formula>
    </cfRule>
  </conditionalFormatting>
  <conditionalFormatting sqref="P238:AA238 P240:AA240 P242:AA242">
    <cfRule type="expression" dxfId="6178" priority="684">
      <formula>P$1=""</formula>
    </cfRule>
  </conditionalFormatting>
  <conditionalFormatting sqref="P238:AA238 P240:AA240 P242:AA242">
    <cfRule type="expression" dxfId="6177" priority="683">
      <formula>P$1=""</formula>
    </cfRule>
  </conditionalFormatting>
  <conditionalFormatting sqref="P238:AA238 P240:AA240 P242:AA242">
    <cfRule type="expression" dxfId="6176" priority="682">
      <formula>P$1=""</formula>
    </cfRule>
  </conditionalFormatting>
  <conditionalFormatting sqref="P238:AA238 P240:AA240 P242:AA242">
    <cfRule type="expression" dxfId="6175" priority="681">
      <formula>P$1=""</formula>
    </cfRule>
  </conditionalFormatting>
  <conditionalFormatting sqref="P242:AA242 P240:AA240">
    <cfRule type="expression" dxfId="6174" priority="680">
      <formula>P$1=""</formula>
    </cfRule>
  </conditionalFormatting>
  <conditionalFormatting sqref="P242:AA242 P240:AA240">
    <cfRule type="expression" dxfId="6173" priority="679">
      <formula>P$1=""</formula>
    </cfRule>
  </conditionalFormatting>
  <conditionalFormatting sqref="Q242:AA242 Q240:AA240">
    <cfRule type="expression" dxfId="6172" priority="678">
      <formula>Q$1=""</formula>
    </cfRule>
  </conditionalFormatting>
  <conditionalFormatting sqref="Q242:AA242 Q240:AA240">
    <cfRule type="expression" dxfId="6171" priority="677">
      <formula>Q$1=""</formula>
    </cfRule>
  </conditionalFormatting>
  <conditionalFormatting sqref="Q242:AA242 Q240:AA240">
    <cfRule type="expression" dxfId="6170" priority="676">
      <formula>Q$1=""</formula>
    </cfRule>
  </conditionalFormatting>
  <conditionalFormatting sqref="Q242:AA242 Q240:AA240">
    <cfRule type="expression" dxfId="6169" priority="675">
      <formula>Q$1=""</formula>
    </cfRule>
  </conditionalFormatting>
  <conditionalFormatting sqref="Q242:AA242 Q240:AA240">
    <cfRule type="expression" dxfId="6168" priority="674">
      <formula>Q$1=""</formula>
    </cfRule>
  </conditionalFormatting>
  <conditionalFormatting sqref="Q242:AA242 Q240:AA240">
    <cfRule type="expression" dxfId="6167" priority="673">
      <formula>Q$1=""</formula>
    </cfRule>
  </conditionalFormatting>
  <conditionalFormatting sqref="Q242:AA242 Q240:AA240">
    <cfRule type="expression" dxfId="6166" priority="672">
      <formula>Q$1=""</formula>
    </cfRule>
  </conditionalFormatting>
  <conditionalFormatting sqref="Q242:AA242 Q240:AA240">
    <cfRule type="expression" dxfId="6165" priority="671">
      <formula>Q$1=""</formula>
    </cfRule>
  </conditionalFormatting>
  <conditionalFormatting sqref="P242:AA242 P240:AA240">
    <cfRule type="expression" dxfId="6164" priority="670">
      <formula>P$1=""</formula>
    </cfRule>
  </conditionalFormatting>
  <conditionalFormatting sqref="P242:AA242 P240:AA240">
    <cfRule type="expression" dxfId="6163" priority="669">
      <formula>P$1=""</formula>
    </cfRule>
  </conditionalFormatting>
  <conditionalFormatting sqref="P196:AA196">
    <cfRule type="expression" dxfId="6162" priority="668">
      <formula>P$1=""</formula>
    </cfRule>
  </conditionalFormatting>
  <conditionalFormatting sqref="P198:AA198">
    <cfRule type="expression" dxfId="6161" priority="667">
      <formula>P$1=""</formula>
    </cfRule>
  </conditionalFormatting>
  <conditionalFormatting sqref="P200:AA200">
    <cfRule type="expression" dxfId="6160" priority="666">
      <formula>P$1=""</formula>
    </cfRule>
  </conditionalFormatting>
  <conditionalFormatting sqref="P202:AA202">
    <cfRule type="expression" dxfId="6159" priority="665">
      <formula>P$1=""</formula>
    </cfRule>
  </conditionalFormatting>
  <conditionalFormatting sqref="P198:AA198 P200:AA200 P202:AA202">
    <cfRule type="expression" dxfId="6158" priority="664">
      <formula>P$1=""</formula>
    </cfRule>
  </conditionalFormatting>
  <conditionalFormatting sqref="P198:AA198 P200:AA200 P202:AA202">
    <cfRule type="expression" dxfId="6157" priority="663">
      <formula>P$1=""</formula>
    </cfRule>
  </conditionalFormatting>
  <conditionalFormatting sqref="P198:AA198 P200:AA200 P202:AA202">
    <cfRule type="expression" dxfId="6156" priority="662">
      <formula>P$1=""</formula>
    </cfRule>
  </conditionalFormatting>
  <conditionalFormatting sqref="P198:AA198 P200:AA200 P202:AA202">
    <cfRule type="expression" dxfId="6155" priority="661">
      <formula>P$1=""</formula>
    </cfRule>
  </conditionalFormatting>
  <conditionalFormatting sqref="P198:AA198 P200:AA200 P202:AA202">
    <cfRule type="expression" dxfId="6154" priority="660">
      <formula>P$1=""</formula>
    </cfRule>
  </conditionalFormatting>
  <conditionalFormatting sqref="P200:AA200 P202:AA202">
    <cfRule type="expression" dxfId="6153" priority="659">
      <formula>P$1=""</formula>
    </cfRule>
  </conditionalFormatting>
  <conditionalFormatting sqref="P198:AA198">
    <cfRule type="expression" dxfId="6152" priority="658">
      <formula>P$1=""</formula>
    </cfRule>
  </conditionalFormatting>
  <conditionalFormatting sqref="P200:AA200 P202:AA202">
    <cfRule type="expression" dxfId="6151" priority="657">
      <formula>P$1=""</formula>
    </cfRule>
  </conditionalFormatting>
  <conditionalFormatting sqref="P200:AA200 P202:AA202">
    <cfRule type="expression" dxfId="6150" priority="656">
      <formula>P$1=""</formula>
    </cfRule>
  </conditionalFormatting>
  <conditionalFormatting sqref="P202:AA202">
    <cfRule type="expression" dxfId="6149" priority="655">
      <formula>P$1=""</formula>
    </cfRule>
  </conditionalFormatting>
  <conditionalFormatting sqref="P202:AA202">
    <cfRule type="expression" dxfId="6148" priority="654">
      <formula>P$1=""</formula>
    </cfRule>
  </conditionalFormatting>
  <conditionalFormatting sqref="P202:AA202">
    <cfRule type="expression" dxfId="6147" priority="653">
      <formula>P$1=""</formula>
    </cfRule>
  </conditionalFormatting>
  <conditionalFormatting sqref="P202:AA202">
    <cfRule type="expression" dxfId="6146" priority="652">
      <formula>P$1=""</formula>
    </cfRule>
  </conditionalFormatting>
  <conditionalFormatting sqref="P196:AA196">
    <cfRule type="expression" dxfId="6145" priority="651">
      <formula>P$1=""</formula>
    </cfRule>
  </conditionalFormatting>
  <conditionalFormatting sqref="P196:AA196">
    <cfRule type="expression" dxfId="6144" priority="650">
      <formula>P$1=""</formula>
    </cfRule>
  </conditionalFormatting>
  <conditionalFormatting sqref="P196:AA196">
    <cfRule type="expression" dxfId="6143" priority="649">
      <formula>P$1=""</formula>
    </cfRule>
  </conditionalFormatting>
  <conditionalFormatting sqref="P196:AA196">
    <cfRule type="expression" dxfId="6142" priority="648">
      <formula>P$1=""</formula>
    </cfRule>
  </conditionalFormatting>
  <conditionalFormatting sqref="P196:AA196">
    <cfRule type="expression" dxfId="6141" priority="647">
      <formula>P$1=""</formula>
    </cfRule>
  </conditionalFormatting>
  <conditionalFormatting sqref="P196:AA196">
    <cfRule type="expression" dxfId="6140" priority="646">
      <formula>P$1=""</formula>
    </cfRule>
  </conditionalFormatting>
  <conditionalFormatting sqref="P196:AA196">
    <cfRule type="expression" dxfId="6139" priority="645">
      <formula>P$1=""</formula>
    </cfRule>
  </conditionalFormatting>
  <conditionalFormatting sqref="P200:AA200 P202:AA202">
    <cfRule type="expression" dxfId="6138" priority="644">
      <formula>P$1=""</formula>
    </cfRule>
  </conditionalFormatting>
  <conditionalFormatting sqref="P200:AA200 P202:AA202">
    <cfRule type="expression" dxfId="6137" priority="643">
      <formula>P$1=""</formula>
    </cfRule>
  </conditionalFormatting>
  <conditionalFormatting sqref="P200:AA200 P202:AA202">
    <cfRule type="expression" dxfId="6136" priority="642">
      <formula>P$1=""</formula>
    </cfRule>
  </conditionalFormatting>
  <conditionalFormatting sqref="P200:AA200 P202:AA202">
    <cfRule type="expression" dxfId="6135" priority="641">
      <formula>P$1=""</formula>
    </cfRule>
  </conditionalFormatting>
  <conditionalFormatting sqref="P198:AA198 P200:AA200 P202:AA202">
    <cfRule type="expression" dxfId="6134" priority="640">
      <formula>P$1=""</formula>
    </cfRule>
  </conditionalFormatting>
  <conditionalFormatting sqref="P198:AA198 P200:AA200 P202:AA202">
    <cfRule type="expression" dxfId="6133" priority="639">
      <formula>P$1=""</formula>
    </cfRule>
  </conditionalFormatting>
  <conditionalFormatting sqref="P198:AA198 P200:AA200 P202:AA202">
    <cfRule type="expression" dxfId="6132" priority="638">
      <formula>P$1=""</formula>
    </cfRule>
  </conditionalFormatting>
  <conditionalFormatting sqref="P198:AA198 P200:AA200 P202:AA202">
    <cfRule type="expression" dxfId="6131" priority="637">
      <formula>P$1=""</formula>
    </cfRule>
  </conditionalFormatting>
  <conditionalFormatting sqref="P198:AA198 P200:AA200 P202:AA202">
    <cfRule type="expression" dxfId="6130" priority="636">
      <formula>P$1=""</formula>
    </cfRule>
  </conditionalFormatting>
  <conditionalFormatting sqref="P198:AA198 P200:AA200 P202:AA202">
    <cfRule type="expression" dxfId="6129" priority="635">
      <formula>P$1=""</formula>
    </cfRule>
  </conditionalFormatting>
  <conditionalFormatting sqref="P198:AA198 P200:AA200 P202:AA202">
    <cfRule type="expression" dxfId="6128" priority="634">
      <formula>P$1=""</formula>
    </cfRule>
  </conditionalFormatting>
  <conditionalFormatting sqref="P198:AA198 P200:AA200 P202:AA202">
    <cfRule type="expression" dxfId="6127" priority="633">
      <formula>P$1=""</formula>
    </cfRule>
  </conditionalFormatting>
  <conditionalFormatting sqref="Q198:AA198">
    <cfRule type="expression" dxfId="6126" priority="632">
      <formula>Q$1=""</formula>
    </cfRule>
  </conditionalFormatting>
  <conditionalFormatting sqref="Q198:AA198">
    <cfRule type="expression" dxfId="6125" priority="631">
      <formula>Q$1=""</formula>
    </cfRule>
  </conditionalFormatting>
  <conditionalFormatting sqref="Q198:AA198">
    <cfRule type="expression" dxfId="6124" priority="630">
      <formula>Q$1=""</formula>
    </cfRule>
  </conditionalFormatting>
  <conditionalFormatting sqref="Q198:AA198">
    <cfRule type="expression" dxfId="6123" priority="629">
      <formula>Q$1=""</formula>
    </cfRule>
  </conditionalFormatting>
  <conditionalFormatting sqref="Q198:AA198">
    <cfRule type="expression" dxfId="6122" priority="628">
      <formula>Q$1=""</formula>
    </cfRule>
  </conditionalFormatting>
  <conditionalFormatting sqref="Q198:AA198">
    <cfRule type="expression" dxfId="6121" priority="627">
      <formula>Q$1=""</formula>
    </cfRule>
  </conditionalFormatting>
  <conditionalFormatting sqref="Q198:AA198">
    <cfRule type="expression" dxfId="6120" priority="626">
      <formula>Q$1=""</formula>
    </cfRule>
  </conditionalFormatting>
  <conditionalFormatting sqref="Q198:AA198">
    <cfRule type="expression" dxfId="6119" priority="625">
      <formula>Q$1=""</formula>
    </cfRule>
  </conditionalFormatting>
  <conditionalFormatting sqref="Q200:AA200 Q202:AA202">
    <cfRule type="expression" dxfId="6118" priority="624">
      <formula>Q$1=""</formula>
    </cfRule>
  </conditionalFormatting>
  <conditionalFormatting sqref="Q200:AA200 Q202:AA202">
    <cfRule type="expression" dxfId="6117" priority="623">
      <formula>Q$1=""</formula>
    </cfRule>
  </conditionalFormatting>
  <conditionalFormatting sqref="Q200:AA200 Q202:AA202">
    <cfRule type="expression" dxfId="6116" priority="622">
      <formula>Q$1=""</formula>
    </cfRule>
  </conditionalFormatting>
  <conditionalFormatting sqref="Q200:AA200 Q202:AA202">
    <cfRule type="expression" dxfId="6115" priority="621">
      <formula>Q$1=""</formula>
    </cfRule>
  </conditionalFormatting>
  <conditionalFormatting sqref="Q200:AA200 Q202:AA202">
    <cfRule type="expression" dxfId="6114" priority="620">
      <formula>Q$1=""</formula>
    </cfRule>
  </conditionalFormatting>
  <conditionalFormatting sqref="Q200:AA200 Q202:AA202">
    <cfRule type="expression" dxfId="6113" priority="619">
      <formula>Q$1=""</formula>
    </cfRule>
  </conditionalFormatting>
  <conditionalFormatting sqref="Q200:AA200 Q202:AA202">
    <cfRule type="expression" dxfId="6112" priority="618">
      <formula>Q$1=""</formula>
    </cfRule>
  </conditionalFormatting>
  <conditionalFormatting sqref="Q200:AA200 Q202:AA202">
    <cfRule type="expression" dxfId="6111" priority="617">
      <formula>Q$1=""</formula>
    </cfRule>
  </conditionalFormatting>
  <conditionalFormatting sqref="Q200:AA200 Q202:AA202">
    <cfRule type="expression" dxfId="6110" priority="616">
      <formula>Q$1=""</formula>
    </cfRule>
  </conditionalFormatting>
  <conditionalFormatting sqref="Q200:AA200 Q202:AA202">
    <cfRule type="expression" dxfId="6109" priority="615">
      <formula>Q$1=""</formula>
    </cfRule>
  </conditionalFormatting>
  <conditionalFormatting sqref="P196:AA196 P200:AA200 P202:AA202">
    <cfRule type="expression" dxfId="6108" priority="614">
      <formula>P$1=""</formula>
    </cfRule>
  </conditionalFormatting>
  <conditionalFormatting sqref="P196:AA196">
    <cfRule type="expression" dxfId="6107" priority="613">
      <formula>P$1=""</formula>
    </cfRule>
  </conditionalFormatting>
  <conditionalFormatting sqref="P196:AA196">
    <cfRule type="expression" dxfId="6106" priority="612">
      <formula>P$1=""</formula>
    </cfRule>
  </conditionalFormatting>
  <conditionalFormatting sqref="P196:AA196">
    <cfRule type="expression" dxfId="6105" priority="611">
      <formula>P$1=""</formula>
    </cfRule>
  </conditionalFormatting>
  <conditionalFormatting sqref="P196:AA196">
    <cfRule type="expression" dxfId="6104" priority="610">
      <formula>P$1=""</formula>
    </cfRule>
  </conditionalFormatting>
  <conditionalFormatting sqref="P196:AA196">
    <cfRule type="expression" dxfId="6103" priority="609">
      <formula>P$1=""</formula>
    </cfRule>
  </conditionalFormatting>
  <conditionalFormatting sqref="P196:AA196 P200:AA200 P202:AA202">
    <cfRule type="expression" dxfId="6102" priority="608">
      <formula>P$1=""</formula>
    </cfRule>
  </conditionalFormatting>
  <conditionalFormatting sqref="P196:AA196">
    <cfRule type="expression" dxfId="6101" priority="607">
      <formula>P$1=""</formula>
    </cfRule>
  </conditionalFormatting>
  <conditionalFormatting sqref="P196:AA196">
    <cfRule type="expression" dxfId="6100" priority="606">
      <formula>P$1=""</formula>
    </cfRule>
  </conditionalFormatting>
  <conditionalFormatting sqref="P196:AA196">
    <cfRule type="expression" dxfId="6099" priority="605">
      <formula>P$1=""</formula>
    </cfRule>
  </conditionalFormatting>
  <conditionalFormatting sqref="P196:AA196">
    <cfRule type="expression" dxfId="6098" priority="604">
      <formula>P$1=""</formula>
    </cfRule>
  </conditionalFormatting>
  <conditionalFormatting sqref="P196:AA196">
    <cfRule type="expression" dxfId="6097" priority="603">
      <formula>P$1=""</formula>
    </cfRule>
  </conditionalFormatting>
  <conditionalFormatting sqref="P196:AA196">
    <cfRule type="expression" dxfId="6096" priority="602">
      <formula>P$1=""</formula>
    </cfRule>
  </conditionalFormatting>
  <conditionalFormatting sqref="P196:AA196">
    <cfRule type="expression" dxfId="6095" priority="601">
      <formula>P$1=""</formula>
    </cfRule>
  </conditionalFormatting>
  <conditionalFormatting sqref="P196:AA196">
    <cfRule type="expression" dxfId="6094" priority="600">
      <formula>P$1=""</formula>
    </cfRule>
  </conditionalFormatting>
  <conditionalFormatting sqref="P198:AA198 P200:AA200 P202:AA202">
    <cfRule type="expression" dxfId="6093" priority="599">
      <formula>P$1=""</formula>
    </cfRule>
  </conditionalFormatting>
  <conditionalFormatting sqref="P198:AA198 P200:AA200 P202:AA202">
    <cfRule type="expression" dxfId="6092" priority="598">
      <formula>P$1=""</formula>
    </cfRule>
  </conditionalFormatting>
  <conditionalFormatting sqref="P198:AA198 P200:AA200 P202:AA202">
    <cfRule type="expression" dxfId="6091" priority="597">
      <formula>P$1=""</formula>
    </cfRule>
  </conditionalFormatting>
  <conditionalFormatting sqref="P198:AA198 P200:AA200 P202:AA202">
    <cfRule type="expression" dxfId="6090" priority="596">
      <formula>P$1=""</formula>
    </cfRule>
  </conditionalFormatting>
  <conditionalFormatting sqref="P198:AA198 P200:AA200 P202:AA202">
    <cfRule type="expression" dxfId="6089" priority="595">
      <formula>P$1=""</formula>
    </cfRule>
  </conditionalFormatting>
  <conditionalFormatting sqref="P198:AA198 P200:AA200 P202:AA202">
    <cfRule type="expression" dxfId="6088" priority="594">
      <formula>P$1=""</formula>
    </cfRule>
  </conditionalFormatting>
  <conditionalFormatting sqref="P198:AA198 P200:AA200 P202:AA202">
    <cfRule type="expression" dxfId="6087" priority="593">
      <formula>P$1=""</formula>
    </cfRule>
  </conditionalFormatting>
  <conditionalFormatting sqref="P198:AA198 P200:AA200 P202:AA202">
    <cfRule type="expression" dxfId="6086" priority="592">
      <formula>P$1=""</formula>
    </cfRule>
  </conditionalFormatting>
  <conditionalFormatting sqref="P198:AA198">
    <cfRule type="expression" dxfId="6085" priority="591">
      <formula>P$1=""</formula>
    </cfRule>
  </conditionalFormatting>
  <conditionalFormatting sqref="P198:AA198 P200:AA200 P202:AA202">
    <cfRule type="expression" dxfId="6084" priority="590">
      <formula>P$1=""</formula>
    </cfRule>
  </conditionalFormatting>
  <conditionalFormatting sqref="P198:AA198 P200:AA200 P202:AA202">
    <cfRule type="expression" dxfId="6083" priority="589">
      <formula>P$1=""</formula>
    </cfRule>
  </conditionalFormatting>
  <conditionalFormatting sqref="P198:AA198 P200:AA200 P202:AA202">
    <cfRule type="expression" dxfId="6082" priority="588">
      <formula>P$1=""</formula>
    </cfRule>
  </conditionalFormatting>
  <conditionalFormatting sqref="P198:AA198 P200:AA200 P202:AA202">
    <cfRule type="expression" dxfId="6081" priority="587">
      <formula>P$1=""</formula>
    </cfRule>
  </conditionalFormatting>
  <conditionalFormatting sqref="P198:AA198 P200:AA200 P202:AA202">
    <cfRule type="expression" dxfId="6080" priority="586">
      <formula>P$1=""</formula>
    </cfRule>
  </conditionalFormatting>
  <conditionalFormatting sqref="P198:AA198">
    <cfRule type="expression" dxfId="6079" priority="585">
      <formula>P$1=""</formula>
    </cfRule>
  </conditionalFormatting>
  <conditionalFormatting sqref="P198:AA198 P200:AA200 P202:AA202">
    <cfRule type="expression" dxfId="6078" priority="584">
      <formula>P$1=""</formula>
    </cfRule>
  </conditionalFormatting>
  <conditionalFormatting sqref="P198:AA198 P200:AA200 P202:AA202">
    <cfRule type="expression" dxfId="6077" priority="583">
      <formula>P$1=""</formula>
    </cfRule>
  </conditionalFormatting>
  <conditionalFormatting sqref="P198:AA198 P200:AA200 P202:AA202">
    <cfRule type="expression" dxfId="6076" priority="582">
      <formula>P$1=""</formula>
    </cfRule>
  </conditionalFormatting>
  <conditionalFormatting sqref="P198:AA198 P200:AA200 P202:AA202">
    <cfRule type="expression" dxfId="6075" priority="581">
      <formula>P$1=""</formula>
    </cfRule>
  </conditionalFormatting>
  <conditionalFormatting sqref="P198:AA198 P200:AA200 P202:AA202">
    <cfRule type="expression" dxfId="6074" priority="580">
      <formula>P$1=""</formula>
    </cfRule>
  </conditionalFormatting>
  <conditionalFormatting sqref="P198:AA198 P200:AA200 P202:AA202">
    <cfRule type="expression" dxfId="6073" priority="579">
      <formula>P$1=""</formula>
    </cfRule>
  </conditionalFormatting>
  <conditionalFormatting sqref="P198:AA198 P200:AA200 P202:AA202">
    <cfRule type="expression" dxfId="6072" priority="578">
      <formula>P$1=""</formula>
    </cfRule>
  </conditionalFormatting>
  <conditionalFormatting sqref="P198:AA198 P200:AA200 P202:AA202">
    <cfRule type="expression" dxfId="6071" priority="577">
      <formula>P$1=""</formula>
    </cfRule>
  </conditionalFormatting>
  <conditionalFormatting sqref="P202:AA202 P200:AA200">
    <cfRule type="expression" dxfId="6070" priority="576">
      <formula>P$1=""</formula>
    </cfRule>
  </conditionalFormatting>
  <conditionalFormatting sqref="P202:AA202 P200:AA200">
    <cfRule type="expression" dxfId="6069" priority="575">
      <formula>P$1=""</formula>
    </cfRule>
  </conditionalFormatting>
  <conditionalFormatting sqref="Q202:AA202 Q200:AA200">
    <cfRule type="expression" dxfId="6068" priority="574">
      <formula>Q$1=""</formula>
    </cfRule>
  </conditionalFormatting>
  <conditionalFormatting sqref="Q202:AA202 Q200:AA200">
    <cfRule type="expression" dxfId="6067" priority="573">
      <formula>Q$1=""</formula>
    </cfRule>
  </conditionalFormatting>
  <conditionalFormatting sqref="Q202:AA202 Q200:AA200">
    <cfRule type="expression" dxfId="6066" priority="572">
      <formula>Q$1=""</formula>
    </cfRule>
  </conditionalFormatting>
  <conditionalFormatting sqref="Q202:AA202 Q200:AA200">
    <cfRule type="expression" dxfId="6065" priority="571">
      <formula>Q$1=""</formula>
    </cfRule>
  </conditionalFormatting>
  <conditionalFormatting sqref="Q202:AA202 Q200:AA200">
    <cfRule type="expression" dxfId="6064" priority="570">
      <formula>Q$1=""</formula>
    </cfRule>
  </conditionalFormatting>
  <conditionalFormatting sqref="Q202:AA202 Q200:AA200">
    <cfRule type="expression" dxfId="6063" priority="569">
      <formula>Q$1=""</formula>
    </cfRule>
  </conditionalFormatting>
  <conditionalFormatting sqref="Q202:AA202 Q200:AA200">
    <cfRule type="expression" dxfId="6062" priority="568">
      <formula>Q$1=""</formula>
    </cfRule>
  </conditionalFormatting>
  <conditionalFormatting sqref="Q202:AA202 Q200:AA200">
    <cfRule type="expression" dxfId="6061" priority="567">
      <formula>Q$1=""</formula>
    </cfRule>
  </conditionalFormatting>
  <conditionalFormatting sqref="P202:AA202 P200:AA200">
    <cfRule type="expression" dxfId="6060" priority="566">
      <formula>P$1=""</formula>
    </cfRule>
  </conditionalFormatting>
  <conditionalFormatting sqref="P202:AA202 P200:AA200">
    <cfRule type="expression" dxfId="6059" priority="565">
      <formula>P$1=""</formula>
    </cfRule>
  </conditionalFormatting>
  <conditionalFormatting sqref="P202:AA202 P200:AA200 P198:AA198">
    <cfRule type="expression" dxfId="6058" priority="564">
      <formula>P$1=""</formula>
    </cfRule>
  </conditionalFormatting>
  <conditionalFormatting sqref="P202:AA202 P200:AA200 P198:AA198">
    <cfRule type="expression" dxfId="6057" priority="563">
      <formula>P$1=""</formula>
    </cfRule>
  </conditionalFormatting>
  <conditionalFormatting sqref="P202:AA202 P200:AA200 P198:AA198">
    <cfRule type="expression" dxfId="6056" priority="562">
      <formula>P$1=""</formula>
    </cfRule>
  </conditionalFormatting>
  <conditionalFormatting sqref="P202:AA202 P200:AA200 P198:AA198">
    <cfRule type="expression" dxfId="6055" priority="561">
      <formula>P$1=""</formula>
    </cfRule>
  </conditionalFormatting>
  <conditionalFormatting sqref="P202:AA202 P200:AA200 P198:AA198">
    <cfRule type="expression" dxfId="6054" priority="560">
      <formula>P$1=""</formula>
    </cfRule>
  </conditionalFormatting>
  <conditionalFormatting sqref="P202:AA202 P200:AA200 P198:AA198">
    <cfRule type="expression" dxfId="6053" priority="559">
      <formula>P$1=""</formula>
    </cfRule>
  </conditionalFormatting>
  <conditionalFormatting sqref="P202:AA202 P200:AA200 P198:AA198">
    <cfRule type="expression" dxfId="6052" priority="558">
      <formula>P$1=""</formula>
    </cfRule>
  </conditionalFormatting>
  <conditionalFormatting sqref="P202:AA202 P200:AA200 P198:AA198">
    <cfRule type="expression" dxfId="6051" priority="557">
      <formula>P$1=""</formula>
    </cfRule>
  </conditionalFormatting>
  <conditionalFormatting sqref="P198:AA198">
    <cfRule type="expression" dxfId="6050" priority="556">
      <formula>P$1=""</formula>
    </cfRule>
  </conditionalFormatting>
  <conditionalFormatting sqref="P202:AA202 P200:AA200 P198:AA198">
    <cfRule type="expression" dxfId="6049" priority="555">
      <formula>P$1=""</formula>
    </cfRule>
  </conditionalFormatting>
  <conditionalFormatting sqref="P202:AA202 P200:AA200 P198:AA198">
    <cfRule type="expression" dxfId="6048" priority="554">
      <formula>P$1=""</formula>
    </cfRule>
  </conditionalFormatting>
  <conditionalFormatting sqref="P202:AA202 P200:AA200 P198:AA198">
    <cfRule type="expression" dxfId="6047" priority="553">
      <formula>P$1=""</formula>
    </cfRule>
  </conditionalFormatting>
  <conditionalFormatting sqref="P202:AA202 P200:AA200 P198:AA198">
    <cfRule type="expression" dxfId="6046" priority="552">
      <formula>P$1=""</formula>
    </cfRule>
  </conditionalFormatting>
  <conditionalFormatting sqref="P202:AA202 P200:AA200 P198:AA198">
    <cfRule type="expression" dxfId="6045" priority="551">
      <formula>P$1=""</formula>
    </cfRule>
  </conditionalFormatting>
  <conditionalFormatting sqref="P198:AA198">
    <cfRule type="expression" dxfId="6044" priority="550">
      <formula>P$1=""</formula>
    </cfRule>
  </conditionalFormatting>
  <conditionalFormatting sqref="P202:AA202 P200:AA200 P198:AA198">
    <cfRule type="expression" dxfId="6043" priority="549">
      <formula>P$1=""</formula>
    </cfRule>
  </conditionalFormatting>
  <conditionalFormatting sqref="P202:AA202 P200:AA200 P198:AA198">
    <cfRule type="expression" dxfId="6042" priority="548">
      <formula>P$1=""</formula>
    </cfRule>
  </conditionalFormatting>
  <conditionalFormatting sqref="P202:AA202 P200:AA200 P198:AA198">
    <cfRule type="expression" dxfId="6041" priority="547">
      <formula>P$1=""</formula>
    </cfRule>
  </conditionalFormatting>
  <conditionalFormatting sqref="P202:AA202 P200:AA200 P198:AA198">
    <cfRule type="expression" dxfId="6040" priority="546">
      <formula>P$1=""</formula>
    </cfRule>
  </conditionalFormatting>
  <conditionalFormatting sqref="P202:AA202 P200:AA200 P198:AA198">
    <cfRule type="expression" dxfId="6039" priority="545">
      <formula>P$1=""</formula>
    </cfRule>
  </conditionalFormatting>
  <conditionalFormatting sqref="P202:AA202 P200:AA200 P198:AA198">
    <cfRule type="expression" dxfId="6038" priority="544">
      <formula>P$1=""</formula>
    </cfRule>
  </conditionalFormatting>
  <conditionalFormatting sqref="P202:AA202 P200:AA200 P198:AA198">
    <cfRule type="expression" dxfId="6037" priority="543">
      <formula>P$1=""</formula>
    </cfRule>
  </conditionalFormatting>
  <conditionalFormatting sqref="P202:AA202 P200:AA200 P198:AA198">
    <cfRule type="expression" dxfId="6036" priority="542">
      <formula>P$1=""</formula>
    </cfRule>
  </conditionalFormatting>
  <conditionalFormatting sqref="P216:AA216">
    <cfRule type="expression" dxfId="6035" priority="541">
      <formula>P$1=""</formula>
    </cfRule>
  </conditionalFormatting>
  <conditionalFormatting sqref="P218:AA218">
    <cfRule type="expression" dxfId="6034" priority="540">
      <formula>P$1=""</formula>
    </cfRule>
  </conditionalFormatting>
  <conditionalFormatting sqref="P220:AA220">
    <cfRule type="expression" dxfId="6033" priority="539">
      <formula>P$1=""</formula>
    </cfRule>
  </conditionalFormatting>
  <conditionalFormatting sqref="P222:AA222">
    <cfRule type="expression" dxfId="6032" priority="538">
      <formula>P$1=""</formula>
    </cfRule>
  </conditionalFormatting>
  <conditionalFormatting sqref="P218:AA218 P220:AA220 P222:AA222">
    <cfRule type="expression" dxfId="6031" priority="537">
      <formula>P$1=""</formula>
    </cfRule>
  </conditionalFormatting>
  <conditionalFormatting sqref="P218:AA218 P220:AA220 P222:AA222">
    <cfRule type="expression" dxfId="6030" priority="536">
      <formula>P$1=""</formula>
    </cfRule>
  </conditionalFormatting>
  <conditionalFormatting sqref="P218:AA218 P220:AA220 P222:AA222">
    <cfRule type="expression" dxfId="6029" priority="535">
      <formula>P$1=""</formula>
    </cfRule>
  </conditionalFormatting>
  <conditionalFormatting sqref="P218:AA218 P220:AA220 P222:AA222">
    <cfRule type="expression" dxfId="6028" priority="534">
      <formula>P$1=""</formula>
    </cfRule>
  </conditionalFormatting>
  <conditionalFormatting sqref="P218:AA218 P220:AA220 P222:AA222">
    <cfRule type="expression" dxfId="6027" priority="533">
      <formula>P$1=""</formula>
    </cfRule>
  </conditionalFormatting>
  <conditionalFormatting sqref="P220:AA220 P222:AA222">
    <cfRule type="expression" dxfId="6026" priority="532">
      <formula>P$1=""</formula>
    </cfRule>
  </conditionalFormatting>
  <conditionalFormatting sqref="P218:AA218">
    <cfRule type="expression" dxfId="6025" priority="531">
      <formula>P$1=""</formula>
    </cfRule>
  </conditionalFormatting>
  <conditionalFormatting sqref="P220:AA220 P222:AA222">
    <cfRule type="expression" dxfId="6024" priority="530">
      <formula>P$1=""</formula>
    </cfRule>
  </conditionalFormatting>
  <conditionalFormatting sqref="P220:AA220 P222:AA222">
    <cfRule type="expression" dxfId="6023" priority="529">
      <formula>P$1=""</formula>
    </cfRule>
  </conditionalFormatting>
  <conditionalFormatting sqref="P222:AA222">
    <cfRule type="expression" dxfId="6022" priority="528">
      <formula>P$1=""</formula>
    </cfRule>
  </conditionalFormatting>
  <conditionalFormatting sqref="P222:AA222">
    <cfRule type="expression" dxfId="6021" priority="527">
      <formula>P$1=""</formula>
    </cfRule>
  </conditionalFormatting>
  <conditionalFormatting sqref="P222:AA222">
    <cfRule type="expression" dxfId="6020" priority="526">
      <formula>P$1=""</formula>
    </cfRule>
  </conditionalFormatting>
  <conditionalFormatting sqref="P222:AA222">
    <cfRule type="expression" dxfId="6019" priority="525">
      <formula>P$1=""</formula>
    </cfRule>
  </conditionalFormatting>
  <conditionalFormatting sqref="P216:AA216">
    <cfRule type="expression" dxfId="6018" priority="524">
      <formula>P$1=""</formula>
    </cfRule>
  </conditionalFormatting>
  <conditionalFormatting sqref="P216:AA216">
    <cfRule type="expression" dxfId="6017" priority="523">
      <formula>P$1=""</formula>
    </cfRule>
  </conditionalFormatting>
  <conditionalFormatting sqref="P216:AA216">
    <cfRule type="expression" dxfId="6016" priority="522">
      <formula>P$1=""</formula>
    </cfRule>
  </conditionalFormatting>
  <conditionalFormatting sqref="P216:AA216">
    <cfRule type="expression" dxfId="6015" priority="521">
      <formula>P$1=""</formula>
    </cfRule>
  </conditionalFormatting>
  <conditionalFormatting sqref="P216:AA216">
    <cfRule type="expression" dxfId="6014" priority="520">
      <formula>P$1=""</formula>
    </cfRule>
  </conditionalFormatting>
  <conditionalFormatting sqref="P216:AA216">
    <cfRule type="expression" dxfId="6013" priority="519">
      <formula>P$1=""</formula>
    </cfRule>
  </conditionalFormatting>
  <conditionalFormatting sqref="P216:AA216">
    <cfRule type="expression" dxfId="6012" priority="518">
      <formula>P$1=""</formula>
    </cfRule>
  </conditionalFormatting>
  <conditionalFormatting sqref="P220:AA220 P222:AA222">
    <cfRule type="expression" dxfId="6011" priority="517">
      <formula>P$1=""</formula>
    </cfRule>
  </conditionalFormatting>
  <conditionalFormatting sqref="P220:AA220 P222:AA222">
    <cfRule type="expression" dxfId="6010" priority="516">
      <formula>P$1=""</formula>
    </cfRule>
  </conditionalFormatting>
  <conditionalFormatting sqref="P220:AA220 P222:AA222">
    <cfRule type="expression" dxfId="6009" priority="515">
      <formula>P$1=""</formula>
    </cfRule>
  </conditionalFormatting>
  <conditionalFormatting sqref="P220:AA220 P222:AA222">
    <cfRule type="expression" dxfId="6008" priority="514">
      <formula>P$1=""</formula>
    </cfRule>
  </conditionalFormatting>
  <conditionalFormatting sqref="P222 P220 P218">
    <cfRule type="expression" dxfId="6007" priority="513">
      <formula>P$1=""</formula>
    </cfRule>
  </conditionalFormatting>
  <conditionalFormatting sqref="P222 P220 P218">
    <cfRule type="expression" dxfId="6006" priority="512">
      <formula>P$1=""</formula>
    </cfRule>
  </conditionalFormatting>
  <conditionalFormatting sqref="P222 P220 P218">
    <cfRule type="expression" dxfId="6005" priority="511">
      <formula>P$1=""</formula>
    </cfRule>
  </conditionalFormatting>
  <conditionalFormatting sqref="P226:AA226">
    <cfRule type="expression" dxfId="6004" priority="510">
      <formula>P$1=""</formula>
    </cfRule>
  </conditionalFormatting>
  <conditionalFormatting sqref="P228:AA228">
    <cfRule type="expression" dxfId="6003" priority="509">
      <formula>P$1=""</formula>
    </cfRule>
  </conditionalFormatting>
  <conditionalFormatting sqref="P230:AA230">
    <cfRule type="expression" dxfId="6002" priority="508">
      <formula>P$1=""</formula>
    </cfRule>
  </conditionalFormatting>
  <conditionalFormatting sqref="P232:AA232">
    <cfRule type="expression" dxfId="6001" priority="507">
      <formula>P$1=""</formula>
    </cfRule>
  </conditionalFormatting>
  <conditionalFormatting sqref="P228:AA228 P230:AA230 P232:AA232">
    <cfRule type="expression" dxfId="6000" priority="506">
      <formula>P$1=""</formula>
    </cfRule>
  </conditionalFormatting>
  <conditionalFormatting sqref="P228:AA228 P230:AA230 P232:AA232">
    <cfRule type="expression" dxfId="5999" priority="505">
      <formula>P$1=""</formula>
    </cfRule>
  </conditionalFormatting>
  <conditionalFormatting sqref="P228:AA228 P230:AA230 P232:AA232">
    <cfRule type="expression" dxfId="5998" priority="504">
      <formula>P$1=""</formula>
    </cfRule>
  </conditionalFormatting>
  <conditionalFormatting sqref="P228:AA228 P230:AA230 P232:AA232">
    <cfRule type="expression" dxfId="5997" priority="503">
      <formula>P$1=""</formula>
    </cfRule>
  </conditionalFormatting>
  <conditionalFormatting sqref="P228:AA228 P230:AA230 P232:AA232">
    <cfRule type="expression" dxfId="5996" priority="502">
      <formula>P$1=""</formula>
    </cfRule>
  </conditionalFormatting>
  <conditionalFormatting sqref="P230:AA230 P232:AA232">
    <cfRule type="expression" dxfId="5995" priority="501">
      <formula>P$1=""</formula>
    </cfRule>
  </conditionalFormatting>
  <conditionalFormatting sqref="P228:AA228">
    <cfRule type="expression" dxfId="5994" priority="500">
      <formula>P$1=""</formula>
    </cfRule>
  </conditionalFormatting>
  <conditionalFormatting sqref="P230:AA230 P232:AA232">
    <cfRule type="expression" dxfId="5993" priority="499">
      <formula>P$1=""</formula>
    </cfRule>
  </conditionalFormatting>
  <conditionalFormatting sqref="P230:AA230 P232:AA232">
    <cfRule type="expression" dxfId="5992" priority="498">
      <formula>P$1=""</formula>
    </cfRule>
  </conditionalFormatting>
  <conditionalFormatting sqref="P232:AA232">
    <cfRule type="expression" dxfId="5991" priority="497">
      <formula>P$1=""</formula>
    </cfRule>
  </conditionalFormatting>
  <conditionalFormatting sqref="P232:AA232">
    <cfRule type="expression" dxfId="5990" priority="496">
      <formula>P$1=""</formula>
    </cfRule>
  </conditionalFormatting>
  <conditionalFormatting sqref="P232:AA232">
    <cfRule type="expression" dxfId="5989" priority="495">
      <formula>P$1=""</formula>
    </cfRule>
  </conditionalFormatting>
  <conditionalFormatting sqref="P232:AA232">
    <cfRule type="expression" dxfId="5988" priority="494">
      <formula>P$1=""</formula>
    </cfRule>
  </conditionalFormatting>
  <conditionalFormatting sqref="P226:AA226">
    <cfRule type="expression" dxfId="5987" priority="493">
      <formula>P$1=""</formula>
    </cfRule>
  </conditionalFormatting>
  <conditionalFormatting sqref="P226:AA226">
    <cfRule type="expression" dxfId="5986" priority="492">
      <formula>P$1=""</formula>
    </cfRule>
  </conditionalFormatting>
  <conditionalFormatting sqref="P226:AA226">
    <cfRule type="expression" dxfId="5985" priority="491">
      <formula>P$1=""</formula>
    </cfRule>
  </conditionalFormatting>
  <conditionalFormatting sqref="P226:AA226">
    <cfRule type="expression" dxfId="5984" priority="490">
      <formula>P$1=""</formula>
    </cfRule>
  </conditionalFormatting>
  <conditionalFormatting sqref="P226:AA226">
    <cfRule type="expression" dxfId="5983" priority="489">
      <formula>P$1=""</formula>
    </cfRule>
  </conditionalFormatting>
  <conditionalFormatting sqref="P226:AA226">
    <cfRule type="expression" dxfId="5982" priority="488">
      <formula>P$1=""</formula>
    </cfRule>
  </conditionalFormatting>
  <conditionalFormatting sqref="P226:AA226">
    <cfRule type="expression" dxfId="5981" priority="487">
      <formula>P$1=""</formula>
    </cfRule>
  </conditionalFormatting>
  <conditionalFormatting sqref="P230:AA230 P232:AA232">
    <cfRule type="expression" dxfId="5980" priority="486">
      <formula>P$1=""</formula>
    </cfRule>
  </conditionalFormatting>
  <conditionalFormatting sqref="P230:AA230 P232:AA232">
    <cfRule type="expression" dxfId="5979" priority="485">
      <formula>P$1=""</formula>
    </cfRule>
  </conditionalFormatting>
  <conditionalFormatting sqref="P230:AA230 P232:AA232">
    <cfRule type="expression" dxfId="5978" priority="484">
      <formula>P$1=""</formula>
    </cfRule>
  </conditionalFormatting>
  <conditionalFormatting sqref="P230:AA230 P232:AA232">
    <cfRule type="expression" dxfId="5977" priority="483">
      <formula>P$1=""</formula>
    </cfRule>
  </conditionalFormatting>
  <conditionalFormatting sqref="P232 P230 P228">
    <cfRule type="expression" dxfId="5976" priority="482">
      <formula>P$1=""</formula>
    </cfRule>
  </conditionalFormatting>
  <conditionalFormatting sqref="P232 P230 P228">
    <cfRule type="expression" dxfId="5975" priority="481">
      <formula>P$1=""</formula>
    </cfRule>
  </conditionalFormatting>
  <conditionalFormatting sqref="P232 P230 P228">
    <cfRule type="expression" dxfId="5974" priority="480">
      <formula>P$1=""</formula>
    </cfRule>
  </conditionalFormatting>
  <conditionalFormatting sqref="P238:AA238">
    <cfRule type="expression" dxfId="5973" priority="479">
      <formula>P$1=""</formula>
    </cfRule>
  </conditionalFormatting>
  <conditionalFormatting sqref="P238:AA238">
    <cfRule type="expression" dxfId="5972" priority="478">
      <formula>P$1=""</formula>
    </cfRule>
  </conditionalFormatting>
  <conditionalFormatting sqref="P238:AA238">
    <cfRule type="expression" dxfId="5971" priority="477">
      <formula>P$1=""</formula>
    </cfRule>
  </conditionalFormatting>
  <conditionalFormatting sqref="P238:AA238">
    <cfRule type="expression" dxfId="5970" priority="476">
      <formula>P$1=""</formula>
    </cfRule>
  </conditionalFormatting>
  <conditionalFormatting sqref="P238:AA238">
    <cfRule type="expression" dxfId="5969" priority="475">
      <formula>P$1=""</formula>
    </cfRule>
  </conditionalFormatting>
  <conditionalFormatting sqref="P238:AA238">
    <cfRule type="expression" dxfId="5968" priority="474">
      <formula>P$1=""</formula>
    </cfRule>
  </conditionalFormatting>
  <conditionalFormatting sqref="P238:AA238">
    <cfRule type="expression" dxfId="5967" priority="473">
      <formula>P$1=""</formula>
    </cfRule>
  </conditionalFormatting>
  <conditionalFormatting sqref="P238:AA238">
    <cfRule type="expression" dxfId="5966" priority="472">
      <formula>P$1=""</formula>
    </cfRule>
  </conditionalFormatting>
  <conditionalFormatting sqref="P238:AA238">
    <cfRule type="expression" dxfId="5965" priority="471">
      <formula>P$1=""</formula>
    </cfRule>
  </conditionalFormatting>
  <conditionalFormatting sqref="P238:AA238">
    <cfRule type="expression" dxfId="5964" priority="470">
      <formula>P$1=""</formula>
    </cfRule>
  </conditionalFormatting>
  <conditionalFormatting sqref="P238:AA238">
    <cfRule type="expression" dxfId="5963" priority="469">
      <formula>P$1=""</formula>
    </cfRule>
  </conditionalFormatting>
  <conditionalFormatting sqref="P238:AA238">
    <cfRule type="expression" dxfId="5962" priority="468">
      <formula>P$1=""</formula>
    </cfRule>
  </conditionalFormatting>
  <conditionalFormatting sqref="P238:AA238">
    <cfRule type="expression" dxfId="5961" priority="467">
      <formula>P$1=""</formula>
    </cfRule>
  </conditionalFormatting>
  <conditionalFormatting sqref="P238:AA238">
    <cfRule type="expression" dxfId="5960" priority="466">
      <formula>P$1=""</formula>
    </cfRule>
  </conditionalFormatting>
  <conditionalFormatting sqref="P238:AA238">
    <cfRule type="expression" dxfId="5959" priority="465">
      <formula>P$1=""</formula>
    </cfRule>
  </conditionalFormatting>
  <conditionalFormatting sqref="P238:AA238">
    <cfRule type="expression" dxfId="5958" priority="464">
      <formula>P$1=""</formula>
    </cfRule>
  </conditionalFormatting>
  <conditionalFormatting sqref="P238:AA238">
    <cfRule type="expression" dxfId="5957" priority="463">
      <formula>P$1=""</formula>
    </cfRule>
  </conditionalFormatting>
  <conditionalFormatting sqref="P238:AA238">
    <cfRule type="expression" dxfId="5956" priority="462">
      <formula>P$1=""</formula>
    </cfRule>
  </conditionalFormatting>
  <conditionalFormatting sqref="P238:AA238">
    <cfRule type="expression" dxfId="5955" priority="461">
      <formula>P$1=""</formula>
    </cfRule>
  </conditionalFormatting>
  <conditionalFormatting sqref="P238:AA238">
    <cfRule type="expression" dxfId="5954" priority="460">
      <formula>P$1=""</formula>
    </cfRule>
  </conditionalFormatting>
  <conditionalFormatting sqref="P238:AA238">
    <cfRule type="expression" dxfId="5953" priority="459">
      <formula>P$1=""</formula>
    </cfRule>
  </conditionalFormatting>
  <conditionalFormatting sqref="P238:AA238">
    <cfRule type="expression" dxfId="5952" priority="458">
      <formula>P$1=""</formula>
    </cfRule>
  </conditionalFormatting>
  <conditionalFormatting sqref="P238:AA238">
    <cfRule type="expression" dxfId="5951" priority="457">
      <formula>P$1=""</formula>
    </cfRule>
  </conditionalFormatting>
  <conditionalFormatting sqref="P240:AA240">
    <cfRule type="expression" dxfId="5950" priority="456">
      <formula>P$1=""</formula>
    </cfRule>
  </conditionalFormatting>
  <conditionalFormatting sqref="P240:AA240">
    <cfRule type="expression" dxfId="5949" priority="455">
      <formula>P$1=""</formula>
    </cfRule>
  </conditionalFormatting>
  <conditionalFormatting sqref="P240:AA240">
    <cfRule type="expression" dxfId="5948" priority="454">
      <formula>P$1=""</formula>
    </cfRule>
  </conditionalFormatting>
  <conditionalFormatting sqref="P240:AA240">
    <cfRule type="expression" dxfId="5947" priority="453">
      <formula>P$1=""</formula>
    </cfRule>
  </conditionalFormatting>
  <conditionalFormatting sqref="P240:AA240">
    <cfRule type="expression" dxfId="5946" priority="452">
      <formula>P$1=""</formula>
    </cfRule>
  </conditionalFormatting>
  <conditionalFormatting sqref="P240:AA240">
    <cfRule type="expression" dxfId="5945" priority="451">
      <formula>P$1=""</formula>
    </cfRule>
  </conditionalFormatting>
  <conditionalFormatting sqref="P240:AA240">
    <cfRule type="expression" dxfId="5944" priority="450">
      <formula>P$1=""</formula>
    </cfRule>
  </conditionalFormatting>
  <conditionalFormatting sqref="P240:AA240">
    <cfRule type="expression" dxfId="5943" priority="449">
      <formula>P$1=""</formula>
    </cfRule>
  </conditionalFormatting>
  <conditionalFormatting sqref="P240:AA240">
    <cfRule type="expression" dxfId="5942" priority="448">
      <formula>P$1=""</formula>
    </cfRule>
  </conditionalFormatting>
  <conditionalFormatting sqref="P240:AA240">
    <cfRule type="expression" dxfId="5941" priority="447">
      <formula>P$1=""</formula>
    </cfRule>
  </conditionalFormatting>
  <conditionalFormatting sqref="P240:AA240">
    <cfRule type="expression" dxfId="5940" priority="446">
      <formula>P$1=""</formula>
    </cfRule>
  </conditionalFormatting>
  <conditionalFormatting sqref="P240:AA240">
    <cfRule type="expression" dxfId="5939" priority="445">
      <formula>P$1=""</formula>
    </cfRule>
  </conditionalFormatting>
  <conditionalFormatting sqref="P240:AA240">
    <cfRule type="expression" dxfId="5938" priority="444">
      <formula>P$1=""</formula>
    </cfRule>
  </conditionalFormatting>
  <conditionalFormatting sqref="P240:AA240">
    <cfRule type="expression" dxfId="5937" priority="443">
      <formula>P$1=""</formula>
    </cfRule>
  </conditionalFormatting>
  <conditionalFormatting sqref="P240:AA240">
    <cfRule type="expression" dxfId="5936" priority="442">
      <formula>P$1=""</formula>
    </cfRule>
  </conditionalFormatting>
  <conditionalFormatting sqref="P240:AA240">
    <cfRule type="expression" dxfId="5935" priority="441">
      <formula>P$1=""</formula>
    </cfRule>
  </conditionalFormatting>
  <conditionalFormatting sqref="P240:AA240">
    <cfRule type="expression" dxfId="5934" priority="440">
      <formula>P$1=""</formula>
    </cfRule>
  </conditionalFormatting>
  <conditionalFormatting sqref="P240:AA240">
    <cfRule type="expression" dxfId="5933" priority="439">
      <formula>P$1=""</formula>
    </cfRule>
  </conditionalFormatting>
  <conditionalFormatting sqref="P240:AA240">
    <cfRule type="expression" dxfId="5932" priority="438">
      <formula>P$1=""</formula>
    </cfRule>
  </conditionalFormatting>
  <conditionalFormatting sqref="P240:AA240">
    <cfRule type="expression" dxfId="5931" priority="437">
      <formula>P$1=""</formula>
    </cfRule>
  </conditionalFormatting>
  <conditionalFormatting sqref="P240:AA240">
    <cfRule type="expression" dxfId="5930" priority="436">
      <formula>P$1=""</formula>
    </cfRule>
  </conditionalFormatting>
  <conditionalFormatting sqref="P242:AA242">
    <cfRule type="expression" dxfId="5929" priority="435">
      <formula>P$1=""</formula>
    </cfRule>
  </conditionalFormatting>
  <conditionalFormatting sqref="P242:AA242">
    <cfRule type="expression" dxfId="5928" priority="434">
      <formula>P$1=""</formula>
    </cfRule>
  </conditionalFormatting>
  <conditionalFormatting sqref="P242:AA242">
    <cfRule type="expression" dxfId="5927" priority="433">
      <formula>P$1=""</formula>
    </cfRule>
  </conditionalFormatting>
  <conditionalFormatting sqref="P242:AA242">
    <cfRule type="expression" dxfId="5926" priority="432">
      <formula>P$1=""</formula>
    </cfRule>
  </conditionalFormatting>
  <conditionalFormatting sqref="P242:AA242">
    <cfRule type="expression" dxfId="5925" priority="431">
      <formula>P$1=""</formula>
    </cfRule>
  </conditionalFormatting>
  <conditionalFormatting sqref="P242:AA242">
    <cfRule type="expression" dxfId="5924" priority="430">
      <formula>P$1=""</formula>
    </cfRule>
  </conditionalFormatting>
  <conditionalFormatting sqref="P242:AA242">
    <cfRule type="expression" dxfId="5923" priority="429">
      <formula>P$1=""</formula>
    </cfRule>
  </conditionalFormatting>
  <conditionalFormatting sqref="P242:AA242">
    <cfRule type="expression" dxfId="5922" priority="428">
      <formula>P$1=""</formula>
    </cfRule>
  </conditionalFormatting>
  <conditionalFormatting sqref="P242:AA242">
    <cfRule type="expression" dxfId="5921" priority="427">
      <formula>P$1=""</formula>
    </cfRule>
  </conditionalFormatting>
  <conditionalFormatting sqref="P242:AA242">
    <cfRule type="expression" dxfId="5920" priority="426">
      <formula>P$1=""</formula>
    </cfRule>
  </conditionalFormatting>
  <conditionalFormatting sqref="P242:AA242">
    <cfRule type="expression" dxfId="5919" priority="425">
      <formula>P$1=""</formula>
    </cfRule>
  </conditionalFormatting>
  <conditionalFormatting sqref="P242:AA242">
    <cfRule type="expression" dxfId="5918" priority="424">
      <formula>P$1=""</formula>
    </cfRule>
  </conditionalFormatting>
  <conditionalFormatting sqref="P242:AA242">
    <cfRule type="expression" dxfId="5917" priority="423">
      <formula>P$1=""</formula>
    </cfRule>
  </conditionalFormatting>
  <conditionalFormatting sqref="P242:AA242">
    <cfRule type="expression" dxfId="5916" priority="422">
      <formula>P$1=""</formula>
    </cfRule>
  </conditionalFormatting>
  <conditionalFormatting sqref="P242:AA242">
    <cfRule type="expression" dxfId="5915" priority="421">
      <formula>P$1=""</formula>
    </cfRule>
  </conditionalFormatting>
  <conditionalFormatting sqref="P242:AA242">
    <cfRule type="expression" dxfId="5914" priority="420">
      <formula>P$1=""</formula>
    </cfRule>
  </conditionalFormatting>
  <conditionalFormatting sqref="P242:AA242">
    <cfRule type="expression" dxfId="5913" priority="419">
      <formula>P$1=""</formula>
    </cfRule>
  </conditionalFormatting>
  <conditionalFormatting sqref="P242:AA242">
    <cfRule type="expression" dxfId="5912" priority="418">
      <formula>P$1=""</formula>
    </cfRule>
  </conditionalFormatting>
  <conditionalFormatting sqref="P242:AA242">
    <cfRule type="expression" dxfId="5911" priority="417">
      <formula>P$1=""</formula>
    </cfRule>
  </conditionalFormatting>
  <conditionalFormatting sqref="P242:AA242">
    <cfRule type="expression" dxfId="5910" priority="416">
      <formula>P$1=""</formula>
    </cfRule>
  </conditionalFormatting>
  <conditionalFormatting sqref="P242:AA242">
    <cfRule type="expression" dxfId="5909" priority="415">
      <formula>P$1=""</formula>
    </cfRule>
  </conditionalFormatting>
  <conditionalFormatting sqref="P246:AA246">
    <cfRule type="expression" dxfId="5908" priority="414">
      <formula>P$1=""</formula>
    </cfRule>
  </conditionalFormatting>
  <conditionalFormatting sqref="P248:AA248">
    <cfRule type="expression" dxfId="5907" priority="413">
      <formula>P$1=""</formula>
    </cfRule>
  </conditionalFormatting>
  <conditionalFormatting sqref="P250:AA250">
    <cfRule type="expression" dxfId="5906" priority="412">
      <formula>P$1=""</formula>
    </cfRule>
  </conditionalFormatting>
  <conditionalFormatting sqref="P252:AA252">
    <cfRule type="expression" dxfId="5905" priority="411">
      <formula>P$1=""</formula>
    </cfRule>
  </conditionalFormatting>
  <conditionalFormatting sqref="P248:AA248 P250:AA250 P252:AA252">
    <cfRule type="expression" dxfId="5904" priority="410">
      <formula>P$1=""</formula>
    </cfRule>
  </conditionalFormatting>
  <conditionalFormatting sqref="P248:AA248 P250:AA250 P252:AA252">
    <cfRule type="expression" dxfId="5903" priority="409">
      <formula>P$1=""</formula>
    </cfRule>
  </conditionalFormatting>
  <conditionalFormatting sqref="P248:AA248 P250:AA250 P252:AA252">
    <cfRule type="expression" dxfId="5902" priority="408">
      <formula>P$1=""</formula>
    </cfRule>
  </conditionalFormatting>
  <conditionalFormatting sqref="P248:AA248 P250:AA250 P252:AA252">
    <cfRule type="expression" dxfId="5901" priority="407">
      <formula>P$1=""</formula>
    </cfRule>
  </conditionalFormatting>
  <conditionalFormatting sqref="P248:AA248 P250:AA250 P252:AA252">
    <cfRule type="expression" dxfId="5900" priority="406">
      <formula>P$1=""</formula>
    </cfRule>
  </conditionalFormatting>
  <conditionalFormatting sqref="P250:AA250 P252:AA252">
    <cfRule type="expression" dxfId="5899" priority="405">
      <formula>P$1=""</formula>
    </cfRule>
  </conditionalFormatting>
  <conditionalFormatting sqref="P248:AA248">
    <cfRule type="expression" dxfId="5898" priority="404">
      <formula>P$1=""</formula>
    </cfRule>
  </conditionalFormatting>
  <conditionalFormatting sqref="P250:AA250 P252:AA252">
    <cfRule type="expression" dxfId="5897" priority="403">
      <formula>P$1=""</formula>
    </cfRule>
  </conditionalFormatting>
  <conditionalFormatting sqref="P250:AA250 P252:AA252">
    <cfRule type="expression" dxfId="5896" priority="402">
      <formula>P$1=""</formula>
    </cfRule>
  </conditionalFormatting>
  <conditionalFormatting sqref="P252:AA252">
    <cfRule type="expression" dxfId="5895" priority="401">
      <formula>P$1=""</formula>
    </cfRule>
  </conditionalFormatting>
  <conditionalFormatting sqref="P252:AA252">
    <cfRule type="expression" dxfId="5894" priority="400">
      <formula>P$1=""</formula>
    </cfRule>
  </conditionalFormatting>
  <conditionalFormatting sqref="P252:AA252">
    <cfRule type="expression" dxfId="5893" priority="399">
      <formula>P$1=""</formula>
    </cfRule>
  </conditionalFormatting>
  <conditionalFormatting sqref="P252:AA252">
    <cfRule type="expression" dxfId="5892" priority="398">
      <formula>P$1=""</formula>
    </cfRule>
  </conditionalFormatting>
  <conditionalFormatting sqref="P246:AA246">
    <cfRule type="expression" dxfId="5891" priority="397">
      <formula>P$1=""</formula>
    </cfRule>
  </conditionalFormatting>
  <conditionalFormatting sqref="P246:AA246">
    <cfRule type="expression" dxfId="5890" priority="396">
      <formula>P$1=""</formula>
    </cfRule>
  </conditionalFormatting>
  <conditionalFormatting sqref="P246:AA246">
    <cfRule type="expression" dxfId="5889" priority="395">
      <formula>P$1=""</formula>
    </cfRule>
  </conditionalFormatting>
  <conditionalFormatting sqref="P246:AA246">
    <cfRule type="expression" dxfId="5888" priority="394">
      <formula>P$1=""</formula>
    </cfRule>
  </conditionalFormatting>
  <conditionalFormatting sqref="P246:AA246">
    <cfRule type="expression" dxfId="5887" priority="393">
      <formula>P$1=""</formula>
    </cfRule>
  </conditionalFormatting>
  <conditionalFormatting sqref="P246:AA246">
    <cfRule type="expression" dxfId="5886" priority="392">
      <formula>P$1=""</formula>
    </cfRule>
  </conditionalFormatting>
  <conditionalFormatting sqref="P246:AA246">
    <cfRule type="expression" dxfId="5885" priority="391">
      <formula>P$1=""</formula>
    </cfRule>
  </conditionalFormatting>
  <conditionalFormatting sqref="P250:AA250 P252:AA252">
    <cfRule type="expression" dxfId="5884" priority="390">
      <formula>P$1=""</formula>
    </cfRule>
  </conditionalFormatting>
  <conditionalFormatting sqref="P250:AA250 P252:AA252">
    <cfRule type="expression" dxfId="5883" priority="389">
      <formula>P$1=""</formula>
    </cfRule>
  </conditionalFormatting>
  <conditionalFormatting sqref="P250:AA250 P252:AA252">
    <cfRule type="expression" dxfId="5882" priority="388">
      <formula>P$1=""</formula>
    </cfRule>
  </conditionalFormatting>
  <conditionalFormatting sqref="P250:AA250 P252:AA252">
    <cfRule type="expression" dxfId="5881" priority="387">
      <formula>P$1=""</formula>
    </cfRule>
  </conditionalFormatting>
  <conditionalFormatting sqref="P252 P250 P248">
    <cfRule type="expression" dxfId="5880" priority="386">
      <formula>P$1=""</formula>
    </cfRule>
  </conditionalFormatting>
  <conditionalFormatting sqref="P252 P250 P248">
    <cfRule type="expression" dxfId="5879" priority="385">
      <formula>P$1=""</formula>
    </cfRule>
  </conditionalFormatting>
  <conditionalFormatting sqref="P252 P250 P248">
    <cfRule type="expression" dxfId="5878" priority="384">
      <formula>P$1=""</formula>
    </cfRule>
  </conditionalFormatting>
  <conditionalFormatting sqref="P256:AA256">
    <cfRule type="expression" dxfId="5877" priority="380">
      <formula>P$1=""</formula>
    </cfRule>
  </conditionalFormatting>
  <conditionalFormatting sqref="P258:AA258">
    <cfRule type="expression" dxfId="5876" priority="379">
      <formula>P$1=""</formula>
    </cfRule>
  </conditionalFormatting>
  <conditionalFormatting sqref="P260:AA260">
    <cfRule type="expression" dxfId="5875" priority="378">
      <formula>P$1=""</formula>
    </cfRule>
  </conditionalFormatting>
  <conditionalFormatting sqref="P262:AA262">
    <cfRule type="expression" dxfId="5874" priority="377">
      <formula>P$1=""</formula>
    </cfRule>
  </conditionalFormatting>
  <conditionalFormatting sqref="P258:AA258 P260:AA260 P262:AA262">
    <cfRule type="expression" dxfId="5873" priority="376">
      <formula>P$1=""</formula>
    </cfRule>
  </conditionalFormatting>
  <conditionalFormatting sqref="P258:AA258 P260:AA260 P262:AA262">
    <cfRule type="expression" dxfId="5872" priority="375">
      <formula>P$1=""</formula>
    </cfRule>
  </conditionalFormatting>
  <conditionalFormatting sqref="P258:AA258 P260:AA260 P262:AA262">
    <cfRule type="expression" dxfId="5871" priority="374">
      <formula>P$1=""</formula>
    </cfRule>
  </conditionalFormatting>
  <conditionalFormatting sqref="P258:AA258 P260:AA260 P262:AA262">
    <cfRule type="expression" dxfId="5870" priority="373">
      <formula>P$1=""</formula>
    </cfRule>
  </conditionalFormatting>
  <conditionalFormatting sqref="P258:AA258 P260:AA260 P262:AA262">
    <cfRule type="expression" dxfId="5869" priority="372">
      <formula>P$1=""</formula>
    </cfRule>
  </conditionalFormatting>
  <conditionalFormatting sqref="P260:AA260 P262:AA262">
    <cfRule type="expression" dxfId="5868" priority="371">
      <formula>P$1=""</formula>
    </cfRule>
  </conditionalFormatting>
  <conditionalFormatting sqref="P258:AA258">
    <cfRule type="expression" dxfId="5867" priority="370">
      <formula>P$1=""</formula>
    </cfRule>
  </conditionalFormatting>
  <conditionalFormatting sqref="P260:AA260 P262:AA262">
    <cfRule type="expression" dxfId="5866" priority="369">
      <formula>P$1=""</formula>
    </cfRule>
  </conditionalFormatting>
  <conditionalFormatting sqref="P260:AA260 P262:AA262">
    <cfRule type="expression" dxfId="5865" priority="368">
      <formula>P$1=""</formula>
    </cfRule>
  </conditionalFormatting>
  <conditionalFormatting sqref="P262:AA262">
    <cfRule type="expression" dxfId="5864" priority="367">
      <formula>P$1=""</formula>
    </cfRule>
  </conditionalFormatting>
  <conditionalFormatting sqref="P262:AA262">
    <cfRule type="expression" dxfId="5863" priority="366">
      <formula>P$1=""</formula>
    </cfRule>
  </conditionalFormatting>
  <conditionalFormatting sqref="P262:AA262">
    <cfRule type="expression" dxfId="5862" priority="365">
      <formula>P$1=""</formula>
    </cfRule>
  </conditionalFormatting>
  <conditionalFormatting sqref="P262:AA262">
    <cfRule type="expression" dxfId="5861" priority="364">
      <formula>P$1=""</formula>
    </cfRule>
  </conditionalFormatting>
  <conditionalFormatting sqref="P256:AA256">
    <cfRule type="expression" dxfId="5860" priority="363">
      <formula>P$1=""</formula>
    </cfRule>
  </conditionalFormatting>
  <conditionalFormatting sqref="P256:AA256">
    <cfRule type="expression" dxfId="5859" priority="362">
      <formula>P$1=""</formula>
    </cfRule>
  </conditionalFormatting>
  <conditionalFormatting sqref="P256:AA256">
    <cfRule type="expression" dxfId="5858" priority="361">
      <formula>P$1=""</formula>
    </cfRule>
  </conditionalFormatting>
  <conditionalFormatting sqref="P256:AA256">
    <cfRule type="expression" dxfId="5857" priority="360">
      <formula>P$1=""</formula>
    </cfRule>
  </conditionalFormatting>
  <conditionalFormatting sqref="P256:AA256">
    <cfRule type="expression" dxfId="5856" priority="359">
      <formula>P$1=""</formula>
    </cfRule>
  </conditionalFormatting>
  <conditionalFormatting sqref="P256:AA256">
    <cfRule type="expression" dxfId="5855" priority="358">
      <formula>P$1=""</formula>
    </cfRule>
  </conditionalFormatting>
  <conditionalFormatting sqref="P256:AA256">
    <cfRule type="expression" dxfId="5854" priority="357">
      <formula>P$1=""</formula>
    </cfRule>
  </conditionalFormatting>
  <conditionalFormatting sqref="P260:AA260 P262:AA262">
    <cfRule type="expression" dxfId="5853" priority="356">
      <formula>P$1=""</formula>
    </cfRule>
  </conditionalFormatting>
  <conditionalFormatting sqref="P260:AA260 P262:AA262">
    <cfRule type="expression" dxfId="5852" priority="355">
      <formula>P$1=""</formula>
    </cfRule>
  </conditionalFormatting>
  <conditionalFormatting sqref="P260:AA260 P262:AA262">
    <cfRule type="expression" dxfId="5851" priority="354">
      <formula>P$1=""</formula>
    </cfRule>
  </conditionalFormatting>
  <conditionalFormatting sqref="P260:AA260 P262:AA262">
    <cfRule type="expression" dxfId="5850" priority="353">
      <formula>P$1=""</formula>
    </cfRule>
  </conditionalFormatting>
  <conditionalFormatting sqref="P258:AA258 P260:AA260 P262:AA262">
    <cfRule type="expression" dxfId="5849" priority="352">
      <formula>P$1=""</formula>
    </cfRule>
  </conditionalFormatting>
  <conditionalFormatting sqref="P258:AA258 P260:AA260 P262:AA262">
    <cfRule type="expression" dxfId="5848" priority="351">
      <formula>P$1=""</formula>
    </cfRule>
  </conditionalFormatting>
  <conditionalFormatting sqref="P258:AA258 P260:AA260 P262:AA262">
    <cfRule type="expression" dxfId="5847" priority="350">
      <formula>P$1=""</formula>
    </cfRule>
  </conditionalFormatting>
  <conditionalFormatting sqref="P258:AA258 P260:AA260 P262:AA262">
    <cfRule type="expression" dxfId="5846" priority="349">
      <formula>P$1=""</formula>
    </cfRule>
  </conditionalFormatting>
  <conditionalFormatting sqref="P258:AA258 P260:AA260 P262:AA262">
    <cfRule type="expression" dxfId="5845" priority="348">
      <formula>P$1=""</formula>
    </cfRule>
  </conditionalFormatting>
  <conditionalFormatting sqref="P258:AA258 P260:AA260 P262:AA262">
    <cfRule type="expression" dxfId="5844" priority="347">
      <formula>P$1=""</formula>
    </cfRule>
  </conditionalFormatting>
  <conditionalFormatting sqref="P258:AA258 P260:AA260 P262:AA262">
    <cfRule type="expression" dxfId="5843" priority="346">
      <formula>P$1=""</formula>
    </cfRule>
  </conditionalFormatting>
  <conditionalFormatting sqref="P258:AA258 P260:AA260 P262:AA262">
    <cfRule type="expression" dxfId="5842" priority="345">
      <formula>P$1=""</formula>
    </cfRule>
  </conditionalFormatting>
  <conditionalFormatting sqref="Q258:AA258">
    <cfRule type="expression" dxfId="5841" priority="344">
      <formula>Q$1=""</formula>
    </cfRule>
  </conditionalFormatting>
  <conditionalFormatting sqref="Q258:AA258">
    <cfRule type="expression" dxfId="5840" priority="343">
      <formula>Q$1=""</formula>
    </cfRule>
  </conditionalFormatting>
  <conditionalFormatting sqref="Q258:AA258">
    <cfRule type="expression" dxfId="5839" priority="342">
      <formula>Q$1=""</formula>
    </cfRule>
  </conditionalFormatting>
  <conditionalFormatting sqref="Q258:AA258">
    <cfRule type="expression" dxfId="5838" priority="341">
      <formula>Q$1=""</formula>
    </cfRule>
  </conditionalFormatting>
  <conditionalFormatting sqref="Q258:AA258">
    <cfRule type="expression" dxfId="5837" priority="340">
      <formula>Q$1=""</formula>
    </cfRule>
  </conditionalFormatting>
  <conditionalFormatting sqref="Q258:AA258">
    <cfRule type="expression" dxfId="5836" priority="339">
      <formula>Q$1=""</formula>
    </cfRule>
  </conditionalFormatting>
  <conditionalFormatting sqref="Q258:AA258">
    <cfRule type="expression" dxfId="5835" priority="338">
      <formula>Q$1=""</formula>
    </cfRule>
  </conditionalFormatting>
  <conditionalFormatting sqref="Q258:AA258">
    <cfRule type="expression" dxfId="5834" priority="337">
      <formula>Q$1=""</formula>
    </cfRule>
  </conditionalFormatting>
  <conditionalFormatting sqref="Q260:AA260 Q262:AA262">
    <cfRule type="expression" dxfId="5833" priority="336">
      <formula>Q$1=""</formula>
    </cfRule>
  </conditionalFormatting>
  <conditionalFormatting sqref="Q260:AA260 Q262:AA262">
    <cfRule type="expression" dxfId="5832" priority="335">
      <formula>Q$1=""</formula>
    </cfRule>
  </conditionalFormatting>
  <conditionalFormatting sqref="Q260:AA260 Q262:AA262">
    <cfRule type="expression" dxfId="5831" priority="334">
      <formula>Q$1=""</formula>
    </cfRule>
  </conditionalFormatting>
  <conditionalFormatting sqref="Q260:AA260 Q262:AA262">
    <cfRule type="expression" dxfId="5830" priority="333">
      <formula>Q$1=""</formula>
    </cfRule>
  </conditionalFormatting>
  <conditionalFormatting sqref="Q260:AA260 Q262:AA262">
    <cfRule type="expression" dxfId="5829" priority="332">
      <formula>Q$1=""</formula>
    </cfRule>
  </conditionalFormatting>
  <conditionalFormatting sqref="Q260:AA260 Q262:AA262">
    <cfRule type="expression" dxfId="5828" priority="331">
      <formula>Q$1=""</formula>
    </cfRule>
  </conditionalFormatting>
  <conditionalFormatting sqref="Q260:AA260 Q262:AA262">
    <cfRule type="expression" dxfId="5827" priority="330">
      <formula>Q$1=""</formula>
    </cfRule>
  </conditionalFormatting>
  <conditionalFormatting sqref="Q260:AA260 Q262:AA262">
    <cfRule type="expression" dxfId="5826" priority="329">
      <formula>Q$1=""</formula>
    </cfRule>
  </conditionalFormatting>
  <conditionalFormatting sqref="Q260:AA260 Q262:AA262">
    <cfRule type="expression" dxfId="5825" priority="328">
      <formula>Q$1=""</formula>
    </cfRule>
  </conditionalFormatting>
  <conditionalFormatting sqref="Q260:AA260 Q262:AA262">
    <cfRule type="expression" dxfId="5824" priority="327">
      <formula>Q$1=""</formula>
    </cfRule>
  </conditionalFormatting>
  <conditionalFormatting sqref="P256:AA256 P260:AA260 P262:AA262">
    <cfRule type="expression" dxfId="5823" priority="326">
      <formula>P$1=""</formula>
    </cfRule>
  </conditionalFormatting>
  <conditionalFormatting sqref="P256:AA256">
    <cfRule type="expression" dxfId="5822" priority="325">
      <formula>P$1=""</formula>
    </cfRule>
  </conditionalFormatting>
  <conditionalFormatting sqref="P256:AA256">
    <cfRule type="expression" dxfId="5821" priority="324">
      <formula>P$1=""</formula>
    </cfRule>
  </conditionalFormatting>
  <conditionalFormatting sqref="P256:AA256">
    <cfRule type="expression" dxfId="5820" priority="323">
      <formula>P$1=""</formula>
    </cfRule>
  </conditionalFormatting>
  <conditionalFormatting sqref="P256:AA256">
    <cfRule type="expression" dxfId="5819" priority="322">
      <formula>P$1=""</formula>
    </cfRule>
  </conditionalFormatting>
  <conditionalFormatting sqref="P256:AA256">
    <cfRule type="expression" dxfId="5818" priority="321">
      <formula>P$1=""</formula>
    </cfRule>
  </conditionalFormatting>
  <conditionalFormatting sqref="P256:AA256 P260:AA260 P262:AA262">
    <cfRule type="expression" dxfId="5817" priority="320">
      <formula>P$1=""</formula>
    </cfRule>
  </conditionalFormatting>
  <conditionalFormatting sqref="P256:AA256">
    <cfRule type="expression" dxfId="5816" priority="319">
      <formula>P$1=""</formula>
    </cfRule>
  </conditionalFormatting>
  <conditionalFormatting sqref="P256:AA256">
    <cfRule type="expression" dxfId="5815" priority="318">
      <formula>P$1=""</formula>
    </cfRule>
  </conditionalFormatting>
  <conditionalFormatting sqref="P256:AA256">
    <cfRule type="expression" dxfId="5814" priority="317">
      <formula>P$1=""</formula>
    </cfRule>
  </conditionalFormatting>
  <conditionalFormatting sqref="P256:AA256">
    <cfRule type="expression" dxfId="5813" priority="316">
      <formula>P$1=""</formula>
    </cfRule>
  </conditionalFormatting>
  <conditionalFormatting sqref="P256:AA256">
    <cfRule type="expression" dxfId="5812" priority="315">
      <formula>P$1=""</formula>
    </cfRule>
  </conditionalFormatting>
  <conditionalFormatting sqref="P256:AA256">
    <cfRule type="expression" dxfId="5811" priority="314">
      <formula>P$1=""</formula>
    </cfRule>
  </conditionalFormatting>
  <conditionalFormatting sqref="P256:AA256">
    <cfRule type="expression" dxfId="5810" priority="313">
      <formula>P$1=""</formula>
    </cfRule>
  </conditionalFormatting>
  <conditionalFormatting sqref="P256:AA256">
    <cfRule type="expression" dxfId="5809" priority="312">
      <formula>P$1=""</formula>
    </cfRule>
  </conditionalFormatting>
  <conditionalFormatting sqref="P258:AA258 P260:AA260 P262:AA262">
    <cfRule type="expression" dxfId="5808" priority="311">
      <formula>P$1=""</formula>
    </cfRule>
  </conditionalFormatting>
  <conditionalFormatting sqref="P258:AA258 P260:AA260 P262:AA262">
    <cfRule type="expression" dxfId="5807" priority="310">
      <formula>P$1=""</formula>
    </cfRule>
  </conditionalFormatting>
  <conditionalFormatting sqref="P258:AA258 P260:AA260 P262:AA262">
    <cfRule type="expression" dxfId="5806" priority="309">
      <formula>P$1=""</formula>
    </cfRule>
  </conditionalFormatting>
  <conditionalFormatting sqref="P258:AA258 P260:AA260 P262:AA262">
    <cfRule type="expression" dxfId="5805" priority="308">
      <formula>P$1=""</formula>
    </cfRule>
  </conditionalFormatting>
  <conditionalFormatting sqref="P258:AA258 P260:AA260 P262:AA262">
    <cfRule type="expression" dxfId="5804" priority="307">
      <formula>P$1=""</formula>
    </cfRule>
  </conditionalFormatting>
  <conditionalFormatting sqref="P258:AA258 P260:AA260 P262:AA262">
    <cfRule type="expression" dxfId="5803" priority="306">
      <formula>P$1=""</formula>
    </cfRule>
  </conditionalFormatting>
  <conditionalFormatting sqref="P258:AA258 P260:AA260 P262:AA262">
    <cfRule type="expression" dxfId="5802" priority="305">
      <formula>P$1=""</formula>
    </cfRule>
  </conditionalFormatting>
  <conditionalFormatting sqref="P258:AA258 P260:AA260 P262:AA262">
    <cfRule type="expression" dxfId="5801" priority="304">
      <formula>P$1=""</formula>
    </cfRule>
  </conditionalFormatting>
  <conditionalFormatting sqref="P258:AA258">
    <cfRule type="expression" dxfId="5800" priority="303">
      <formula>P$1=""</formula>
    </cfRule>
  </conditionalFormatting>
  <conditionalFormatting sqref="P258:AA258 P260:AA260 P262:AA262">
    <cfRule type="expression" dxfId="5799" priority="302">
      <formula>P$1=""</formula>
    </cfRule>
  </conditionalFormatting>
  <conditionalFormatting sqref="P258:AA258 P260:AA260 P262:AA262">
    <cfRule type="expression" dxfId="5798" priority="301">
      <formula>P$1=""</formula>
    </cfRule>
  </conditionalFormatting>
  <conditionalFormatting sqref="P258:AA258 P260:AA260 P262:AA262">
    <cfRule type="expression" dxfId="5797" priority="300">
      <formula>P$1=""</formula>
    </cfRule>
  </conditionalFormatting>
  <conditionalFormatting sqref="P258:AA258 P260:AA260 P262:AA262">
    <cfRule type="expression" dxfId="5796" priority="299">
      <formula>P$1=""</formula>
    </cfRule>
  </conditionalFormatting>
  <conditionalFormatting sqref="P258:AA258 P260:AA260 P262:AA262">
    <cfRule type="expression" dxfId="5795" priority="298">
      <formula>P$1=""</formula>
    </cfRule>
  </conditionalFormatting>
  <conditionalFormatting sqref="P258:AA258">
    <cfRule type="expression" dxfId="5794" priority="297">
      <formula>P$1=""</formula>
    </cfRule>
  </conditionalFormatting>
  <conditionalFormatting sqref="P258:AA258 P260:AA260 P262:AA262">
    <cfRule type="expression" dxfId="5793" priority="296">
      <formula>P$1=""</formula>
    </cfRule>
  </conditionalFormatting>
  <conditionalFormatting sqref="P258:AA258 P260:AA260 P262:AA262">
    <cfRule type="expression" dxfId="5792" priority="295">
      <formula>P$1=""</formula>
    </cfRule>
  </conditionalFormatting>
  <conditionalFormatting sqref="P258:AA258 P260:AA260 P262:AA262">
    <cfRule type="expression" dxfId="5791" priority="294">
      <formula>P$1=""</formula>
    </cfRule>
  </conditionalFormatting>
  <conditionalFormatting sqref="P258:AA258 P260:AA260 P262:AA262">
    <cfRule type="expression" dxfId="5790" priority="293">
      <formula>P$1=""</formula>
    </cfRule>
  </conditionalFormatting>
  <conditionalFormatting sqref="P258:AA258 P260:AA260 P262:AA262">
    <cfRule type="expression" dxfId="5789" priority="292">
      <formula>P$1=""</formula>
    </cfRule>
  </conditionalFormatting>
  <conditionalFormatting sqref="P258:AA258 P260:AA260 P262:AA262">
    <cfRule type="expression" dxfId="5788" priority="291">
      <formula>P$1=""</formula>
    </cfRule>
  </conditionalFormatting>
  <conditionalFormatting sqref="P258:AA258 P260:AA260 P262:AA262">
    <cfRule type="expression" dxfId="5787" priority="290">
      <formula>P$1=""</formula>
    </cfRule>
  </conditionalFormatting>
  <conditionalFormatting sqref="P258:AA258 P260:AA260 P262:AA262">
    <cfRule type="expression" dxfId="5786" priority="289">
      <formula>P$1=""</formula>
    </cfRule>
  </conditionalFormatting>
  <conditionalFormatting sqref="P262:AA262 P260:AA260">
    <cfRule type="expression" dxfId="5785" priority="288">
      <formula>P$1=""</formula>
    </cfRule>
  </conditionalFormatting>
  <conditionalFormatting sqref="P262:AA262 P260:AA260">
    <cfRule type="expression" dxfId="5784" priority="287">
      <formula>P$1=""</formula>
    </cfRule>
  </conditionalFormatting>
  <conditionalFormatting sqref="Q262:AA262 Q260:AA260">
    <cfRule type="expression" dxfId="5783" priority="286">
      <formula>Q$1=""</formula>
    </cfRule>
  </conditionalFormatting>
  <conditionalFormatting sqref="Q262:AA262 Q260:AA260">
    <cfRule type="expression" dxfId="5782" priority="285">
      <formula>Q$1=""</formula>
    </cfRule>
  </conditionalFormatting>
  <conditionalFormatting sqref="Q262:AA262 Q260:AA260">
    <cfRule type="expression" dxfId="5781" priority="284">
      <formula>Q$1=""</formula>
    </cfRule>
  </conditionalFormatting>
  <conditionalFormatting sqref="Q262:AA262 Q260:AA260">
    <cfRule type="expression" dxfId="5780" priority="283">
      <formula>Q$1=""</formula>
    </cfRule>
  </conditionalFormatting>
  <conditionalFormatting sqref="Q262:AA262 Q260:AA260">
    <cfRule type="expression" dxfId="5779" priority="282">
      <formula>Q$1=""</formula>
    </cfRule>
  </conditionalFormatting>
  <conditionalFormatting sqref="Q262:AA262 Q260:AA260">
    <cfRule type="expression" dxfId="5778" priority="281">
      <formula>Q$1=""</formula>
    </cfRule>
  </conditionalFormatting>
  <conditionalFormatting sqref="Q262:AA262 Q260:AA260">
    <cfRule type="expression" dxfId="5777" priority="280">
      <formula>Q$1=""</formula>
    </cfRule>
  </conditionalFormatting>
  <conditionalFormatting sqref="Q262:AA262 Q260:AA260">
    <cfRule type="expression" dxfId="5776" priority="279">
      <formula>Q$1=""</formula>
    </cfRule>
  </conditionalFormatting>
  <conditionalFormatting sqref="P262:AA262 P260:AA260">
    <cfRule type="expression" dxfId="5775" priority="278">
      <formula>P$1=""</formula>
    </cfRule>
  </conditionalFormatting>
  <conditionalFormatting sqref="P262:AA262 P260:AA260">
    <cfRule type="expression" dxfId="5774" priority="277">
      <formula>P$1=""</formula>
    </cfRule>
  </conditionalFormatting>
  <conditionalFormatting sqref="P262 P260 P258">
    <cfRule type="expression" dxfId="5773" priority="276">
      <formula>P$1=""</formula>
    </cfRule>
  </conditionalFormatting>
  <conditionalFormatting sqref="P262 P260 P258">
    <cfRule type="expression" dxfId="5772" priority="275">
      <formula>P$1=""</formula>
    </cfRule>
  </conditionalFormatting>
  <conditionalFormatting sqref="P262 P260 P258">
    <cfRule type="expression" dxfId="5771" priority="274">
      <formula>P$1=""</formula>
    </cfRule>
  </conditionalFormatting>
  <conditionalFormatting sqref="P262 P260 P258">
    <cfRule type="expression" dxfId="5770" priority="273">
      <formula>P$1=""</formula>
    </cfRule>
  </conditionalFormatting>
  <conditionalFormatting sqref="P262 P260 P258">
    <cfRule type="expression" dxfId="5769" priority="272">
      <formula>P$1=""</formula>
    </cfRule>
  </conditionalFormatting>
  <conditionalFormatting sqref="P262 P260 P258">
    <cfRule type="expression" dxfId="5768" priority="271">
      <formula>P$1=""</formula>
    </cfRule>
  </conditionalFormatting>
  <conditionalFormatting sqref="P262 P260 P258">
    <cfRule type="expression" dxfId="5767" priority="270">
      <formula>P$1=""</formula>
    </cfRule>
  </conditionalFormatting>
  <conditionalFormatting sqref="P262 P260 P258">
    <cfRule type="expression" dxfId="5766" priority="269">
      <formula>P$1=""</formula>
    </cfRule>
  </conditionalFormatting>
  <conditionalFormatting sqref="P258">
    <cfRule type="expression" dxfId="5765" priority="268">
      <formula>P$1=""</formula>
    </cfRule>
  </conditionalFormatting>
  <conditionalFormatting sqref="P262 P260 P258">
    <cfRule type="expression" dxfId="5764" priority="267">
      <formula>P$1=""</formula>
    </cfRule>
  </conditionalFormatting>
  <conditionalFormatting sqref="P262 P260 P258">
    <cfRule type="expression" dxfId="5763" priority="266">
      <formula>P$1=""</formula>
    </cfRule>
  </conditionalFormatting>
  <conditionalFormatting sqref="P262 P260 P258">
    <cfRule type="expression" dxfId="5762" priority="265">
      <formula>P$1=""</formula>
    </cfRule>
  </conditionalFormatting>
  <conditionalFormatting sqref="P262 P260 P258">
    <cfRule type="expression" dxfId="5761" priority="264">
      <formula>P$1=""</formula>
    </cfRule>
  </conditionalFormatting>
  <conditionalFormatting sqref="P262 P260 P258">
    <cfRule type="expression" dxfId="5760" priority="263">
      <formula>P$1=""</formula>
    </cfRule>
  </conditionalFormatting>
  <conditionalFormatting sqref="P258">
    <cfRule type="expression" dxfId="5759" priority="262">
      <formula>P$1=""</formula>
    </cfRule>
  </conditionalFormatting>
  <conditionalFormatting sqref="P262 P260 P258">
    <cfRule type="expression" dxfId="5758" priority="261">
      <formula>P$1=""</formula>
    </cfRule>
  </conditionalFormatting>
  <conditionalFormatting sqref="P262 P260 P258">
    <cfRule type="expression" dxfId="5757" priority="260">
      <formula>P$1=""</formula>
    </cfRule>
  </conditionalFormatting>
  <conditionalFormatting sqref="P262 P260 P258">
    <cfRule type="expression" dxfId="5756" priority="259">
      <formula>P$1=""</formula>
    </cfRule>
  </conditionalFormatting>
  <conditionalFormatting sqref="P262 P260 P258">
    <cfRule type="expression" dxfId="5755" priority="258">
      <formula>P$1=""</formula>
    </cfRule>
  </conditionalFormatting>
  <conditionalFormatting sqref="P262 P260 P258">
    <cfRule type="expression" dxfId="5754" priority="257">
      <formula>P$1=""</formula>
    </cfRule>
  </conditionalFormatting>
  <conditionalFormatting sqref="P262 P260 P258">
    <cfRule type="expression" dxfId="5753" priority="256">
      <formula>P$1=""</formula>
    </cfRule>
  </conditionalFormatting>
  <conditionalFormatting sqref="P262 P260 P258">
    <cfRule type="expression" dxfId="5752" priority="255">
      <formula>P$1=""</formula>
    </cfRule>
  </conditionalFormatting>
  <conditionalFormatting sqref="P262 P260 P258">
    <cfRule type="expression" dxfId="5751" priority="254">
      <formula>P$1=""</formula>
    </cfRule>
  </conditionalFormatting>
  <conditionalFormatting sqref="Q262:AA262 Q260:AA260 Q258:AA258">
    <cfRule type="expression" dxfId="5750" priority="253">
      <formula>Q$1=""</formula>
    </cfRule>
  </conditionalFormatting>
  <conditionalFormatting sqref="Q262:AA262 Q260:AA260 Q258:AA258">
    <cfRule type="expression" dxfId="5749" priority="252">
      <formula>Q$1=""</formula>
    </cfRule>
  </conditionalFormatting>
  <conditionalFormatting sqref="Q262:AA262 Q260:AA260 Q258:AA258">
    <cfRule type="expression" dxfId="5748" priority="251">
      <formula>Q$1=""</formula>
    </cfRule>
  </conditionalFormatting>
  <conditionalFormatting sqref="Q262:AA262 Q260:AA260 Q258:AA258">
    <cfRule type="expression" dxfId="5747" priority="250">
      <formula>Q$1=""</formula>
    </cfRule>
  </conditionalFormatting>
  <conditionalFormatting sqref="Q262:AA262 Q260:AA260 Q258:AA258">
    <cfRule type="expression" dxfId="5746" priority="249">
      <formula>Q$1=""</formula>
    </cfRule>
  </conditionalFormatting>
  <conditionalFormatting sqref="Q262:AA262 Q260:AA260 Q258:AA258">
    <cfRule type="expression" dxfId="5745" priority="248">
      <formula>Q$1=""</formula>
    </cfRule>
  </conditionalFormatting>
  <conditionalFormatting sqref="Q262:AA262 Q260:AA260 Q258:AA258">
    <cfRule type="expression" dxfId="5744" priority="247">
      <formula>Q$1=""</formula>
    </cfRule>
  </conditionalFormatting>
  <conditionalFormatting sqref="Q262:AA262 Q260:AA260 Q258:AA258">
    <cfRule type="expression" dxfId="5743" priority="246">
      <formula>Q$1=""</formula>
    </cfRule>
  </conditionalFormatting>
  <conditionalFormatting sqref="Q258:AA258">
    <cfRule type="expression" dxfId="5742" priority="245">
      <formula>Q$1=""</formula>
    </cfRule>
  </conditionalFormatting>
  <conditionalFormatting sqref="Q262:AA262 Q260:AA260 Q258:AA258">
    <cfRule type="expression" dxfId="5741" priority="244">
      <formula>Q$1=""</formula>
    </cfRule>
  </conditionalFormatting>
  <conditionalFormatting sqref="Q262:AA262 Q260:AA260 Q258:AA258">
    <cfRule type="expression" dxfId="5740" priority="243">
      <formula>Q$1=""</formula>
    </cfRule>
  </conditionalFormatting>
  <conditionalFormatting sqref="Q262:AA262 Q260:AA260 Q258:AA258">
    <cfRule type="expression" dxfId="5739" priority="242">
      <formula>Q$1=""</formula>
    </cfRule>
  </conditionalFormatting>
  <conditionalFormatting sqref="Q262:AA262 Q260:AA260 Q258:AA258">
    <cfRule type="expression" dxfId="5738" priority="241">
      <formula>Q$1=""</formula>
    </cfRule>
  </conditionalFormatting>
  <conditionalFormatting sqref="Q262:AA262 Q260:AA260 Q258:AA258">
    <cfRule type="expression" dxfId="5737" priority="240">
      <formula>Q$1=""</formula>
    </cfRule>
  </conditionalFormatting>
  <conditionalFormatting sqref="Q258:AA258">
    <cfRule type="expression" dxfId="5736" priority="239">
      <formula>Q$1=""</formula>
    </cfRule>
  </conditionalFormatting>
  <conditionalFormatting sqref="Q262:AA262 Q260:AA260 Q258:AA258">
    <cfRule type="expression" dxfId="5735" priority="238">
      <formula>Q$1=""</formula>
    </cfRule>
  </conditionalFormatting>
  <conditionalFormatting sqref="Q262:AA262 Q260:AA260 Q258:AA258">
    <cfRule type="expression" dxfId="5734" priority="237">
      <formula>Q$1=""</formula>
    </cfRule>
  </conditionalFormatting>
  <conditionalFormatting sqref="Q262:AA262 Q260:AA260 Q258:AA258">
    <cfRule type="expression" dxfId="5733" priority="236">
      <formula>Q$1=""</formula>
    </cfRule>
  </conditionalFormatting>
  <conditionalFormatting sqref="Q262:AA262 Q260:AA260 Q258:AA258">
    <cfRule type="expression" dxfId="5732" priority="235">
      <formula>Q$1=""</formula>
    </cfRule>
  </conditionalFormatting>
  <conditionalFormatting sqref="Q262:AA262 Q260:AA260 Q258:AA258">
    <cfRule type="expression" dxfId="5731" priority="234">
      <formula>Q$1=""</formula>
    </cfRule>
  </conditionalFormatting>
  <conditionalFormatting sqref="Q262:AA262 Q260:AA260 Q258:AA258">
    <cfRule type="expression" dxfId="5730" priority="233">
      <formula>Q$1=""</formula>
    </cfRule>
  </conditionalFormatting>
  <conditionalFormatting sqref="Q262:AA262 Q260:AA260 Q258:AA258">
    <cfRule type="expression" dxfId="5729" priority="232">
      <formula>Q$1=""</formula>
    </cfRule>
  </conditionalFormatting>
  <conditionalFormatting sqref="Q262:AA262 Q260:AA260 Q258:AA258">
    <cfRule type="expression" dxfId="5728" priority="231">
      <formula>Q$1=""</formula>
    </cfRule>
  </conditionalFormatting>
  <conditionalFormatting sqref="P11:AA11">
    <cfRule type="expression" dxfId="5727" priority="228">
      <formula>P$1=""</formula>
    </cfRule>
  </conditionalFormatting>
  <conditionalFormatting sqref="P11:AA11">
    <cfRule type="expression" dxfId="5726" priority="227">
      <formula>P$1=""</formula>
    </cfRule>
  </conditionalFormatting>
  <conditionalFormatting sqref="P11:AA11">
    <cfRule type="expression" dxfId="5725" priority="226">
      <formula>P$1=""</formula>
    </cfRule>
  </conditionalFormatting>
  <conditionalFormatting sqref="P11:AA11">
    <cfRule type="expression" dxfId="5724" priority="225">
      <formula>P$1=""</formula>
    </cfRule>
  </conditionalFormatting>
  <conditionalFormatting sqref="P52:AA52 P50:AA50 P48:AA48">
    <cfRule type="expression" dxfId="5723" priority="224">
      <formula>P$1=""</formula>
    </cfRule>
  </conditionalFormatting>
  <conditionalFormatting sqref="P62:AA62 P60:AA60 P58:AA58">
    <cfRule type="expression" dxfId="5722" priority="223">
      <formula>P$1=""</formula>
    </cfRule>
  </conditionalFormatting>
  <conditionalFormatting sqref="P72:AA72 P70:AA70 P68:AA68">
    <cfRule type="expression" dxfId="5721" priority="222">
      <formula>P$1=""</formula>
    </cfRule>
  </conditionalFormatting>
  <conditionalFormatting sqref="P91:AA91 P89:AA89 P87:AA87">
    <cfRule type="expression" dxfId="5720" priority="221">
      <formula>P$1=""</formula>
    </cfRule>
  </conditionalFormatting>
  <conditionalFormatting sqref="P101:AA101 P99:AA99 P97:AA97">
    <cfRule type="expression" dxfId="5719" priority="220">
      <formula>P$1=""</formula>
    </cfRule>
  </conditionalFormatting>
  <conditionalFormatting sqref="P123:AA123 P121:AA121">
    <cfRule type="expression" dxfId="5718" priority="219">
      <formula>P$1=""</formula>
    </cfRule>
  </conditionalFormatting>
  <conditionalFormatting sqref="P123:AA123 P121:AA121">
    <cfRule type="expression" dxfId="5717" priority="218">
      <formula>P$1=""</formula>
    </cfRule>
  </conditionalFormatting>
  <conditionalFormatting sqref="P171:AA171 P169:AA169 P167:AA167">
    <cfRule type="expression" dxfId="5716" priority="217">
      <formula>P$1=""</formula>
    </cfRule>
  </conditionalFormatting>
  <conditionalFormatting sqref="P171:AA171 P169:AA169 P167:AA167">
    <cfRule type="expression" dxfId="5715" priority="216">
      <formula>P$1=""</formula>
    </cfRule>
  </conditionalFormatting>
  <conditionalFormatting sqref="P171:AA171 P169:AA169 P167:AA167">
    <cfRule type="expression" dxfId="5714" priority="215">
      <formula>P$1=""</formula>
    </cfRule>
  </conditionalFormatting>
  <conditionalFormatting sqref="P171:AA171 P169:AA169 P167:AA167">
    <cfRule type="expression" dxfId="5713" priority="214">
      <formula>P$1=""</formula>
    </cfRule>
  </conditionalFormatting>
  <conditionalFormatting sqref="P171:AA171 P169:AA169 P167:AA167">
    <cfRule type="expression" dxfId="5712" priority="213">
      <formula>P$1=""</formula>
    </cfRule>
  </conditionalFormatting>
  <conditionalFormatting sqref="P171:AA171 P169:AA169 P167:AA167">
    <cfRule type="expression" dxfId="5711" priority="212">
      <formula>P$1=""</formula>
    </cfRule>
  </conditionalFormatting>
  <conditionalFormatting sqref="P171:AA171 P169:AA169 P167:AA167">
    <cfRule type="expression" dxfId="5710" priority="211">
      <formula>P$1=""</formula>
    </cfRule>
  </conditionalFormatting>
  <conditionalFormatting sqref="P171:AA171 P169:AA169 P167:AA167">
    <cfRule type="expression" dxfId="5709" priority="210">
      <formula>P$1=""</formula>
    </cfRule>
  </conditionalFormatting>
  <conditionalFormatting sqref="P76:AA76">
    <cfRule type="expression" dxfId="5708" priority="209">
      <formula>P$1=""</formula>
    </cfRule>
  </conditionalFormatting>
  <conditionalFormatting sqref="P78:AA78">
    <cfRule type="expression" dxfId="5707" priority="208">
      <formula>P$1=""</formula>
    </cfRule>
  </conditionalFormatting>
  <conditionalFormatting sqref="P80:AA80">
    <cfRule type="expression" dxfId="5706" priority="207">
      <formula>P$1=""</formula>
    </cfRule>
  </conditionalFormatting>
  <conditionalFormatting sqref="P82:AA82">
    <cfRule type="expression" dxfId="5705" priority="206">
      <formula>P$1=""</formula>
    </cfRule>
  </conditionalFormatting>
  <conditionalFormatting sqref="P82:AA82 P80:AA80 P78:AA78">
    <cfRule type="expression" dxfId="5704" priority="205">
      <formula>P$1=""</formula>
    </cfRule>
  </conditionalFormatting>
  <conditionalFormatting sqref="P82:AA82 P80:AA80 P78:AA78">
    <cfRule type="expression" dxfId="5703" priority="204">
      <formula>P$1=""</formula>
    </cfRule>
  </conditionalFormatting>
  <conditionalFormatting sqref="P82:AA82 P80:AA80 P78:AA78">
    <cfRule type="expression" dxfId="5702" priority="203">
      <formula>P$1=""</formula>
    </cfRule>
  </conditionalFormatting>
  <conditionalFormatting sqref="P82:AA82 P80:AA80 P78:AA78">
    <cfRule type="expression" dxfId="5701" priority="202">
      <formula>P$1=""</formula>
    </cfRule>
  </conditionalFormatting>
  <conditionalFormatting sqref="P82:AA82 P80:AA80 P78:AA78">
    <cfRule type="expression" dxfId="5700" priority="201">
      <formula>P$1=""</formula>
    </cfRule>
  </conditionalFormatting>
  <hyperlinks>
    <hyperlink ref="A1:D1" location="оглавление!A1" tooltip="оглавление" display="оглавление"/>
  </hyperlinks>
  <pageMargins left="0.7" right="0.7" top="0.75" bottom="0.75" header="0.3" footer="0.3"/>
  <pageSetup paperSize="9"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U156"/>
  <sheetViews>
    <sheetView workbookViewId="0">
      <pane ySplit="9" topLeftCell="A10" activePane="bottomLeft" state="frozen"/>
      <selection pane="bottomLeft" activeCell="B8" sqref="B8"/>
    </sheetView>
  </sheetViews>
  <sheetFormatPr defaultColWidth="9.109375" defaultRowHeight="12" x14ac:dyDescent="0.25"/>
  <cols>
    <col min="1" max="1" width="0.6640625" style="1" customWidth="1"/>
    <col min="2" max="2" width="4.44140625" style="41" customWidth="1"/>
    <col min="3" max="3" width="4.5546875" style="41" customWidth="1"/>
    <col min="4" max="4" width="2.6640625" style="1" customWidth="1"/>
    <col min="5" max="5" width="41.5546875" style="1" bestFit="1" customWidth="1"/>
    <col min="6" max="6" width="2.6640625" style="1" customWidth="1"/>
    <col min="7" max="7" width="7.33203125" style="1" bestFit="1" customWidth="1"/>
    <col min="8" max="16384" width="9.109375" style="1"/>
  </cols>
  <sheetData>
    <row r="1" spans="1:21" ht="13.8" x14ac:dyDescent="0.3">
      <c r="A1" s="281" t="s">
        <v>341</v>
      </c>
      <c r="B1" s="281"/>
      <c r="C1" s="281"/>
      <c r="D1" s="281"/>
      <c r="E1" s="2"/>
      <c r="F1" s="2"/>
      <c r="G1" s="2"/>
      <c r="H1" s="2"/>
      <c r="I1" s="2"/>
      <c r="J1" s="2"/>
      <c r="K1" s="2"/>
      <c r="L1" s="2"/>
      <c r="M1" s="2"/>
      <c r="N1" s="2"/>
      <c r="O1" s="2"/>
      <c r="P1" s="2"/>
      <c r="Q1" s="2"/>
      <c r="R1" s="2"/>
      <c r="S1" s="2"/>
      <c r="T1" s="2"/>
      <c r="U1" s="2"/>
    </row>
    <row r="2" spans="1:21" x14ac:dyDescent="0.25">
      <c r="A2" s="2"/>
      <c r="B2" s="37"/>
      <c r="C2" s="37"/>
      <c r="D2" s="2"/>
      <c r="E2" s="2"/>
      <c r="F2" s="2"/>
      <c r="G2" s="2"/>
      <c r="H2" s="2"/>
      <c r="I2" s="2"/>
      <c r="J2" s="2"/>
      <c r="K2" s="2"/>
      <c r="L2" s="2"/>
      <c r="M2" s="2"/>
      <c r="N2" s="2"/>
      <c r="O2" s="2"/>
      <c r="P2" s="2"/>
      <c r="Q2" s="2"/>
      <c r="R2" s="2"/>
      <c r="S2" s="2"/>
      <c r="T2" s="2"/>
      <c r="U2" s="2"/>
    </row>
    <row r="3" spans="1:21" x14ac:dyDescent="0.25">
      <c r="A3" s="2"/>
      <c r="B3" s="37"/>
      <c r="C3" s="89" t="str">
        <f>методология!$E$4</f>
        <v>Инвестмодель базы отдыха - Беседки &amp; Веревочный парк</v>
      </c>
      <c r="D3" s="20"/>
      <c r="E3" s="20"/>
      <c r="F3" s="2"/>
      <c r="G3" s="2"/>
      <c r="H3" s="2"/>
      <c r="I3" s="2"/>
      <c r="J3" s="2"/>
      <c r="K3" s="2"/>
      <c r="L3" s="2"/>
      <c r="M3" s="2"/>
      <c r="N3" s="2"/>
      <c r="O3" s="2"/>
      <c r="P3" s="2"/>
      <c r="Q3" s="2"/>
      <c r="R3" s="2"/>
      <c r="S3" s="2"/>
      <c r="T3" s="2"/>
      <c r="U3" s="2"/>
    </row>
    <row r="4" spans="1:21" x14ac:dyDescent="0.25">
      <c r="A4" s="2"/>
      <c r="B4" s="37"/>
      <c r="C4" s="89" t="str">
        <f>методология!$E$5</f>
        <v>Со сценарным анализом</v>
      </c>
      <c r="D4" s="20"/>
      <c r="E4" s="20"/>
      <c r="F4" s="2"/>
      <c r="G4" s="2"/>
      <c r="H4" s="2"/>
      <c r="I4" s="2"/>
      <c r="J4" s="2"/>
      <c r="K4" s="2"/>
      <c r="L4" s="2"/>
      <c r="M4" s="2"/>
      <c r="N4" s="2"/>
      <c r="O4" s="2"/>
      <c r="P4" s="2"/>
      <c r="Q4" s="2"/>
      <c r="R4" s="2"/>
      <c r="S4" s="2"/>
      <c r="T4" s="2"/>
      <c r="U4" s="2"/>
    </row>
    <row r="5" spans="1:21" x14ac:dyDescent="0.25">
      <c r="A5" s="2"/>
      <c r="B5" s="37"/>
      <c r="C5" s="2"/>
      <c r="D5" s="2"/>
      <c r="E5" s="2"/>
      <c r="F5" s="2"/>
      <c r="G5" s="2"/>
      <c r="H5" s="2"/>
      <c r="I5" s="2"/>
      <c r="J5" s="2"/>
      <c r="K5" s="2"/>
      <c r="L5" s="2"/>
      <c r="M5" s="2"/>
      <c r="N5" s="2"/>
      <c r="O5" s="2"/>
      <c r="P5" s="2"/>
      <c r="Q5" s="2"/>
      <c r="R5" s="2"/>
      <c r="S5" s="2"/>
      <c r="T5" s="2"/>
      <c r="U5" s="2"/>
    </row>
    <row r="6" spans="1:21" x14ac:dyDescent="0.25">
      <c r="A6" s="2"/>
      <c r="B6" s="37"/>
      <c r="C6" s="225" t="s">
        <v>307</v>
      </c>
      <c r="D6" s="210"/>
      <c r="E6" s="226"/>
      <c r="F6" s="2"/>
      <c r="G6" s="2"/>
      <c r="H6" s="2"/>
      <c r="I6" s="2"/>
      <c r="J6" s="2"/>
      <c r="K6" s="2"/>
      <c r="L6" s="2"/>
      <c r="M6" s="2"/>
      <c r="N6" s="2"/>
      <c r="O6" s="2"/>
      <c r="P6" s="2"/>
      <c r="Q6" s="2"/>
      <c r="R6" s="2"/>
      <c r="S6" s="2"/>
      <c r="T6" s="2"/>
      <c r="U6" s="2"/>
    </row>
    <row r="7" spans="1:21" x14ac:dyDescent="0.25">
      <c r="A7" s="2"/>
      <c r="B7" s="37"/>
      <c r="C7" s="37"/>
      <c r="D7" s="2"/>
      <c r="E7" s="2"/>
      <c r="F7" s="2"/>
      <c r="G7" s="2"/>
      <c r="H7" s="2"/>
      <c r="I7" s="2"/>
      <c r="J7" s="2"/>
      <c r="K7" s="2"/>
      <c r="L7" s="2"/>
      <c r="M7" s="2"/>
      <c r="N7" s="2"/>
      <c r="O7" s="2"/>
      <c r="P7" s="2"/>
      <c r="Q7" s="2"/>
      <c r="R7" s="2"/>
      <c r="S7" s="2"/>
      <c r="T7" s="2"/>
      <c r="U7" s="2"/>
    </row>
    <row r="8" spans="1:21" x14ac:dyDescent="0.25">
      <c r="A8" s="2"/>
      <c r="B8" s="38" t="s">
        <v>16</v>
      </c>
      <c r="C8" s="38" t="s">
        <v>17</v>
      </c>
      <c r="D8" s="6" t="s">
        <v>0</v>
      </c>
      <c r="E8" s="4" t="s">
        <v>12</v>
      </c>
      <c r="F8" s="6" t="s">
        <v>0</v>
      </c>
      <c r="G8" s="4" t="s">
        <v>14</v>
      </c>
      <c r="H8" s="2"/>
      <c r="I8" s="2"/>
      <c r="J8" s="2"/>
      <c r="K8" s="2"/>
      <c r="L8" s="2"/>
      <c r="M8" s="2"/>
      <c r="N8" s="2"/>
      <c r="O8" s="2"/>
      <c r="P8" s="2"/>
      <c r="Q8" s="2"/>
      <c r="R8" s="2"/>
      <c r="S8" s="2"/>
      <c r="T8" s="2"/>
      <c r="U8" s="2"/>
    </row>
    <row r="9" spans="1:21" ht="3.9" customHeight="1" x14ac:dyDescent="0.25">
      <c r="A9" s="2"/>
      <c r="B9" s="37"/>
      <c r="C9" s="37"/>
      <c r="D9" s="2"/>
      <c r="E9" s="21"/>
      <c r="F9" s="2"/>
      <c r="G9" s="21"/>
      <c r="H9" s="2"/>
      <c r="I9" s="2"/>
      <c r="J9" s="2"/>
      <c r="K9" s="2"/>
      <c r="L9" s="2"/>
      <c r="M9" s="2"/>
      <c r="N9" s="2"/>
      <c r="O9" s="2"/>
      <c r="P9" s="2"/>
      <c r="Q9" s="2"/>
      <c r="R9" s="2"/>
      <c r="S9" s="2"/>
      <c r="T9" s="2"/>
      <c r="U9" s="2"/>
    </row>
    <row r="10" spans="1:21" s="5" customFormat="1" ht="3.9" customHeight="1" x14ac:dyDescent="0.25">
      <c r="A10" s="3"/>
      <c r="B10" s="39"/>
      <c r="C10" s="39"/>
      <c r="D10" s="3"/>
      <c r="E10" s="3"/>
      <c r="F10" s="3"/>
      <c r="G10" s="3"/>
      <c r="H10" s="3"/>
      <c r="I10" s="3"/>
      <c r="J10" s="3"/>
      <c r="K10" s="3"/>
      <c r="L10" s="3"/>
      <c r="M10" s="3"/>
      <c r="N10" s="3"/>
      <c r="O10" s="3"/>
      <c r="P10" s="3"/>
      <c r="Q10" s="3"/>
      <c r="R10" s="3"/>
      <c r="S10" s="3"/>
      <c r="T10" s="3"/>
      <c r="U10" s="3"/>
    </row>
    <row r="11" spans="1:21" s="23" customFormat="1" ht="8.1" customHeight="1" x14ac:dyDescent="0.2">
      <c r="A11" s="22"/>
      <c r="B11" s="40"/>
      <c r="C11" s="40"/>
      <c r="D11" s="22"/>
      <c r="E11" s="22"/>
      <c r="F11" s="22"/>
      <c r="G11" s="22"/>
      <c r="H11" s="22"/>
      <c r="I11" s="22"/>
      <c r="J11" s="22"/>
      <c r="K11" s="22"/>
      <c r="L11" s="22"/>
      <c r="M11" s="22"/>
      <c r="N11" s="22"/>
      <c r="O11" s="22"/>
      <c r="P11" s="22"/>
      <c r="Q11" s="22"/>
      <c r="R11" s="22"/>
      <c r="S11" s="22"/>
      <c r="T11" s="22"/>
      <c r="U11" s="22"/>
    </row>
    <row r="12" spans="1:21" x14ac:dyDescent="0.25">
      <c r="A12" s="2"/>
      <c r="B12" s="37">
        <f>ROW(A12)</f>
        <v>12</v>
      </c>
      <c r="C12" s="37">
        <v>1</v>
      </c>
      <c r="D12" s="6" t="s">
        <v>0</v>
      </c>
      <c r="E12" s="26" t="s">
        <v>13</v>
      </c>
      <c r="F12" s="6" t="s">
        <v>0</v>
      </c>
      <c r="G12" s="26" t="s">
        <v>15</v>
      </c>
      <c r="H12" s="2"/>
      <c r="I12" s="2"/>
      <c r="J12" s="2"/>
      <c r="K12" s="2"/>
      <c r="L12" s="2"/>
      <c r="M12" s="2"/>
      <c r="N12" s="2"/>
      <c r="O12" s="2"/>
      <c r="P12" s="2"/>
      <c r="Q12" s="2"/>
      <c r="R12" s="2"/>
      <c r="S12" s="2"/>
      <c r="T12" s="2"/>
      <c r="U12" s="2"/>
    </row>
    <row r="13" spans="1:21" x14ac:dyDescent="0.25">
      <c r="A13" s="2"/>
      <c r="B13" s="37">
        <f>ROW(A13)</f>
        <v>13</v>
      </c>
      <c r="C13" s="37">
        <f>C12+1</f>
        <v>2</v>
      </c>
      <c r="D13" s="6" t="s">
        <v>0</v>
      </c>
      <c r="E13" s="26" t="s">
        <v>24</v>
      </c>
      <c r="F13" s="6" t="s">
        <v>0</v>
      </c>
      <c r="G13" s="26" t="s">
        <v>23</v>
      </c>
      <c r="H13" s="2"/>
      <c r="I13" s="2"/>
      <c r="J13" s="2"/>
      <c r="K13" s="2"/>
      <c r="L13" s="2"/>
      <c r="M13" s="2"/>
      <c r="N13" s="2"/>
      <c r="O13" s="2"/>
      <c r="P13" s="2"/>
      <c r="Q13" s="2"/>
      <c r="R13" s="2"/>
      <c r="S13" s="2"/>
      <c r="T13" s="2"/>
      <c r="U13" s="2"/>
    </row>
    <row r="14" spans="1:21" x14ac:dyDescent="0.25">
      <c r="A14" s="2"/>
      <c r="B14" s="37">
        <f t="shared" ref="B14:B49" si="0">ROW(A14)</f>
        <v>14</v>
      </c>
      <c r="C14" s="37">
        <f t="shared" ref="C14:C77" si="1">C13+1</f>
        <v>3</v>
      </c>
      <c r="D14" s="6" t="s">
        <v>0</v>
      </c>
      <c r="E14" s="26" t="s">
        <v>35</v>
      </c>
      <c r="F14" s="6" t="s">
        <v>0</v>
      </c>
      <c r="G14" s="26" t="s">
        <v>36</v>
      </c>
      <c r="H14" s="2"/>
      <c r="I14" s="2"/>
      <c r="J14" s="2"/>
      <c r="K14" s="2"/>
      <c r="L14" s="2"/>
      <c r="M14" s="2"/>
      <c r="N14" s="2"/>
      <c r="O14" s="2"/>
      <c r="P14" s="2"/>
      <c r="Q14" s="2"/>
      <c r="R14" s="2"/>
      <c r="S14" s="2"/>
      <c r="T14" s="2"/>
      <c r="U14" s="2"/>
    </row>
    <row r="15" spans="1:21" x14ac:dyDescent="0.25">
      <c r="A15" s="2"/>
      <c r="B15" s="37">
        <f t="shared" si="0"/>
        <v>15</v>
      </c>
      <c r="C15" s="37">
        <f t="shared" si="1"/>
        <v>4</v>
      </c>
      <c r="D15" s="6" t="s">
        <v>0</v>
      </c>
      <c r="E15" s="26" t="s">
        <v>37</v>
      </c>
      <c r="F15" s="6" t="s">
        <v>0</v>
      </c>
      <c r="G15" s="26" t="s">
        <v>38</v>
      </c>
      <c r="H15" s="2"/>
      <c r="I15" s="2"/>
      <c r="J15" s="2"/>
      <c r="K15" s="2"/>
      <c r="L15" s="2"/>
      <c r="M15" s="2"/>
      <c r="N15" s="2"/>
      <c r="O15" s="2"/>
      <c r="P15" s="2"/>
      <c r="Q15" s="2"/>
      <c r="R15" s="2"/>
      <c r="S15" s="2"/>
      <c r="T15" s="2"/>
      <c r="U15" s="2"/>
    </row>
    <row r="16" spans="1:21" x14ac:dyDescent="0.25">
      <c r="A16" s="2"/>
      <c r="B16" s="37">
        <f t="shared" si="0"/>
        <v>16</v>
      </c>
      <c r="C16" s="37">
        <f t="shared" si="1"/>
        <v>5</v>
      </c>
      <c r="D16" s="6" t="s">
        <v>0</v>
      </c>
      <c r="E16" s="26" t="s">
        <v>167</v>
      </c>
      <c r="F16" s="6" t="s">
        <v>0</v>
      </c>
      <c r="G16" s="26" t="s">
        <v>168</v>
      </c>
      <c r="H16" s="2"/>
      <c r="I16" s="2"/>
      <c r="J16" s="2"/>
      <c r="K16" s="2"/>
      <c r="L16" s="2"/>
      <c r="M16" s="2"/>
      <c r="N16" s="2"/>
      <c r="O16" s="2"/>
      <c r="P16" s="2"/>
      <c r="Q16" s="2"/>
      <c r="R16" s="2"/>
      <c r="S16" s="2"/>
      <c r="T16" s="2"/>
      <c r="U16" s="2"/>
    </row>
    <row r="17" spans="1:21" x14ac:dyDescent="0.25">
      <c r="A17" s="2"/>
      <c r="B17" s="37">
        <f t="shared" si="0"/>
        <v>17</v>
      </c>
      <c r="C17" s="37">
        <f t="shared" si="1"/>
        <v>6</v>
      </c>
      <c r="D17" s="6" t="s">
        <v>0</v>
      </c>
      <c r="E17" s="26" t="s">
        <v>41</v>
      </c>
      <c r="F17" s="6" t="s">
        <v>0</v>
      </c>
      <c r="G17" s="26" t="s">
        <v>23</v>
      </c>
      <c r="H17" s="2"/>
      <c r="I17" s="2"/>
      <c r="J17" s="2"/>
      <c r="K17" s="2"/>
      <c r="L17" s="2"/>
      <c r="M17" s="2"/>
      <c r="N17" s="2"/>
      <c r="O17" s="2"/>
      <c r="P17" s="2"/>
      <c r="Q17" s="2"/>
      <c r="R17" s="2"/>
      <c r="S17" s="2"/>
      <c r="T17" s="2"/>
      <c r="U17" s="2"/>
    </row>
    <row r="18" spans="1:21" x14ac:dyDescent="0.25">
      <c r="A18" s="2"/>
      <c r="B18" s="37">
        <f t="shared" si="0"/>
        <v>18</v>
      </c>
      <c r="C18" s="37">
        <f t="shared" si="1"/>
        <v>7</v>
      </c>
      <c r="D18" s="6" t="s">
        <v>0</v>
      </c>
      <c r="E18" s="26" t="s">
        <v>42</v>
      </c>
      <c r="F18" s="6" t="s">
        <v>0</v>
      </c>
      <c r="G18" s="26" t="s">
        <v>43</v>
      </c>
      <c r="H18" s="2"/>
      <c r="I18" s="2"/>
      <c r="J18" s="2"/>
      <c r="K18" s="2"/>
      <c r="L18" s="2"/>
      <c r="M18" s="2"/>
      <c r="N18" s="2"/>
      <c r="O18" s="2"/>
      <c r="P18" s="2"/>
      <c r="Q18" s="2"/>
      <c r="R18" s="2"/>
      <c r="S18" s="2"/>
      <c r="T18" s="2"/>
      <c r="U18" s="2"/>
    </row>
    <row r="19" spans="1:21" x14ac:dyDescent="0.25">
      <c r="A19" s="2"/>
      <c r="B19" s="37">
        <f t="shared" si="0"/>
        <v>19</v>
      </c>
      <c r="C19" s="37">
        <f t="shared" si="1"/>
        <v>8</v>
      </c>
      <c r="D19" s="6" t="s">
        <v>0</v>
      </c>
      <c r="E19" s="26" t="s">
        <v>170</v>
      </c>
      <c r="F19" s="6" t="s">
        <v>0</v>
      </c>
      <c r="G19" s="26" t="s">
        <v>39</v>
      </c>
      <c r="H19" s="2"/>
      <c r="I19" s="2"/>
      <c r="J19" s="2"/>
      <c r="K19" s="2"/>
      <c r="L19" s="2"/>
      <c r="M19" s="2"/>
      <c r="N19" s="2"/>
      <c r="O19" s="2"/>
      <c r="P19" s="2"/>
      <c r="Q19" s="2"/>
      <c r="R19" s="2"/>
      <c r="S19" s="2"/>
      <c r="T19" s="2"/>
      <c r="U19" s="2"/>
    </row>
    <row r="20" spans="1:21" x14ac:dyDescent="0.25">
      <c r="A20" s="2"/>
      <c r="B20" s="37">
        <f t="shared" si="0"/>
        <v>20</v>
      </c>
      <c r="C20" s="37">
        <f t="shared" si="1"/>
        <v>9</v>
      </c>
      <c r="D20" s="6" t="s">
        <v>0</v>
      </c>
      <c r="E20" s="26" t="s">
        <v>169</v>
      </c>
      <c r="F20" s="6" t="s">
        <v>0</v>
      </c>
      <c r="G20" s="26" t="s">
        <v>23</v>
      </c>
      <c r="H20" s="2"/>
      <c r="I20" s="2"/>
      <c r="J20" s="2"/>
      <c r="K20" s="2"/>
      <c r="L20" s="2"/>
      <c r="M20" s="2"/>
      <c r="N20" s="2"/>
      <c r="O20" s="2"/>
      <c r="P20" s="2"/>
      <c r="Q20" s="2"/>
      <c r="R20" s="2"/>
      <c r="S20" s="2"/>
      <c r="T20" s="2"/>
      <c r="U20" s="2"/>
    </row>
    <row r="21" spans="1:21" x14ac:dyDescent="0.25">
      <c r="A21" s="2"/>
      <c r="B21" s="37">
        <f t="shared" si="0"/>
        <v>21</v>
      </c>
      <c r="C21" s="37">
        <f t="shared" si="1"/>
        <v>10</v>
      </c>
      <c r="D21" s="6" t="s">
        <v>0</v>
      </c>
      <c r="E21" s="26" t="s">
        <v>171</v>
      </c>
      <c r="F21" s="6" t="s">
        <v>0</v>
      </c>
      <c r="G21" s="26" t="s">
        <v>23</v>
      </c>
      <c r="H21" s="2"/>
      <c r="I21" s="2"/>
      <c r="J21" s="2"/>
      <c r="K21" s="2"/>
      <c r="L21" s="2"/>
      <c r="M21" s="2"/>
      <c r="N21" s="2"/>
      <c r="O21" s="2"/>
      <c r="P21" s="2"/>
      <c r="Q21" s="2"/>
      <c r="R21" s="2"/>
      <c r="S21" s="2"/>
      <c r="T21" s="2"/>
      <c r="U21" s="2"/>
    </row>
    <row r="22" spans="1:21" x14ac:dyDescent="0.25">
      <c r="A22" s="2"/>
      <c r="B22" s="37">
        <f t="shared" si="0"/>
        <v>22</v>
      </c>
      <c r="C22" s="37">
        <f t="shared" si="1"/>
        <v>11</v>
      </c>
      <c r="D22" s="6" t="s">
        <v>0</v>
      </c>
      <c r="E22" s="26" t="s">
        <v>173</v>
      </c>
      <c r="F22" s="6" t="s">
        <v>0</v>
      </c>
      <c r="G22" s="26" t="s">
        <v>23</v>
      </c>
      <c r="H22" s="2"/>
      <c r="I22" s="2"/>
      <c r="J22" s="2"/>
      <c r="K22" s="2"/>
      <c r="L22" s="2"/>
      <c r="M22" s="2"/>
      <c r="N22" s="2"/>
      <c r="O22" s="2"/>
      <c r="P22" s="2"/>
      <c r="Q22" s="2"/>
      <c r="R22" s="2"/>
      <c r="S22" s="2"/>
      <c r="T22" s="2"/>
      <c r="U22" s="2"/>
    </row>
    <row r="23" spans="1:21" x14ac:dyDescent="0.25">
      <c r="A23" s="2"/>
      <c r="B23" s="37">
        <f t="shared" si="0"/>
        <v>23</v>
      </c>
      <c r="C23" s="37">
        <f t="shared" si="1"/>
        <v>12</v>
      </c>
      <c r="D23" s="6" t="s">
        <v>0</v>
      </c>
      <c r="E23" s="26" t="s">
        <v>176</v>
      </c>
      <c r="F23" s="6" t="s">
        <v>0</v>
      </c>
      <c r="G23" s="26" t="s">
        <v>177</v>
      </c>
      <c r="H23" s="2"/>
      <c r="I23" s="2"/>
      <c r="J23" s="2"/>
      <c r="K23" s="2"/>
      <c r="L23" s="2"/>
      <c r="M23" s="2"/>
      <c r="N23" s="2"/>
      <c r="O23" s="2"/>
      <c r="P23" s="2"/>
      <c r="Q23" s="2"/>
      <c r="R23" s="2"/>
      <c r="S23" s="2"/>
      <c r="T23" s="2"/>
      <c r="U23" s="2"/>
    </row>
    <row r="24" spans="1:21" x14ac:dyDescent="0.25">
      <c r="A24" s="2"/>
      <c r="B24" s="37">
        <f t="shared" si="0"/>
        <v>24</v>
      </c>
      <c r="C24" s="37">
        <f t="shared" si="1"/>
        <v>13</v>
      </c>
      <c r="D24" s="6" t="s">
        <v>0</v>
      </c>
      <c r="E24" s="26" t="s">
        <v>181</v>
      </c>
      <c r="F24" s="6" t="s">
        <v>0</v>
      </c>
      <c r="G24" s="26" t="s">
        <v>23</v>
      </c>
      <c r="H24" s="2"/>
      <c r="I24" s="2"/>
      <c r="J24" s="2"/>
      <c r="K24" s="2"/>
      <c r="L24" s="2"/>
      <c r="M24" s="2"/>
      <c r="N24" s="2"/>
      <c r="O24" s="2"/>
      <c r="P24" s="2"/>
      <c r="Q24" s="2"/>
      <c r="R24" s="2"/>
      <c r="S24" s="2"/>
      <c r="T24" s="2"/>
      <c r="U24" s="2"/>
    </row>
    <row r="25" spans="1:21" x14ac:dyDescent="0.25">
      <c r="A25" s="2"/>
      <c r="B25" s="37">
        <f t="shared" si="0"/>
        <v>25</v>
      </c>
      <c r="C25" s="37">
        <f t="shared" si="1"/>
        <v>14</v>
      </c>
      <c r="D25" s="6" t="s">
        <v>0</v>
      </c>
      <c r="E25" s="26" t="s">
        <v>182</v>
      </c>
      <c r="F25" s="6" t="s">
        <v>0</v>
      </c>
      <c r="G25" s="26" t="s">
        <v>23</v>
      </c>
      <c r="H25" s="2"/>
      <c r="I25" s="2"/>
      <c r="J25" s="2"/>
      <c r="K25" s="2"/>
      <c r="L25" s="2"/>
      <c r="M25" s="2"/>
      <c r="N25" s="2"/>
      <c r="O25" s="2"/>
      <c r="P25" s="2"/>
      <c r="Q25" s="2"/>
      <c r="R25" s="2"/>
      <c r="S25" s="2"/>
      <c r="T25" s="2"/>
      <c r="U25" s="2"/>
    </row>
    <row r="26" spans="1:21" x14ac:dyDescent="0.25">
      <c r="A26" s="2"/>
      <c r="B26" s="37">
        <f t="shared" si="0"/>
        <v>26</v>
      </c>
      <c r="C26" s="37">
        <f t="shared" si="1"/>
        <v>15</v>
      </c>
      <c r="D26" s="6" t="s">
        <v>0</v>
      </c>
      <c r="E26" s="26" t="s">
        <v>184</v>
      </c>
      <c r="F26" s="6" t="s">
        <v>0</v>
      </c>
      <c r="G26" s="26" t="s">
        <v>177</v>
      </c>
      <c r="H26" s="2"/>
      <c r="I26" s="2"/>
      <c r="J26" s="2"/>
      <c r="K26" s="2"/>
      <c r="L26" s="2"/>
      <c r="M26" s="2"/>
      <c r="N26" s="2"/>
      <c r="O26" s="2"/>
      <c r="P26" s="2"/>
      <c r="Q26" s="2"/>
      <c r="R26" s="2"/>
      <c r="S26" s="2"/>
      <c r="T26" s="2"/>
      <c r="U26" s="2"/>
    </row>
    <row r="27" spans="1:21" x14ac:dyDescent="0.25">
      <c r="A27" s="2"/>
      <c r="B27" s="37">
        <f t="shared" si="0"/>
        <v>27</v>
      </c>
      <c r="C27" s="37">
        <f t="shared" si="1"/>
        <v>16</v>
      </c>
      <c r="D27" s="6" t="s">
        <v>0</v>
      </c>
      <c r="E27" s="26" t="s">
        <v>185</v>
      </c>
      <c r="F27" s="6" t="s">
        <v>0</v>
      </c>
      <c r="G27" s="26" t="s">
        <v>23</v>
      </c>
      <c r="H27" s="2"/>
      <c r="I27" s="2"/>
      <c r="J27" s="2"/>
      <c r="K27" s="2"/>
      <c r="L27" s="2"/>
      <c r="M27" s="2"/>
      <c r="N27" s="2"/>
      <c r="O27" s="2"/>
      <c r="P27" s="2"/>
      <c r="Q27" s="2"/>
      <c r="R27" s="2"/>
      <c r="S27" s="2"/>
      <c r="T27" s="2"/>
      <c r="U27" s="2"/>
    </row>
    <row r="28" spans="1:21" x14ac:dyDescent="0.25">
      <c r="A28" s="2"/>
      <c r="B28" s="37">
        <f t="shared" si="0"/>
        <v>28</v>
      </c>
      <c r="C28" s="37">
        <f t="shared" si="1"/>
        <v>17</v>
      </c>
      <c r="D28" s="6" t="s">
        <v>0</v>
      </c>
      <c r="E28" s="26" t="s">
        <v>186</v>
      </c>
      <c r="F28" s="6" t="s">
        <v>0</v>
      </c>
      <c r="G28" s="26" t="s">
        <v>23</v>
      </c>
      <c r="H28" s="2"/>
      <c r="I28" s="2"/>
      <c r="J28" s="2"/>
      <c r="K28" s="2"/>
      <c r="L28" s="2"/>
      <c r="M28" s="2"/>
      <c r="N28" s="2"/>
      <c r="O28" s="2"/>
      <c r="P28" s="2"/>
      <c r="Q28" s="2"/>
      <c r="R28" s="2"/>
      <c r="S28" s="2"/>
      <c r="T28" s="2"/>
      <c r="U28" s="2"/>
    </row>
    <row r="29" spans="1:21" x14ac:dyDescent="0.25">
      <c r="A29" s="2"/>
      <c r="B29" s="37">
        <f t="shared" si="0"/>
        <v>29</v>
      </c>
      <c r="C29" s="37">
        <f t="shared" si="1"/>
        <v>18</v>
      </c>
      <c r="D29" s="6" t="s">
        <v>0</v>
      </c>
      <c r="E29" s="26" t="s">
        <v>189</v>
      </c>
      <c r="F29" s="6" t="s">
        <v>0</v>
      </c>
      <c r="G29" s="26" t="s">
        <v>15</v>
      </c>
      <c r="H29" s="2"/>
      <c r="I29" s="2"/>
      <c r="J29" s="2"/>
      <c r="K29" s="2"/>
      <c r="L29" s="2"/>
      <c r="M29" s="2"/>
      <c r="N29" s="2"/>
      <c r="O29" s="2"/>
      <c r="P29" s="2"/>
      <c r="Q29" s="2"/>
      <c r="R29" s="2"/>
      <c r="S29" s="2"/>
      <c r="T29" s="2"/>
      <c r="U29" s="2"/>
    </row>
    <row r="30" spans="1:21" x14ac:dyDescent="0.25">
      <c r="A30" s="2"/>
      <c r="B30" s="37">
        <f t="shared" si="0"/>
        <v>30</v>
      </c>
      <c r="C30" s="37">
        <f t="shared" si="1"/>
        <v>19</v>
      </c>
      <c r="D30" s="6" t="s">
        <v>0</v>
      </c>
      <c r="E30" s="26" t="s">
        <v>190</v>
      </c>
      <c r="F30" s="6" t="s">
        <v>0</v>
      </c>
      <c r="G30" s="26" t="s">
        <v>39</v>
      </c>
      <c r="H30" s="2"/>
      <c r="I30" s="2"/>
      <c r="J30" s="2"/>
      <c r="K30" s="2"/>
      <c r="L30" s="2"/>
      <c r="M30" s="2"/>
      <c r="N30" s="2"/>
      <c r="O30" s="2"/>
      <c r="P30" s="2"/>
      <c r="Q30" s="2"/>
      <c r="R30" s="2"/>
      <c r="S30" s="2"/>
      <c r="T30" s="2"/>
      <c r="U30" s="2"/>
    </row>
    <row r="31" spans="1:21" x14ac:dyDescent="0.25">
      <c r="A31" s="2"/>
      <c r="B31" s="37">
        <f t="shared" si="0"/>
        <v>31</v>
      </c>
      <c r="C31" s="37">
        <f t="shared" si="1"/>
        <v>20</v>
      </c>
      <c r="D31" s="6" t="s">
        <v>0</v>
      </c>
      <c r="E31" s="26" t="s">
        <v>205</v>
      </c>
      <c r="F31" s="6" t="s">
        <v>0</v>
      </c>
      <c r="G31" s="26" t="s">
        <v>168</v>
      </c>
      <c r="H31" s="2"/>
      <c r="I31" s="2"/>
      <c r="J31" s="2"/>
      <c r="K31" s="2"/>
      <c r="L31" s="2"/>
      <c r="M31" s="2"/>
      <c r="N31" s="2"/>
      <c r="O31" s="2"/>
      <c r="P31" s="2"/>
      <c r="Q31" s="2"/>
      <c r="R31" s="2"/>
      <c r="S31" s="2"/>
      <c r="T31" s="2"/>
      <c r="U31" s="2"/>
    </row>
    <row r="32" spans="1:21" x14ac:dyDescent="0.25">
      <c r="A32" s="2"/>
      <c r="B32" s="37">
        <f t="shared" si="0"/>
        <v>32</v>
      </c>
      <c r="C32" s="37">
        <f t="shared" si="1"/>
        <v>21</v>
      </c>
      <c r="D32" s="6" t="s">
        <v>0</v>
      </c>
      <c r="E32" s="26" t="s">
        <v>206</v>
      </c>
      <c r="F32" s="6" t="s">
        <v>0</v>
      </c>
      <c r="G32" s="26" t="s">
        <v>38</v>
      </c>
      <c r="H32" s="2"/>
      <c r="I32" s="2"/>
      <c r="J32" s="2"/>
      <c r="K32" s="2"/>
      <c r="L32" s="2"/>
      <c r="M32" s="2"/>
      <c r="N32" s="2"/>
      <c r="O32" s="2"/>
      <c r="P32" s="2"/>
      <c r="Q32" s="2"/>
      <c r="R32" s="2"/>
      <c r="S32" s="2"/>
      <c r="T32" s="2"/>
      <c r="U32" s="2"/>
    </row>
    <row r="33" spans="1:21" x14ac:dyDescent="0.25">
      <c r="A33" s="2"/>
      <c r="B33" s="37">
        <f t="shared" si="0"/>
        <v>33</v>
      </c>
      <c r="C33" s="37">
        <f t="shared" si="1"/>
        <v>22</v>
      </c>
      <c r="D33" s="6" t="s">
        <v>0</v>
      </c>
      <c r="E33" s="26" t="s">
        <v>207</v>
      </c>
      <c r="F33" s="6" t="s">
        <v>0</v>
      </c>
      <c r="G33" s="26" t="s">
        <v>38</v>
      </c>
      <c r="H33" s="2"/>
      <c r="I33" s="2"/>
      <c r="J33" s="2"/>
      <c r="K33" s="2"/>
      <c r="L33" s="2"/>
      <c r="M33" s="2"/>
      <c r="N33" s="2"/>
      <c r="O33" s="2"/>
      <c r="P33" s="2"/>
      <c r="Q33" s="2"/>
      <c r="R33" s="2"/>
      <c r="S33" s="2"/>
      <c r="T33" s="2"/>
      <c r="U33" s="2"/>
    </row>
    <row r="34" spans="1:21" x14ac:dyDescent="0.25">
      <c r="A34" s="2"/>
      <c r="B34" s="37">
        <f t="shared" si="0"/>
        <v>34</v>
      </c>
      <c r="C34" s="37">
        <f t="shared" si="1"/>
        <v>23</v>
      </c>
      <c r="D34" s="6" t="s">
        <v>0</v>
      </c>
      <c r="E34" s="26" t="s">
        <v>209</v>
      </c>
      <c r="F34" s="6" t="s">
        <v>0</v>
      </c>
      <c r="G34" s="26" t="s">
        <v>177</v>
      </c>
      <c r="H34" s="2"/>
      <c r="I34" s="2"/>
      <c r="J34" s="2"/>
      <c r="K34" s="2"/>
      <c r="L34" s="2"/>
      <c r="M34" s="2"/>
      <c r="N34" s="2"/>
      <c r="O34" s="2"/>
      <c r="P34" s="2"/>
      <c r="Q34" s="2"/>
      <c r="R34" s="2"/>
      <c r="S34" s="2"/>
      <c r="T34" s="2"/>
      <c r="U34" s="2"/>
    </row>
    <row r="35" spans="1:21" x14ac:dyDescent="0.25">
      <c r="A35" s="2"/>
      <c r="B35" s="37">
        <f t="shared" si="0"/>
        <v>35</v>
      </c>
      <c r="C35" s="37">
        <f t="shared" si="1"/>
        <v>24</v>
      </c>
      <c r="D35" s="6" t="s">
        <v>0</v>
      </c>
      <c r="E35" s="26" t="s">
        <v>210</v>
      </c>
      <c r="F35" s="6" t="s">
        <v>0</v>
      </c>
      <c r="G35" s="26" t="s">
        <v>23</v>
      </c>
      <c r="H35" s="2"/>
      <c r="I35" s="2"/>
      <c r="J35" s="2"/>
      <c r="K35" s="2"/>
      <c r="L35" s="2"/>
      <c r="M35" s="2"/>
      <c r="N35" s="2"/>
      <c r="O35" s="2"/>
      <c r="P35" s="2"/>
      <c r="Q35" s="2"/>
      <c r="R35" s="2"/>
      <c r="S35" s="2"/>
      <c r="T35" s="2"/>
      <c r="U35" s="2"/>
    </row>
    <row r="36" spans="1:21" x14ac:dyDescent="0.25">
      <c r="A36" s="2"/>
      <c r="B36" s="37">
        <f t="shared" si="0"/>
        <v>36</v>
      </c>
      <c r="C36" s="37">
        <f t="shared" si="1"/>
        <v>25</v>
      </c>
      <c r="D36" s="6" t="s">
        <v>0</v>
      </c>
      <c r="E36" s="26" t="s">
        <v>211</v>
      </c>
      <c r="F36" s="6" t="s">
        <v>0</v>
      </c>
      <c r="G36" s="26" t="s">
        <v>212</v>
      </c>
      <c r="H36" s="2"/>
      <c r="I36" s="2"/>
      <c r="J36" s="2"/>
      <c r="K36" s="2"/>
      <c r="L36" s="2"/>
      <c r="M36" s="2"/>
      <c r="N36" s="2"/>
      <c r="O36" s="2"/>
      <c r="P36" s="2"/>
      <c r="Q36" s="2"/>
      <c r="R36" s="2"/>
      <c r="S36" s="2"/>
      <c r="T36" s="2"/>
      <c r="U36" s="2"/>
    </row>
    <row r="37" spans="1:21" x14ac:dyDescent="0.25">
      <c r="A37" s="2"/>
      <c r="B37" s="37">
        <f t="shared" si="0"/>
        <v>37</v>
      </c>
      <c r="C37" s="37">
        <f t="shared" si="1"/>
        <v>26</v>
      </c>
      <c r="D37" s="6" t="s">
        <v>0</v>
      </c>
      <c r="E37" s="26" t="s">
        <v>213</v>
      </c>
      <c r="F37" s="6" t="s">
        <v>0</v>
      </c>
      <c r="G37" s="26" t="s">
        <v>212</v>
      </c>
      <c r="H37" s="2"/>
      <c r="I37" s="2"/>
      <c r="J37" s="2"/>
      <c r="K37" s="2"/>
      <c r="L37" s="2"/>
      <c r="M37" s="2"/>
      <c r="N37" s="2"/>
      <c r="O37" s="2"/>
      <c r="P37" s="2"/>
      <c r="Q37" s="2"/>
      <c r="R37" s="2"/>
      <c r="S37" s="2"/>
      <c r="T37" s="2"/>
      <c r="U37" s="2"/>
    </row>
    <row r="38" spans="1:21" x14ac:dyDescent="0.25">
      <c r="A38" s="2"/>
      <c r="B38" s="37">
        <f t="shared" si="0"/>
        <v>38</v>
      </c>
      <c r="C38" s="37">
        <f t="shared" si="1"/>
        <v>27</v>
      </c>
      <c r="D38" s="6" t="s">
        <v>0</v>
      </c>
      <c r="E38" s="26" t="s">
        <v>215</v>
      </c>
      <c r="F38" s="6" t="s">
        <v>0</v>
      </c>
      <c r="G38" s="26" t="s">
        <v>212</v>
      </c>
      <c r="H38" s="2"/>
      <c r="I38" s="2"/>
      <c r="J38" s="2"/>
      <c r="K38" s="2"/>
      <c r="L38" s="2"/>
      <c r="M38" s="2"/>
      <c r="N38" s="2"/>
      <c r="O38" s="2"/>
      <c r="P38" s="2"/>
      <c r="Q38" s="2"/>
      <c r="R38" s="2"/>
      <c r="S38" s="2"/>
      <c r="T38" s="2"/>
      <c r="U38" s="2"/>
    </row>
    <row r="39" spans="1:21" x14ac:dyDescent="0.25">
      <c r="A39" s="2"/>
      <c r="B39" s="37">
        <f t="shared" si="0"/>
        <v>39</v>
      </c>
      <c r="C39" s="37">
        <f t="shared" si="1"/>
        <v>28</v>
      </c>
      <c r="D39" s="6" t="s">
        <v>0</v>
      </c>
      <c r="E39" s="26" t="s">
        <v>216</v>
      </c>
      <c r="F39" s="6" t="s">
        <v>0</v>
      </c>
      <c r="G39" s="26" t="s">
        <v>38</v>
      </c>
      <c r="H39" s="2"/>
      <c r="I39" s="2"/>
      <c r="J39" s="2"/>
      <c r="K39" s="2"/>
      <c r="L39" s="2"/>
      <c r="M39" s="2"/>
      <c r="N39" s="2"/>
      <c r="O39" s="2"/>
      <c r="P39" s="2"/>
      <c r="Q39" s="2"/>
      <c r="R39" s="2"/>
      <c r="S39" s="2"/>
      <c r="T39" s="2"/>
      <c r="U39" s="2"/>
    </row>
    <row r="40" spans="1:21" x14ac:dyDescent="0.25">
      <c r="A40" s="2"/>
      <c r="B40" s="37">
        <f t="shared" si="0"/>
        <v>40</v>
      </c>
      <c r="C40" s="37">
        <f t="shared" si="1"/>
        <v>29</v>
      </c>
      <c r="D40" s="6" t="s">
        <v>0</v>
      </c>
      <c r="E40" s="26" t="s">
        <v>376</v>
      </c>
      <c r="F40" s="6" t="s">
        <v>0</v>
      </c>
      <c r="G40" s="26" t="s">
        <v>168</v>
      </c>
      <c r="H40" s="2"/>
      <c r="I40" s="2"/>
      <c r="J40" s="2"/>
      <c r="K40" s="2"/>
      <c r="L40" s="2"/>
      <c r="M40" s="2"/>
      <c r="N40" s="2"/>
      <c r="O40" s="2"/>
      <c r="P40" s="2"/>
      <c r="Q40" s="2"/>
      <c r="R40" s="2"/>
      <c r="S40" s="2"/>
      <c r="T40" s="2"/>
      <c r="U40" s="2"/>
    </row>
    <row r="41" spans="1:21" x14ac:dyDescent="0.25">
      <c r="A41" s="2"/>
      <c r="B41" s="37">
        <f t="shared" si="0"/>
        <v>41</v>
      </c>
      <c r="C41" s="37">
        <f t="shared" si="1"/>
        <v>30</v>
      </c>
      <c r="D41" s="6" t="s">
        <v>0</v>
      </c>
      <c r="E41" s="26" t="s">
        <v>218</v>
      </c>
      <c r="F41" s="6" t="s">
        <v>0</v>
      </c>
      <c r="G41" s="107" t="s">
        <v>168</v>
      </c>
      <c r="H41" s="2"/>
      <c r="I41" s="2"/>
      <c r="J41" s="2"/>
      <c r="K41" s="2"/>
      <c r="L41" s="2"/>
      <c r="M41" s="2"/>
      <c r="N41" s="2"/>
      <c r="O41" s="2"/>
      <c r="P41" s="2"/>
      <c r="Q41" s="2"/>
      <c r="R41" s="2"/>
      <c r="S41" s="2"/>
      <c r="T41" s="2"/>
      <c r="U41" s="2"/>
    </row>
    <row r="42" spans="1:21" x14ac:dyDescent="0.25">
      <c r="A42" s="2"/>
      <c r="B42" s="37">
        <f t="shared" si="0"/>
        <v>42</v>
      </c>
      <c r="C42" s="37">
        <f t="shared" si="1"/>
        <v>31</v>
      </c>
      <c r="D42" s="6" t="s">
        <v>0</v>
      </c>
      <c r="E42" s="26" t="s">
        <v>217</v>
      </c>
      <c r="F42" s="6" t="s">
        <v>0</v>
      </c>
      <c r="G42" s="26" t="s">
        <v>23</v>
      </c>
      <c r="H42" s="2"/>
      <c r="I42" s="2"/>
      <c r="J42" s="2"/>
      <c r="K42" s="2"/>
      <c r="L42" s="2"/>
      <c r="M42" s="2"/>
      <c r="N42" s="2"/>
      <c r="O42" s="2"/>
      <c r="P42" s="2"/>
      <c r="Q42" s="2"/>
      <c r="R42" s="2"/>
      <c r="S42" s="2"/>
      <c r="T42" s="2"/>
      <c r="U42" s="2"/>
    </row>
    <row r="43" spans="1:21" x14ac:dyDescent="0.25">
      <c r="A43" s="2"/>
      <c r="B43" s="37">
        <f t="shared" si="0"/>
        <v>43</v>
      </c>
      <c r="C43" s="37">
        <f t="shared" si="1"/>
        <v>32</v>
      </c>
      <c r="D43" s="6" t="s">
        <v>0</v>
      </c>
      <c r="E43" s="26" t="s">
        <v>219</v>
      </c>
      <c r="F43" s="6" t="s">
        <v>0</v>
      </c>
      <c r="G43" s="26" t="s">
        <v>168</v>
      </c>
      <c r="H43" s="2"/>
      <c r="I43" s="2"/>
      <c r="J43" s="2"/>
      <c r="K43" s="2"/>
      <c r="L43" s="2"/>
      <c r="M43" s="2"/>
      <c r="N43" s="2"/>
      <c r="O43" s="2"/>
      <c r="P43" s="2"/>
      <c r="Q43" s="2"/>
      <c r="R43" s="2"/>
      <c r="S43" s="2"/>
      <c r="T43" s="2"/>
      <c r="U43" s="2"/>
    </row>
    <row r="44" spans="1:21" x14ac:dyDescent="0.25">
      <c r="A44" s="2"/>
      <c r="B44" s="37">
        <f t="shared" si="0"/>
        <v>44</v>
      </c>
      <c r="C44" s="37">
        <f t="shared" si="1"/>
        <v>33</v>
      </c>
      <c r="D44" s="6" t="s">
        <v>0</v>
      </c>
      <c r="E44" s="26" t="s">
        <v>220</v>
      </c>
      <c r="F44" s="6" t="s">
        <v>0</v>
      </c>
      <c r="G44" s="26" t="s">
        <v>23</v>
      </c>
      <c r="H44" s="2"/>
      <c r="I44" s="2"/>
      <c r="J44" s="2"/>
      <c r="K44" s="2"/>
      <c r="L44" s="2"/>
      <c r="M44" s="2"/>
      <c r="N44" s="2"/>
      <c r="O44" s="2"/>
      <c r="P44" s="2"/>
      <c r="Q44" s="2"/>
      <c r="R44" s="2"/>
      <c r="S44" s="2"/>
      <c r="T44" s="2"/>
      <c r="U44" s="2"/>
    </row>
    <row r="45" spans="1:21" x14ac:dyDescent="0.25">
      <c r="A45" s="2"/>
      <c r="B45" s="37">
        <f t="shared" si="0"/>
        <v>45</v>
      </c>
      <c r="C45" s="37">
        <f t="shared" si="1"/>
        <v>34</v>
      </c>
      <c r="D45" s="6" t="s">
        <v>0</v>
      </c>
      <c r="E45" s="26" t="s">
        <v>221</v>
      </c>
      <c r="F45" s="6" t="s">
        <v>0</v>
      </c>
      <c r="G45" s="26" t="s">
        <v>23</v>
      </c>
      <c r="H45" s="2"/>
      <c r="I45" s="2"/>
      <c r="J45" s="2"/>
      <c r="K45" s="2"/>
      <c r="L45" s="2"/>
      <c r="M45" s="2"/>
      <c r="N45" s="2"/>
      <c r="O45" s="2"/>
      <c r="P45" s="2"/>
      <c r="Q45" s="2"/>
      <c r="R45" s="2"/>
      <c r="S45" s="2"/>
      <c r="T45" s="2"/>
      <c r="U45" s="2"/>
    </row>
    <row r="46" spans="1:21" x14ac:dyDescent="0.25">
      <c r="A46" s="2"/>
      <c r="B46" s="37">
        <f t="shared" si="0"/>
        <v>46</v>
      </c>
      <c r="C46" s="37">
        <f t="shared" si="1"/>
        <v>35</v>
      </c>
      <c r="D46" s="6" t="s">
        <v>0</v>
      </c>
      <c r="E46" s="26" t="s">
        <v>222</v>
      </c>
      <c r="F46" s="6" t="s">
        <v>0</v>
      </c>
      <c r="G46" s="26" t="s">
        <v>23</v>
      </c>
      <c r="H46" s="2"/>
      <c r="I46" s="2"/>
      <c r="J46" s="2"/>
      <c r="K46" s="2"/>
      <c r="L46" s="2"/>
      <c r="M46" s="2"/>
      <c r="N46" s="2"/>
      <c r="O46" s="2"/>
      <c r="P46" s="2"/>
      <c r="Q46" s="2"/>
      <c r="R46" s="2"/>
      <c r="S46" s="2"/>
      <c r="T46" s="2"/>
      <c r="U46" s="2"/>
    </row>
    <row r="47" spans="1:21" x14ac:dyDescent="0.25">
      <c r="A47" s="2"/>
      <c r="B47" s="37">
        <f t="shared" si="0"/>
        <v>47</v>
      </c>
      <c r="C47" s="37">
        <f t="shared" si="1"/>
        <v>36</v>
      </c>
      <c r="D47" s="6" t="s">
        <v>0</v>
      </c>
      <c r="E47" s="26" t="s">
        <v>223</v>
      </c>
      <c r="F47" s="6" t="s">
        <v>0</v>
      </c>
      <c r="G47" s="26" t="s">
        <v>23</v>
      </c>
      <c r="H47" s="2"/>
      <c r="I47" s="2"/>
      <c r="J47" s="2"/>
      <c r="K47" s="2"/>
      <c r="L47" s="2"/>
      <c r="M47" s="2"/>
      <c r="N47" s="2"/>
      <c r="O47" s="2"/>
      <c r="P47" s="2"/>
      <c r="Q47" s="2"/>
      <c r="R47" s="2"/>
      <c r="S47" s="2"/>
      <c r="T47" s="2"/>
      <c r="U47" s="2"/>
    </row>
    <row r="48" spans="1:21" x14ac:dyDescent="0.25">
      <c r="A48" s="2"/>
      <c r="B48" s="37">
        <f t="shared" si="0"/>
        <v>48</v>
      </c>
      <c r="C48" s="37">
        <f t="shared" si="1"/>
        <v>37</v>
      </c>
      <c r="D48" s="6" t="s">
        <v>0</v>
      </c>
      <c r="E48" s="26" t="s">
        <v>227</v>
      </c>
      <c r="F48" s="6" t="s">
        <v>0</v>
      </c>
      <c r="G48" s="26" t="s">
        <v>23</v>
      </c>
      <c r="H48" s="2"/>
      <c r="I48" s="2"/>
      <c r="J48" s="2"/>
      <c r="K48" s="2"/>
      <c r="L48" s="2"/>
      <c r="M48" s="2"/>
      <c r="N48" s="2"/>
      <c r="O48" s="2"/>
      <c r="P48" s="2"/>
      <c r="Q48" s="2"/>
      <c r="R48" s="2"/>
      <c r="S48" s="2"/>
      <c r="T48" s="2"/>
      <c r="U48" s="2"/>
    </row>
    <row r="49" spans="1:21" x14ac:dyDescent="0.25">
      <c r="A49" s="2"/>
      <c r="B49" s="37">
        <f t="shared" si="0"/>
        <v>49</v>
      </c>
      <c r="C49" s="37">
        <f t="shared" si="1"/>
        <v>38</v>
      </c>
      <c r="D49" s="6" t="s">
        <v>0</v>
      </c>
      <c r="E49" s="26" t="s">
        <v>224</v>
      </c>
      <c r="F49" s="6" t="s">
        <v>0</v>
      </c>
      <c r="G49" s="26" t="s">
        <v>225</v>
      </c>
      <c r="H49" s="2"/>
      <c r="I49" s="2"/>
      <c r="J49" s="2"/>
      <c r="K49" s="2"/>
      <c r="L49" s="2"/>
      <c r="M49" s="2"/>
      <c r="N49" s="2"/>
      <c r="O49" s="2"/>
      <c r="P49" s="2"/>
      <c r="Q49" s="2"/>
      <c r="R49" s="2"/>
      <c r="S49" s="2"/>
      <c r="T49" s="2"/>
      <c r="U49" s="2"/>
    </row>
    <row r="50" spans="1:21" x14ac:dyDescent="0.25">
      <c r="A50" s="2"/>
      <c r="B50" s="37">
        <f t="shared" ref="B50:B107" si="2">ROW(A50)</f>
        <v>50</v>
      </c>
      <c r="C50" s="37">
        <f t="shared" si="1"/>
        <v>39</v>
      </c>
      <c r="D50" s="6" t="s">
        <v>0</v>
      </c>
      <c r="E50" s="26" t="s">
        <v>226</v>
      </c>
      <c r="F50" s="6" t="s">
        <v>0</v>
      </c>
      <c r="G50" s="26" t="s">
        <v>38</v>
      </c>
      <c r="H50" s="2"/>
      <c r="I50" s="2"/>
      <c r="J50" s="2"/>
      <c r="K50" s="2"/>
      <c r="L50" s="2"/>
      <c r="M50" s="2"/>
      <c r="N50" s="2"/>
      <c r="O50" s="2"/>
      <c r="P50" s="2"/>
      <c r="Q50" s="2"/>
      <c r="R50" s="2"/>
      <c r="S50" s="2"/>
      <c r="T50" s="2"/>
      <c r="U50" s="2"/>
    </row>
    <row r="51" spans="1:21" x14ac:dyDescent="0.25">
      <c r="A51" s="2"/>
      <c r="B51" s="37">
        <f t="shared" si="2"/>
        <v>51</v>
      </c>
      <c r="C51" s="37">
        <f t="shared" si="1"/>
        <v>40</v>
      </c>
      <c r="D51" s="6" t="s">
        <v>0</v>
      </c>
      <c r="E51" s="26" t="s">
        <v>228</v>
      </c>
      <c r="F51" s="6" t="s">
        <v>0</v>
      </c>
      <c r="G51" s="26" t="s">
        <v>168</v>
      </c>
      <c r="H51" s="2"/>
      <c r="I51" s="2"/>
      <c r="J51" s="2"/>
      <c r="K51" s="2"/>
      <c r="L51" s="2"/>
      <c r="M51" s="2"/>
      <c r="N51" s="2"/>
      <c r="O51" s="2"/>
      <c r="P51" s="2"/>
      <c r="Q51" s="2"/>
      <c r="R51" s="2"/>
      <c r="S51" s="2"/>
      <c r="T51" s="2"/>
      <c r="U51" s="2"/>
    </row>
    <row r="52" spans="1:21" x14ac:dyDescent="0.25">
      <c r="A52" s="2"/>
      <c r="B52" s="37">
        <f t="shared" si="2"/>
        <v>52</v>
      </c>
      <c r="C52" s="37">
        <f t="shared" si="1"/>
        <v>41</v>
      </c>
      <c r="D52" s="6" t="s">
        <v>0</v>
      </c>
      <c r="E52" s="26" t="s">
        <v>229</v>
      </c>
      <c r="F52" s="6" t="s">
        <v>0</v>
      </c>
      <c r="G52" s="26" t="s">
        <v>23</v>
      </c>
      <c r="H52" s="2"/>
      <c r="I52" s="2"/>
      <c r="J52" s="2"/>
      <c r="K52" s="2"/>
      <c r="L52" s="2"/>
      <c r="M52" s="2"/>
      <c r="N52" s="2"/>
      <c r="O52" s="2"/>
      <c r="P52" s="2"/>
      <c r="Q52" s="2"/>
      <c r="R52" s="2"/>
      <c r="S52" s="2"/>
      <c r="T52" s="2"/>
      <c r="U52" s="2"/>
    </row>
    <row r="53" spans="1:21" x14ac:dyDescent="0.25">
      <c r="A53" s="2"/>
      <c r="B53" s="37">
        <f t="shared" si="2"/>
        <v>53</v>
      </c>
      <c r="C53" s="37">
        <f t="shared" si="1"/>
        <v>42</v>
      </c>
      <c r="D53" s="6" t="s">
        <v>0</v>
      </c>
      <c r="E53" s="26" t="s">
        <v>230</v>
      </c>
      <c r="F53" s="6" t="s">
        <v>0</v>
      </c>
      <c r="G53" s="26" t="s">
        <v>23</v>
      </c>
      <c r="H53" s="2"/>
      <c r="I53" s="2"/>
      <c r="J53" s="2"/>
      <c r="K53" s="2"/>
      <c r="L53" s="2"/>
      <c r="M53" s="2"/>
      <c r="N53" s="2"/>
      <c r="O53" s="2"/>
      <c r="P53" s="2"/>
      <c r="Q53" s="2"/>
      <c r="R53" s="2"/>
      <c r="S53" s="2"/>
      <c r="T53" s="2"/>
      <c r="U53" s="2"/>
    </row>
    <row r="54" spans="1:21" x14ac:dyDescent="0.25">
      <c r="A54" s="2"/>
      <c r="B54" s="37">
        <f t="shared" si="2"/>
        <v>54</v>
      </c>
      <c r="C54" s="37">
        <f t="shared" si="1"/>
        <v>43</v>
      </c>
      <c r="D54" s="6" t="s">
        <v>0</v>
      </c>
      <c r="E54" s="26" t="s">
        <v>231</v>
      </c>
      <c r="F54" s="6" t="s">
        <v>0</v>
      </c>
      <c r="G54" s="26" t="s">
        <v>212</v>
      </c>
      <c r="H54" s="2"/>
      <c r="I54" s="2"/>
      <c r="J54" s="2"/>
      <c r="K54" s="2"/>
      <c r="L54" s="2"/>
      <c r="M54" s="2"/>
      <c r="N54" s="2"/>
      <c r="O54" s="2"/>
      <c r="P54" s="2"/>
      <c r="Q54" s="2"/>
      <c r="R54" s="2"/>
      <c r="S54" s="2"/>
      <c r="T54" s="2"/>
      <c r="U54" s="2"/>
    </row>
    <row r="55" spans="1:21" x14ac:dyDescent="0.25">
      <c r="A55" s="2"/>
      <c r="B55" s="37">
        <f t="shared" si="2"/>
        <v>55</v>
      </c>
      <c r="C55" s="37">
        <f t="shared" si="1"/>
        <v>44</v>
      </c>
      <c r="D55" s="6" t="s">
        <v>0</v>
      </c>
      <c r="E55" s="26" t="s">
        <v>232</v>
      </c>
      <c r="F55" s="6" t="s">
        <v>0</v>
      </c>
      <c r="G55" s="26" t="s">
        <v>23</v>
      </c>
      <c r="H55" s="2"/>
      <c r="I55" s="2"/>
      <c r="J55" s="2"/>
      <c r="K55" s="2"/>
      <c r="L55" s="2"/>
      <c r="M55" s="2"/>
      <c r="N55" s="2"/>
      <c r="O55" s="2"/>
      <c r="P55" s="2"/>
      <c r="Q55" s="2"/>
      <c r="R55" s="2"/>
      <c r="S55" s="2"/>
      <c r="T55" s="2"/>
      <c r="U55" s="2"/>
    </row>
    <row r="56" spans="1:21" x14ac:dyDescent="0.25">
      <c r="A56" s="2"/>
      <c r="B56" s="37">
        <f t="shared" si="2"/>
        <v>56</v>
      </c>
      <c r="C56" s="37">
        <f t="shared" si="1"/>
        <v>45</v>
      </c>
      <c r="D56" s="6" t="s">
        <v>0</v>
      </c>
      <c r="E56" s="26" t="s">
        <v>233</v>
      </c>
      <c r="F56" s="6" t="s">
        <v>0</v>
      </c>
      <c r="G56" s="26" t="s">
        <v>23</v>
      </c>
      <c r="H56" s="2"/>
      <c r="I56" s="2"/>
      <c r="J56" s="2"/>
      <c r="K56" s="2"/>
      <c r="L56" s="2"/>
      <c r="M56" s="2"/>
      <c r="N56" s="2"/>
      <c r="O56" s="2"/>
      <c r="P56" s="2"/>
      <c r="Q56" s="2"/>
      <c r="R56" s="2"/>
      <c r="S56" s="2"/>
      <c r="T56" s="2"/>
      <c r="U56" s="2"/>
    </row>
    <row r="57" spans="1:21" x14ac:dyDescent="0.25">
      <c r="A57" s="2"/>
      <c r="B57" s="37">
        <f t="shared" si="2"/>
        <v>57</v>
      </c>
      <c r="C57" s="37">
        <f t="shared" si="1"/>
        <v>46</v>
      </c>
      <c r="D57" s="6" t="s">
        <v>0</v>
      </c>
      <c r="E57" s="26" t="s">
        <v>234</v>
      </c>
      <c r="F57" s="6" t="s">
        <v>0</v>
      </c>
      <c r="G57" s="26" t="s">
        <v>23</v>
      </c>
      <c r="H57" s="2"/>
      <c r="I57" s="2"/>
      <c r="J57" s="2"/>
      <c r="K57" s="2"/>
      <c r="L57" s="2"/>
      <c r="M57" s="2"/>
      <c r="N57" s="2"/>
      <c r="O57" s="2"/>
      <c r="P57" s="2"/>
      <c r="Q57" s="2"/>
      <c r="R57" s="2"/>
      <c r="S57" s="2"/>
      <c r="T57" s="2"/>
      <c r="U57" s="2"/>
    </row>
    <row r="58" spans="1:21" x14ac:dyDescent="0.25">
      <c r="A58" s="2"/>
      <c r="B58" s="37">
        <f t="shared" si="2"/>
        <v>58</v>
      </c>
      <c r="C58" s="37">
        <f t="shared" si="1"/>
        <v>47</v>
      </c>
      <c r="D58" s="6" t="s">
        <v>0</v>
      </c>
      <c r="E58" s="26" t="s">
        <v>235</v>
      </c>
      <c r="F58" s="6" t="s">
        <v>0</v>
      </c>
      <c r="G58" s="26" t="s">
        <v>168</v>
      </c>
      <c r="H58" s="2"/>
      <c r="I58" s="2"/>
      <c r="J58" s="2"/>
      <c r="K58" s="2"/>
      <c r="L58" s="2"/>
      <c r="M58" s="2"/>
      <c r="N58" s="2"/>
      <c r="O58" s="2"/>
      <c r="P58" s="2"/>
      <c r="Q58" s="2"/>
      <c r="R58" s="2"/>
      <c r="S58" s="2"/>
      <c r="T58" s="2"/>
      <c r="U58" s="2"/>
    </row>
    <row r="59" spans="1:21" x14ac:dyDescent="0.25">
      <c r="A59" s="2"/>
      <c r="B59" s="37">
        <f t="shared" si="2"/>
        <v>59</v>
      </c>
      <c r="C59" s="37">
        <f t="shared" si="1"/>
        <v>48</v>
      </c>
      <c r="D59" s="6" t="s">
        <v>0</v>
      </c>
      <c r="E59" s="26" t="s">
        <v>236</v>
      </c>
      <c r="F59" s="6" t="s">
        <v>0</v>
      </c>
      <c r="G59" s="26" t="s">
        <v>23</v>
      </c>
      <c r="H59" s="2"/>
      <c r="I59" s="2"/>
      <c r="J59" s="2"/>
      <c r="K59" s="2"/>
      <c r="L59" s="2"/>
      <c r="M59" s="2"/>
      <c r="N59" s="2"/>
      <c r="O59" s="2"/>
      <c r="P59" s="2"/>
      <c r="Q59" s="2"/>
      <c r="R59" s="2"/>
      <c r="S59" s="2"/>
      <c r="T59" s="2"/>
      <c r="U59" s="2"/>
    </row>
    <row r="60" spans="1:21" x14ac:dyDescent="0.25">
      <c r="A60" s="2"/>
      <c r="B60" s="37">
        <f t="shared" si="2"/>
        <v>60</v>
      </c>
      <c r="C60" s="37">
        <f t="shared" si="1"/>
        <v>49</v>
      </c>
      <c r="D60" s="6" t="s">
        <v>0</v>
      </c>
      <c r="E60" s="26" t="s">
        <v>237</v>
      </c>
      <c r="F60" s="6" t="s">
        <v>0</v>
      </c>
      <c r="G60" s="26" t="s">
        <v>23</v>
      </c>
      <c r="H60" s="2"/>
      <c r="I60" s="2"/>
      <c r="J60" s="2"/>
      <c r="K60" s="2"/>
      <c r="L60" s="2"/>
      <c r="M60" s="2"/>
      <c r="N60" s="2"/>
      <c r="O60" s="2"/>
      <c r="P60" s="2"/>
      <c r="Q60" s="2"/>
      <c r="R60" s="2"/>
      <c r="S60" s="2"/>
      <c r="T60" s="2"/>
      <c r="U60" s="2"/>
    </row>
    <row r="61" spans="1:21" x14ac:dyDescent="0.25">
      <c r="A61" s="2"/>
      <c r="B61" s="37">
        <f t="shared" si="2"/>
        <v>61</v>
      </c>
      <c r="C61" s="37">
        <f t="shared" si="1"/>
        <v>50</v>
      </c>
      <c r="D61" s="6" t="s">
        <v>0</v>
      </c>
      <c r="E61" s="26" t="s">
        <v>239</v>
      </c>
      <c r="F61" s="6" t="s">
        <v>0</v>
      </c>
      <c r="G61" s="26" t="s">
        <v>168</v>
      </c>
      <c r="H61" s="2"/>
      <c r="I61" s="2"/>
      <c r="J61" s="2"/>
      <c r="K61" s="2"/>
      <c r="L61" s="2"/>
      <c r="M61" s="2"/>
      <c r="N61" s="2"/>
      <c r="O61" s="2"/>
      <c r="P61" s="2"/>
      <c r="Q61" s="2"/>
      <c r="R61" s="2"/>
      <c r="S61" s="2"/>
      <c r="T61" s="2"/>
      <c r="U61" s="2"/>
    </row>
    <row r="62" spans="1:21" x14ac:dyDescent="0.25">
      <c r="A62" s="2"/>
      <c r="B62" s="37">
        <f t="shared" si="2"/>
        <v>62</v>
      </c>
      <c r="C62" s="37">
        <f t="shared" si="1"/>
        <v>51</v>
      </c>
      <c r="D62" s="6" t="s">
        <v>0</v>
      </c>
      <c r="E62" s="26" t="s">
        <v>242</v>
      </c>
      <c r="F62" s="6" t="s">
        <v>0</v>
      </c>
      <c r="G62" s="26" t="s">
        <v>23</v>
      </c>
      <c r="H62" s="2"/>
      <c r="I62" s="2"/>
      <c r="J62" s="2"/>
      <c r="K62" s="2"/>
      <c r="L62" s="2"/>
      <c r="M62" s="2"/>
      <c r="N62" s="2"/>
      <c r="O62" s="2"/>
      <c r="P62" s="2"/>
      <c r="Q62" s="2"/>
      <c r="R62" s="2"/>
      <c r="S62" s="2"/>
      <c r="T62" s="2"/>
      <c r="U62" s="2"/>
    </row>
    <row r="63" spans="1:21" x14ac:dyDescent="0.25">
      <c r="A63" s="2"/>
      <c r="B63" s="37">
        <f t="shared" si="2"/>
        <v>63</v>
      </c>
      <c r="C63" s="37">
        <f t="shared" si="1"/>
        <v>52</v>
      </c>
      <c r="D63" s="6" t="s">
        <v>0</v>
      </c>
      <c r="E63" s="26" t="s">
        <v>240</v>
      </c>
      <c r="F63" s="6" t="s">
        <v>0</v>
      </c>
      <c r="G63" s="26" t="s">
        <v>168</v>
      </c>
      <c r="H63" s="2"/>
      <c r="I63" s="2"/>
      <c r="J63" s="2"/>
      <c r="K63" s="2"/>
      <c r="L63" s="2"/>
      <c r="M63" s="2"/>
      <c r="N63" s="2"/>
      <c r="O63" s="2"/>
      <c r="P63" s="2"/>
      <c r="Q63" s="2"/>
      <c r="R63" s="2"/>
      <c r="S63" s="2"/>
      <c r="T63" s="2"/>
      <c r="U63" s="2"/>
    </row>
    <row r="64" spans="1:21" x14ac:dyDescent="0.25">
      <c r="A64" s="2"/>
      <c r="B64" s="37">
        <f t="shared" si="2"/>
        <v>64</v>
      </c>
      <c r="C64" s="37">
        <f t="shared" si="1"/>
        <v>53</v>
      </c>
      <c r="D64" s="6" t="s">
        <v>0</v>
      </c>
      <c r="E64" s="26" t="s">
        <v>241</v>
      </c>
      <c r="F64" s="6" t="s">
        <v>0</v>
      </c>
      <c r="G64" s="26" t="s">
        <v>23</v>
      </c>
      <c r="H64" s="2"/>
      <c r="I64" s="2"/>
      <c r="J64" s="2"/>
      <c r="K64" s="2"/>
      <c r="L64" s="2"/>
      <c r="M64" s="2"/>
      <c r="N64" s="2"/>
      <c r="O64" s="2"/>
      <c r="P64" s="2"/>
      <c r="Q64" s="2"/>
      <c r="R64" s="2"/>
      <c r="S64" s="2"/>
      <c r="T64" s="2"/>
      <c r="U64" s="2"/>
    </row>
    <row r="65" spans="1:21" x14ac:dyDescent="0.25">
      <c r="A65" s="2"/>
      <c r="B65" s="37">
        <f t="shared" si="2"/>
        <v>65</v>
      </c>
      <c r="C65" s="37">
        <f t="shared" si="1"/>
        <v>54</v>
      </c>
      <c r="D65" s="6" t="s">
        <v>0</v>
      </c>
      <c r="E65" s="26" t="s">
        <v>245</v>
      </c>
      <c r="F65" s="6" t="s">
        <v>0</v>
      </c>
      <c r="G65" s="26" t="s">
        <v>168</v>
      </c>
      <c r="H65" s="2"/>
      <c r="I65" s="2"/>
      <c r="J65" s="2"/>
      <c r="K65" s="2"/>
      <c r="L65" s="2"/>
      <c r="M65" s="2"/>
      <c r="N65" s="2"/>
      <c r="O65" s="2"/>
      <c r="P65" s="2"/>
      <c r="Q65" s="2"/>
      <c r="R65" s="2"/>
      <c r="S65" s="2"/>
      <c r="T65" s="2"/>
      <c r="U65" s="2"/>
    </row>
    <row r="66" spans="1:21" x14ac:dyDescent="0.25">
      <c r="A66" s="2"/>
      <c r="B66" s="37">
        <f t="shared" si="2"/>
        <v>66</v>
      </c>
      <c r="C66" s="37">
        <f t="shared" si="1"/>
        <v>55</v>
      </c>
      <c r="D66" s="6" t="s">
        <v>0</v>
      </c>
      <c r="E66" s="26" t="s">
        <v>246</v>
      </c>
      <c r="F66" s="6" t="s">
        <v>0</v>
      </c>
      <c r="G66" s="26" t="s">
        <v>168</v>
      </c>
      <c r="H66" s="2"/>
      <c r="I66" s="2"/>
      <c r="J66" s="2"/>
      <c r="K66" s="2"/>
      <c r="L66" s="2"/>
      <c r="M66" s="2"/>
      <c r="N66" s="2"/>
      <c r="O66" s="2"/>
      <c r="P66" s="2"/>
      <c r="Q66" s="2"/>
      <c r="R66" s="2"/>
      <c r="S66" s="2"/>
      <c r="T66" s="2"/>
      <c r="U66" s="2"/>
    </row>
    <row r="67" spans="1:21" x14ac:dyDescent="0.25">
      <c r="A67" s="2"/>
      <c r="B67" s="37">
        <f t="shared" si="2"/>
        <v>67</v>
      </c>
      <c r="C67" s="37">
        <f t="shared" si="1"/>
        <v>56</v>
      </c>
      <c r="D67" s="6" t="s">
        <v>0</v>
      </c>
      <c r="E67" s="26" t="s">
        <v>247</v>
      </c>
      <c r="F67" s="6" t="s">
        <v>0</v>
      </c>
      <c r="G67" s="26" t="s">
        <v>168</v>
      </c>
      <c r="H67" s="2"/>
      <c r="I67" s="2"/>
      <c r="J67" s="2"/>
      <c r="K67" s="2"/>
      <c r="L67" s="2"/>
      <c r="M67" s="2"/>
      <c r="N67" s="2"/>
      <c r="O67" s="2"/>
      <c r="P67" s="2"/>
      <c r="Q67" s="2"/>
      <c r="R67" s="2"/>
      <c r="S67" s="2"/>
      <c r="T67" s="2"/>
      <c r="U67" s="2"/>
    </row>
    <row r="68" spans="1:21" x14ac:dyDescent="0.25">
      <c r="A68" s="2"/>
      <c r="B68" s="37">
        <f t="shared" si="2"/>
        <v>68</v>
      </c>
      <c r="C68" s="37">
        <f t="shared" si="1"/>
        <v>57</v>
      </c>
      <c r="D68" s="6" t="s">
        <v>0</v>
      </c>
      <c r="E68" s="26" t="s">
        <v>248</v>
      </c>
      <c r="F68" s="6" t="s">
        <v>0</v>
      </c>
      <c r="G68" s="26" t="s">
        <v>168</v>
      </c>
      <c r="H68" s="2"/>
      <c r="I68" s="2"/>
      <c r="J68" s="2"/>
      <c r="K68" s="2"/>
      <c r="L68" s="2"/>
      <c r="M68" s="2"/>
      <c r="N68" s="2"/>
      <c r="O68" s="2"/>
      <c r="P68" s="2"/>
      <c r="Q68" s="2"/>
      <c r="R68" s="2"/>
      <c r="S68" s="2"/>
      <c r="T68" s="2"/>
      <c r="U68" s="2"/>
    </row>
    <row r="69" spans="1:21" x14ac:dyDescent="0.25">
      <c r="A69" s="2"/>
      <c r="B69" s="37">
        <f t="shared" si="2"/>
        <v>69</v>
      </c>
      <c r="C69" s="37">
        <f t="shared" si="1"/>
        <v>58</v>
      </c>
      <c r="D69" s="6" t="s">
        <v>0</v>
      </c>
      <c r="E69" s="26" t="s">
        <v>249</v>
      </c>
      <c r="F69" s="6" t="s">
        <v>0</v>
      </c>
      <c r="G69" s="26" t="s">
        <v>168</v>
      </c>
      <c r="H69" s="2"/>
      <c r="I69" s="2"/>
      <c r="J69" s="2"/>
      <c r="K69" s="2"/>
      <c r="L69" s="2"/>
      <c r="M69" s="2"/>
      <c r="N69" s="2"/>
      <c r="O69" s="2"/>
      <c r="P69" s="2"/>
      <c r="Q69" s="2"/>
      <c r="R69" s="2"/>
      <c r="S69" s="2"/>
      <c r="T69" s="2"/>
      <c r="U69" s="2"/>
    </row>
    <row r="70" spans="1:21" x14ac:dyDescent="0.25">
      <c r="A70" s="2"/>
      <c r="B70" s="37">
        <f t="shared" si="2"/>
        <v>70</v>
      </c>
      <c r="C70" s="37">
        <f t="shared" si="1"/>
        <v>59</v>
      </c>
      <c r="D70" s="6" t="s">
        <v>0</v>
      </c>
      <c r="E70" s="26" t="s">
        <v>250</v>
      </c>
      <c r="F70" s="6" t="s">
        <v>0</v>
      </c>
      <c r="G70" s="26" t="s">
        <v>168</v>
      </c>
      <c r="H70" s="2"/>
      <c r="I70" s="2"/>
      <c r="J70" s="2"/>
      <c r="K70" s="2"/>
      <c r="L70" s="2"/>
      <c r="M70" s="2"/>
      <c r="N70" s="2"/>
      <c r="O70" s="2"/>
      <c r="P70" s="2"/>
      <c r="Q70" s="2"/>
      <c r="R70" s="2"/>
      <c r="S70" s="2"/>
      <c r="T70" s="2"/>
      <c r="U70" s="2"/>
    </row>
    <row r="71" spans="1:21" x14ac:dyDescent="0.25">
      <c r="A71" s="2"/>
      <c r="B71" s="37">
        <f t="shared" si="2"/>
        <v>71</v>
      </c>
      <c r="C71" s="37">
        <f t="shared" si="1"/>
        <v>60</v>
      </c>
      <c r="D71" s="6" t="s">
        <v>0</v>
      </c>
      <c r="E71" s="26" t="s">
        <v>251</v>
      </c>
      <c r="F71" s="6" t="s">
        <v>0</v>
      </c>
      <c r="G71" s="26" t="s">
        <v>168</v>
      </c>
      <c r="H71" s="2"/>
      <c r="I71" s="2"/>
      <c r="J71" s="2"/>
      <c r="K71" s="2"/>
      <c r="L71" s="2"/>
      <c r="M71" s="2"/>
      <c r="N71" s="2"/>
      <c r="O71" s="2"/>
      <c r="P71" s="2"/>
      <c r="Q71" s="2"/>
      <c r="R71" s="2"/>
      <c r="S71" s="2"/>
      <c r="T71" s="2"/>
      <c r="U71" s="2"/>
    </row>
    <row r="72" spans="1:21" x14ac:dyDescent="0.25">
      <c r="A72" s="2"/>
      <c r="B72" s="37">
        <f t="shared" si="2"/>
        <v>72</v>
      </c>
      <c r="C72" s="37">
        <f t="shared" si="1"/>
        <v>61</v>
      </c>
      <c r="D72" s="6" t="s">
        <v>0</v>
      </c>
      <c r="E72" s="26" t="s">
        <v>252</v>
      </c>
      <c r="F72" s="6" t="s">
        <v>0</v>
      </c>
      <c r="G72" s="26" t="s">
        <v>168</v>
      </c>
      <c r="H72" s="2"/>
      <c r="I72" s="2"/>
      <c r="J72" s="2"/>
      <c r="K72" s="2"/>
      <c r="L72" s="2"/>
      <c r="M72" s="2"/>
      <c r="N72" s="2"/>
      <c r="O72" s="2"/>
      <c r="P72" s="2"/>
      <c r="Q72" s="2"/>
      <c r="R72" s="2"/>
      <c r="S72" s="2"/>
      <c r="T72" s="2"/>
      <c r="U72" s="2"/>
    </row>
    <row r="73" spans="1:21" x14ac:dyDescent="0.25">
      <c r="A73" s="2"/>
      <c r="B73" s="37">
        <f t="shared" si="2"/>
        <v>73</v>
      </c>
      <c r="C73" s="37">
        <f t="shared" si="1"/>
        <v>62</v>
      </c>
      <c r="D73" s="6" t="s">
        <v>0</v>
      </c>
      <c r="E73" s="26" t="s">
        <v>253</v>
      </c>
      <c r="F73" s="6" t="s">
        <v>0</v>
      </c>
      <c r="G73" s="26" t="s">
        <v>168</v>
      </c>
      <c r="H73" s="2"/>
      <c r="I73" s="2"/>
      <c r="J73" s="2"/>
      <c r="K73" s="2"/>
      <c r="L73" s="2"/>
      <c r="M73" s="2"/>
      <c r="N73" s="2"/>
      <c r="O73" s="2"/>
      <c r="P73" s="2"/>
      <c r="Q73" s="2"/>
      <c r="R73" s="2"/>
      <c r="S73" s="2"/>
      <c r="T73" s="2"/>
      <c r="U73" s="2"/>
    </row>
    <row r="74" spans="1:21" x14ac:dyDescent="0.25">
      <c r="A74" s="2"/>
      <c r="B74" s="37">
        <f t="shared" si="2"/>
        <v>74</v>
      </c>
      <c r="C74" s="37">
        <f t="shared" si="1"/>
        <v>63</v>
      </c>
      <c r="D74" s="6" t="s">
        <v>0</v>
      </c>
      <c r="E74" s="26" t="s">
        <v>260</v>
      </c>
      <c r="F74" s="6" t="s">
        <v>0</v>
      </c>
      <c r="G74" s="26" t="s">
        <v>23</v>
      </c>
      <c r="H74" s="2"/>
      <c r="I74" s="2"/>
      <c r="J74" s="2"/>
      <c r="K74" s="2"/>
      <c r="L74" s="2"/>
      <c r="M74" s="2"/>
      <c r="N74" s="2"/>
      <c r="O74" s="2"/>
      <c r="P74" s="2"/>
      <c r="Q74" s="2"/>
      <c r="R74" s="2"/>
      <c r="S74" s="2"/>
      <c r="T74" s="2"/>
      <c r="U74" s="2"/>
    </row>
    <row r="75" spans="1:21" x14ac:dyDescent="0.25">
      <c r="A75" s="2"/>
      <c r="B75" s="37">
        <f t="shared" si="2"/>
        <v>75</v>
      </c>
      <c r="C75" s="37">
        <f t="shared" si="1"/>
        <v>64</v>
      </c>
      <c r="D75" s="6" t="s">
        <v>0</v>
      </c>
      <c r="E75" s="26" t="s">
        <v>243</v>
      </c>
      <c r="F75" s="6" t="s">
        <v>0</v>
      </c>
      <c r="G75" s="26" t="s">
        <v>23</v>
      </c>
      <c r="H75" s="2"/>
      <c r="I75" s="2"/>
      <c r="J75" s="2"/>
      <c r="K75" s="2"/>
      <c r="L75" s="2"/>
      <c r="M75" s="2"/>
      <c r="N75" s="2"/>
      <c r="O75" s="2"/>
      <c r="P75" s="2"/>
      <c r="Q75" s="2"/>
      <c r="R75" s="2"/>
      <c r="S75" s="2"/>
      <c r="T75" s="2"/>
      <c r="U75" s="2"/>
    </row>
    <row r="76" spans="1:21" x14ac:dyDescent="0.25">
      <c r="A76" s="2"/>
      <c r="B76" s="37">
        <f t="shared" si="2"/>
        <v>76</v>
      </c>
      <c r="C76" s="37">
        <f t="shared" si="1"/>
        <v>65</v>
      </c>
      <c r="D76" s="6" t="s">
        <v>0</v>
      </c>
      <c r="E76" s="26" t="s">
        <v>261</v>
      </c>
      <c r="F76" s="6" t="s">
        <v>0</v>
      </c>
      <c r="G76" s="26" t="s">
        <v>23</v>
      </c>
      <c r="H76" s="2"/>
      <c r="I76" s="2"/>
      <c r="J76" s="2"/>
      <c r="K76" s="2"/>
      <c r="L76" s="2"/>
      <c r="M76" s="2"/>
      <c r="N76" s="2"/>
      <c r="O76" s="2"/>
      <c r="P76" s="2"/>
      <c r="Q76" s="2"/>
      <c r="R76" s="2"/>
      <c r="S76" s="2"/>
      <c r="T76" s="2"/>
      <c r="U76" s="2"/>
    </row>
    <row r="77" spans="1:21" x14ac:dyDescent="0.25">
      <c r="A77" s="2"/>
      <c r="B77" s="37">
        <f t="shared" si="2"/>
        <v>77</v>
      </c>
      <c r="C77" s="37">
        <f t="shared" si="1"/>
        <v>66</v>
      </c>
      <c r="D77" s="6" t="s">
        <v>0</v>
      </c>
      <c r="E77" s="26" t="s">
        <v>262</v>
      </c>
      <c r="F77" s="6" t="s">
        <v>0</v>
      </c>
      <c r="G77" s="26" t="s">
        <v>23</v>
      </c>
      <c r="H77" s="2"/>
      <c r="I77" s="2"/>
      <c r="J77" s="2"/>
      <c r="K77" s="2"/>
      <c r="L77" s="2"/>
      <c r="M77" s="2"/>
      <c r="N77" s="2"/>
      <c r="O77" s="2"/>
      <c r="P77" s="2"/>
      <c r="Q77" s="2"/>
      <c r="R77" s="2"/>
      <c r="S77" s="2"/>
      <c r="T77" s="2"/>
      <c r="U77" s="2"/>
    </row>
    <row r="78" spans="1:21" x14ac:dyDescent="0.25">
      <c r="A78" s="2"/>
      <c r="B78" s="37">
        <f t="shared" si="2"/>
        <v>78</v>
      </c>
      <c r="C78" s="37">
        <f t="shared" ref="C78:C141" si="3">C77+1</f>
        <v>67</v>
      </c>
      <c r="D78" s="6" t="s">
        <v>0</v>
      </c>
      <c r="E78" s="26" t="s">
        <v>263</v>
      </c>
      <c r="F78" s="6" t="s">
        <v>0</v>
      </c>
      <c r="G78" s="26" t="s">
        <v>23</v>
      </c>
      <c r="H78" s="2"/>
      <c r="I78" s="2"/>
      <c r="J78" s="2"/>
      <c r="K78" s="2"/>
      <c r="L78" s="2"/>
      <c r="M78" s="2"/>
      <c r="N78" s="2"/>
      <c r="O78" s="2"/>
      <c r="P78" s="2"/>
      <c r="Q78" s="2"/>
      <c r="R78" s="2"/>
      <c r="S78" s="2"/>
      <c r="T78" s="2"/>
      <c r="U78" s="2"/>
    </row>
    <row r="79" spans="1:21" x14ac:dyDescent="0.25">
      <c r="A79" s="2"/>
      <c r="B79" s="37">
        <f t="shared" si="2"/>
        <v>79</v>
      </c>
      <c r="C79" s="37">
        <f t="shared" si="3"/>
        <v>68</v>
      </c>
      <c r="D79" s="6" t="s">
        <v>0</v>
      </c>
      <c r="E79" s="26" t="s">
        <v>264</v>
      </c>
      <c r="F79" s="6" t="s">
        <v>0</v>
      </c>
      <c r="G79" s="26" t="s">
        <v>23</v>
      </c>
      <c r="H79" s="2"/>
      <c r="I79" s="2"/>
      <c r="J79" s="2"/>
      <c r="K79" s="2"/>
      <c r="L79" s="2"/>
      <c r="M79" s="2"/>
      <c r="N79" s="2"/>
      <c r="O79" s="2"/>
      <c r="P79" s="2"/>
      <c r="Q79" s="2"/>
      <c r="R79" s="2"/>
      <c r="S79" s="2"/>
      <c r="T79" s="2"/>
      <c r="U79" s="2"/>
    </row>
    <row r="80" spans="1:21" x14ac:dyDescent="0.25">
      <c r="A80" s="2"/>
      <c r="B80" s="37">
        <f t="shared" si="2"/>
        <v>80</v>
      </c>
      <c r="C80" s="37">
        <f t="shared" si="3"/>
        <v>69</v>
      </c>
      <c r="D80" s="6" t="s">
        <v>0</v>
      </c>
      <c r="E80" s="26" t="s">
        <v>265</v>
      </c>
      <c r="F80" s="6" t="s">
        <v>0</v>
      </c>
      <c r="G80" s="26" t="s">
        <v>23</v>
      </c>
      <c r="H80" s="2"/>
      <c r="I80" s="2"/>
      <c r="J80" s="2"/>
      <c r="K80" s="2"/>
      <c r="L80" s="2"/>
      <c r="M80" s="2"/>
      <c r="N80" s="2"/>
      <c r="O80" s="2"/>
      <c r="P80" s="2"/>
      <c r="Q80" s="2"/>
      <c r="R80" s="2"/>
      <c r="S80" s="2"/>
      <c r="T80" s="2"/>
      <c r="U80" s="2"/>
    </row>
    <row r="81" spans="1:21" x14ac:dyDescent="0.25">
      <c r="A81" s="2"/>
      <c r="B81" s="37">
        <f t="shared" si="2"/>
        <v>81</v>
      </c>
      <c r="C81" s="37">
        <f t="shared" si="3"/>
        <v>70</v>
      </c>
      <c r="D81" s="6" t="s">
        <v>0</v>
      </c>
      <c r="E81" s="26" t="s">
        <v>266</v>
      </c>
      <c r="F81" s="6" t="s">
        <v>0</v>
      </c>
      <c r="G81" s="26" t="s">
        <v>23</v>
      </c>
      <c r="H81" s="2"/>
      <c r="I81" s="2"/>
      <c r="J81" s="2"/>
      <c r="K81" s="2"/>
      <c r="L81" s="2"/>
      <c r="M81" s="2"/>
      <c r="N81" s="2"/>
      <c r="O81" s="2"/>
      <c r="P81" s="2"/>
      <c r="Q81" s="2"/>
      <c r="R81" s="2"/>
      <c r="S81" s="2"/>
      <c r="T81" s="2"/>
      <c r="U81" s="2"/>
    </row>
    <row r="82" spans="1:21" x14ac:dyDescent="0.25">
      <c r="A82" s="2"/>
      <c r="B82" s="37">
        <f t="shared" si="2"/>
        <v>82</v>
      </c>
      <c r="C82" s="37">
        <f t="shared" si="3"/>
        <v>71</v>
      </c>
      <c r="D82" s="6" t="s">
        <v>0</v>
      </c>
      <c r="E82" s="26" t="s">
        <v>267</v>
      </c>
      <c r="F82" s="6" t="s">
        <v>0</v>
      </c>
      <c r="G82" s="26" t="s">
        <v>23</v>
      </c>
      <c r="H82" s="2"/>
      <c r="I82" s="2"/>
      <c r="J82" s="2"/>
      <c r="K82" s="2"/>
      <c r="L82" s="2"/>
      <c r="M82" s="2"/>
      <c r="N82" s="2"/>
      <c r="O82" s="2"/>
      <c r="P82" s="2"/>
      <c r="Q82" s="2"/>
      <c r="R82" s="2"/>
      <c r="S82" s="2"/>
      <c r="T82" s="2"/>
      <c r="U82" s="2"/>
    </row>
    <row r="83" spans="1:21" x14ac:dyDescent="0.25">
      <c r="A83" s="2"/>
      <c r="B83" s="37">
        <f t="shared" si="2"/>
        <v>83</v>
      </c>
      <c r="C83" s="37">
        <f t="shared" si="3"/>
        <v>72</v>
      </c>
      <c r="D83" s="6" t="s">
        <v>0</v>
      </c>
      <c r="E83" s="26" t="s">
        <v>268</v>
      </c>
      <c r="F83" s="6" t="s">
        <v>0</v>
      </c>
      <c r="G83" s="26" t="s">
        <v>23</v>
      </c>
      <c r="H83" s="2"/>
      <c r="I83" s="2"/>
      <c r="J83" s="2"/>
      <c r="K83" s="2"/>
      <c r="L83" s="2"/>
      <c r="M83" s="2"/>
      <c r="N83" s="2"/>
      <c r="O83" s="2"/>
      <c r="P83" s="2"/>
      <c r="Q83" s="2"/>
      <c r="R83" s="2"/>
      <c r="S83" s="2"/>
      <c r="T83" s="2"/>
      <c r="U83" s="2"/>
    </row>
    <row r="84" spans="1:21" x14ac:dyDescent="0.25">
      <c r="A84" s="2"/>
      <c r="B84" s="37">
        <f t="shared" si="2"/>
        <v>84</v>
      </c>
      <c r="C84" s="37">
        <f t="shared" si="3"/>
        <v>73</v>
      </c>
      <c r="D84" s="6" t="s">
        <v>0</v>
      </c>
      <c r="E84" s="26" t="s">
        <v>269</v>
      </c>
      <c r="F84" s="6" t="s">
        <v>0</v>
      </c>
      <c r="G84" s="26" t="s">
        <v>23</v>
      </c>
      <c r="H84" s="2"/>
      <c r="I84" s="2"/>
      <c r="J84" s="2"/>
      <c r="K84" s="2"/>
      <c r="L84" s="2"/>
      <c r="M84" s="2"/>
      <c r="N84" s="2"/>
      <c r="O84" s="2"/>
      <c r="P84" s="2"/>
      <c r="Q84" s="2"/>
      <c r="R84" s="2"/>
      <c r="S84" s="2"/>
      <c r="T84" s="2"/>
      <c r="U84" s="2"/>
    </row>
    <row r="85" spans="1:21" x14ac:dyDescent="0.25">
      <c r="A85" s="2"/>
      <c r="B85" s="37">
        <f t="shared" si="2"/>
        <v>85</v>
      </c>
      <c r="C85" s="37">
        <f t="shared" si="3"/>
        <v>74</v>
      </c>
      <c r="D85" s="6" t="s">
        <v>0</v>
      </c>
      <c r="E85" s="26" t="s">
        <v>270</v>
      </c>
      <c r="F85" s="6" t="s">
        <v>0</v>
      </c>
      <c r="G85" s="26" t="s">
        <v>23</v>
      </c>
      <c r="H85" s="2"/>
      <c r="I85" s="2"/>
      <c r="J85" s="2"/>
      <c r="K85" s="2"/>
      <c r="L85" s="2"/>
      <c r="M85" s="2"/>
      <c r="N85" s="2"/>
      <c r="O85" s="2"/>
      <c r="P85" s="2"/>
      <c r="Q85" s="2"/>
      <c r="R85" s="2"/>
      <c r="S85" s="2"/>
      <c r="T85" s="2"/>
      <c r="U85" s="2"/>
    </row>
    <row r="86" spans="1:21" x14ac:dyDescent="0.25">
      <c r="A86" s="2"/>
      <c r="B86" s="37">
        <f t="shared" si="2"/>
        <v>86</v>
      </c>
      <c r="C86" s="37">
        <f t="shared" si="3"/>
        <v>75</v>
      </c>
      <c r="D86" s="6" t="s">
        <v>0</v>
      </c>
      <c r="E86" s="26" t="s">
        <v>271</v>
      </c>
      <c r="F86" s="6" t="s">
        <v>0</v>
      </c>
      <c r="G86" s="26" t="s">
        <v>23</v>
      </c>
      <c r="H86" s="2"/>
      <c r="I86" s="2"/>
      <c r="J86" s="2"/>
      <c r="K86" s="2"/>
      <c r="L86" s="2"/>
      <c r="M86" s="2"/>
      <c r="N86" s="2"/>
      <c r="O86" s="2"/>
      <c r="P86" s="2"/>
      <c r="Q86" s="2"/>
      <c r="R86" s="2"/>
      <c r="S86" s="2"/>
      <c r="T86" s="2"/>
      <c r="U86" s="2"/>
    </row>
    <row r="87" spans="1:21" x14ac:dyDescent="0.25">
      <c r="A87" s="2"/>
      <c r="B87" s="37">
        <f t="shared" si="2"/>
        <v>87</v>
      </c>
      <c r="C87" s="37">
        <f t="shared" si="3"/>
        <v>76</v>
      </c>
      <c r="D87" s="6" t="s">
        <v>0</v>
      </c>
      <c r="E87" s="26" t="s">
        <v>272</v>
      </c>
      <c r="F87" s="6" t="s">
        <v>0</v>
      </c>
      <c r="G87" s="26" t="s">
        <v>23</v>
      </c>
      <c r="H87" s="2"/>
      <c r="I87" s="2"/>
      <c r="J87" s="2"/>
      <c r="K87" s="2"/>
      <c r="L87" s="2"/>
      <c r="M87" s="2"/>
      <c r="N87" s="2"/>
      <c r="O87" s="2"/>
      <c r="P87" s="2"/>
      <c r="Q87" s="2"/>
      <c r="R87" s="2"/>
      <c r="S87" s="2"/>
      <c r="T87" s="2"/>
      <c r="U87" s="2"/>
    </row>
    <row r="88" spans="1:21" x14ac:dyDescent="0.25">
      <c r="A88" s="2"/>
      <c r="B88" s="37">
        <f t="shared" si="2"/>
        <v>88</v>
      </c>
      <c r="C88" s="37">
        <f t="shared" si="3"/>
        <v>77</v>
      </c>
      <c r="D88" s="6" t="s">
        <v>0</v>
      </c>
      <c r="E88" s="26" t="s">
        <v>273</v>
      </c>
      <c r="F88" s="6" t="s">
        <v>0</v>
      </c>
      <c r="G88" s="26" t="s">
        <v>23</v>
      </c>
      <c r="H88" s="2"/>
      <c r="I88" s="2"/>
      <c r="J88" s="2"/>
      <c r="K88" s="2"/>
      <c r="L88" s="2"/>
      <c r="M88" s="2"/>
      <c r="N88" s="2"/>
      <c r="O88" s="2"/>
      <c r="P88" s="2"/>
      <c r="Q88" s="2"/>
      <c r="R88" s="2"/>
      <c r="S88" s="2"/>
      <c r="T88" s="2"/>
      <c r="U88" s="2"/>
    </row>
    <row r="89" spans="1:21" x14ac:dyDescent="0.25">
      <c r="A89" s="2"/>
      <c r="B89" s="37">
        <f t="shared" si="2"/>
        <v>89</v>
      </c>
      <c r="C89" s="37">
        <f t="shared" si="3"/>
        <v>78</v>
      </c>
      <c r="D89" s="6" t="s">
        <v>0</v>
      </c>
      <c r="E89" s="26" t="s">
        <v>276</v>
      </c>
      <c r="F89" s="6" t="s">
        <v>0</v>
      </c>
      <c r="G89" s="26" t="s">
        <v>23</v>
      </c>
      <c r="H89" s="2"/>
      <c r="I89" s="2"/>
      <c r="J89" s="2"/>
      <c r="K89" s="2"/>
      <c r="L89" s="2"/>
      <c r="M89" s="2"/>
      <c r="N89" s="2"/>
      <c r="O89" s="2"/>
      <c r="P89" s="2"/>
      <c r="Q89" s="2"/>
      <c r="R89" s="2"/>
      <c r="S89" s="2"/>
      <c r="T89" s="2"/>
      <c r="U89" s="2"/>
    </row>
    <row r="90" spans="1:21" x14ac:dyDescent="0.25">
      <c r="A90" s="2"/>
      <c r="B90" s="37">
        <f t="shared" si="2"/>
        <v>90</v>
      </c>
      <c r="C90" s="37">
        <f t="shared" si="3"/>
        <v>79</v>
      </c>
      <c r="D90" s="6" t="s">
        <v>0</v>
      </c>
      <c r="E90" s="26" t="s">
        <v>277</v>
      </c>
      <c r="F90" s="6" t="s">
        <v>0</v>
      </c>
      <c r="G90" s="26" t="s">
        <v>23</v>
      </c>
      <c r="H90" s="2"/>
      <c r="I90" s="2"/>
      <c r="J90" s="2"/>
      <c r="K90" s="2"/>
      <c r="L90" s="2"/>
      <c r="M90" s="2"/>
      <c r="N90" s="2"/>
      <c r="O90" s="2"/>
      <c r="P90" s="2"/>
      <c r="Q90" s="2"/>
      <c r="R90" s="2"/>
      <c r="S90" s="2"/>
      <c r="T90" s="2"/>
      <c r="U90" s="2"/>
    </row>
    <row r="91" spans="1:21" x14ac:dyDescent="0.25">
      <c r="A91" s="2"/>
      <c r="B91" s="37">
        <f t="shared" si="2"/>
        <v>91</v>
      </c>
      <c r="C91" s="37">
        <f t="shared" si="3"/>
        <v>80</v>
      </c>
      <c r="D91" s="6" t="s">
        <v>0</v>
      </c>
      <c r="E91" s="26" t="s">
        <v>342</v>
      </c>
      <c r="F91" s="6" t="s">
        <v>0</v>
      </c>
      <c r="G91" s="26" t="s">
        <v>23</v>
      </c>
      <c r="H91" s="2"/>
      <c r="I91" s="2"/>
      <c r="J91" s="2"/>
      <c r="K91" s="2"/>
      <c r="L91" s="2"/>
      <c r="M91" s="2"/>
      <c r="N91" s="2"/>
      <c r="O91" s="2"/>
      <c r="P91" s="2"/>
      <c r="Q91" s="2"/>
      <c r="R91" s="2"/>
      <c r="S91" s="2"/>
      <c r="T91" s="2"/>
      <c r="U91" s="2"/>
    </row>
    <row r="92" spans="1:21" x14ac:dyDescent="0.25">
      <c r="A92" s="2"/>
      <c r="B92" s="37">
        <f t="shared" si="2"/>
        <v>92</v>
      </c>
      <c r="C92" s="37">
        <f t="shared" si="3"/>
        <v>81</v>
      </c>
      <c r="D92" s="6" t="s">
        <v>0</v>
      </c>
      <c r="E92" s="26" t="s">
        <v>279</v>
      </c>
      <c r="F92" s="6" t="s">
        <v>0</v>
      </c>
      <c r="G92" s="26" t="s">
        <v>23</v>
      </c>
      <c r="H92" s="2"/>
      <c r="I92" s="2"/>
      <c r="J92" s="2"/>
      <c r="K92" s="2"/>
      <c r="L92" s="2"/>
      <c r="M92" s="2"/>
      <c r="N92" s="2"/>
      <c r="O92" s="2"/>
      <c r="P92" s="2"/>
      <c r="Q92" s="2"/>
      <c r="R92" s="2"/>
      <c r="S92" s="2"/>
      <c r="T92" s="2"/>
      <c r="U92" s="2"/>
    </row>
    <row r="93" spans="1:21" x14ac:dyDescent="0.25">
      <c r="A93" s="2"/>
      <c r="B93" s="37">
        <f t="shared" si="2"/>
        <v>93</v>
      </c>
      <c r="C93" s="37">
        <f t="shared" si="3"/>
        <v>82</v>
      </c>
      <c r="D93" s="6" t="s">
        <v>0</v>
      </c>
      <c r="E93" s="26" t="s">
        <v>280</v>
      </c>
      <c r="F93" s="6" t="s">
        <v>0</v>
      </c>
      <c r="G93" s="26" t="s">
        <v>23</v>
      </c>
      <c r="H93" s="2"/>
      <c r="I93" s="2"/>
      <c r="J93" s="2"/>
      <c r="K93" s="2"/>
      <c r="L93" s="2"/>
      <c r="M93" s="2"/>
      <c r="N93" s="2"/>
      <c r="O93" s="2"/>
      <c r="P93" s="2"/>
      <c r="Q93" s="2"/>
      <c r="R93" s="2"/>
      <c r="S93" s="2"/>
      <c r="T93" s="2"/>
      <c r="U93" s="2"/>
    </row>
    <row r="94" spans="1:21" x14ac:dyDescent="0.25">
      <c r="A94" s="2"/>
      <c r="B94" s="37">
        <f t="shared" si="2"/>
        <v>94</v>
      </c>
      <c r="C94" s="37">
        <f t="shared" si="3"/>
        <v>83</v>
      </c>
      <c r="D94" s="6" t="s">
        <v>0</v>
      </c>
      <c r="E94" s="26" t="s">
        <v>284</v>
      </c>
      <c r="F94" s="6" t="s">
        <v>0</v>
      </c>
      <c r="G94" s="26" t="s">
        <v>23</v>
      </c>
      <c r="H94" s="2"/>
      <c r="I94" s="2"/>
      <c r="J94" s="2"/>
      <c r="K94" s="2"/>
      <c r="L94" s="2"/>
      <c r="M94" s="2"/>
      <c r="N94" s="2"/>
      <c r="O94" s="2"/>
      <c r="P94" s="2"/>
      <c r="Q94" s="2"/>
      <c r="R94" s="2"/>
      <c r="S94" s="2"/>
      <c r="T94" s="2"/>
      <c r="U94" s="2"/>
    </row>
    <row r="95" spans="1:21" x14ac:dyDescent="0.25">
      <c r="A95" s="2"/>
      <c r="B95" s="37">
        <f t="shared" si="2"/>
        <v>95</v>
      </c>
      <c r="C95" s="37">
        <f t="shared" si="3"/>
        <v>84</v>
      </c>
      <c r="D95" s="6" t="s">
        <v>0</v>
      </c>
      <c r="E95" s="26" t="s">
        <v>281</v>
      </c>
      <c r="F95" s="6" t="s">
        <v>0</v>
      </c>
      <c r="G95" s="26" t="s">
        <v>23</v>
      </c>
      <c r="H95" s="2"/>
      <c r="I95" s="2"/>
      <c r="J95" s="2"/>
      <c r="K95" s="2"/>
      <c r="L95" s="2"/>
      <c r="M95" s="2"/>
      <c r="N95" s="2"/>
      <c r="O95" s="2"/>
      <c r="P95" s="2"/>
      <c r="Q95" s="2"/>
      <c r="R95" s="2"/>
      <c r="S95" s="2"/>
      <c r="T95" s="2"/>
      <c r="U95" s="2"/>
    </row>
    <row r="96" spans="1:21" x14ac:dyDescent="0.25">
      <c r="A96" s="2"/>
      <c r="B96" s="37">
        <f t="shared" si="2"/>
        <v>96</v>
      </c>
      <c r="C96" s="37">
        <f t="shared" si="3"/>
        <v>85</v>
      </c>
      <c r="D96" s="6" t="s">
        <v>0</v>
      </c>
      <c r="E96" s="26" t="s">
        <v>282</v>
      </c>
      <c r="F96" s="6" t="s">
        <v>0</v>
      </c>
      <c r="G96" s="26" t="s">
        <v>23</v>
      </c>
      <c r="H96" s="2"/>
      <c r="I96" s="2"/>
      <c r="J96" s="2"/>
      <c r="K96" s="2"/>
      <c r="L96" s="2"/>
      <c r="M96" s="2"/>
      <c r="N96" s="2"/>
      <c r="O96" s="2"/>
      <c r="P96" s="2"/>
      <c r="Q96" s="2"/>
      <c r="R96" s="2"/>
      <c r="S96" s="2"/>
      <c r="T96" s="2"/>
      <c r="U96" s="2"/>
    </row>
    <row r="97" spans="1:21" x14ac:dyDescent="0.25">
      <c r="A97" s="2"/>
      <c r="B97" s="37">
        <f t="shared" si="2"/>
        <v>97</v>
      </c>
      <c r="C97" s="37">
        <f t="shared" si="3"/>
        <v>86</v>
      </c>
      <c r="D97" s="6" t="s">
        <v>0</v>
      </c>
      <c r="E97" s="26" t="s">
        <v>283</v>
      </c>
      <c r="F97" s="6" t="s">
        <v>0</v>
      </c>
      <c r="G97" s="26" t="s">
        <v>23</v>
      </c>
      <c r="H97" s="2"/>
      <c r="I97" s="2"/>
      <c r="J97" s="2"/>
      <c r="K97" s="2"/>
      <c r="L97" s="2"/>
      <c r="M97" s="2"/>
      <c r="N97" s="2"/>
      <c r="O97" s="2"/>
      <c r="P97" s="2"/>
      <c r="Q97" s="2"/>
      <c r="R97" s="2"/>
      <c r="S97" s="2"/>
      <c r="T97" s="2"/>
      <c r="U97" s="2"/>
    </row>
    <row r="98" spans="1:21" x14ac:dyDescent="0.25">
      <c r="A98" s="2"/>
      <c r="B98" s="37">
        <f t="shared" si="2"/>
        <v>98</v>
      </c>
      <c r="C98" s="37">
        <f t="shared" si="3"/>
        <v>87</v>
      </c>
      <c r="D98" s="6" t="s">
        <v>0</v>
      </c>
      <c r="E98" s="26" t="s">
        <v>287</v>
      </c>
      <c r="F98" s="6" t="s">
        <v>0</v>
      </c>
      <c r="G98" s="26" t="s">
        <v>23</v>
      </c>
      <c r="H98" s="2"/>
      <c r="I98" s="2"/>
      <c r="J98" s="2"/>
      <c r="K98" s="2"/>
      <c r="L98" s="2"/>
      <c r="M98" s="2"/>
      <c r="N98" s="2"/>
      <c r="O98" s="2"/>
      <c r="P98" s="2"/>
      <c r="Q98" s="2"/>
      <c r="R98" s="2"/>
      <c r="S98" s="2"/>
      <c r="T98" s="2"/>
      <c r="U98" s="2"/>
    </row>
    <row r="99" spans="1:21" x14ac:dyDescent="0.25">
      <c r="A99" s="2"/>
      <c r="B99" s="37">
        <f t="shared" si="2"/>
        <v>99</v>
      </c>
      <c r="C99" s="37">
        <f t="shared" si="3"/>
        <v>88</v>
      </c>
      <c r="D99" s="6" t="s">
        <v>0</v>
      </c>
      <c r="E99" s="26" t="s">
        <v>288</v>
      </c>
      <c r="F99" s="6" t="s">
        <v>0</v>
      </c>
      <c r="G99" s="26" t="s">
        <v>168</v>
      </c>
      <c r="H99" s="2"/>
      <c r="I99" s="2"/>
      <c r="J99" s="2"/>
      <c r="K99" s="2"/>
      <c r="L99" s="2"/>
      <c r="M99" s="2"/>
      <c r="N99" s="2"/>
      <c r="O99" s="2"/>
      <c r="P99" s="2"/>
      <c r="Q99" s="2"/>
      <c r="R99" s="2"/>
      <c r="S99" s="2"/>
      <c r="T99" s="2"/>
      <c r="U99" s="2"/>
    </row>
    <row r="100" spans="1:21" x14ac:dyDescent="0.25">
      <c r="A100" s="2"/>
      <c r="B100" s="37">
        <f t="shared" si="2"/>
        <v>100</v>
      </c>
      <c r="C100" s="37">
        <f t="shared" si="3"/>
        <v>89</v>
      </c>
      <c r="D100" s="6" t="s">
        <v>0</v>
      </c>
      <c r="E100" s="26" t="s">
        <v>297</v>
      </c>
      <c r="F100" s="6" t="s">
        <v>0</v>
      </c>
      <c r="G100" s="26" t="s">
        <v>23</v>
      </c>
      <c r="H100" s="2"/>
      <c r="I100" s="2"/>
      <c r="J100" s="2"/>
      <c r="K100" s="2"/>
      <c r="L100" s="2"/>
      <c r="M100" s="2"/>
      <c r="N100" s="2"/>
      <c r="O100" s="2"/>
      <c r="P100" s="2"/>
      <c r="Q100" s="2"/>
      <c r="R100" s="2"/>
      <c r="S100" s="2"/>
      <c r="T100" s="2"/>
      <c r="U100" s="2"/>
    </row>
    <row r="101" spans="1:21" x14ac:dyDescent="0.25">
      <c r="A101" s="2"/>
      <c r="B101" s="37">
        <f t="shared" si="2"/>
        <v>101</v>
      </c>
      <c r="C101" s="37">
        <f t="shared" si="3"/>
        <v>90</v>
      </c>
      <c r="D101" s="6" t="s">
        <v>0</v>
      </c>
      <c r="E101" s="26" t="s">
        <v>298</v>
      </c>
      <c r="F101" s="6" t="s">
        <v>0</v>
      </c>
      <c r="G101" s="26" t="s">
        <v>23</v>
      </c>
      <c r="H101" s="2"/>
      <c r="I101" s="2"/>
      <c r="J101" s="2"/>
      <c r="K101" s="2"/>
      <c r="L101" s="2"/>
      <c r="M101" s="2"/>
      <c r="N101" s="2"/>
      <c r="O101" s="2"/>
      <c r="P101" s="2"/>
      <c r="Q101" s="2"/>
      <c r="R101" s="2"/>
      <c r="S101" s="2"/>
      <c r="T101" s="2"/>
      <c r="U101" s="2"/>
    </row>
    <row r="102" spans="1:21" x14ac:dyDescent="0.25">
      <c r="A102" s="2"/>
      <c r="B102" s="37">
        <f t="shared" si="2"/>
        <v>102</v>
      </c>
      <c r="C102" s="37">
        <f t="shared" si="3"/>
        <v>91</v>
      </c>
      <c r="D102" s="6" t="s">
        <v>0</v>
      </c>
      <c r="E102" s="26" t="s">
        <v>289</v>
      </c>
      <c r="F102" s="6" t="s">
        <v>0</v>
      </c>
      <c r="G102" s="26" t="s">
        <v>290</v>
      </c>
      <c r="H102" s="2"/>
      <c r="I102" s="2"/>
      <c r="J102" s="2"/>
      <c r="K102" s="2"/>
      <c r="L102" s="2"/>
      <c r="M102" s="2"/>
      <c r="N102" s="2"/>
      <c r="O102" s="2"/>
      <c r="P102" s="2"/>
      <c r="Q102" s="2"/>
      <c r="R102" s="2"/>
      <c r="S102" s="2"/>
      <c r="T102" s="2"/>
      <c r="U102" s="2"/>
    </row>
    <row r="103" spans="1:21" x14ac:dyDescent="0.25">
      <c r="A103" s="2"/>
      <c r="B103" s="37">
        <f t="shared" si="2"/>
        <v>103</v>
      </c>
      <c r="C103" s="37">
        <f t="shared" si="3"/>
        <v>92</v>
      </c>
      <c r="D103" s="6" t="s">
        <v>0</v>
      </c>
      <c r="E103" s="26" t="s">
        <v>291</v>
      </c>
      <c r="F103" s="6" t="s">
        <v>0</v>
      </c>
      <c r="G103" s="26" t="s">
        <v>168</v>
      </c>
      <c r="H103" s="2"/>
      <c r="I103" s="2"/>
      <c r="J103" s="2"/>
      <c r="K103" s="2"/>
      <c r="L103" s="2"/>
      <c r="M103" s="2"/>
      <c r="N103" s="2"/>
      <c r="O103" s="2"/>
      <c r="P103" s="2"/>
      <c r="Q103" s="2"/>
      <c r="R103" s="2"/>
      <c r="S103" s="2"/>
      <c r="T103" s="2"/>
      <c r="U103" s="2"/>
    </row>
    <row r="104" spans="1:21" x14ac:dyDescent="0.25">
      <c r="A104" s="2"/>
      <c r="B104" s="37">
        <f t="shared" si="2"/>
        <v>104</v>
      </c>
      <c r="C104" s="37">
        <f t="shared" si="3"/>
        <v>93</v>
      </c>
      <c r="D104" s="6" t="s">
        <v>0</v>
      </c>
      <c r="E104" s="26" t="s">
        <v>401</v>
      </c>
      <c r="F104" s="6" t="s">
        <v>0</v>
      </c>
      <c r="G104" s="26" t="s">
        <v>23</v>
      </c>
      <c r="H104" s="2"/>
      <c r="I104" s="2"/>
      <c r="J104" s="2"/>
      <c r="K104" s="2"/>
      <c r="L104" s="2"/>
      <c r="M104" s="2"/>
      <c r="N104" s="2"/>
      <c r="O104" s="2"/>
      <c r="P104" s="2"/>
      <c r="Q104" s="2"/>
      <c r="R104" s="2"/>
      <c r="S104" s="2"/>
      <c r="T104" s="2"/>
      <c r="U104" s="2"/>
    </row>
    <row r="105" spans="1:21" x14ac:dyDescent="0.25">
      <c r="A105" s="2"/>
      <c r="B105" s="37">
        <f t="shared" si="2"/>
        <v>105</v>
      </c>
      <c r="C105" s="37">
        <f t="shared" si="3"/>
        <v>94</v>
      </c>
      <c r="D105" s="6" t="s">
        <v>0</v>
      </c>
      <c r="E105" s="26" t="s">
        <v>404</v>
      </c>
      <c r="F105" s="6" t="s">
        <v>0</v>
      </c>
      <c r="G105" s="26" t="s">
        <v>292</v>
      </c>
      <c r="H105" s="2"/>
      <c r="I105" s="2"/>
      <c r="J105" s="2"/>
      <c r="K105" s="2"/>
      <c r="L105" s="2"/>
      <c r="M105" s="2"/>
      <c r="N105" s="2"/>
      <c r="O105" s="2"/>
      <c r="P105" s="2"/>
      <c r="Q105" s="2"/>
      <c r="R105" s="2"/>
      <c r="S105" s="2"/>
      <c r="T105" s="2"/>
      <c r="U105" s="2"/>
    </row>
    <row r="106" spans="1:21" x14ac:dyDescent="0.25">
      <c r="A106" s="2"/>
      <c r="B106" s="37">
        <f t="shared" si="2"/>
        <v>106</v>
      </c>
      <c r="C106" s="37">
        <f t="shared" si="3"/>
        <v>95</v>
      </c>
      <c r="D106" s="6" t="s">
        <v>0</v>
      </c>
      <c r="E106" s="26" t="s">
        <v>345</v>
      </c>
      <c r="F106" s="6" t="s">
        <v>0</v>
      </c>
      <c r="G106" s="26" t="s">
        <v>23</v>
      </c>
      <c r="H106" s="2"/>
      <c r="I106" s="2"/>
      <c r="J106" s="2"/>
      <c r="K106" s="2"/>
      <c r="L106" s="2"/>
      <c r="M106" s="2"/>
      <c r="N106" s="2"/>
      <c r="O106" s="2"/>
      <c r="P106" s="2"/>
      <c r="Q106" s="2"/>
      <c r="R106" s="2"/>
      <c r="S106" s="2"/>
      <c r="T106" s="2"/>
      <c r="U106" s="2"/>
    </row>
    <row r="107" spans="1:21" x14ac:dyDescent="0.25">
      <c r="A107" s="2"/>
      <c r="B107" s="37">
        <f t="shared" si="2"/>
        <v>107</v>
      </c>
      <c r="C107" s="37">
        <f t="shared" si="3"/>
        <v>96</v>
      </c>
      <c r="D107" s="6" t="s">
        <v>0</v>
      </c>
      <c r="E107" s="26" t="s">
        <v>346</v>
      </c>
      <c r="F107" s="6" t="s">
        <v>0</v>
      </c>
      <c r="G107" s="26" t="s">
        <v>168</v>
      </c>
      <c r="H107" s="2"/>
      <c r="I107" s="2"/>
      <c r="J107" s="2"/>
      <c r="K107" s="2"/>
      <c r="L107" s="2"/>
      <c r="M107" s="2"/>
      <c r="N107" s="2"/>
      <c r="O107" s="2"/>
      <c r="P107" s="2"/>
      <c r="Q107" s="2"/>
      <c r="R107" s="2"/>
      <c r="S107" s="2"/>
      <c r="T107" s="2"/>
      <c r="U107" s="2"/>
    </row>
    <row r="108" spans="1:21" x14ac:dyDescent="0.25">
      <c r="A108" s="2"/>
      <c r="B108" s="37">
        <f t="shared" ref="B108:B122" si="4">ROW(A108)</f>
        <v>108</v>
      </c>
      <c r="C108" s="37">
        <f t="shared" si="3"/>
        <v>97</v>
      </c>
      <c r="D108" s="6" t="s">
        <v>0</v>
      </c>
      <c r="E108" s="26" t="s">
        <v>347</v>
      </c>
      <c r="F108" s="6" t="s">
        <v>0</v>
      </c>
      <c r="G108" s="26" t="s">
        <v>23</v>
      </c>
      <c r="H108" s="2"/>
      <c r="I108" s="2"/>
      <c r="J108" s="2"/>
      <c r="K108" s="2"/>
      <c r="L108" s="2"/>
      <c r="M108" s="2"/>
      <c r="N108" s="2"/>
      <c r="O108" s="2"/>
      <c r="P108" s="2"/>
      <c r="Q108" s="2"/>
      <c r="R108" s="2"/>
      <c r="S108" s="2"/>
      <c r="T108" s="2"/>
      <c r="U108" s="2"/>
    </row>
    <row r="109" spans="1:21" x14ac:dyDescent="0.25">
      <c r="A109" s="2"/>
      <c r="B109" s="37">
        <f t="shared" si="4"/>
        <v>109</v>
      </c>
      <c r="C109" s="37">
        <f t="shared" si="3"/>
        <v>98</v>
      </c>
      <c r="D109" s="6" t="s">
        <v>0</v>
      </c>
      <c r="E109" s="26" t="s">
        <v>348</v>
      </c>
      <c r="F109" s="6" t="s">
        <v>0</v>
      </c>
      <c r="G109" s="26" t="s">
        <v>23</v>
      </c>
      <c r="H109" s="2"/>
      <c r="I109" s="2"/>
      <c r="J109" s="2"/>
      <c r="K109" s="2"/>
      <c r="L109" s="2"/>
      <c r="M109" s="2"/>
      <c r="N109" s="2"/>
      <c r="O109" s="2"/>
      <c r="P109" s="2"/>
      <c r="Q109" s="2"/>
      <c r="R109" s="2"/>
      <c r="S109" s="2"/>
      <c r="T109" s="2"/>
      <c r="U109" s="2"/>
    </row>
    <row r="110" spans="1:21" x14ac:dyDescent="0.25">
      <c r="A110" s="2"/>
      <c r="B110" s="37">
        <f t="shared" si="4"/>
        <v>110</v>
      </c>
      <c r="C110" s="37">
        <f t="shared" si="3"/>
        <v>99</v>
      </c>
      <c r="D110" s="6" t="s">
        <v>0</v>
      </c>
      <c r="E110" s="26" t="s">
        <v>349</v>
      </c>
      <c r="F110" s="6" t="s">
        <v>0</v>
      </c>
      <c r="G110" s="26" t="s">
        <v>23</v>
      </c>
      <c r="H110" s="2"/>
      <c r="I110" s="2"/>
      <c r="J110" s="2"/>
      <c r="K110" s="2"/>
      <c r="L110" s="2"/>
      <c r="M110" s="2"/>
      <c r="N110" s="2"/>
      <c r="O110" s="2"/>
      <c r="P110" s="2"/>
      <c r="Q110" s="2"/>
      <c r="R110" s="2"/>
      <c r="S110" s="2"/>
      <c r="T110" s="2"/>
      <c r="U110" s="2"/>
    </row>
    <row r="111" spans="1:21" x14ac:dyDescent="0.25">
      <c r="A111" s="2"/>
      <c r="B111" s="37">
        <f t="shared" si="4"/>
        <v>111</v>
      </c>
      <c r="C111" s="37">
        <f t="shared" si="3"/>
        <v>100</v>
      </c>
      <c r="D111" s="6" t="s">
        <v>0</v>
      </c>
      <c r="E111" s="26" t="s">
        <v>351</v>
      </c>
      <c r="F111" s="6" t="s">
        <v>0</v>
      </c>
      <c r="G111" s="26" t="s">
        <v>352</v>
      </c>
      <c r="H111" s="2"/>
      <c r="I111" s="2"/>
      <c r="J111" s="2"/>
      <c r="K111" s="2"/>
      <c r="L111" s="2"/>
      <c r="M111" s="2"/>
      <c r="N111" s="2"/>
      <c r="O111" s="2"/>
      <c r="P111" s="2"/>
      <c r="Q111" s="2"/>
      <c r="R111" s="2"/>
      <c r="S111" s="2"/>
      <c r="T111" s="2"/>
      <c r="U111" s="2"/>
    </row>
    <row r="112" spans="1:21" x14ac:dyDescent="0.25">
      <c r="A112" s="2"/>
      <c r="B112" s="37">
        <f t="shared" si="4"/>
        <v>112</v>
      </c>
      <c r="C112" s="37">
        <f t="shared" si="3"/>
        <v>101</v>
      </c>
      <c r="D112" s="6" t="s">
        <v>0</v>
      </c>
      <c r="E112" s="26" t="s">
        <v>353</v>
      </c>
      <c r="F112" s="6" t="s">
        <v>0</v>
      </c>
      <c r="G112" s="26" t="s">
        <v>352</v>
      </c>
      <c r="H112" s="2"/>
      <c r="I112" s="2"/>
      <c r="J112" s="2"/>
      <c r="K112" s="2"/>
      <c r="L112" s="2"/>
      <c r="M112" s="2"/>
      <c r="N112" s="2"/>
      <c r="O112" s="2"/>
      <c r="P112" s="2"/>
      <c r="Q112" s="2"/>
      <c r="R112" s="2"/>
      <c r="S112" s="2"/>
      <c r="T112" s="2"/>
      <c r="U112" s="2"/>
    </row>
    <row r="113" spans="1:21" x14ac:dyDescent="0.25">
      <c r="A113" s="2"/>
      <c r="B113" s="37">
        <f t="shared" si="4"/>
        <v>113</v>
      </c>
      <c r="C113" s="37">
        <f t="shared" si="3"/>
        <v>102</v>
      </c>
      <c r="D113" s="6" t="s">
        <v>0</v>
      </c>
      <c r="E113" s="26" t="s">
        <v>354</v>
      </c>
      <c r="F113" s="6" t="s">
        <v>0</v>
      </c>
      <c r="G113" s="26" t="s">
        <v>23</v>
      </c>
      <c r="H113" s="2"/>
      <c r="I113" s="2"/>
      <c r="J113" s="2"/>
      <c r="K113" s="2"/>
      <c r="L113" s="2"/>
      <c r="M113" s="2"/>
      <c r="N113" s="2"/>
      <c r="O113" s="2"/>
      <c r="P113" s="2"/>
      <c r="Q113" s="2"/>
      <c r="R113" s="2"/>
      <c r="S113" s="2"/>
      <c r="T113" s="2"/>
      <c r="U113" s="2"/>
    </row>
    <row r="114" spans="1:21" x14ac:dyDescent="0.25">
      <c r="A114" s="2"/>
      <c r="B114" s="37">
        <f t="shared" si="4"/>
        <v>114</v>
      </c>
      <c r="C114" s="37">
        <f t="shared" si="3"/>
        <v>103</v>
      </c>
      <c r="D114" s="6" t="s">
        <v>0</v>
      </c>
      <c r="E114" s="26" t="s">
        <v>355</v>
      </c>
      <c r="F114" s="6" t="s">
        <v>0</v>
      </c>
      <c r="G114" s="26" t="s">
        <v>23</v>
      </c>
      <c r="H114" s="2"/>
      <c r="I114" s="2"/>
      <c r="J114" s="2"/>
      <c r="K114" s="2"/>
      <c r="L114" s="2"/>
      <c r="M114" s="2"/>
      <c r="N114" s="2"/>
      <c r="O114" s="2"/>
      <c r="P114" s="2"/>
      <c r="Q114" s="2"/>
      <c r="R114" s="2"/>
      <c r="S114" s="2"/>
      <c r="T114" s="2"/>
      <c r="U114" s="2"/>
    </row>
    <row r="115" spans="1:21" x14ac:dyDescent="0.25">
      <c r="A115" s="2"/>
      <c r="B115" s="37">
        <f t="shared" si="4"/>
        <v>115</v>
      </c>
      <c r="C115" s="37">
        <f t="shared" si="3"/>
        <v>104</v>
      </c>
      <c r="D115" s="6" t="s">
        <v>0</v>
      </c>
      <c r="E115" s="26" t="s">
        <v>372</v>
      </c>
      <c r="F115" s="6" t="s">
        <v>0</v>
      </c>
      <c r="G115" s="26" t="s">
        <v>38</v>
      </c>
      <c r="H115" s="2"/>
      <c r="I115" s="2"/>
      <c r="J115" s="2"/>
      <c r="K115" s="2"/>
      <c r="L115" s="2"/>
      <c r="M115" s="2"/>
      <c r="N115" s="2"/>
      <c r="O115" s="2"/>
      <c r="P115" s="2"/>
      <c r="Q115" s="2"/>
      <c r="R115" s="2"/>
      <c r="S115" s="2"/>
      <c r="T115" s="2"/>
      <c r="U115" s="2"/>
    </row>
    <row r="116" spans="1:21" x14ac:dyDescent="0.25">
      <c r="A116" s="2"/>
      <c r="B116" s="37">
        <f t="shared" si="4"/>
        <v>116</v>
      </c>
      <c r="C116" s="37">
        <f t="shared" si="3"/>
        <v>105</v>
      </c>
      <c r="D116" s="6" t="s">
        <v>0</v>
      </c>
      <c r="E116" s="26" t="s">
        <v>358</v>
      </c>
      <c r="F116" s="6" t="s">
        <v>0</v>
      </c>
      <c r="G116" s="26" t="s">
        <v>38</v>
      </c>
      <c r="H116" s="2"/>
      <c r="I116" s="2"/>
      <c r="J116" s="2"/>
      <c r="K116" s="2"/>
      <c r="L116" s="2"/>
      <c r="M116" s="2"/>
      <c r="N116" s="2"/>
      <c r="O116" s="2"/>
      <c r="P116" s="2"/>
      <c r="Q116" s="2"/>
      <c r="R116" s="2"/>
      <c r="S116" s="2"/>
      <c r="T116" s="2"/>
      <c r="U116" s="2"/>
    </row>
    <row r="117" spans="1:21" x14ac:dyDescent="0.25">
      <c r="A117" s="2"/>
      <c r="B117" s="37">
        <f t="shared" si="4"/>
        <v>117</v>
      </c>
      <c r="C117" s="37">
        <f t="shared" si="3"/>
        <v>106</v>
      </c>
      <c r="D117" s="6" t="s">
        <v>0</v>
      </c>
      <c r="E117" s="26" t="s">
        <v>373</v>
      </c>
      <c r="F117" s="6" t="s">
        <v>0</v>
      </c>
      <c r="G117" s="26" t="s">
        <v>177</v>
      </c>
      <c r="H117" s="2"/>
      <c r="I117" s="2"/>
      <c r="J117" s="2"/>
      <c r="K117" s="2"/>
      <c r="L117" s="2"/>
      <c r="M117" s="2"/>
      <c r="N117" s="2"/>
      <c r="O117" s="2"/>
      <c r="P117" s="2"/>
      <c r="Q117" s="2"/>
      <c r="R117" s="2"/>
      <c r="S117" s="2"/>
      <c r="T117" s="2"/>
      <c r="U117" s="2"/>
    </row>
    <row r="118" spans="1:21" x14ac:dyDescent="0.25">
      <c r="A118" s="2"/>
      <c r="B118" s="37">
        <f t="shared" si="4"/>
        <v>118</v>
      </c>
      <c r="C118" s="37">
        <f t="shared" si="3"/>
        <v>107</v>
      </c>
      <c r="D118" s="6" t="s">
        <v>0</v>
      </c>
      <c r="E118" s="26" t="s">
        <v>359</v>
      </c>
      <c r="F118" s="6" t="s">
        <v>0</v>
      </c>
      <c r="G118" s="26" t="s">
        <v>23</v>
      </c>
      <c r="H118" s="2"/>
      <c r="I118" s="2"/>
      <c r="J118" s="2"/>
      <c r="K118" s="2"/>
      <c r="L118" s="2"/>
      <c r="M118" s="2"/>
      <c r="N118" s="2"/>
      <c r="O118" s="2"/>
      <c r="P118" s="2"/>
      <c r="Q118" s="2"/>
      <c r="R118" s="2"/>
      <c r="S118" s="2"/>
      <c r="T118" s="2"/>
      <c r="U118" s="2"/>
    </row>
    <row r="119" spans="1:21" x14ac:dyDescent="0.25">
      <c r="A119" s="2"/>
      <c r="B119" s="37">
        <f t="shared" si="4"/>
        <v>119</v>
      </c>
      <c r="C119" s="37">
        <f t="shared" si="3"/>
        <v>108</v>
      </c>
      <c r="D119" s="6" t="s">
        <v>0</v>
      </c>
      <c r="E119" s="26" t="s">
        <v>360</v>
      </c>
      <c r="F119" s="6" t="s">
        <v>0</v>
      </c>
      <c r="G119" s="26" t="s">
        <v>23</v>
      </c>
      <c r="H119" s="2"/>
      <c r="I119" s="2"/>
      <c r="J119" s="2"/>
      <c r="K119" s="2"/>
      <c r="L119" s="2"/>
      <c r="M119" s="2"/>
      <c r="N119" s="2"/>
      <c r="O119" s="2"/>
      <c r="P119" s="2"/>
      <c r="Q119" s="2"/>
      <c r="R119" s="2"/>
      <c r="S119" s="2"/>
      <c r="T119" s="2"/>
      <c r="U119" s="2"/>
    </row>
    <row r="120" spans="1:21" x14ac:dyDescent="0.25">
      <c r="A120" s="2"/>
      <c r="B120" s="37">
        <f t="shared" si="4"/>
        <v>120</v>
      </c>
      <c r="C120" s="37">
        <f t="shared" si="3"/>
        <v>109</v>
      </c>
      <c r="D120" s="6" t="s">
        <v>0</v>
      </c>
      <c r="E120" s="26" t="s">
        <v>374</v>
      </c>
      <c r="F120" s="6" t="s">
        <v>0</v>
      </c>
      <c r="G120" s="26" t="s">
        <v>168</v>
      </c>
      <c r="H120" s="2"/>
      <c r="I120" s="2"/>
      <c r="J120" s="2"/>
      <c r="K120" s="2"/>
      <c r="L120" s="2"/>
      <c r="M120" s="2"/>
      <c r="N120" s="2"/>
      <c r="O120" s="2"/>
      <c r="P120" s="2"/>
      <c r="Q120" s="2"/>
      <c r="R120" s="2"/>
      <c r="S120" s="2"/>
      <c r="T120" s="2"/>
      <c r="U120" s="2"/>
    </row>
    <row r="121" spans="1:21" x14ac:dyDescent="0.25">
      <c r="A121" s="2"/>
      <c r="B121" s="37">
        <f t="shared" si="4"/>
        <v>121</v>
      </c>
      <c r="C121" s="37">
        <f t="shared" si="3"/>
        <v>110</v>
      </c>
      <c r="D121" s="6" t="s">
        <v>0</v>
      </c>
      <c r="E121" s="26" t="s">
        <v>375</v>
      </c>
      <c r="F121" s="6" t="s">
        <v>0</v>
      </c>
      <c r="G121" s="26" t="s">
        <v>168</v>
      </c>
      <c r="H121" s="2"/>
      <c r="I121" s="2"/>
      <c r="J121" s="2"/>
      <c r="K121" s="2"/>
      <c r="L121" s="2"/>
      <c r="M121" s="2"/>
      <c r="N121" s="2"/>
      <c r="O121" s="2"/>
      <c r="P121" s="2"/>
      <c r="Q121" s="2"/>
      <c r="R121" s="2"/>
      <c r="S121" s="2"/>
      <c r="T121" s="2"/>
      <c r="U121" s="2"/>
    </row>
    <row r="122" spans="1:21" x14ac:dyDescent="0.25">
      <c r="A122" s="2"/>
      <c r="B122" s="37">
        <f t="shared" si="4"/>
        <v>122</v>
      </c>
      <c r="C122" s="37">
        <f t="shared" si="3"/>
        <v>111</v>
      </c>
      <c r="D122" s="6" t="s">
        <v>0</v>
      </c>
      <c r="E122" s="26" t="s">
        <v>378</v>
      </c>
      <c r="F122" s="6" t="s">
        <v>0</v>
      </c>
      <c r="G122" s="26" t="s">
        <v>212</v>
      </c>
      <c r="H122" s="2"/>
      <c r="I122" s="2"/>
      <c r="J122" s="2"/>
      <c r="K122" s="2"/>
      <c r="L122" s="2"/>
      <c r="M122" s="2"/>
      <c r="N122" s="2"/>
      <c r="O122" s="2"/>
      <c r="P122" s="2"/>
      <c r="Q122" s="2"/>
      <c r="R122" s="2"/>
      <c r="S122" s="2"/>
      <c r="T122" s="2"/>
      <c r="U122" s="2"/>
    </row>
    <row r="123" spans="1:21" x14ac:dyDescent="0.25">
      <c r="A123" s="2"/>
      <c r="B123" s="37">
        <f t="shared" ref="B123:B156" si="5">ROW(A123)</f>
        <v>123</v>
      </c>
      <c r="C123" s="37">
        <f t="shared" si="3"/>
        <v>112</v>
      </c>
      <c r="D123" s="6" t="s">
        <v>0</v>
      </c>
      <c r="E123" s="26" t="s">
        <v>379</v>
      </c>
      <c r="F123" s="6" t="s">
        <v>0</v>
      </c>
      <c r="G123" s="26" t="s">
        <v>23</v>
      </c>
      <c r="H123" s="2"/>
      <c r="I123" s="2"/>
      <c r="J123" s="2"/>
      <c r="K123" s="2"/>
      <c r="L123" s="2"/>
      <c r="M123" s="2"/>
      <c r="N123" s="2"/>
      <c r="O123" s="2"/>
      <c r="P123" s="2"/>
      <c r="Q123" s="2"/>
      <c r="R123" s="2"/>
      <c r="S123" s="2"/>
      <c r="T123" s="2"/>
      <c r="U123" s="2"/>
    </row>
    <row r="124" spans="1:21" x14ac:dyDescent="0.25">
      <c r="A124" s="2"/>
      <c r="B124" s="37">
        <f t="shared" si="5"/>
        <v>124</v>
      </c>
      <c r="C124" s="37">
        <f t="shared" si="3"/>
        <v>113</v>
      </c>
      <c r="D124" s="6" t="s">
        <v>0</v>
      </c>
      <c r="E124" s="26" t="s">
        <v>380</v>
      </c>
      <c r="F124" s="6" t="s">
        <v>0</v>
      </c>
      <c r="G124" s="26" t="s">
        <v>23</v>
      </c>
      <c r="H124" s="2"/>
      <c r="I124" s="2"/>
      <c r="J124" s="2"/>
      <c r="K124" s="2"/>
      <c r="L124" s="2"/>
      <c r="M124" s="2"/>
      <c r="N124" s="2"/>
      <c r="O124" s="2"/>
      <c r="P124" s="2"/>
      <c r="Q124" s="2"/>
      <c r="R124" s="2"/>
      <c r="S124" s="2"/>
      <c r="T124" s="2"/>
      <c r="U124" s="2"/>
    </row>
    <row r="125" spans="1:21" x14ac:dyDescent="0.25">
      <c r="A125" s="2"/>
      <c r="B125" s="37">
        <f t="shared" si="5"/>
        <v>125</v>
      </c>
      <c r="C125" s="37">
        <f t="shared" si="3"/>
        <v>114</v>
      </c>
      <c r="D125" s="6" t="s">
        <v>0</v>
      </c>
      <c r="E125" s="26" t="s">
        <v>381</v>
      </c>
      <c r="F125" s="6" t="s">
        <v>0</v>
      </c>
      <c r="G125" s="26" t="s">
        <v>212</v>
      </c>
      <c r="H125" s="2"/>
      <c r="I125" s="2"/>
      <c r="J125" s="2"/>
      <c r="K125" s="2"/>
      <c r="L125" s="2"/>
      <c r="M125" s="2"/>
      <c r="N125" s="2"/>
      <c r="O125" s="2"/>
      <c r="P125" s="2"/>
      <c r="Q125" s="2"/>
      <c r="R125" s="2"/>
      <c r="S125" s="2"/>
      <c r="T125" s="2"/>
      <c r="U125" s="2"/>
    </row>
    <row r="126" spans="1:21" x14ac:dyDescent="0.25">
      <c r="A126" s="2"/>
      <c r="B126" s="37">
        <f t="shared" si="5"/>
        <v>126</v>
      </c>
      <c r="C126" s="37">
        <f t="shared" si="3"/>
        <v>115</v>
      </c>
      <c r="D126" s="6" t="s">
        <v>0</v>
      </c>
      <c r="E126" s="26" t="s">
        <v>382</v>
      </c>
      <c r="F126" s="6" t="s">
        <v>0</v>
      </c>
      <c r="G126" s="26" t="s">
        <v>23</v>
      </c>
      <c r="H126" s="2"/>
      <c r="I126" s="2"/>
      <c r="J126" s="2"/>
      <c r="K126" s="2"/>
      <c r="L126" s="2"/>
      <c r="M126" s="2"/>
      <c r="N126" s="2"/>
      <c r="O126" s="2"/>
      <c r="P126" s="2"/>
      <c r="Q126" s="2"/>
      <c r="R126" s="2"/>
      <c r="S126" s="2"/>
      <c r="T126" s="2"/>
      <c r="U126" s="2"/>
    </row>
    <row r="127" spans="1:21" x14ac:dyDescent="0.25">
      <c r="A127" s="2"/>
      <c r="B127" s="37">
        <f t="shared" si="5"/>
        <v>127</v>
      </c>
      <c r="C127" s="37">
        <f t="shared" si="3"/>
        <v>116</v>
      </c>
      <c r="D127" s="6" t="s">
        <v>0</v>
      </c>
      <c r="E127" s="26" t="s">
        <v>383</v>
      </c>
      <c r="F127" s="6" t="s">
        <v>0</v>
      </c>
      <c r="G127" s="26" t="s">
        <v>212</v>
      </c>
      <c r="H127" s="2"/>
      <c r="I127" s="2"/>
      <c r="J127" s="2"/>
      <c r="K127" s="2"/>
      <c r="L127" s="2"/>
      <c r="M127" s="2"/>
      <c r="N127" s="2"/>
      <c r="O127" s="2"/>
      <c r="P127" s="2"/>
      <c r="Q127" s="2"/>
      <c r="R127" s="2"/>
      <c r="S127" s="2"/>
      <c r="T127" s="2"/>
      <c r="U127" s="2"/>
    </row>
    <row r="128" spans="1:21" x14ac:dyDescent="0.25">
      <c r="A128" s="2"/>
      <c r="B128" s="37">
        <f t="shared" si="5"/>
        <v>128</v>
      </c>
      <c r="C128" s="37">
        <f t="shared" si="3"/>
        <v>117</v>
      </c>
      <c r="D128" s="6" t="s">
        <v>0</v>
      </c>
      <c r="E128" s="26" t="s">
        <v>384</v>
      </c>
      <c r="F128" s="6" t="s">
        <v>0</v>
      </c>
      <c r="G128" s="26" t="s">
        <v>23</v>
      </c>
      <c r="H128" s="2"/>
      <c r="I128" s="2"/>
      <c r="J128" s="2"/>
      <c r="K128" s="2"/>
      <c r="L128" s="2"/>
      <c r="M128" s="2"/>
      <c r="N128" s="2"/>
      <c r="O128" s="2"/>
      <c r="P128" s="2"/>
      <c r="Q128" s="2"/>
      <c r="R128" s="2"/>
      <c r="S128" s="2"/>
      <c r="T128" s="2"/>
      <c r="U128" s="2"/>
    </row>
    <row r="129" spans="1:21" x14ac:dyDescent="0.25">
      <c r="A129" s="2"/>
      <c r="B129" s="37">
        <f t="shared" si="5"/>
        <v>129</v>
      </c>
      <c r="C129" s="37">
        <f t="shared" si="3"/>
        <v>118</v>
      </c>
      <c r="D129" s="6" t="s">
        <v>0</v>
      </c>
      <c r="E129" s="26" t="s">
        <v>398</v>
      </c>
      <c r="F129" s="6" t="s">
        <v>0</v>
      </c>
      <c r="G129" s="26" t="s">
        <v>212</v>
      </c>
      <c r="H129" s="2"/>
      <c r="I129" s="2"/>
      <c r="J129" s="2"/>
      <c r="K129" s="2"/>
      <c r="L129" s="2"/>
      <c r="M129" s="2"/>
      <c r="N129" s="2"/>
      <c r="O129" s="2"/>
      <c r="P129" s="2"/>
      <c r="Q129" s="2"/>
      <c r="R129" s="2"/>
      <c r="S129" s="2"/>
      <c r="T129" s="2"/>
      <c r="U129" s="2"/>
    </row>
    <row r="130" spans="1:21" x14ac:dyDescent="0.25">
      <c r="A130" s="2"/>
      <c r="B130" s="37">
        <f t="shared" si="5"/>
        <v>130</v>
      </c>
      <c r="C130" s="37">
        <f t="shared" si="3"/>
        <v>119</v>
      </c>
      <c r="D130" s="6" t="s">
        <v>0</v>
      </c>
      <c r="E130" s="26" t="s">
        <v>399</v>
      </c>
      <c r="F130" s="6" t="s">
        <v>0</v>
      </c>
      <c r="G130" s="26" t="s">
        <v>23</v>
      </c>
      <c r="H130" s="2"/>
      <c r="I130" s="2"/>
      <c r="J130" s="2"/>
      <c r="K130" s="2"/>
      <c r="L130" s="2"/>
      <c r="M130" s="2"/>
      <c r="N130" s="2"/>
      <c r="O130" s="2"/>
      <c r="P130" s="2"/>
      <c r="Q130" s="2"/>
      <c r="R130" s="2"/>
      <c r="S130" s="2"/>
      <c r="T130" s="2"/>
      <c r="U130" s="2"/>
    </row>
    <row r="131" spans="1:21" x14ac:dyDescent="0.25">
      <c r="A131" s="2"/>
      <c r="B131" s="37">
        <f t="shared" si="5"/>
        <v>131</v>
      </c>
      <c r="C131" s="37">
        <f t="shared" si="3"/>
        <v>120</v>
      </c>
      <c r="D131" s="6" t="s">
        <v>0</v>
      </c>
      <c r="E131" s="26" t="s">
        <v>386</v>
      </c>
      <c r="F131" s="6" t="s">
        <v>0</v>
      </c>
      <c r="G131" s="26" t="s">
        <v>212</v>
      </c>
      <c r="H131" s="2"/>
      <c r="I131" s="2"/>
      <c r="J131" s="2"/>
      <c r="K131" s="2"/>
      <c r="L131" s="2"/>
      <c r="M131" s="2"/>
      <c r="N131" s="2"/>
      <c r="O131" s="2"/>
      <c r="P131" s="2"/>
      <c r="Q131" s="2"/>
      <c r="R131" s="2"/>
      <c r="S131" s="2"/>
      <c r="T131" s="2"/>
      <c r="U131" s="2"/>
    </row>
    <row r="132" spans="1:21" x14ac:dyDescent="0.25">
      <c r="A132" s="2"/>
      <c r="B132" s="37">
        <f t="shared" si="5"/>
        <v>132</v>
      </c>
      <c r="C132" s="37">
        <f t="shared" si="3"/>
        <v>121</v>
      </c>
      <c r="D132" s="6" t="s">
        <v>0</v>
      </c>
      <c r="E132" s="26" t="s">
        <v>387</v>
      </c>
      <c r="F132" s="6" t="s">
        <v>0</v>
      </c>
      <c r="G132" s="26" t="s">
        <v>212</v>
      </c>
      <c r="H132" s="2"/>
      <c r="I132" s="2"/>
      <c r="J132" s="2"/>
      <c r="K132" s="2"/>
      <c r="L132" s="2"/>
      <c r="M132" s="2"/>
      <c r="N132" s="2"/>
      <c r="O132" s="2"/>
      <c r="P132" s="2"/>
      <c r="Q132" s="2"/>
      <c r="R132" s="2"/>
      <c r="S132" s="2"/>
      <c r="T132" s="2"/>
      <c r="U132" s="2"/>
    </row>
    <row r="133" spans="1:21" x14ac:dyDescent="0.25">
      <c r="A133" s="2"/>
      <c r="B133" s="37">
        <f t="shared" si="5"/>
        <v>133</v>
      </c>
      <c r="C133" s="37">
        <f t="shared" si="3"/>
        <v>122</v>
      </c>
      <c r="D133" s="6" t="s">
        <v>0</v>
      </c>
      <c r="E133" s="26" t="s">
        <v>388</v>
      </c>
      <c r="F133" s="6" t="s">
        <v>0</v>
      </c>
      <c r="G133" s="26" t="s">
        <v>212</v>
      </c>
      <c r="H133" s="2"/>
      <c r="I133" s="2"/>
      <c r="J133" s="2"/>
      <c r="K133" s="2"/>
      <c r="L133" s="2"/>
      <c r="M133" s="2"/>
      <c r="N133" s="2"/>
      <c r="O133" s="2"/>
      <c r="P133" s="2"/>
      <c r="Q133" s="2"/>
      <c r="R133" s="2"/>
      <c r="S133" s="2"/>
      <c r="T133" s="2"/>
      <c r="U133" s="2"/>
    </row>
    <row r="134" spans="1:21" x14ac:dyDescent="0.25">
      <c r="A134" s="2"/>
      <c r="B134" s="37">
        <f t="shared" si="5"/>
        <v>134</v>
      </c>
      <c r="C134" s="37">
        <f t="shared" si="3"/>
        <v>123</v>
      </c>
      <c r="D134" s="6" t="s">
        <v>0</v>
      </c>
      <c r="E134" s="26" t="s">
        <v>389</v>
      </c>
      <c r="F134" s="6" t="s">
        <v>0</v>
      </c>
      <c r="G134" s="26" t="s">
        <v>212</v>
      </c>
      <c r="H134" s="2"/>
      <c r="I134" s="2"/>
      <c r="J134" s="2"/>
      <c r="K134" s="2"/>
      <c r="L134" s="2"/>
      <c r="M134" s="2"/>
      <c r="N134" s="2"/>
      <c r="O134" s="2"/>
      <c r="P134" s="2"/>
      <c r="Q134" s="2"/>
      <c r="R134" s="2"/>
      <c r="S134" s="2"/>
      <c r="T134" s="2"/>
      <c r="U134" s="2"/>
    </row>
    <row r="135" spans="1:21" x14ac:dyDescent="0.25">
      <c r="A135" s="2"/>
      <c r="B135" s="37">
        <f t="shared" si="5"/>
        <v>135</v>
      </c>
      <c r="C135" s="37">
        <f t="shared" si="3"/>
        <v>124</v>
      </c>
      <c r="D135" s="6" t="s">
        <v>0</v>
      </c>
      <c r="E135" s="26" t="s">
        <v>390</v>
      </c>
      <c r="F135" s="6" t="s">
        <v>0</v>
      </c>
      <c r="G135" s="26" t="s">
        <v>212</v>
      </c>
      <c r="H135" s="2"/>
      <c r="I135" s="2"/>
      <c r="J135" s="2"/>
      <c r="K135" s="2"/>
      <c r="L135" s="2"/>
      <c r="M135" s="2"/>
      <c r="N135" s="2"/>
      <c r="O135" s="2"/>
      <c r="P135" s="2"/>
      <c r="Q135" s="2"/>
      <c r="R135" s="2"/>
      <c r="S135" s="2"/>
      <c r="T135" s="2"/>
      <c r="U135" s="2"/>
    </row>
    <row r="136" spans="1:21" x14ac:dyDescent="0.25">
      <c r="A136" s="2"/>
      <c r="B136" s="37">
        <f t="shared" si="5"/>
        <v>136</v>
      </c>
      <c r="C136" s="37">
        <f t="shared" si="3"/>
        <v>125</v>
      </c>
      <c r="D136" s="6" t="s">
        <v>0</v>
      </c>
      <c r="E136" s="26" t="s">
        <v>391</v>
      </c>
      <c r="F136" s="6" t="s">
        <v>0</v>
      </c>
      <c r="G136" s="26" t="s">
        <v>23</v>
      </c>
      <c r="H136" s="2"/>
      <c r="I136" s="2"/>
      <c r="J136" s="2"/>
      <c r="K136" s="2"/>
      <c r="L136" s="2"/>
      <c r="M136" s="2"/>
      <c r="N136" s="2"/>
      <c r="O136" s="2"/>
      <c r="P136" s="2"/>
      <c r="Q136" s="2"/>
      <c r="R136" s="2"/>
      <c r="S136" s="2"/>
      <c r="T136" s="2"/>
      <c r="U136" s="2"/>
    </row>
    <row r="137" spans="1:21" x14ac:dyDescent="0.25">
      <c r="A137" s="2"/>
      <c r="B137" s="37">
        <f t="shared" si="5"/>
        <v>137</v>
      </c>
      <c r="C137" s="37">
        <f t="shared" si="3"/>
        <v>126</v>
      </c>
      <c r="D137" s="6" t="s">
        <v>0</v>
      </c>
      <c r="E137" s="26" t="s">
        <v>392</v>
      </c>
      <c r="F137" s="6" t="s">
        <v>0</v>
      </c>
      <c r="G137" s="26" t="s">
        <v>23</v>
      </c>
      <c r="H137" s="2"/>
      <c r="I137" s="2"/>
      <c r="J137" s="2"/>
      <c r="K137" s="2"/>
      <c r="L137" s="2"/>
      <c r="M137" s="2"/>
      <c r="N137" s="2"/>
      <c r="O137" s="2"/>
      <c r="P137" s="2"/>
      <c r="Q137" s="2"/>
      <c r="R137" s="2"/>
      <c r="S137" s="2"/>
      <c r="T137" s="2"/>
      <c r="U137" s="2"/>
    </row>
    <row r="138" spans="1:21" x14ac:dyDescent="0.25">
      <c r="A138" s="2"/>
      <c r="B138" s="37">
        <f t="shared" si="5"/>
        <v>138</v>
      </c>
      <c r="C138" s="37">
        <f t="shared" si="3"/>
        <v>127</v>
      </c>
      <c r="D138" s="6" t="s">
        <v>0</v>
      </c>
      <c r="E138" s="26" t="s">
        <v>393</v>
      </c>
      <c r="F138" s="6" t="s">
        <v>0</v>
      </c>
      <c r="G138" s="26" t="s">
        <v>23</v>
      </c>
      <c r="H138" s="2"/>
      <c r="I138" s="2"/>
      <c r="J138" s="2"/>
      <c r="K138" s="2"/>
      <c r="L138" s="2"/>
      <c r="M138" s="2"/>
      <c r="N138" s="2"/>
      <c r="O138" s="2"/>
      <c r="P138" s="2"/>
      <c r="Q138" s="2"/>
      <c r="R138" s="2"/>
      <c r="S138" s="2"/>
      <c r="T138" s="2"/>
      <c r="U138" s="2"/>
    </row>
    <row r="139" spans="1:21" x14ac:dyDescent="0.25">
      <c r="A139" s="2"/>
      <c r="B139" s="37">
        <f t="shared" si="5"/>
        <v>139</v>
      </c>
      <c r="C139" s="37">
        <f t="shared" si="3"/>
        <v>128</v>
      </c>
      <c r="D139" s="6" t="s">
        <v>0</v>
      </c>
      <c r="E139" s="26" t="s">
        <v>394</v>
      </c>
      <c r="F139" s="6" t="s">
        <v>0</v>
      </c>
      <c r="G139" s="26" t="s">
        <v>23</v>
      </c>
      <c r="H139" s="2"/>
      <c r="I139" s="2"/>
      <c r="J139" s="2"/>
      <c r="K139" s="2"/>
      <c r="L139" s="2"/>
      <c r="M139" s="2"/>
      <c r="N139" s="2"/>
      <c r="O139" s="2"/>
      <c r="P139" s="2"/>
      <c r="Q139" s="2"/>
      <c r="R139" s="2"/>
      <c r="S139" s="2"/>
      <c r="T139" s="2"/>
      <c r="U139" s="2"/>
    </row>
    <row r="140" spans="1:21" x14ac:dyDescent="0.25">
      <c r="A140" s="2"/>
      <c r="B140" s="37">
        <f t="shared" si="5"/>
        <v>140</v>
      </c>
      <c r="C140" s="37">
        <f t="shared" si="3"/>
        <v>129</v>
      </c>
      <c r="D140" s="6" t="s">
        <v>0</v>
      </c>
      <c r="E140" s="26" t="s">
        <v>395</v>
      </c>
      <c r="F140" s="6" t="s">
        <v>0</v>
      </c>
      <c r="G140" s="26" t="s">
        <v>23</v>
      </c>
      <c r="H140" s="2"/>
      <c r="I140" s="2"/>
      <c r="J140" s="2"/>
      <c r="K140" s="2"/>
      <c r="L140" s="2"/>
      <c r="M140" s="2"/>
      <c r="N140" s="2"/>
      <c r="O140" s="2"/>
      <c r="P140" s="2"/>
      <c r="Q140" s="2"/>
      <c r="R140" s="2"/>
      <c r="S140" s="2"/>
      <c r="T140" s="2"/>
      <c r="U140" s="2"/>
    </row>
    <row r="141" spans="1:21" x14ac:dyDescent="0.25">
      <c r="A141" s="2"/>
      <c r="B141" s="37">
        <f t="shared" si="5"/>
        <v>141</v>
      </c>
      <c r="C141" s="37">
        <f t="shared" si="3"/>
        <v>130</v>
      </c>
      <c r="D141" s="6" t="s">
        <v>0</v>
      </c>
      <c r="E141" s="26" t="s">
        <v>402</v>
      </c>
      <c r="F141" s="6" t="s">
        <v>0</v>
      </c>
      <c r="G141" s="26" t="s">
        <v>23</v>
      </c>
      <c r="H141" s="2"/>
      <c r="I141" s="2"/>
      <c r="J141" s="2"/>
      <c r="K141" s="2"/>
      <c r="L141" s="2"/>
      <c r="M141" s="2"/>
      <c r="N141" s="2"/>
      <c r="O141" s="2"/>
      <c r="P141" s="2"/>
      <c r="Q141" s="2"/>
      <c r="R141" s="2"/>
      <c r="S141" s="2"/>
      <c r="T141" s="2"/>
      <c r="U141" s="2"/>
    </row>
    <row r="142" spans="1:21" x14ac:dyDescent="0.25">
      <c r="A142" s="2"/>
      <c r="B142" s="37">
        <f t="shared" si="5"/>
        <v>142</v>
      </c>
      <c r="C142" s="37">
        <f t="shared" ref="C142:C156" si="6">C141+1</f>
        <v>131</v>
      </c>
      <c r="D142" s="6" t="s">
        <v>0</v>
      </c>
      <c r="E142" s="26" t="s">
        <v>405</v>
      </c>
      <c r="F142" s="6" t="s">
        <v>0</v>
      </c>
      <c r="G142" s="26" t="s">
        <v>292</v>
      </c>
      <c r="H142" s="2"/>
      <c r="I142" s="2"/>
      <c r="J142" s="2"/>
      <c r="K142" s="2"/>
      <c r="L142" s="2"/>
      <c r="M142" s="2"/>
      <c r="N142" s="2"/>
      <c r="O142" s="2"/>
      <c r="P142" s="2"/>
      <c r="Q142" s="2"/>
      <c r="R142" s="2"/>
      <c r="S142" s="2"/>
      <c r="T142" s="2"/>
      <c r="U142" s="2"/>
    </row>
    <row r="143" spans="1:21" x14ac:dyDescent="0.25">
      <c r="A143" s="2"/>
      <c r="B143" s="37">
        <f t="shared" si="5"/>
        <v>143</v>
      </c>
      <c r="C143" s="37">
        <f t="shared" si="6"/>
        <v>132</v>
      </c>
      <c r="D143" s="6" t="s">
        <v>0</v>
      </c>
      <c r="E143" s="26" t="s">
        <v>406</v>
      </c>
      <c r="F143" s="6" t="s">
        <v>0</v>
      </c>
      <c r="G143" s="26" t="s">
        <v>292</v>
      </c>
      <c r="H143" s="2"/>
      <c r="I143" s="2"/>
      <c r="J143" s="2"/>
      <c r="K143" s="2"/>
      <c r="L143" s="2"/>
      <c r="M143" s="2"/>
      <c r="N143" s="2"/>
      <c r="O143" s="2"/>
      <c r="P143" s="2"/>
      <c r="Q143" s="2"/>
      <c r="R143" s="2"/>
      <c r="S143" s="2"/>
      <c r="T143" s="2"/>
      <c r="U143" s="2"/>
    </row>
    <row r="144" spans="1:21" x14ac:dyDescent="0.25">
      <c r="A144" s="2"/>
      <c r="B144" s="37">
        <f t="shared" si="5"/>
        <v>144</v>
      </c>
      <c r="C144" s="37">
        <f t="shared" si="6"/>
        <v>133</v>
      </c>
      <c r="D144" s="6" t="s">
        <v>0</v>
      </c>
      <c r="E144" s="26" t="s">
        <v>407</v>
      </c>
      <c r="F144" s="6" t="s">
        <v>0</v>
      </c>
      <c r="G144" s="26" t="s">
        <v>292</v>
      </c>
      <c r="H144" s="2"/>
      <c r="I144" s="2"/>
      <c r="J144" s="2"/>
      <c r="K144" s="2"/>
      <c r="L144" s="2"/>
      <c r="M144" s="2"/>
      <c r="N144" s="2"/>
      <c r="O144" s="2"/>
      <c r="P144" s="2"/>
      <c r="Q144" s="2"/>
      <c r="R144" s="2"/>
      <c r="S144" s="2"/>
      <c r="T144" s="2"/>
      <c r="U144" s="2"/>
    </row>
    <row r="145" spans="1:21" x14ac:dyDescent="0.25">
      <c r="A145" s="2"/>
      <c r="B145" s="37">
        <f t="shared" si="5"/>
        <v>145</v>
      </c>
      <c r="C145" s="37">
        <f t="shared" si="6"/>
        <v>134</v>
      </c>
      <c r="D145" s="6" t="s">
        <v>0</v>
      </c>
      <c r="E145" s="26"/>
      <c r="F145" s="6" t="s">
        <v>0</v>
      </c>
      <c r="G145" s="26"/>
      <c r="H145" s="2"/>
      <c r="I145" s="2"/>
      <c r="J145" s="2"/>
      <c r="K145" s="2"/>
      <c r="L145" s="2"/>
      <c r="M145" s="2"/>
      <c r="N145" s="2"/>
      <c r="O145" s="2"/>
      <c r="P145" s="2"/>
      <c r="Q145" s="2"/>
      <c r="R145" s="2"/>
      <c r="S145" s="2"/>
      <c r="T145" s="2"/>
      <c r="U145" s="2"/>
    </row>
    <row r="146" spans="1:21" x14ac:dyDescent="0.25">
      <c r="A146" s="2"/>
      <c r="B146" s="37">
        <f t="shared" si="5"/>
        <v>146</v>
      </c>
      <c r="C146" s="37">
        <f t="shared" si="6"/>
        <v>135</v>
      </c>
      <c r="D146" s="6" t="s">
        <v>0</v>
      </c>
      <c r="E146" s="26"/>
      <c r="F146" s="6" t="s">
        <v>0</v>
      </c>
      <c r="G146" s="26"/>
      <c r="H146" s="2"/>
      <c r="I146" s="2"/>
      <c r="J146" s="2"/>
      <c r="K146" s="2"/>
      <c r="L146" s="2"/>
      <c r="M146" s="2"/>
      <c r="N146" s="2"/>
      <c r="O146" s="2"/>
      <c r="P146" s="2"/>
      <c r="Q146" s="2"/>
      <c r="R146" s="2"/>
      <c r="S146" s="2"/>
      <c r="T146" s="2"/>
      <c r="U146" s="2"/>
    </row>
    <row r="147" spans="1:21" x14ac:dyDescent="0.25">
      <c r="A147" s="2"/>
      <c r="B147" s="37">
        <f t="shared" si="5"/>
        <v>147</v>
      </c>
      <c r="C147" s="37">
        <f t="shared" si="6"/>
        <v>136</v>
      </c>
      <c r="D147" s="6" t="s">
        <v>0</v>
      </c>
      <c r="E147" s="26"/>
      <c r="F147" s="6" t="s">
        <v>0</v>
      </c>
      <c r="G147" s="26"/>
      <c r="H147" s="2"/>
      <c r="I147" s="2"/>
      <c r="J147" s="2"/>
      <c r="K147" s="2"/>
      <c r="L147" s="2"/>
      <c r="M147" s="2"/>
      <c r="N147" s="2"/>
      <c r="O147" s="2"/>
      <c r="P147" s="2"/>
      <c r="Q147" s="2"/>
      <c r="R147" s="2"/>
      <c r="S147" s="2"/>
      <c r="T147" s="2"/>
      <c r="U147" s="2"/>
    </row>
    <row r="148" spans="1:21" x14ac:dyDescent="0.25">
      <c r="A148" s="2"/>
      <c r="B148" s="37">
        <f t="shared" si="5"/>
        <v>148</v>
      </c>
      <c r="C148" s="37">
        <f t="shared" si="6"/>
        <v>137</v>
      </c>
      <c r="D148" s="6" t="s">
        <v>0</v>
      </c>
      <c r="E148" s="26"/>
      <c r="F148" s="6" t="s">
        <v>0</v>
      </c>
      <c r="G148" s="26"/>
      <c r="H148" s="2"/>
      <c r="I148" s="2"/>
      <c r="J148" s="2"/>
      <c r="K148" s="2"/>
      <c r="L148" s="2"/>
      <c r="M148" s="2"/>
      <c r="N148" s="2"/>
      <c r="O148" s="2"/>
      <c r="P148" s="2"/>
      <c r="Q148" s="2"/>
      <c r="R148" s="2"/>
      <c r="S148" s="2"/>
      <c r="T148" s="2"/>
      <c r="U148" s="2"/>
    </row>
    <row r="149" spans="1:21" x14ac:dyDescent="0.25">
      <c r="A149" s="2"/>
      <c r="B149" s="37">
        <f t="shared" si="5"/>
        <v>149</v>
      </c>
      <c r="C149" s="37">
        <f t="shared" si="6"/>
        <v>138</v>
      </c>
      <c r="D149" s="6" t="s">
        <v>0</v>
      </c>
      <c r="E149" s="26"/>
      <c r="F149" s="6" t="s">
        <v>0</v>
      </c>
      <c r="G149" s="26"/>
      <c r="H149" s="2"/>
      <c r="I149" s="2"/>
      <c r="J149" s="2"/>
      <c r="K149" s="2"/>
      <c r="L149" s="2"/>
      <c r="M149" s="2"/>
      <c r="N149" s="2"/>
      <c r="O149" s="2"/>
      <c r="P149" s="2"/>
      <c r="Q149" s="2"/>
      <c r="R149" s="2"/>
      <c r="S149" s="2"/>
      <c r="T149" s="2"/>
      <c r="U149" s="2"/>
    </row>
    <row r="150" spans="1:21" x14ac:dyDescent="0.25">
      <c r="A150" s="2"/>
      <c r="B150" s="37">
        <f t="shared" si="5"/>
        <v>150</v>
      </c>
      <c r="C150" s="37">
        <f t="shared" si="6"/>
        <v>139</v>
      </c>
      <c r="D150" s="6" t="s">
        <v>0</v>
      </c>
      <c r="E150" s="26"/>
      <c r="F150" s="6" t="s">
        <v>0</v>
      </c>
      <c r="G150" s="26"/>
      <c r="H150" s="2"/>
      <c r="I150" s="2"/>
      <c r="J150" s="2"/>
      <c r="K150" s="2"/>
      <c r="L150" s="2"/>
      <c r="M150" s="2"/>
      <c r="N150" s="2"/>
      <c r="O150" s="2"/>
      <c r="P150" s="2"/>
      <c r="Q150" s="2"/>
      <c r="R150" s="2"/>
      <c r="S150" s="2"/>
      <c r="T150" s="2"/>
      <c r="U150" s="2"/>
    </row>
    <row r="151" spans="1:21" x14ac:dyDescent="0.25">
      <c r="A151" s="2"/>
      <c r="B151" s="37">
        <f t="shared" si="5"/>
        <v>151</v>
      </c>
      <c r="C151" s="37">
        <f t="shared" si="6"/>
        <v>140</v>
      </c>
      <c r="D151" s="6" t="s">
        <v>0</v>
      </c>
      <c r="E151" s="26"/>
      <c r="F151" s="6" t="s">
        <v>0</v>
      </c>
      <c r="G151" s="26"/>
      <c r="H151" s="2"/>
      <c r="I151" s="2"/>
      <c r="J151" s="2"/>
      <c r="K151" s="2"/>
      <c r="L151" s="2"/>
      <c r="M151" s="2"/>
      <c r="N151" s="2"/>
      <c r="O151" s="2"/>
      <c r="P151" s="2"/>
      <c r="Q151" s="2"/>
      <c r="R151" s="2"/>
      <c r="S151" s="2"/>
      <c r="T151" s="2"/>
      <c r="U151" s="2"/>
    </row>
    <row r="152" spans="1:21" x14ac:dyDescent="0.25">
      <c r="A152" s="2"/>
      <c r="B152" s="37">
        <f t="shared" si="5"/>
        <v>152</v>
      </c>
      <c r="C152" s="37">
        <f t="shared" si="6"/>
        <v>141</v>
      </c>
      <c r="D152" s="6" t="s">
        <v>0</v>
      </c>
      <c r="E152" s="26"/>
      <c r="F152" s="6" t="s">
        <v>0</v>
      </c>
      <c r="G152" s="26"/>
      <c r="H152" s="2"/>
      <c r="I152" s="2"/>
      <c r="J152" s="2"/>
      <c r="K152" s="2"/>
      <c r="L152" s="2"/>
      <c r="M152" s="2"/>
      <c r="N152" s="2"/>
      <c r="O152" s="2"/>
      <c r="P152" s="2"/>
      <c r="Q152" s="2"/>
      <c r="R152" s="2"/>
      <c r="S152" s="2"/>
      <c r="T152" s="2"/>
      <c r="U152" s="2"/>
    </row>
    <row r="153" spans="1:21" x14ac:dyDescent="0.25">
      <c r="A153" s="2"/>
      <c r="B153" s="37">
        <f t="shared" si="5"/>
        <v>153</v>
      </c>
      <c r="C153" s="37">
        <f t="shared" si="6"/>
        <v>142</v>
      </c>
      <c r="D153" s="6" t="s">
        <v>0</v>
      </c>
      <c r="E153" s="26"/>
      <c r="F153" s="6" t="s">
        <v>0</v>
      </c>
      <c r="G153" s="26"/>
      <c r="H153" s="2"/>
      <c r="I153" s="2"/>
      <c r="J153" s="2"/>
      <c r="K153" s="2"/>
      <c r="L153" s="2"/>
      <c r="M153" s="2"/>
      <c r="N153" s="2"/>
      <c r="O153" s="2"/>
      <c r="P153" s="2"/>
      <c r="Q153" s="2"/>
      <c r="R153" s="2"/>
      <c r="S153" s="2"/>
      <c r="T153" s="2"/>
      <c r="U153" s="2"/>
    </row>
    <row r="154" spans="1:21" x14ac:dyDescent="0.25">
      <c r="A154" s="2"/>
      <c r="B154" s="37">
        <f t="shared" si="5"/>
        <v>154</v>
      </c>
      <c r="C154" s="37">
        <f t="shared" si="6"/>
        <v>143</v>
      </c>
      <c r="D154" s="6" t="s">
        <v>0</v>
      </c>
      <c r="E154" s="26"/>
      <c r="F154" s="6" t="s">
        <v>0</v>
      </c>
      <c r="G154" s="26"/>
      <c r="H154" s="2"/>
      <c r="I154" s="2"/>
      <c r="J154" s="2"/>
      <c r="K154" s="2"/>
      <c r="L154" s="2"/>
      <c r="M154" s="2"/>
      <c r="N154" s="2"/>
      <c r="O154" s="2"/>
      <c r="P154" s="2"/>
      <c r="Q154" s="2"/>
      <c r="R154" s="2"/>
      <c r="S154" s="2"/>
      <c r="T154" s="2"/>
      <c r="U154" s="2"/>
    </row>
    <row r="155" spans="1:21" x14ac:dyDescent="0.25">
      <c r="A155" s="2"/>
      <c r="B155" s="37">
        <f t="shared" si="5"/>
        <v>155</v>
      </c>
      <c r="C155" s="37">
        <f t="shared" si="6"/>
        <v>144</v>
      </c>
      <c r="D155" s="6" t="s">
        <v>0</v>
      </c>
      <c r="E155" s="26"/>
      <c r="F155" s="6" t="s">
        <v>0</v>
      </c>
      <c r="G155" s="26"/>
      <c r="H155" s="2"/>
      <c r="I155" s="2"/>
      <c r="J155" s="2"/>
      <c r="K155" s="2"/>
      <c r="L155" s="2"/>
      <c r="M155" s="2"/>
      <c r="N155" s="2"/>
      <c r="O155" s="2"/>
      <c r="P155" s="2"/>
      <c r="Q155" s="2"/>
      <c r="R155" s="2"/>
      <c r="S155" s="2"/>
      <c r="T155" s="2"/>
      <c r="U155" s="2"/>
    </row>
    <row r="156" spans="1:21" x14ac:dyDescent="0.25">
      <c r="A156" s="2"/>
      <c r="B156" s="37">
        <f t="shared" si="5"/>
        <v>156</v>
      </c>
      <c r="C156" s="37">
        <f t="shared" si="6"/>
        <v>145</v>
      </c>
      <c r="D156" s="6" t="s">
        <v>0</v>
      </c>
      <c r="E156" s="26"/>
      <c r="F156" s="6" t="s">
        <v>0</v>
      </c>
      <c r="G156" s="26"/>
      <c r="H156" s="2"/>
      <c r="I156" s="2"/>
      <c r="J156" s="2"/>
      <c r="K156" s="2"/>
      <c r="L156" s="2"/>
      <c r="M156" s="2"/>
      <c r="N156" s="2"/>
      <c r="O156" s="2"/>
      <c r="P156" s="2"/>
      <c r="Q156" s="2"/>
      <c r="R156" s="2"/>
      <c r="S156" s="2"/>
      <c r="T156" s="2"/>
      <c r="U156" s="2"/>
    </row>
  </sheetData>
  <conditionalFormatting sqref="E8">
    <cfRule type="containsBlanks" dxfId="5699" priority="211">
      <formula>LEN(TRIM(E8))=0</formula>
    </cfRule>
  </conditionalFormatting>
  <conditionalFormatting sqref="E12">
    <cfRule type="containsBlanks" dxfId="5698" priority="210">
      <formula>LEN(TRIM(E12))=0</formula>
    </cfRule>
  </conditionalFormatting>
  <conditionalFormatting sqref="G12">
    <cfRule type="containsBlanks" dxfId="5697" priority="208">
      <formula>LEN(TRIM(G12))=0</formula>
    </cfRule>
  </conditionalFormatting>
  <conditionalFormatting sqref="G8">
    <cfRule type="containsBlanks" dxfId="5696" priority="209">
      <formula>LEN(TRIM(G8))=0</formula>
    </cfRule>
  </conditionalFormatting>
  <conditionalFormatting sqref="E13">
    <cfRule type="containsBlanks" dxfId="5695" priority="207">
      <formula>LEN(TRIM(E13))=0</formula>
    </cfRule>
  </conditionalFormatting>
  <conditionalFormatting sqref="G13">
    <cfRule type="containsBlanks" dxfId="5694" priority="206">
      <formula>LEN(TRIM(G13))=0</formula>
    </cfRule>
  </conditionalFormatting>
  <conditionalFormatting sqref="E14">
    <cfRule type="containsBlanks" dxfId="5693" priority="205">
      <formula>LEN(TRIM(E14))=0</formula>
    </cfRule>
  </conditionalFormatting>
  <conditionalFormatting sqref="G14">
    <cfRule type="containsBlanks" dxfId="5692" priority="204">
      <formula>LEN(TRIM(G14))=0</formula>
    </cfRule>
  </conditionalFormatting>
  <conditionalFormatting sqref="E15">
    <cfRule type="containsBlanks" dxfId="5691" priority="203">
      <formula>LEN(TRIM(E15))=0</formula>
    </cfRule>
  </conditionalFormatting>
  <conditionalFormatting sqref="G15">
    <cfRule type="containsBlanks" dxfId="5690" priority="202">
      <formula>LEN(TRIM(G15))=0</formula>
    </cfRule>
  </conditionalFormatting>
  <conditionalFormatting sqref="E16">
    <cfRule type="containsBlanks" dxfId="5689" priority="201">
      <formula>LEN(TRIM(E16))=0</formula>
    </cfRule>
  </conditionalFormatting>
  <conditionalFormatting sqref="G16">
    <cfRule type="containsBlanks" dxfId="5688" priority="200">
      <formula>LEN(TRIM(G16))=0</formula>
    </cfRule>
  </conditionalFormatting>
  <conditionalFormatting sqref="E17">
    <cfRule type="containsBlanks" dxfId="5687" priority="199">
      <formula>LEN(TRIM(E17))=0</formula>
    </cfRule>
  </conditionalFormatting>
  <conditionalFormatting sqref="G18">
    <cfRule type="containsBlanks" dxfId="5686" priority="195">
      <formula>LEN(TRIM(G18))=0</formula>
    </cfRule>
  </conditionalFormatting>
  <conditionalFormatting sqref="G17">
    <cfRule type="containsBlanks" dxfId="5685" priority="197">
      <formula>LEN(TRIM(G17))=0</formula>
    </cfRule>
  </conditionalFormatting>
  <conditionalFormatting sqref="E18">
    <cfRule type="containsBlanks" dxfId="5684" priority="196">
      <formula>LEN(TRIM(E18))=0</formula>
    </cfRule>
  </conditionalFormatting>
  <conditionalFormatting sqref="G19">
    <cfRule type="containsBlanks" dxfId="5683" priority="193">
      <formula>LEN(TRIM(G19))=0</formula>
    </cfRule>
  </conditionalFormatting>
  <conditionalFormatting sqref="E19">
    <cfRule type="containsBlanks" dxfId="5682" priority="194">
      <formula>LEN(TRIM(E19))=0</formula>
    </cfRule>
  </conditionalFormatting>
  <conditionalFormatting sqref="G20">
    <cfRule type="containsBlanks" dxfId="5681" priority="190">
      <formula>LEN(TRIM(G20))=0</formula>
    </cfRule>
  </conditionalFormatting>
  <conditionalFormatting sqref="E20">
    <cfRule type="containsBlanks" dxfId="5680" priority="192">
      <formula>LEN(TRIM(E20))=0</formula>
    </cfRule>
  </conditionalFormatting>
  <conditionalFormatting sqref="G21">
    <cfRule type="containsBlanks" dxfId="5679" priority="188">
      <formula>LEN(TRIM(G21))=0</formula>
    </cfRule>
  </conditionalFormatting>
  <conditionalFormatting sqref="G22">
    <cfRule type="containsBlanks" dxfId="5678" priority="186">
      <formula>LEN(TRIM(G22))=0</formula>
    </cfRule>
  </conditionalFormatting>
  <conditionalFormatting sqref="E21">
    <cfRule type="containsBlanks" dxfId="5677" priority="189">
      <formula>LEN(TRIM(E21))=0</formula>
    </cfRule>
  </conditionalFormatting>
  <conditionalFormatting sqref="G23">
    <cfRule type="containsBlanks" dxfId="5676" priority="184">
      <formula>LEN(TRIM(G23))=0</formula>
    </cfRule>
  </conditionalFormatting>
  <conditionalFormatting sqref="E22">
    <cfRule type="containsBlanks" dxfId="5675" priority="187">
      <formula>LEN(TRIM(E22))=0</formula>
    </cfRule>
  </conditionalFormatting>
  <conditionalFormatting sqref="G24">
    <cfRule type="containsBlanks" dxfId="5674" priority="181">
      <formula>LEN(TRIM(G24))=0</formula>
    </cfRule>
  </conditionalFormatting>
  <conditionalFormatting sqref="E23">
    <cfRule type="containsBlanks" dxfId="5673" priority="185">
      <formula>LEN(TRIM(E23))=0</formula>
    </cfRule>
  </conditionalFormatting>
  <conditionalFormatting sqref="E24">
    <cfRule type="containsBlanks" dxfId="5672" priority="183">
      <formula>LEN(TRIM(E24))=0</formula>
    </cfRule>
  </conditionalFormatting>
  <conditionalFormatting sqref="G25">
    <cfRule type="containsBlanks" dxfId="5671" priority="179">
      <formula>LEN(TRIM(G25))=0</formula>
    </cfRule>
  </conditionalFormatting>
  <conditionalFormatting sqref="E25">
    <cfRule type="containsBlanks" dxfId="5670" priority="180">
      <formula>LEN(TRIM(E25))=0</formula>
    </cfRule>
  </conditionalFormatting>
  <conditionalFormatting sqref="G26">
    <cfRule type="containsBlanks" dxfId="5669" priority="177">
      <formula>LEN(TRIM(G26))=0</formula>
    </cfRule>
  </conditionalFormatting>
  <conditionalFormatting sqref="E26">
    <cfRule type="containsBlanks" dxfId="5668" priority="178">
      <formula>LEN(TRIM(E26))=0</formula>
    </cfRule>
  </conditionalFormatting>
  <conditionalFormatting sqref="G27">
    <cfRule type="containsBlanks" dxfId="5667" priority="175">
      <formula>LEN(TRIM(G27))=0</formula>
    </cfRule>
  </conditionalFormatting>
  <conditionalFormatting sqref="E27">
    <cfRule type="containsBlanks" dxfId="5666" priority="176">
      <formula>LEN(TRIM(E27))=0</formula>
    </cfRule>
  </conditionalFormatting>
  <conditionalFormatting sqref="G28">
    <cfRule type="containsBlanks" dxfId="5665" priority="173">
      <formula>LEN(TRIM(G28))=0</formula>
    </cfRule>
  </conditionalFormatting>
  <conditionalFormatting sqref="E28">
    <cfRule type="containsBlanks" dxfId="5664" priority="174">
      <formula>LEN(TRIM(E28))=0</formula>
    </cfRule>
  </conditionalFormatting>
  <conditionalFormatting sqref="G29">
    <cfRule type="containsBlanks" dxfId="5663" priority="171">
      <formula>LEN(TRIM(G29))=0</formula>
    </cfRule>
  </conditionalFormatting>
  <conditionalFormatting sqref="E29">
    <cfRule type="containsBlanks" dxfId="5662" priority="172">
      <formula>LEN(TRIM(E29))=0</formula>
    </cfRule>
  </conditionalFormatting>
  <conditionalFormatting sqref="G30">
    <cfRule type="containsBlanks" dxfId="5661" priority="169">
      <formula>LEN(TRIM(G30))=0</formula>
    </cfRule>
  </conditionalFormatting>
  <conditionalFormatting sqref="G31">
    <cfRule type="containsBlanks" dxfId="5660" priority="167">
      <formula>LEN(TRIM(G31))=0</formula>
    </cfRule>
  </conditionalFormatting>
  <conditionalFormatting sqref="G32">
    <cfRule type="containsBlanks" dxfId="5659" priority="165">
      <formula>LEN(TRIM(G32))=0</formula>
    </cfRule>
  </conditionalFormatting>
  <conditionalFormatting sqref="E30">
    <cfRule type="containsBlanks" dxfId="5658" priority="170">
      <formula>LEN(TRIM(E30))=0</formula>
    </cfRule>
  </conditionalFormatting>
  <conditionalFormatting sqref="E31">
    <cfRule type="containsBlanks" dxfId="5657" priority="168">
      <formula>LEN(TRIM(E31))=0</formula>
    </cfRule>
  </conditionalFormatting>
  <conditionalFormatting sqref="E32">
    <cfRule type="containsBlanks" dxfId="5656" priority="166">
      <formula>LEN(TRIM(E32))=0</formula>
    </cfRule>
  </conditionalFormatting>
  <conditionalFormatting sqref="G33">
    <cfRule type="containsBlanks" dxfId="5655" priority="163">
      <formula>LEN(TRIM(G33))=0</formula>
    </cfRule>
  </conditionalFormatting>
  <conditionalFormatting sqref="G34">
    <cfRule type="containsBlanks" dxfId="5654" priority="161">
      <formula>LEN(TRIM(G34))=0</formula>
    </cfRule>
  </conditionalFormatting>
  <conditionalFormatting sqref="G36">
    <cfRule type="containsBlanks" dxfId="5653" priority="157">
      <formula>LEN(TRIM(G36))=0</formula>
    </cfRule>
  </conditionalFormatting>
  <conditionalFormatting sqref="E33">
    <cfRule type="containsBlanks" dxfId="5652" priority="164">
      <formula>LEN(TRIM(E33))=0</formula>
    </cfRule>
  </conditionalFormatting>
  <conditionalFormatting sqref="E34">
    <cfRule type="containsBlanks" dxfId="5651" priority="162">
      <formula>LEN(TRIM(E34))=0</formula>
    </cfRule>
  </conditionalFormatting>
  <conditionalFormatting sqref="G35">
    <cfRule type="containsBlanks" dxfId="5650" priority="159">
      <formula>LEN(TRIM(G35))=0</formula>
    </cfRule>
  </conditionalFormatting>
  <conditionalFormatting sqref="E35">
    <cfRule type="containsBlanks" dxfId="5649" priority="160">
      <formula>LEN(TRIM(E35))=0</formula>
    </cfRule>
  </conditionalFormatting>
  <conditionalFormatting sqref="E36">
    <cfRule type="containsBlanks" dxfId="5648" priority="158">
      <formula>LEN(TRIM(E36))=0</formula>
    </cfRule>
  </conditionalFormatting>
  <conditionalFormatting sqref="G37">
    <cfRule type="containsBlanks" dxfId="5647" priority="155">
      <formula>LEN(TRIM(G37))=0</formula>
    </cfRule>
  </conditionalFormatting>
  <conditionalFormatting sqref="G38">
    <cfRule type="containsBlanks" dxfId="5646" priority="153">
      <formula>LEN(TRIM(G38))=0</formula>
    </cfRule>
  </conditionalFormatting>
  <conditionalFormatting sqref="E37">
    <cfRule type="containsBlanks" dxfId="5645" priority="156">
      <formula>LEN(TRIM(E37))=0</formula>
    </cfRule>
  </conditionalFormatting>
  <conditionalFormatting sqref="E38">
    <cfRule type="containsBlanks" dxfId="5644" priority="154">
      <formula>LEN(TRIM(E38))=0</formula>
    </cfRule>
  </conditionalFormatting>
  <conditionalFormatting sqref="G39">
    <cfRule type="containsBlanks" dxfId="5643" priority="151">
      <formula>LEN(TRIM(G39))=0</formula>
    </cfRule>
  </conditionalFormatting>
  <conditionalFormatting sqref="G40">
    <cfRule type="containsBlanks" dxfId="5642" priority="149">
      <formula>LEN(TRIM(G40))=0</formula>
    </cfRule>
  </conditionalFormatting>
  <conditionalFormatting sqref="G41">
    <cfRule type="containsBlanks" dxfId="5641" priority="147">
      <formula>LEN(TRIM(G41))=0</formula>
    </cfRule>
  </conditionalFormatting>
  <conditionalFormatting sqref="E39">
    <cfRule type="containsBlanks" dxfId="5640" priority="152">
      <formula>LEN(TRIM(E39))=0</formula>
    </cfRule>
  </conditionalFormatting>
  <conditionalFormatting sqref="G42">
    <cfRule type="containsBlanks" dxfId="5639" priority="145">
      <formula>LEN(TRIM(G42))=0</formula>
    </cfRule>
  </conditionalFormatting>
  <conditionalFormatting sqref="G43">
    <cfRule type="containsBlanks" dxfId="5638" priority="143">
      <formula>LEN(TRIM(G43))=0</formula>
    </cfRule>
  </conditionalFormatting>
  <conditionalFormatting sqref="E40">
    <cfRule type="containsBlanks" dxfId="5637" priority="150">
      <formula>LEN(TRIM(E40))=0</formula>
    </cfRule>
  </conditionalFormatting>
  <conditionalFormatting sqref="E41">
    <cfRule type="containsBlanks" dxfId="5636" priority="148">
      <formula>LEN(TRIM(E41))=0</formula>
    </cfRule>
  </conditionalFormatting>
  <conditionalFormatting sqref="E42">
    <cfRule type="containsBlanks" dxfId="5635" priority="146">
      <formula>LEN(TRIM(E42))=0</formula>
    </cfRule>
  </conditionalFormatting>
  <conditionalFormatting sqref="E43">
    <cfRule type="containsBlanks" dxfId="5634" priority="144">
      <formula>LEN(TRIM(E43))=0</formula>
    </cfRule>
  </conditionalFormatting>
  <conditionalFormatting sqref="G44">
    <cfRule type="containsBlanks" dxfId="5633" priority="141">
      <formula>LEN(TRIM(G44))=0</formula>
    </cfRule>
  </conditionalFormatting>
  <conditionalFormatting sqref="E44">
    <cfRule type="containsBlanks" dxfId="5632" priority="142">
      <formula>LEN(TRIM(E44))=0</formula>
    </cfRule>
  </conditionalFormatting>
  <conditionalFormatting sqref="G45">
    <cfRule type="containsBlanks" dxfId="5631" priority="139">
      <formula>LEN(TRIM(G45))=0</formula>
    </cfRule>
  </conditionalFormatting>
  <conditionalFormatting sqref="E45">
    <cfRule type="containsBlanks" dxfId="5630" priority="140">
      <formula>LEN(TRIM(E45))=0</formula>
    </cfRule>
  </conditionalFormatting>
  <conditionalFormatting sqref="G46">
    <cfRule type="containsBlanks" dxfId="5629" priority="137">
      <formula>LEN(TRIM(G46))=0</formula>
    </cfRule>
  </conditionalFormatting>
  <conditionalFormatting sqref="E46">
    <cfRule type="containsBlanks" dxfId="5628" priority="138">
      <formula>LEN(TRIM(E46))=0</formula>
    </cfRule>
  </conditionalFormatting>
  <conditionalFormatting sqref="G47">
    <cfRule type="containsBlanks" dxfId="5627" priority="135">
      <formula>LEN(TRIM(G47))=0</formula>
    </cfRule>
  </conditionalFormatting>
  <conditionalFormatting sqref="E47">
    <cfRule type="containsBlanks" dxfId="5626" priority="136">
      <formula>LEN(TRIM(E47))=0</formula>
    </cfRule>
  </conditionalFormatting>
  <conditionalFormatting sqref="G48">
    <cfRule type="containsBlanks" dxfId="5625" priority="133">
      <formula>LEN(TRIM(G48))=0</formula>
    </cfRule>
  </conditionalFormatting>
  <conditionalFormatting sqref="E48">
    <cfRule type="containsBlanks" dxfId="5624" priority="134">
      <formula>LEN(TRIM(E48))=0</formula>
    </cfRule>
  </conditionalFormatting>
  <conditionalFormatting sqref="G49">
    <cfRule type="containsBlanks" dxfId="5623" priority="131">
      <formula>LEN(TRIM(G49))=0</formula>
    </cfRule>
  </conditionalFormatting>
  <conditionalFormatting sqref="E49">
    <cfRule type="containsBlanks" dxfId="5622" priority="132">
      <formula>LEN(TRIM(E49))=0</formula>
    </cfRule>
  </conditionalFormatting>
  <conditionalFormatting sqref="G50">
    <cfRule type="containsBlanks" dxfId="5621" priority="129">
      <formula>LEN(TRIM(G50))=0</formula>
    </cfRule>
  </conditionalFormatting>
  <conditionalFormatting sqref="E50">
    <cfRule type="containsBlanks" dxfId="5620" priority="130">
      <formula>LEN(TRIM(E50))=0</formula>
    </cfRule>
  </conditionalFormatting>
  <conditionalFormatting sqref="G51">
    <cfRule type="containsBlanks" dxfId="5619" priority="127">
      <formula>LEN(TRIM(G51))=0</formula>
    </cfRule>
  </conditionalFormatting>
  <conditionalFormatting sqref="E51">
    <cfRule type="containsBlanks" dxfId="5618" priority="128">
      <formula>LEN(TRIM(E51))=0</formula>
    </cfRule>
  </conditionalFormatting>
  <conditionalFormatting sqref="G52">
    <cfRule type="containsBlanks" dxfId="5617" priority="125">
      <formula>LEN(TRIM(G52))=0</formula>
    </cfRule>
  </conditionalFormatting>
  <conditionalFormatting sqref="E52">
    <cfRule type="containsBlanks" dxfId="5616" priority="126">
      <formula>LEN(TRIM(E52))=0</formula>
    </cfRule>
  </conditionalFormatting>
  <conditionalFormatting sqref="G53">
    <cfRule type="containsBlanks" dxfId="5615" priority="123">
      <formula>LEN(TRIM(G53))=0</formula>
    </cfRule>
  </conditionalFormatting>
  <conditionalFormatting sqref="E53">
    <cfRule type="containsBlanks" dxfId="5614" priority="124">
      <formula>LEN(TRIM(E53))=0</formula>
    </cfRule>
  </conditionalFormatting>
  <conditionalFormatting sqref="G54">
    <cfRule type="containsBlanks" dxfId="5613" priority="121">
      <formula>LEN(TRIM(G54))=0</formula>
    </cfRule>
  </conditionalFormatting>
  <conditionalFormatting sqref="E54">
    <cfRule type="containsBlanks" dxfId="5612" priority="122">
      <formula>LEN(TRIM(E54))=0</formula>
    </cfRule>
  </conditionalFormatting>
  <conditionalFormatting sqref="G55">
    <cfRule type="containsBlanks" dxfId="5611" priority="119">
      <formula>LEN(TRIM(G55))=0</formula>
    </cfRule>
  </conditionalFormatting>
  <conditionalFormatting sqref="E55">
    <cfRule type="containsBlanks" dxfId="5610" priority="120">
      <formula>LEN(TRIM(E55))=0</formula>
    </cfRule>
  </conditionalFormatting>
  <conditionalFormatting sqref="G56">
    <cfRule type="containsBlanks" dxfId="5609" priority="117">
      <formula>LEN(TRIM(G56))=0</formula>
    </cfRule>
  </conditionalFormatting>
  <conditionalFormatting sqref="E56">
    <cfRule type="containsBlanks" dxfId="5608" priority="118">
      <formula>LEN(TRIM(E56))=0</formula>
    </cfRule>
  </conditionalFormatting>
  <conditionalFormatting sqref="G57">
    <cfRule type="containsBlanks" dxfId="5607" priority="115">
      <formula>LEN(TRIM(G57))=0</formula>
    </cfRule>
  </conditionalFormatting>
  <conditionalFormatting sqref="E57">
    <cfRule type="containsBlanks" dxfId="5606" priority="116">
      <formula>LEN(TRIM(E57))=0</formula>
    </cfRule>
  </conditionalFormatting>
  <conditionalFormatting sqref="G58">
    <cfRule type="containsBlanks" dxfId="5605" priority="113">
      <formula>LEN(TRIM(G58))=0</formula>
    </cfRule>
  </conditionalFormatting>
  <conditionalFormatting sqref="E58">
    <cfRule type="containsBlanks" dxfId="5604" priority="114">
      <formula>LEN(TRIM(E58))=0</formula>
    </cfRule>
  </conditionalFormatting>
  <conditionalFormatting sqref="G60">
    <cfRule type="containsBlanks" dxfId="5603" priority="108">
      <formula>LEN(TRIM(G60))=0</formula>
    </cfRule>
  </conditionalFormatting>
  <conditionalFormatting sqref="E59">
    <cfRule type="containsBlanks" dxfId="5602" priority="112">
      <formula>LEN(TRIM(E59))=0</formula>
    </cfRule>
  </conditionalFormatting>
  <conditionalFormatting sqref="G59">
    <cfRule type="containsBlanks" dxfId="5601" priority="110">
      <formula>LEN(TRIM(G59))=0</formula>
    </cfRule>
  </conditionalFormatting>
  <conditionalFormatting sqref="E60">
    <cfRule type="containsBlanks" dxfId="5600" priority="109">
      <formula>LEN(TRIM(E60))=0</formula>
    </cfRule>
  </conditionalFormatting>
  <conditionalFormatting sqref="G64">
    <cfRule type="containsBlanks" dxfId="5599" priority="100">
      <formula>LEN(TRIM(G64))=0</formula>
    </cfRule>
  </conditionalFormatting>
  <conditionalFormatting sqref="G61">
    <cfRule type="containsBlanks" dxfId="5598" priority="106">
      <formula>LEN(TRIM(G61))=0</formula>
    </cfRule>
  </conditionalFormatting>
  <conditionalFormatting sqref="E61">
    <cfRule type="containsBlanks" dxfId="5597" priority="107">
      <formula>LEN(TRIM(E61))=0</formula>
    </cfRule>
  </conditionalFormatting>
  <conditionalFormatting sqref="G62">
    <cfRule type="containsBlanks" dxfId="5596" priority="104">
      <formula>LEN(TRIM(G62))=0</formula>
    </cfRule>
  </conditionalFormatting>
  <conditionalFormatting sqref="E62">
    <cfRule type="containsBlanks" dxfId="5595" priority="105">
      <formula>LEN(TRIM(E62))=0</formula>
    </cfRule>
  </conditionalFormatting>
  <conditionalFormatting sqref="G63">
    <cfRule type="containsBlanks" dxfId="5594" priority="102">
      <formula>LEN(TRIM(G63))=0</formula>
    </cfRule>
  </conditionalFormatting>
  <conditionalFormatting sqref="E63">
    <cfRule type="containsBlanks" dxfId="5593" priority="103">
      <formula>LEN(TRIM(E63))=0</formula>
    </cfRule>
  </conditionalFormatting>
  <conditionalFormatting sqref="E64">
    <cfRule type="containsBlanks" dxfId="5592" priority="101">
      <formula>LEN(TRIM(E64))=0</formula>
    </cfRule>
  </conditionalFormatting>
  <conditionalFormatting sqref="G65">
    <cfRule type="containsBlanks" dxfId="5591" priority="98">
      <formula>LEN(TRIM(G65))=0</formula>
    </cfRule>
  </conditionalFormatting>
  <conditionalFormatting sqref="E65">
    <cfRule type="containsBlanks" dxfId="5590" priority="99">
      <formula>LEN(TRIM(E65))=0</formula>
    </cfRule>
  </conditionalFormatting>
  <conditionalFormatting sqref="G66">
    <cfRule type="containsBlanks" dxfId="5589" priority="96">
      <formula>LEN(TRIM(G66))=0</formula>
    </cfRule>
  </conditionalFormatting>
  <conditionalFormatting sqref="E66">
    <cfRule type="containsBlanks" dxfId="5588" priority="97">
      <formula>LEN(TRIM(E66))=0</formula>
    </cfRule>
  </conditionalFormatting>
  <conditionalFormatting sqref="G67">
    <cfRule type="containsBlanks" dxfId="5587" priority="94">
      <formula>LEN(TRIM(G67))=0</formula>
    </cfRule>
  </conditionalFormatting>
  <conditionalFormatting sqref="E67">
    <cfRule type="containsBlanks" dxfId="5586" priority="95">
      <formula>LEN(TRIM(E67))=0</formula>
    </cfRule>
  </conditionalFormatting>
  <conditionalFormatting sqref="G68">
    <cfRule type="containsBlanks" dxfId="5585" priority="92">
      <formula>LEN(TRIM(G68))=0</formula>
    </cfRule>
  </conditionalFormatting>
  <conditionalFormatting sqref="E68">
    <cfRule type="containsBlanks" dxfId="5584" priority="93">
      <formula>LEN(TRIM(E68))=0</formula>
    </cfRule>
  </conditionalFormatting>
  <conditionalFormatting sqref="G69">
    <cfRule type="containsBlanks" dxfId="5583" priority="90">
      <formula>LEN(TRIM(G69))=0</formula>
    </cfRule>
  </conditionalFormatting>
  <conditionalFormatting sqref="E69">
    <cfRule type="containsBlanks" dxfId="5582" priority="91">
      <formula>LEN(TRIM(E69))=0</formula>
    </cfRule>
  </conditionalFormatting>
  <conditionalFormatting sqref="G70">
    <cfRule type="containsBlanks" dxfId="5581" priority="88">
      <formula>LEN(TRIM(G70))=0</formula>
    </cfRule>
  </conditionalFormatting>
  <conditionalFormatting sqref="E70">
    <cfRule type="containsBlanks" dxfId="5580" priority="89">
      <formula>LEN(TRIM(E70))=0</formula>
    </cfRule>
  </conditionalFormatting>
  <conditionalFormatting sqref="G71">
    <cfRule type="containsBlanks" dxfId="5579" priority="86">
      <formula>LEN(TRIM(G71))=0</formula>
    </cfRule>
  </conditionalFormatting>
  <conditionalFormatting sqref="E71">
    <cfRule type="containsBlanks" dxfId="5578" priority="87">
      <formula>LEN(TRIM(E71))=0</formula>
    </cfRule>
  </conditionalFormatting>
  <conditionalFormatting sqref="G72">
    <cfRule type="containsBlanks" dxfId="5577" priority="84">
      <formula>LEN(TRIM(G72))=0</formula>
    </cfRule>
  </conditionalFormatting>
  <conditionalFormatting sqref="E72">
    <cfRule type="containsBlanks" dxfId="5576" priority="85">
      <formula>LEN(TRIM(E72))=0</formula>
    </cfRule>
  </conditionalFormatting>
  <conditionalFormatting sqref="G73">
    <cfRule type="containsBlanks" dxfId="5575" priority="82">
      <formula>LEN(TRIM(G73))=0</formula>
    </cfRule>
  </conditionalFormatting>
  <conditionalFormatting sqref="E73">
    <cfRule type="containsBlanks" dxfId="5574" priority="83">
      <formula>LEN(TRIM(E73))=0</formula>
    </cfRule>
  </conditionalFormatting>
  <conditionalFormatting sqref="G74">
    <cfRule type="containsBlanks" dxfId="5573" priority="80">
      <formula>LEN(TRIM(G74))=0</formula>
    </cfRule>
  </conditionalFormatting>
  <conditionalFormatting sqref="E74">
    <cfRule type="containsBlanks" dxfId="5572" priority="81">
      <formula>LEN(TRIM(E74))=0</formula>
    </cfRule>
  </conditionalFormatting>
  <conditionalFormatting sqref="G75">
    <cfRule type="containsBlanks" dxfId="5571" priority="78">
      <formula>LEN(TRIM(G75))=0</formula>
    </cfRule>
  </conditionalFormatting>
  <conditionalFormatting sqref="E75">
    <cfRule type="containsBlanks" dxfId="5570" priority="79">
      <formula>LEN(TRIM(E75))=0</formula>
    </cfRule>
  </conditionalFormatting>
  <conditionalFormatting sqref="G76">
    <cfRule type="containsBlanks" dxfId="5569" priority="76">
      <formula>LEN(TRIM(G76))=0</formula>
    </cfRule>
  </conditionalFormatting>
  <conditionalFormatting sqref="E76">
    <cfRule type="containsBlanks" dxfId="5568" priority="77">
      <formula>LEN(TRIM(E76))=0</formula>
    </cfRule>
  </conditionalFormatting>
  <conditionalFormatting sqref="G77">
    <cfRule type="containsBlanks" dxfId="5567" priority="74">
      <formula>LEN(TRIM(G77))=0</formula>
    </cfRule>
  </conditionalFormatting>
  <conditionalFormatting sqref="E77">
    <cfRule type="containsBlanks" dxfId="5566" priority="75">
      <formula>LEN(TRIM(E77))=0</formula>
    </cfRule>
  </conditionalFormatting>
  <conditionalFormatting sqref="G78">
    <cfRule type="containsBlanks" dxfId="5565" priority="72">
      <formula>LEN(TRIM(G78))=0</formula>
    </cfRule>
  </conditionalFormatting>
  <conditionalFormatting sqref="E78">
    <cfRule type="containsBlanks" dxfId="5564" priority="73">
      <formula>LEN(TRIM(E78))=0</formula>
    </cfRule>
  </conditionalFormatting>
  <conditionalFormatting sqref="G79">
    <cfRule type="containsBlanks" dxfId="5563" priority="70">
      <formula>LEN(TRIM(G79))=0</formula>
    </cfRule>
  </conditionalFormatting>
  <conditionalFormatting sqref="E79">
    <cfRule type="containsBlanks" dxfId="5562" priority="71">
      <formula>LEN(TRIM(E79))=0</formula>
    </cfRule>
  </conditionalFormatting>
  <conditionalFormatting sqref="G80">
    <cfRule type="containsBlanks" dxfId="5561" priority="68">
      <formula>LEN(TRIM(G80))=0</formula>
    </cfRule>
  </conditionalFormatting>
  <conditionalFormatting sqref="E80">
    <cfRule type="containsBlanks" dxfId="5560" priority="69">
      <formula>LEN(TRIM(E80))=0</formula>
    </cfRule>
  </conditionalFormatting>
  <conditionalFormatting sqref="G81:G82">
    <cfRule type="containsBlanks" dxfId="5559" priority="66">
      <formula>LEN(TRIM(G81))=0</formula>
    </cfRule>
  </conditionalFormatting>
  <conditionalFormatting sqref="E81:E82">
    <cfRule type="containsBlanks" dxfId="5558" priority="67">
      <formula>LEN(TRIM(E81))=0</formula>
    </cfRule>
  </conditionalFormatting>
  <conditionalFormatting sqref="G83">
    <cfRule type="containsBlanks" dxfId="5557" priority="64">
      <formula>LEN(TRIM(G83))=0</formula>
    </cfRule>
  </conditionalFormatting>
  <conditionalFormatting sqref="E83">
    <cfRule type="containsBlanks" dxfId="5556" priority="65">
      <formula>LEN(TRIM(E83))=0</formula>
    </cfRule>
  </conditionalFormatting>
  <conditionalFormatting sqref="G84">
    <cfRule type="containsBlanks" dxfId="5555" priority="62">
      <formula>LEN(TRIM(G84))=0</formula>
    </cfRule>
  </conditionalFormatting>
  <conditionalFormatting sqref="E84">
    <cfRule type="containsBlanks" dxfId="5554" priority="63">
      <formula>LEN(TRIM(E84))=0</formula>
    </cfRule>
  </conditionalFormatting>
  <conditionalFormatting sqref="G85">
    <cfRule type="containsBlanks" dxfId="5553" priority="60">
      <formula>LEN(TRIM(G85))=0</formula>
    </cfRule>
  </conditionalFormatting>
  <conditionalFormatting sqref="E85">
    <cfRule type="containsBlanks" dxfId="5552" priority="61">
      <formula>LEN(TRIM(E85))=0</formula>
    </cfRule>
  </conditionalFormatting>
  <conditionalFormatting sqref="G86">
    <cfRule type="containsBlanks" dxfId="5551" priority="58">
      <formula>LEN(TRIM(G86))=0</formula>
    </cfRule>
  </conditionalFormatting>
  <conditionalFormatting sqref="E86">
    <cfRule type="containsBlanks" dxfId="5550" priority="59">
      <formula>LEN(TRIM(E86))=0</formula>
    </cfRule>
  </conditionalFormatting>
  <conditionalFormatting sqref="G87">
    <cfRule type="containsBlanks" dxfId="5549" priority="56">
      <formula>LEN(TRIM(G87))=0</formula>
    </cfRule>
  </conditionalFormatting>
  <conditionalFormatting sqref="E87">
    <cfRule type="containsBlanks" dxfId="5548" priority="57">
      <formula>LEN(TRIM(E87))=0</formula>
    </cfRule>
  </conditionalFormatting>
  <conditionalFormatting sqref="G88">
    <cfRule type="containsBlanks" dxfId="5547" priority="54">
      <formula>LEN(TRIM(G88))=0</formula>
    </cfRule>
  </conditionalFormatting>
  <conditionalFormatting sqref="E88">
    <cfRule type="containsBlanks" dxfId="5546" priority="55">
      <formula>LEN(TRIM(E88))=0</formula>
    </cfRule>
  </conditionalFormatting>
  <conditionalFormatting sqref="G89">
    <cfRule type="containsBlanks" dxfId="5545" priority="52">
      <formula>LEN(TRIM(G89))=0</formula>
    </cfRule>
  </conditionalFormatting>
  <conditionalFormatting sqref="E89">
    <cfRule type="containsBlanks" dxfId="5544" priority="53">
      <formula>LEN(TRIM(E89))=0</formula>
    </cfRule>
  </conditionalFormatting>
  <conditionalFormatting sqref="G90">
    <cfRule type="containsBlanks" dxfId="5543" priority="50">
      <formula>LEN(TRIM(G90))=0</formula>
    </cfRule>
  </conditionalFormatting>
  <conditionalFormatting sqref="E90">
    <cfRule type="containsBlanks" dxfId="5542" priority="51">
      <formula>LEN(TRIM(E90))=0</formula>
    </cfRule>
  </conditionalFormatting>
  <conditionalFormatting sqref="G91">
    <cfRule type="containsBlanks" dxfId="5541" priority="48">
      <formula>LEN(TRIM(G91))=0</formula>
    </cfRule>
  </conditionalFormatting>
  <conditionalFormatting sqref="E91">
    <cfRule type="containsBlanks" dxfId="5540" priority="49">
      <formula>LEN(TRIM(E91))=0</formula>
    </cfRule>
  </conditionalFormatting>
  <conditionalFormatting sqref="G92">
    <cfRule type="containsBlanks" dxfId="5539" priority="46">
      <formula>LEN(TRIM(G92))=0</formula>
    </cfRule>
  </conditionalFormatting>
  <conditionalFormatting sqref="E92">
    <cfRule type="containsBlanks" dxfId="5538" priority="47">
      <formula>LEN(TRIM(E92))=0</formula>
    </cfRule>
  </conditionalFormatting>
  <conditionalFormatting sqref="G93">
    <cfRule type="containsBlanks" dxfId="5537" priority="44">
      <formula>LEN(TRIM(G93))=0</formula>
    </cfRule>
  </conditionalFormatting>
  <conditionalFormatting sqref="E93">
    <cfRule type="containsBlanks" dxfId="5536" priority="45">
      <formula>LEN(TRIM(E93))=0</formula>
    </cfRule>
  </conditionalFormatting>
  <conditionalFormatting sqref="G94">
    <cfRule type="containsBlanks" dxfId="5535" priority="42">
      <formula>LEN(TRIM(G94))=0</formula>
    </cfRule>
  </conditionalFormatting>
  <conditionalFormatting sqref="E94">
    <cfRule type="containsBlanks" dxfId="5534" priority="43">
      <formula>LEN(TRIM(E94))=0</formula>
    </cfRule>
  </conditionalFormatting>
  <conditionalFormatting sqref="G95">
    <cfRule type="containsBlanks" dxfId="5533" priority="40">
      <formula>LEN(TRIM(G95))=0</formula>
    </cfRule>
  </conditionalFormatting>
  <conditionalFormatting sqref="E95">
    <cfRule type="containsBlanks" dxfId="5532" priority="41">
      <formula>LEN(TRIM(E95))=0</formula>
    </cfRule>
  </conditionalFormatting>
  <conditionalFormatting sqref="G96">
    <cfRule type="containsBlanks" dxfId="5531" priority="38">
      <formula>LEN(TRIM(G96))=0</formula>
    </cfRule>
  </conditionalFormatting>
  <conditionalFormatting sqref="E96">
    <cfRule type="containsBlanks" dxfId="5530" priority="39">
      <formula>LEN(TRIM(E96))=0</formula>
    </cfRule>
  </conditionalFormatting>
  <conditionalFormatting sqref="G97">
    <cfRule type="containsBlanks" dxfId="5529" priority="36">
      <formula>LEN(TRIM(G97))=0</formula>
    </cfRule>
  </conditionalFormatting>
  <conditionalFormatting sqref="E97">
    <cfRule type="containsBlanks" dxfId="5528" priority="37">
      <formula>LEN(TRIM(E97))=0</formula>
    </cfRule>
  </conditionalFormatting>
  <conditionalFormatting sqref="G98">
    <cfRule type="containsBlanks" dxfId="5527" priority="34">
      <formula>LEN(TRIM(G98))=0</formula>
    </cfRule>
  </conditionalFormatting>
  <conditionalFormatting sqref="E98">
    <cfRule type="containsBlanks" dxfId="5526" priority="35">
      <formula>LEN(TRIM(E98))=0</formula>
    </cfRule>
  </conditionalFormatting>
  <conditionalFormatting sqref="G99">
    <cfRule type="containsBlanks" dxfId="5525" priority="32">
      <formula>LEN(TRIM(G99))=0</formula>
    </cfRule>
  </conditionalFormatting>
  <conditionalFormatting sqref="E99">
    <cfRule type="containsBlanks" dxfId="5524" priority="33">
      <formula>LEN(TRIM(E99))=0</formula>
    </cfRule>
  </conditionalFormatting>
  <conditionalFormatting sqref="G100">
    <cfRule type="containsBlanks" dxfId="5523" priority="30">
      <formula>LEN(TRIM(G100))=0</formula>
    </cfRule>
  </conditionalFormatting>
  <conditionalFormatting sqref="E100">
    <cfRule type="containsBlanks" dxfId="5522" priority="31">
      <formula>LEN(TRIM(E100))=0</formula>
    </cfRule>
  </conditionalFormatting>
  <conditionalFormatting sqref="G101">
    <cfRule type="containsBlanks" dxfId="5521" priority="28">
      <formula>LEN(TRIM(G101))=0</formula>
    </cfRule>
  </conditionalFormatting>
  <conditionalFormatting sqref="E101">
    <cfRule type="containsBlanks" dxfId="5520" priority="29">
      <formula>LEN(TRIM(E101))=0</formula>
    </cfRule>
  </conditionalFormatting>
  <conditionalFormatting sqref="G102">
    <cfRule type="containsBlanks" dxfId="5519" priority="26">
      <formula>LEN(TRIM(G102))=0</formula>
    </cfRule>
  </conditionalFormatting>
  <conditionalFormatting sqref="E102">
    <cfRule type="containsBlanks" dxfId="5518" priority="27">
      <formula>LEN(TRIM(E102))=0</formula>
    </cfRule>
  </conditionalFormatting>
  <conditionalFormatting sqref="G103">
    <cfRule type="containsBlanks" dxfId="5517" priority="24">
      <formula>LEN(TRIM(G103))=0</formula>
    </cfRule>
  </conditionalFormatting>
  <conditionalFormatting sqref="E103">
    <cfRule type="containsBlanks" dxfId="5516" priority="25">
      <formula>LEN(TRIM(E103))=0</formula>
    </cfRule>
  </conditionalFormatting>
  <conditionalFormatting sqref="G104">
    <cfRule type="containsBlanks" dxfId="5515" priority="22">
      <formula>LEN(TRIM(G104))=0</formula>
    </cfRule>
  </conditionalFormatting>
  <conditionalFormatting sqref="E104">
    <cfRule type="containsBlanks" dxfId="5514" priority="23">
      <formula>LEN(TRIM(E104))=0</formula>
    </cfRule>
  </conditionalFormatting>
  <conditionalFormatting sqref="G105">
    <cfRule type="containsBlanks" dxfId="5513" priority="20">
      <formula>LEN(TRIM(G105))=0</formula>
    </cfRule>
  </conditionalFormatting>
  <conditionalFormatting sqref="E105">
    <cfRule type="containsBlanks" dxfId="5512" priority="21">
      <formula>LEN(TRIM(E105))=0</formula>
    </cfRule>
  </conditionalFormatting>
  <conditionalFormatting sqref="C3:C4">
    <cfRule type="cellIs" dxfId="5511" priority="18" operator="equal">
      <formula>0</formula>
    </cfRule>
  </conditionalFormatting>
  <conditionalFormatting sqref="C5:E6 D3:E4">
    <cfRule type="cellIs" dxfId="5510" priority="19" operator="equal">
      <formula>0</formula>
    </cfRule>
  </conditionalFormatting>
  <conditionalFormatting sqref="A1:D1">
    <cfRule type="cellIs" dxfId="5509" priority="17" operator="equal">
      <formula>0</formula>
    </cfRule>
  </conditionalFormatting>
  <conditionalFormatting sqref="G106">
    <cfRule type="containsBlanks" dxfId="5508" priority="16">
      <formula>LEN(TRIM(G106))=0</formula>
    </cfRule>
  </conditionalFormatting>
  <conditionalFormatting sqref="E106">
    <cfRule type="containsBlanks" dxfId="5507" priority="15">
      <formula>LEN(TRIM(E106))=0</formula>
    </cfRule>
  </conditionalFormatting>
  <conditionalFormatting sqref="G107">
    <cfRule type="containsBlanks" dxfId="5506" priority="13">
      <formula>LEN(TRIM(G107))=0</formula>
    </cfRule>
  </conditionalFormatting>
  <conditionalFormatting sqref="E107">
    <cfRule type="containsBlanks" dxfId="5505" priority="14">
      <formula>LEN(TRIM(E107))=0</formula>
    </cfRule>
  </conditionalFormatting>
  <conditionalFormatting sqref="G108:G125">
    <cfRule type="containsBlanks" dxfId="5504" priority="11">
      <formula>LEN(TRIM(G108))=0</formula>
    </cfRule>
  </conditionalFormatting>
  <conditionalFormatting sqref="E108:E125">
    <cfRule type="containsBlanks" dxfId="5503" priority="12">
      <formula>LEN(TRIM(E108))=0</formula>
    </cfRule>
  </conditionalFormatting>
  <conditionalFormatting sqref="G126:G127 G131:G156">
    <cfRule type="containsBlanks" dxfId="5502" priority="9">
      <formula>LEN(TRIM(G126))=0</formula>
    </cfRule>
  </conditionalFormatting>
  <conditionalFormatting sqref="E126:E127 E131:E156">
    <cfRule type="containsBlanks" dxfId="5501" priority="10">
      <formula>LEN(TRIM(E126))=0</formula>
    </cfRule>
  </conditionalFormatting>
  <conditionalFormatting sqref="G128">
    <cfRule type="containsBlanks" dxfId="5500" priority="7">
      <formula>LEN(TRIM(G128))=0</formula>
    </cfRule>
  </conditionalFormatting>
  <conditionalFormatting sqref="E128">
    <cfRule type="containsBlanks" dxfId="5499" priority="8">
      <formula>LEN(TRIM(E128))=0</formula>
    </cfRule>
  </conditionalFormatting>
  <conditionalFormatting sqref="G129">
    <cfRule type="containsBlanks" dxfId="5498" priority="5">
      <formula>LEN(TRIM(G129))=0</formula>
    </cfRule>
  </conditionalFormatting>
  <conditionalFormatting sqref="E129">
    <cfRule type="containsBlanks" dxfId="5497" priority="6">
      <formula>LEN(TRIM(E129))=0</formula>
    </cfRule>
  </conditionalFormatting>
  <conditionalFormatting sqref="G130">
    <cfRule type="containsBlanks" dxfId="5496" priority="3">
      <formula>LEN(TRIM(G130))=0</formula>
    </cfRule>
  </conditionalFormatting>
  <conditionalFormatting sqref="E130">
    <cfRule type="containsBlanks" dxfId="5495" priority="4">
      <formula>LEN(TRIM(E130))=0</formula>
    </cfRule>
  </conditionalFormatting>
  <conditionalFormatting sqref="G141">
    <cfRule type="containsBlanks" dxfId="5494" priority="2">
      <formula>LEN(TRIM(G141))=0</formula>
    </cfRule>
  </conditionalFormatting>
  <conditionalFormatting sqref="E141">
    <cfRule type="containsBlanks" dxfId="5493" priority="1">
      <formula>LEN(TRIM(E141))=0</formula>
    </cfRule>
  </conditionalFormatting>
  <hyperlinks>
    <hyperlink ref="A1:D1" location="оглавление!A1" tooltip="оглавление" display="оглавление"/>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B57"/>
  <sheetViews>
    <sheetView workbookViewId="0">
      <pane ySplit="11" topLeftCell="A12" activePane="bottomLeft" state="frozen"/>
      <selection pane="bottomLeft" activeCell="A3" sqref="A3"/>
    </sheetView>
  </sheetViews>
  <sheetFormatPr defaultColWidth="9.109375" defaultRowHeight="12" x14ac:dyDescent="0.25"/>
  <cols>
    <col min="1" max="4" width="2.6640625" style="1" customWidth="1"/>
    <col min="5" max="5" width="24" style="1" customWidth="1"/>
    <col min="6" max="6" width="2.6640625" style="1" customWidth="1"/>
    <col min="7" max="7" width="24.33203125" style="1" bestFit="1" customWidth="1"/>
    <col min="8" max="9" width="2.6640625" style="1" customWidth="1"/>
    <col min="10" max="10" width="21.88671875" style="1" bestFit="1" customWidth="1"/>
    <col min="11" max="12" width="2.6640625" style="1" customWidth="1"/>
    <col min="13" max="13" width="21.88671875" style="1" bestFit="1" customWidth="1"/>
    <col min="14" max="15" width="2.6640625" style="1" customWidth="1"/>
    <col min="16" max="16" width="21.88671875" style="1" bestFit="1" customWidth="1"/>
    <col min="17" max="18" width="2.6640625" style="1" customWidth="1"/>
    <col min="19" max="19" width="18.5546875" style="1" bestFit="1" customWidth="1"/>
    <col min="20" max="21" width="2.6640625" style="1" customWidth="1"/>
    <col min="22" max="22" width="18.5546875" style="1" bestFit="1" customWidth="1"/>
    <col min="23" max="23" width="2.6640625" style="1" customWidth="1"/>
    <col min="24" max="24" width="8.88671875" style="1" bestFit="1" customWidth="1"/>
    <col min="25" max="25" width="1.6640625" style="1" customWidth="1"/>
    <col min="26" max="26" width="2.6640625" style="1" customWidth="1"/>
    <col min="27" max="27" width="24.88671875" style="1" bestFit="1" customWidth="1"/>
    <col min="28" max="28" width="1.6640625" style="1" customWidth="1"/>
    <col min="29" max="29" width="2.6640625" style="1" customWidth="1"/>
    <col min="30" max="30" width="32.44140625" style="1" bestFit="1" customWidth="1"/>
    <col min="31" max="31" width="2.6640625" style="1" customWidth="1"/>
    <col min="32" max="32" width="38.33203125" style="1" bestFit="1" customWidth="1"/>
    <col min="33" max="33" width="1.6640625" style="1" customWidth="1"/>
    <col min="34" max="34" width="2.6640625" style="1" customWidth="1"/>
    <col min="35" max="35" width="24.88671875" style="1" bestFit="1" customWidth="1"/>
    <col min="36" max="36" width="1.6640625" style="1" customWidth="1"/>
    <col min="37" max="37" width="2.6640625" style="1" customWidth="1"/>
    <col min="38" max="38" width="40" style="1" bestFit="1" customWidth="1"/>
    <col min="39" max="16384" width="9.109375" style="1"/>
  </cols>
  <sheetData>
    <row r="1" spans="1:54" ht="13.8" x14ac:dyDescent="0.3">
      <c r="A1" s="281" t="s">
        <v>341</v>
      </c>
      <c r="B1" s="281"/>
      <c r="C1" s="281"/>
      <c r="D1" s="281"/>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row>
    <row r="2" spans="1:54" x14ac:dyDescent="0.25">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row>
    <row r="3" spans="1:54" x14ac:dyDescent="0.25">
      <c r="A3" s="2"/>
      <c r="B3" s="2"/>
      <c r="C3" s="89" t="str">
        <f>методология!$E$4</f>
        <v>Инвестмодель базы отдыха - Беседки &amp; Веревочный парк</v>
      </c>
      <c r="D3" s="20"/>
      <c r="E3" s="20"/>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row>
    <row r="4" spans="1:54" x14ac:dyDescent="0.25">
      <c r="A4" s="2"/>
      <c r="B4" s="2"/>
      <c r="C4" s="89" t="str">
        <f>методология!$E$5</f>
        <v>Со сценарным анализом</v>
      </c>
      <c r="D4" s="20"/>
      <c r="E4" s="20"/>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row>
    <row r="5" spans="1:54" x14ac:dyDescent="0.2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row>
    <row r="6" spans="1:54" x14ac:dyDescent="0.25">
      <c r="A6" s="2"/>
      <c r="B6" s="2"/>
      <c r="C6" s="225" t="s">
        <v>308</v>
      </c>
      <c r="D6" s="210"/>
      <c r="E6" s="226"/>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row>
    <row r="7" spans="1:54" x14ac:dyDescent="0.2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row>
    <row r="8" spans="1:54" x14ac:dyDescent="0.25">
      <c r="A8" s="2"/>
      <c r="B8" s="2"/>
      <c r="C8" s="2"/>
      <c r="D8" s="6" t="s">
        <v>0</v>
      </c>
      <c r="E8" s="4" t="s">
        <v>3</v>
      </c>
      <c r="F8" s="2"/>
      <c r="G8" s="2"/>
      <c r="H8" s="2"/>
      <c r="I8" s="6" t="s">
        <v>0</v>
      </c>
      <c r="J8" s="4" t="s">
        <v>255</v>
      </c>
      <c r="K8" s="2"/>
      <c r="L8" s="6" t="s">
        <v>0</v>
      </c>
      <c r="M8" s="4" t="s">
        <v>300</v>
      </c>
      <c r="N8" s="2"/>
      <c r="O8" s="6" t="s">
        <v>0</v>
      </c>
      <c r="P8" s="4" t="s">
        <v>296</v>
      </c>
      <c r="Q8" s="2"/>
      <c r="R8" s="6" t="s">
        <v>0</v>
      </c>
      <c r="S8" s="4" t="s">
        <v>187</v>
      </c>
      <c r="T8" s="2"/>
      <c r="U8" s="6" t="s">
        <v>0</v>
      </c>
      <c r="V8" s="4" t="s">
        <v>192</v>
      </c>
      <c r="W8" s="6" t="s">
        <v>0</v>
      </c>
      <c r="X8" s="4" t="s">
        <v>15</v>
      </c>
      <c r="Y8" s="2"/>
      <c r="Z8" s="6" t="s">
        <v>0</v>
      </c>
      <c r="AA8" s="4" t="s">
        <v>19</v>
      </c>
      <c r="AB8" s="2"/>
      <c r="AC8" s="6" t="s">
        <v>0</v>
      </c>
      <c r="AD8" s="4" t="s">
        <v>25</v>
      </c>
      <c r="AE8" s="2"/>
      <c r="AF8" s="2"/>
      <c r="AG8" s="2"/>
      <c r="AH8" s="6" t="s">
        <v>0</v>
      </c>
      <c r="AI8" s="4" t="s">
        <v>178</v>
      </c>
      <c r="AJ8" s="2"/>
      <c r="AK8" s="6" t="s">
        <v>0</v>
      </c>
      <c r="AL8" s="4" t="s">
        <v>7</v>
      </c>
      <c r="AM8" s="2"/>
      <c r="AN8" s="2"/>
      <c r="AO8" s="2"/>
      <c r="AP8" s="2"/>
      <c r="AQ8" s="2"/>
      <c r="AR8" s="2"/>
      <c r="AS8" s="2"/>
      <c r="AT8" s="2"/>
      <c r="AU8" s="2"/>
      <c r="AV8" s="2"/>
      <c r="AW8" s="2"/>
      <c r="AX8" s="2"/>
      <c r="AY8" s="2"/>
      <c r="AZ8" s="2"/>
      <c r="BA8" s="2"/>
      <c r="BB8" s="2"/>
    </row>
    <row r="9" spans="1:54" ht="3.9" customHeight="1" x14ac:dyDescent="0.25">
      <c r="A9" s="2"/>
      <c r="B9" s="2"/>
      <c r="C9" s="2"/>
      <c r="D9" s="2"/>
      <c r="E9" s="21"/>
      <c r="F9" s="21"/>
      <c r="G9" s="21"/>
      <c r="H9" s="2"/>
      <c r="I9" s="2"/>
      <c r="J9" s="21"/>
      <c r="K9" s="2"/>
      <c r="L9" s="2"/>
      <c r="M9" s="21"/>
      <c r="N9" s="2"/>
      <c r="O9" s="2"/>
      <c r="P9" s="21"/>
      <c r="Q9" s="2"/>
      <c r="R9" s="2"/>
      <c r="S9" s="21"/>
      <c r="T9" s="2"/>
      <c r="U9" s="2"/>
      <c r="V9" s="21"/>
      <c r="W9" s="2"/>
      <c r="X9" s="21"/>
      <c r="Y9" s="2"/>
      <c r="Z9" s="2"/>
      <c r="AA9" s="21"/>
      <c r="AB9" s="2"/>
      <c r="AC9" s="2"/>
      <c r="AD9" s="21"/>
      <c r="AE9" s="21"/>
      <c r="AF9" s="21"/>
      <c r="AG9" s="2"/>
      <c r="AH9" s="2"/>
      <c r="AI9" s="21"/>
      <c r="AJ9" s="2"/>
      <c r="AK9" s="2"/>
      <c r="AL9" s="21"/>
      <c r="AM9" s="2"/>
      <c r="AN9" s="2"/>
      <c r="AO9" s="2"/>
      <c r="AP9" s="2"/>
      <c r="AQ9" s="2"/>
      <c r="AR9" s="2"/>
      <c r="AS9" s="2"/>
      <c r="AT9" s="2"/>
      <c r="AU9" s="2"/>
      <c r="AV9" s="2"/>
      <c r="AW9" s="2"/>
      <c r="AX9" s="2"/>
      <c r="AY9" s="2"/>
      <c r="AZ9" s="2"/>
      <c r="BA9" s="2"/>
      <c r="BB9" s="2"/>
    </row>
    <row r="10" spans="1:54" s="5" customFormat="1" x14ac:dyDescent="0.25">
      <c r="A10" s="3"/>
      <c r="B10" s="3"/>
      <c r="C10" s="3"/>
      <c r="D10" s="6" t="s">
        <v>0</v>
      </c>
      <c r="E10" s="4" t="s">
        <v>4</v>
      </c>
      <c r="F10" s="6" t="s">
        <v>0</v>
      </c>
      <c r="G10" s="4" t="s">
        <v>5</v>
      </c>
      <c r="H10" s="3"/>
      <c r="I10" s="3"/>
      <c r="J10" s="3" t="s">
        <v>188</v>
      </c>
      <c r="K10" s="3"/>
      <c r="L10" s="3"/>
      <c r="M10" s="3"/>
      <c r="N10" s="3"/>
      <c r="O10" s="3"/>
      <c r="P10" s="3"/>
      <c r="Q10" s="3"/>
      <c r="R10" s="3"/>
      <c r="S10" s="3" t="s">
        <v>188</v>
      </c>
      <c r="T10" s="3"/>
      <c r="U10" s="3"/>
      <c r="V10" s="3"/>
      <c r="W10" s="3"/>
      <c r="X10" s="3"/>
      <c r="Y10" s="3"/>
      <c r="Z10" s="3"/>
      <c r="AA10" s="3"/>
      <c r="AB10" s="3"/>
      <c r="AC10" s="6" t="s">
        <v>0</v>
      </c>
      <c r="AD10" s="4" t="s">
        <v>31</v>
      </c>
      <c r="AE10" s="6" t="s">
        <v>0</v>
      </c>
      <c r="AF10" s="4" t="s">
        <v>32</v>
      </c>
      <c r="AG10" s="3"/>
      <c r="AH10" s="3"/>
      <c r="AI10" s="3"/>
      <c r="AJ10" s="3"/>
      <c r="AK10" s="3"/>
      <c r="AL10" s="3"/>
      <c r="AM10" s="3"/>
      <c r="AN10" s="3"/>
      <c r="AO10" s="3"/>
      <c r="AP10" s="3"/>
      <c r="AQ10" s="3"/>
      <c r="AR10" s="3"/>
      <c r="AS10" s="3"/>
      <c r="AT10" s="3"/>
      <c r="AU10" s="3"/>
      <c r="AV10" s="3"/>
      <c r="AW10" s="3"/>
      <c r="AX10" s="3"/>
      <c r="AY10" s="3"/>
      <c r="AZ10" s="3"/>
      <c r="BA10" s="3"/>
      <c r="BB10" s="3"/>
    </row>
    <row r="11" spans="1:54" s="23" customFormat="1" ht="10.199999999999999" x14ac:dyDescent="0.2">
      <c r="A11" s="22"/>
      <c r="B11" s="22"/>
      <c r="C11" s="22"/>
      <c r="D11" s="22"/>
      <c r="E11" s="24" t="s">
        <v>6</v>
      </c>
      <c r="F11" s="22"/>
      <c r="G11" s="24" t="s">
        <v>6</v>
      </c>
      <c r="H11" s="22"/>
      <c r="I11" s="22"/>
      <c r="J11" s="24" t="s">
        <v>6</v>
      </c>
      <c r="K11" s="22"/>
      <c r="L11" s="22"/>
      <c r="M11" s="24" t="s">
        <v>6</v>
      </c>
      <c r="N11" s="22"/>
      <c r="O11" s="22"/>
      <c r="P11" s="24" t="s">
        <v>6</v>
      </c>
      <c r="Q11" s="22"/>
      <c r="R11" s="22"/>
      <c r="S11" s="24" t="s">
        <v>6</v>
      </c>
      <c r="T11" s="22"/>
      <c r="U11" s="22"/>
      <c r="V11" s="24" t="s">
        <v>6</v>
      </c>
      <c r="W11" s="22"/>
      <c r="X11" s="97"/>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row>
    <row r="12" spans="1:54" x14ac:dyDescent="0.25">
      <c r="A12" s="2"/>
      <c r="B12" s="2"/>
      <c r="C12" s="2"/>
      <c r="D12" s="6" t="s">
        <v>0</v>
      </c>
      <c r="E12" s="25">
        <v>44348</v>
      </c>
      <c r="F12" s="6" t="s">
        <v>0</v>
      </c>
      <c r="G12" s="25">
        <f>E12</f>
        <v>44348</v>
      </c>
      <c r="H12" s="2"/>
      <c r="I12" s="6" t="s">
        <v>0</v>
      </c>
      <c r="J12" s="45" t="s">
        <v>256</v>
      </c>
      <c r="K12" s="2"/>
      <c r="L12" s="6" t="s">
        <v>0</v>
      </c>
      <c r="M12" s="45" t="s">
        <v>293</v>
      </c>
      <c r="N12" s="2"/>
      <c r="O12" s="6"/>
      <c r="P12" s="204" t="str">
        <f>KPI!E100</f>
        <v>NPV(CF)</v>
      </c>
      <c r="Q12" s="2"/>
      <c r="R12" s="6" t="s">
        <v>0</v>
      </c>
      <c r="S12" s="45">
        <v>1</v>
      </c>
      <c r="T12" s="2"/>
      <c r="U12" s="6" t="s">
        <v>0</v>
      </c>
      <c r="V12" s="45">
        <v>1</v>
      </c>
      <c r="W12" s="6" t="s">
        <v>0</v>
      </c>
      <c r="X12" s="45" t="s">
        <v>193</v>
      </c>
      <c r="Y12" s="2"/>
      <c r="Z12" s="6" t="s">
        <v>0</v>
      </c>
      <c r="AA12" s="26" t="s">
        <v>20</v>
      </c>
      <c r="AB12" s="2"/>
      <c r="AC12" s="6" t="s">
        <v>0</v>
      </c>
      <c r="AD12" s="26" t="s">
        <v>26</v>
      </c>
      <c r="AE12" s="6" t="s">
        <v>0</v>
      </c>
      <c r="AF12" s="26" t="s">
        <v>27</v>
      </c>
      <c r="AG12" s="2"/>
      <c r="AH12" s="6" t="s">
        <v>0</v>
      </c>
      <c r="AI12" s="26" t="s">
        <v>179</v>
      </c>
      <c r="AJ12" s="2"/>
      <c r="AK12" s="6" t="s">
        <v>0</v>
      </c>
      <c r="AL12" s="26" t="s">
        <v>11</v>
      </c>
      <c r="AM12" s="2"/>
      <c r="AN12" s="2"/>
      <c r="AO12" s="2"/>
      <c r="AP12" s="2"/>
      <c r="AQ12" s="2"/>
      <c r="AR12" s="2"/>
      <c r="AS12" s="2"/>
      <c r="AT12" s="2"/>
      <c r="AU12" s="2"/>
      <c r="AV12" s="2"/>
      <c r="AW12" s="2"/>
      <c r="AX12" s="2"/>
      <c r="AY12" s="2"/>
      <c r="AZ12" s="2"/>
      <c r="BA12" s="2"/>
      <c r="BB12" s="2"/>
    </row>
    <row r="13" spans="1:54" x14ac:dyDescent="0.25">
      <c r="A13" s="2"/>
      <c r="B13" s="2"/>
      <c r="C13" s="2"/>
      <c r="D13" s="6" t="s">
        <v>0</v>
      </c>
      <c r="E13" s="25">
        <f>EOMONTH(E12,0)+1</f>
        <v>44378</v>
      </c>
      <c r="F13" s="6" t="s">
        <v>0</v>
      </c>
      <c r="G13" s="25">
        <f t="shared" ref="G13:G35" si="0">E13</f>
        <v>44378</v>
      </c>
      <c r="H13" s="2"/>
      <c r="I13" s="6" t="s">
        <v>0</v>
      </c>
      <c r="J13" s="45" t="s">
        <v>257</v>
      </c>
      <c r="K13" s="2"/>
      <c r="L13" s="6" t="s">
        <v>0</v>
      </c>
      <c r="M13" s="45" t="s">
        <v>294</v>
      </c>
      <c r="N13" s="2"/>
      <c r="O13" s="6"/>
      <c r="P13" s="204" t="str">
        <f>KPI!E101</f>
        <v>NPV(CF)-Inv</v>
      </c>
      <c r="Q13" s="2"/>
      <c r="R13" s="6" t="s">
        <v>0</v>
      </c>
      <c r="S13" s="45">
        <v>2</v>
      </c>
      <c r="T13" s="2"/>
      <c r="U13" s="6" t="s">
        <v>0</v>
      </c>
      <c r="V13" s="45">
        <v>2</v>
      </c>
      <c r="W13" s="6" t="s">
        <v>0</v>
      </c>
      <c r="X13" s="45" t="s">
        <v>194</v>
      </c>
      <c r="Y13" s="2"/>
      <c r="Z13" s="6" t="s">
        <v>0</v>
      </c>
      <c r="AA13" s="26" t="s">
        <v>21</v>
      </c>
      <c r="AB13" s="2"/>
      <c r="AC13" s="6" t="s">
        <v>0</v>
      </c>
      <c r="AD13" s="26" t="s">
        <v>30</v>
      </c>
      <c r="AE13" s="6" t="s">
        <v>0</v>
      </c>
      <c r="AF13" s="26" t="s">
        <v>28</v>
      </c>
      <c r="AG13" s="2"/>
      <c r="AH13" s="6" t="s">
        <v>0</v>
      </c>
      <c r="AI13" s="26" t="s">
        <v>180</v>
      </c>
      <c r="AJ13" s="2"/>
      <c r="AK13" s="6" t="s">
        <v>0</v>
      </c>
      <c r="AL13" s="26" t="s">
        <v>40</v>
      </c>
      <c r="AM13" s="2"/>
      <c r="AN13" s="2"/>
      <c r="AO13" s="2"/>
      <c r="AP13" s="2"/>
      <c r="AQ13" s="2"/>
      <c r="AR13" s="2"/>
      <c r="AS13" s="2"/>
      <c r="AT13" s="2"/>
      <c r="AU13" s="2"/>
      <c r="AV13" s="2"/>
      <c r="AW13" s="2"/>
      <c r="AX13" s="2"/>
      <c r="AY13" s="2"/>
      <c r="AZ13" s="2"/>
      <c r="BA13" s="2"/>
      <c r="BB13" s="2"/>
    </row>
    <row r="14" spans="1:54" x14ac:dyDescent="0.25">
      <c r="A14" s="2"/>
      <c r="B14" s="2"/>
      <c r="C14" s="2"/>
      <c r="D14" s="6" t="s">
        <v>0</v>
      </c>
      <c r="E14" s="25">
        <f t="shared" ref="E14:E35" si="1">EOMONTH(E13,0)+1</f>
        <v>44409</v>
      </c>
      <c r="F14" s="6" t="s">
        <v>0</v>
      </c>
      <c r="G14" s="25">
        <f t="shared" si="0"/>
        <v>44409</v>
      </c>
      <c r="H14" s="2"/>
      <c r="I14" s="6" t="s">
        <v>0</v>
      </c>
      <c r="J14" s="45" t="s">
        <v>258</v>
      </c>
      <c r="K14" s="2"/>
      <c r="L14" s="6" t="s">
        <v>0</v>
      </c>
      <c r="M14" s="45" t="s">
        <v>295</v>
      </c>
      <c r="N14" s="2"/>
      <c r="O14" s="6"/>
      <c r="P14" s="204" t="str">
        <f>KPI!E102</f>
        <v>PI</v>
      </c>
      <c r="Q14" s="2"/>
      <c r="R14" s="6" t="s">
        <v>0</v>
      </c>
      <c r="S14" s="45">
        <v>3</v>
      </c>
      <c r="T14" s="2"/>
      <c r="U14" s="6" t="s">
        <v>0</v>
      </c>
      <c r="V14" s="45">
        <v>3</v>
      </c>
      <c r="W14" s="6" t="s">
        <v>0</v>
      </c>
      <c r="X14" s="45" t="s">
        <v>195</v>
      </c>
      <c r="Y14" s="2"/>
      <c r="Z14" s="6" t="s">
        <v>0</v>
      </c>
      <c r="AA14" s="26" t="s">
        <v>22</v>
      </c>
      <c r="AB14" s="2"/>
      <c r="AC14" s="6" t="s">
        <v>0</v>
      </c>
      <c r="AD14" s="26" t="s">
        <v>33</v>
      </c>
      <c r="AE14" s="6" t="s">
        <v>0</v>
      </c>
      <c r="AF14" s="26" t="s">
        <v>153</v>
      </c>
      <c r="AG14" s="2"/>
      <c r="AH14" s="6" t="s">
        <v>0</v>
      </c>
      <c r="AI14" s="26" t="s">
        <v>183</v>
      </c>
      <c r="AJ14" s="2"/>
      <c r="AK14" s="6" t="s">
        <v>0</v>
      </c>
      <c r="AL14" s="26" t="s">
        <v>44</v>
      </c>
      <c r="AM14" s="2"/>
      <c r="AN14" s="2"/>
      <c r="AO14" s="2"/>
      <c r="AP14" s="2"/>
      <c r="AQ14" s="2"/>
      <c r="AR14" s="2"/>
      <c r="AS14" s="2"/>
      <c r="AT14" s="2"/>
      <c r="AU14" s="2"/>
      <c r="AV14" s="2"/>
      <c r="AW14" s="2"/>
      <c r="AX14" s="2"/>
      <c r="AY14" s="2"/>
      <c r="AZ14" s="2"/>
      <c r="BA14" s="2"/>
      <c r="BB14" s="2"/>
    </row>
    <row r="15" spans="1:54" x14ac:dyDescent="0.25">
      <c r="A15" s="2"/>
      <c r="B15" s="2"/>
      <c r="C15" s="2"/>
      <c r="D15" s="6" t="s">
        <v>0</v>
      </c>
      <c r="E15" s="25">
        <f t="shared" si="1"/>
        <v>44440</v>
      </c>
      <c r="F15" s="6" t="s">
        <v>0</v>
      </c>
      <c r="G15" s="25">
        <f t="shared" si="0"/>
        <v>44440</v>
      </c>
      <c r="H15" s="2"/>
      <c r="I15" s="6" t="s">
        <v>0</v>
      </c>
      <c r="J15" s="45" t="s">
        <v>259</v>
      </c>
      <c r="K15" s="2"/>
      <c r="L15" s="6" t="s">
        <v>0</v>
      </c>
      <c r="M15" s="45"/>
      <c r="N15" s="2"/>
      <c r="O15" s="6"/>
      <c r="P15" s="204" t="str">
        <f>KPI!E103</f>
        <v>ROI</v>
      </c>
      <c r="Q15" s="2"/>
      <c r="R15" s="6" t="s">
        <v>0</v>
      </c>
      <c r="S15" s="45">
        <v>4</v>
      </c>
      <c r="T15" s="2"/>
      <c r="U15" s="6" t="s">
        <v>0</v>
      </c>
      <c r="V15" s="45">
        <v>4</v>
      </c>
      <c r="W15" s="6" t="s">
        <v>0</v>
      </c>
      <c r="X15" s="45" t="s">
        <v>196</v>
      </c>
      <c r="Y15" s="2"/>
      <c r="Z15" s="6" t="s">
        <v>0</v>
      </c>
      <c r="AA15" s="26"/>
      <c r="AB15" s="2"/>
      <c r="AC15" s="6" t="s">
        <v>0</v>
      </c>
      <c r="AD15" s="26" t="s">
        <v>34</v>
      </c>
      <c r="AE15" s="6" t="s">
        <v>0</v>
      </c>
      <c r="AF15" s="26"/>
      <c r="AG15" s="2"/>
      <c r="AH15" s="6" t="s">
        <v>0</v>
      </c>
      <c r="AI15" s="26"/>
      <c r="AJ15" s="2"/>
      <c r="AK15" s="6" t="s">
        <v>0</v>
      </c>
      <c r="AL15" s="26" t="s">
        <v>172</v>
      </c>
      <c r="AM15" s="2"/>
      <c r="AN15" s="2"/>
      <c r="AO15" s="2"/>
      <c r="AP15" s="2"/>
      <c r="AQ15" s="2"/>
      <c r="AR15" s="2"/>
      <c r="AS15" s="2"/>
      <c r="AT15" s="2"/>
      <c r="AU15" s="2"/>
      <c r="AV15" s="2"/>
      <c r="AW15" s="2"/>
      <c r="AX15" s="2"/>
      <c r="AY15" s="2"/>
      <c r="AZ15" s="2"/>
      <c r="BA15" s="2"/>
      <c r="BB15" s="2"/>
    </row>
    <row r="16" spans="1:54" x14ac:dyDescent="0.25">
      <c r="A16" s="2"/>
      <c r="B16" s="2"/>
      <c r="C16" s="2"/>
      <c r="D16" s="6" t="s">
        <v>0</v>
      </c>
      <c r="E16" s="25">
        <f t="shared" si="1"/>
        <v>44470</v>
      </c>
      <c r="F16" s="6" t="s">
        <v>0</v>
      </c>
      <c r="G16" s="25">
        <f t="shared" si="0"/>
        <v>44470</v>
      </c>
      <c r="H16" s="2"/>
      <c r="I16" s="6" t="s">
        <v>0</v>
      </c>
      <c r="J16" s="45"/>
      <c r="K16" s="2"/>
      <c r="L16" s="6"/>
      <c r="M16" s="2"/>
      <c r="N16" s="2"/>
      <c r="O16" s="6"/>
      <c r="P16" s="204" t="str">
        <f>KPI!E105</f>
        <v>приведенный средневзвешенный срок окуп-ти</v>
      </c>
      <c r="Q16" s="2"/>
      <c r="R16" s="6" t="s">
        <v>0</v>
      </c>
      <c r="S16" s="45">
        <v>5</v>
      </c>
      <c r="T16" s="2"/>
      <c r="U16" s="6" t="s">
        <v>0</v>
      </c>
      <c r="V16" s="45">
        <v>5</v>
      </c>
      <c r="W16" s="6" t="s">
        <v>0</v>
      </c>
      <c r="X16" s="45" t="s">
        <v>197</v>
      </c>
      <c r="Y16" s="2"/>
      <c r="Z16" s="2"/>
      <c r="AA16" s="2"/>
      <c r="AB16" s="2"/>
      <c r="AC16" s="6" t="s">
        <v>0</v>
      </c>
      <c r="AD16" s="26" t="s">
        <v>29</v>
      </c>
      <c r="AE16" s="6" t="s">
        <v>0</v>
      </c>
      <c r="AF16" s="26"/>
      <c r="AG16" s="2"/>
      <c r="AH16" s="2"/>
      <c r="AI16" s="2"/>
      <c r="AJ16" s="2"/>
      <c r="AK16" s="6" t="s">
        <v>0</v>
      </c>
      <c r="AL16" s="26" t="s">
        <v>174</v>
      </c>
      <c r="AM16" s="2"/>
      <c r="AN16" s="2"/>
      <c r="AO16" s="2"/>
      <c r="AP16" s="2"/>
      <c r="AQ16" s="2"/>
      <c r="AR16" s="2"/>
      <c r="AS16" s="2"/>
      <c r="AT16" s="2"/>
      <c r="AU16" s="2"/>
      <c r="AV16" s="2"/>
      <c r="AW16" s="2"/>
      <c r="AX16" s="2"/>
      <c r="AY16" s="2"/>
      <c r="AZ16" s="2"/>
      <c r="BA16" s="2"/>
      <c r="BB16" s="2"/>
    </row>
    <row r="17" spans="1:54" x14ac:dyDescent="0.25">
      <c r="A17" s="2"/>
      <c r="B17" s="2"/>
      <c r="C17" s="2"/>
      <c r="D17" s="6" t="s">
        <v>0</v>
      </c>
      <c r="E17" s="25">
        <f t="shared" si="1"/>
        <v>44501</v>
      </c>
      <c r="F17" s="6" t="s">
        <v>0</v>
      </c>
      <c r="G17" s="25">
        <f t="shared" si="0"/>
        <v>44501</v>
      </c>
      <c r="H17" s="2"/>
      <c r="I17" s="6"/>
      <c r="J17" s="2"/>
      <c r="K17" s="2"/>
      <c r="L17" s="6"/>
      <c r="M17" s="2"/>
      <c r="N17" s="2"/>
      <c r="O17" s="6"/>
      <c r="P17" s="204" t="s">
        <v>346</v>
      </c>
      <c r="Q17" s="2"/>
      <c r="R17" s="6" t="s">
        <v>0</v>
      </c>
      <c r="S17" s="45">
        <v>6</v>
      </c>
      <c r="T17" s="2"/>
      <c r="U17" s="6" t="s">
        <v>0</v>
      </c>
      <c r="V17" s="45">
        <v>6</v>
      </c>
      <c r="W17" s="6" t="s">
        <v>0</v>
      </c>
      <c r="X17" s="45" t="s">
        <v>198</v>
      </c>
      <c r="Y17" s="2"/>
      <c r="Z17" s="2"/>
      <c r="AA17" s="2"/>
      <c r="AB17" s="2"/>
      <c r="AC17" s="6" t="s">
        <v>0</v>
      </c>
      <c r="AD17" s="26" t="s">
        <v>152</v>
      </c>
      <c r="AE17" s="6" t="s">
        <v>0</v>
      </c>
      <c r="AF17" s="26"/>
      <c r="AG17" s="2"/>
      <c r="AH17" s="2"/>
      <c r="AI17" s="2"/>
      <c r="AJ17" s="2"/>
      <c r="AK17" s="6" t="s">
        <v>0</v>
      </c>
      <c r="AL17" s="26" t="s">
        <v>175</v>
      </c>
      <c r="AM17" s="2"/>
      <c r="AN17" s="2"/>
      <c r="AO17" s="2"/>
      <c r="AP17" s="2"/>
      <c r="AQ17" s="2"/>
      <c r="AR17" s="2"/>
      <c r="AS17" s="2"/>
      <c r="AT17" s="2"/>
      <c r="AU17" s="2"/>
      <c r="AV17" s="2"/>
      <c r="AW17" s="2"/>
      <c r="AX17" s="2"/>
      <c r="AY17" s="2"/>
      <c r="AZ17" s="2"/>
      <c r="BA17" s="2"/>
      <c r="BB17" s="2"/>
    </row>
    <row r="18" spans="1:54" x14ac:dyDescent="0.25">
      <c r="A18" s="2"/>
      <c r="B18" s="2"/>
      <c r="C18" s="2"/>
      <c r="D18" s="6" t="s">
        <v>0</v>
      </c>
      <c r="E18" s="25">
        <f t="shared" si="1"/>
        <v>44531</v>
      </c>
      <c r="F18" s="6" t="s">
        <v>0</v>
      </c>
      <c r="G18" s="25">
        <f t="shared" si="0"/>
        <v>44531</v>
      </c>
      <c r="H18" s="2"/>
      <c r="I18" s="6"/>
      <c r="J18" s="2"/>
      <c r="K18" s="2"/>
      <c r="L18" s="6"/>
      <c r="M18" s="2"/>
      <c r="N18" s="2"/>
      <c r="O18" s="6"/>
      <c r="P18" s="2"/>
      <c r="Q18" s="2"/>
      <c r="R18" s="6" t="s">
        <v>0</v>
      </c>
      <c r="S18" s="45">
        <v>7</v>
      </c>
      <c r="T18" s="2"/>
      <c r="U18" s="6" t="s">
        <v>0</v>
      </c>
      <c r="V18" s="45">
        <v>7</v>
      </c>
      <c r="W18" s="6" t="s">
        <v>0</v>
      </c>
      <c r="X18" s="45" t="s">
        <v>199</v>
      </c>
      <c r="Y18" s="2"/>
      <c r="Z18" s="2"/>
      <c r="AA18" s="2"/>
      <c r="AB18" s="2"/>
      <c r="AC18" s="6" t="s">
        <v>0</v>
      </c>
      <c r="AD18" s="26"/>
      <c r="AE18" s="6" t="s">
        <v>0</v>
      </c>
      <c r="AF18" s="26"/>
      <c r="AG18" s="2"/>
      <c r="AH18" s="2"/>
      <c r="AI18" s="2"/>
      <c r="AJ18" s="2"/>
      <c r="AK18" s="6" t="s">
        <v>0</v>
      </c>
      <c r="AL18" s="26" t="s">
        <v>208</v>
      </c>
      <c r="AM18" s="2"/>
      <c r="AN18" s="2"/>
      <c r="AO18" s="2"/>
      <c r="AP18" s="2"/>
      <c r="AQ18" s="2"/>
      <c r="AR18" s="2"/>
      <c r="AS18" s="2"/>
      <c r="AT18" s="2"/>
      <c r="AU18" s="2"/>
      <c r="AV18" s="2"/>
      <c r="AW18" s="2"/>
      <c r="AX18" s="2"/>
      <c r="AY18" s="2"/>
      <c r="AZ18" s="2"/>
      <c r="BA18" s="2"/>
      <c r="BB18" s="2"/>
    </row>
    <row r="19" spans="1:54" x14ac:dyDescent="0.25">
      <c r="A19" s="2"/>
      <c r="B19" s="2"/>
      <c r="C19" s="2"/>
      <c r="D19" s="6" t="s">
        <v>0</v>
      </c>
      <c r="E19" s="25">
        <f t="shared" si="1"/>
        <v>44562</v>
      </c>
      <c r="F19" s="6" t="s">
        <v>0</v>
      </c>
      <c r="G19" s="25">
        <f t="shared" si="0"/>
        <v>44562</v>
      </c>
      <c r="H19" s="2"/>
      <c r="I19" s="6"/>
      <c r="J19" s="2"/>
      <c r="K19" s="2"/>
      <c r="L19" s="6"/>
      <c r="M19" s="2"/>
      <c r="N19" s="2"/>
      <c r="O19" s="6"/>
      <c r="P19" s="2"/>
      <c r="Q19" s="2"/>
      <c r="R19" s="6" t="s">
        <v>0</v>
      </c>
      <c r="S19" s="45">
        <v>8</v>
      </c>
      <c r="T19" s="2"/>
      <c r="U19" s="6" t="s">
        <v>0</v>
      </c>
      <c r="V19" s="45">
        <v>8</v>
      </c>
      <c r="W19" s="6" t="s">
        <v>0</v>
      </c>
      <c r="X19" s="45" t="s">
        <v>200</v>
      </c>
      <c r="Y19" s="2"/>
      <c r="Z19" s="2"/>
      <c r="AA19" s="2"/>
      <c r="AB19" s="2"/>
      <c r="AC19" s="2"/>
      <c r="AD19" s="2"/>
      <c r="AE19" s="2"/>
      <c r="AF19" s="2"/>
      <c r="AG19" s="2"/>
      <c r="AH19" s="2"/>
      <c r="AI19" s="2"/>
      <c r="AJ19" s="2"/>
      <c r="AK19" s="6" t="s">
        <v>0</v>
      </c>
      <c r="AL19" s="26" t="s">
        <v>214</v>
      </c>
      <c r="AM19" s="2"/>
      <c r="AN19" s="2"/>
      <c r="AO19" s="2"/>
      <c r="AP19" s="2"/>
      <c r="AQ19" s="2"/>
      <c r="AR19" s="2"/>
      <c r="AS19" s="2"/>
      <c r="AT19" s="2"/>
      <c r="AU19" s="2"/>
      <c r="AV19" s="2"/>
      <c r="AW19" s="2"/>
      <c r="AX19" s="2"/>
      <c r="AY19" s="2"/>
      <c r="AZ19" s="2"/>
      <c r="BA19" s="2"/>
      <c r="BB19" s="2"/>
    </row>
    <row r="20" spans="1:54" x14ac:dyDescent="0.25">
      <c r="A20" s="2"/>
      <c r="B20" s="2"/>
      <c r="C20" s="2"/>
      <c r="D20" s="6" t="s">
        <v>0</v>
      </c>
      <c r="E20" s="25">
        <f t="shared" si="1"/>
        <v>44593</v>
      </c>
      <c r="F20" s="6" t="s">
        <v>0</v>
      </c>
      <c r="G20" s="25">
        <f t="shared" si="0"/>
        <v>44593</v>
      </c>
      <c r="H20" s="2"/>
      <c r="I20" s="6"/>
      <c r="J20" s="2"/>
      <c r="K20" s="2"/>
      <c r="L20" s="6"/>
      <c r="M20" s="2"/>
      <c r="N20" s="2"/>
      <c r="O20" s="6"/>
      <c r="P20" s="2"/>
      <c r="Q20" s="2"/>
      <c r="R20" s="6" t="s">
        <v>0</v>
      </c>
      <c r="S20" s="45">
        <v>9</v>
      </c>
      <c r="T20" s="2"/>
      <c r="U20" s="6" t="s">
        <v>0</v>
      </c>
      <c r="V20" s="45">
        <v>9</v>
      </c>
      <c r="W20" s="6" t="s">
        <v>0</v>
      </c>
      <c r="X20" s="45" t="s">
        <v>201</v>
      </c>
      <c r="Y20" s="2"/>
      <c r="Z20" s="2"/>
      <c r="AA20" s="2"/>
      <c r="AB20" s="2"/>
      <c r="AC20" s="2"/>
      <c r="AD20" s="2"/>
      <c r="AE20" s="2"/>
      <c r="AF20" s="2"/>
      <c r="AG20" s="2"/>
      <c r="AH20" s="2"/>
      <c r="AI20" s="2"/>
      <c r="AJ20" s="2"/>
      <c r="AK20" s="6" t="s">
        <v>0</v>
      </c>
      <c r="AL20" s="26" t="s">
        <v>238</v>
      </c>
      <c r="AM20" s="2"/>
      <c r="AN20" s="2"/>
      <c r="AO20" s="2"/>
      <c r="AP20" s="2"/>
      <c r="AQ20" s="2"/>
      <c r="AR20" s="2"/>
      <c r="AS20" s="2"/>
      <c r="AT20" s="2"/>
      <c r="AU20" s="2"/>
      <c r="AV20" s="2"/>
      <c r="AW20" s="2"/>
      <c r="AX20" s="2"/>
      <c r="AY20" s="2"/>
      <c r="AZ20" s="2"/>
      <c r="BA20" s="2"/>
      <c r="BB20" s="2"/>
    </row>
    <row r="21" spans="1:54" x14ac:dyDescent="0.25">
      <c r="A21" s="2"/>
      <c r="B21" s="2"/>
      <c r="C21" s="2"/>
      <c r="D21" s="6" t="s">
        <v>0</v>
      </c>
      <c r="E21" s="25">
        <f t="shared" si="1"/>
        <v>44621</v>
      </c>
      <c r="F21" s="6" t="s">
        <v>0</v>
      </c>
      <c r="G21" s="25">
        <f t="shared" si="0"/>
        <v>44621</v>
      </c>
      <c r="H21" s="2"/>
      <c r="I21" s="6"/>
      <c r="J21" s="2"/>
      <c r="K21" s="2"/>
      <c r="L21" s="6"/>
      <c r="M21" s="2"/>
      <c r="N21" s="2"/>
      <c r="O21" s="6"/>
      <c r="P21" s="2"/>
      <c r="Q21" s="2"/>
      <c r="R21" s="6" t="s">
        <v>0</v>
      </c>
      <c r="S21" s="45">
        <v>10</v>
      </c>
      <c r="T21" s="2"/>
      <c r="U21" s="6" t="s">
        <v>0</v>
      </c>
      <c r="V21" s="45">
        <v>10</v>
      </c>
      <c r="W21" s="6" t="s">
        <v>0</v>
      </c>
      <c r="X21" s="45" t="s">
        <v>202</v>
      </c>
      <c r="Y21" s="2"/>
      <c r="Z21" s="2"/>
      <c r="AA21" s="2"/>
      <c r="AB21" s="2"/>
      <c r="AC21" s="2"/>
      <c r="AD21" s="2"/>
      <c r="AE21" s="2"/>
      <c r="AF21" s="2"/>
      <c r="AG21" s="2"/>
      <c r="AH21" s="2"/>
      <c r="AI21" s="2"/>
      <c r="AJ21" s="2"/>
      <c r="AK21" s="6" t="s">
        <v>0</v>
      </c>
      <c r="AL21" s="26" t="s">
        <v>254</v>
      </c>
      <c r="AM21" s="2"/>
      <c r="AN21" s="2"/>
      <c r="AO21" s="2"/>
      <c r="AP21" s="2"/>
      <c r="AQ21" s="2"/>
      <c r="AR21" s="2"/>
      <c r="AS21" s="2"/>
      <c r="AT21" s="2"/>
      <c r="AU21" s="2"/>
      <c r="AV21" s="2"/>
      <c r="AW21" s="2"/>
      <c r="AX21" s="2"/>
      <c r="AY21" s="2"/>
      <c r="AZ21" s="2"/>
      <c r="BA21" s="2"/>
      <c r="BB21" s="2"/>
    </row>
    <row r="22" spans="1:54" x14ac:dyDescent="0.25">
      <c r="A22" s="2"/>
      <c r="B22" s="2"/>
      <c r="C22" s="2"/>
      <c r="D22" s="6" t="s">
        <v>0</v>
      </c>
      <c r="E22" s="25">
        <f t="shared" si="1"/>
        <v>44652</v>
      </c>
      <c r="F22" s="6" t="s">
        <v>0</v>
      </c>
      <c r="G22" s="25">
        <f t="shared" si="0"/>
        <v>44652</v>
      </c>
      <c r="H22" s="2"/>
      <c r="I22" s="6"/>
      <c r="J22" s="2"/>
      <c r="K22" s="2"/>
      <c r="L22" s="6"/>
      <c r="M22" s="2"/>
      <c r="N22" s="2"/>
      <c r="O22" s="6"/>
      <c r="P22" s="2"/>
      <c r="Q22" s="2"/>
      <c r="R22" s="6" t="s">
        <v>0</v>
      </c>
      <c r="S22" s="45">
        <v>11</v>
      </c>
      <c r="T22" s="2"/>
      <c r="U22" s="6" t="s">
        <v>0</v>
      </c>
      <c r="V22" s="45">
        <v>11</v>
      </c>
      <c r="W22" s="6" t="s">
        <v>0</v>
      </c>
      <c r="X22" s="45" t="s">
        <v>203</v>
      </c>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row>
    <row r="23" spans="1:54" x14ac:dyDescent="0.25">
      <c r="A23" s="2"/>
      <c r="B23" s="2"/>
      <c r="C23" s="2"/>
      <c r="D23" s="6" t="s">
        <v>0</v>
      </c>
      <c r="E23" s="25">
        <f t="shared" si="1"/>
        <v>44682</v>
      </c>
      <c r="F23" s="6" t="s">
        <v>0</v>
      </c>
      <c r="G23" s="25">
        <f t="shared" si="0"/>
        <v>44682</v>
      </c>
      <c r="H23" s="2"/>
      <c r="I23" s="6"/>
      <c r="J23" s="2"/>
      <c r="K23" s="2"/>
      <c r="L23" s="6"/>
      <c r="M23" s="2"/>
      <c r="N23" s="2"/>
      <c r="O23" s="6"/>
      <c r="P23" s="2"/>
      <c r="Q23" s="2"/>
      <c r="R23" s="6"/>
      <c r="S23" s="2"/>
      <c r="T23" s="2"/>
      <c r="U23" s="6" t="s">
        <v>0</v>
      </c>
      <c r="V23" s="45">
        <v>12</v>
      </c>
      <c r="W23" s="6" t="s">
        <v>0</v>
      </c>
      <c r="X23" s="45" t="s">
        <v>204</v>
      </c>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row>
    <row r="24" spans="1:54" x14ac:dyDescent="0.25">
      <c r="A24" s="2"/>
      <c r="B24" s="2"/>
      <c r="C24" s="2"/>
      <c r="D24" s="6" t="s">
        <v>0</v>
      </c>
      <c r="E24" s="25">
        <f t="shared" si="1"/>
        <v>44713</v>
      </c>
      <c r="F24" s="6" t="s">
        <v>0</v>
      </c>
      <c r="G24" s="25">
        <f t="shared" si="0"/>
        <v>44713</v>
      </c>
      <c r="H24" s="2"/>
      <c r="I24" s="6"/>
      <c r="J24" s="2"/>
      <c r="K24" s="2"/>
      <c r="L24" s="6"/>
      <c r="M24" s="2"/>
      <c r="N24" s="2"/>
      <c r="O24" s="6"/>
      <c r="P24" s="2"/>
      <c r="Q24" s="2"/>
      <c r="R24" s="6"/>
      <c r="S24" s="2"/>
      <c r="T24" s="2"/>
      <c r="U24" s="6"/>
      <c r="V24" s="2"/>
      <c r="W24" s="6"/>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row>
    <row r="25" spans="1:54" x14ac:dyDescent="0.25">
      <c r="A25" s="2"/>
      <c r="B25" s="2"/>
      <c r="C25" s="2"/>
      <c r="D25" s="6" t="s">
        <v>0</v>
      </c>
      <c r="E25" s="25">
        <f t="shared" si="1"/>
        <v>44743</v>
      </c>
      <c r="F25" s="6" t="s">
        <v>0</v>
      </c>
      <c r="G25" s="25">
        <f t="shared" si="0"/>
        <v>44743</v>
      </c>
      <c r="H25" s="2"/>
      <c r="I25" s="6"/>
      <c r="J25" s="2"/>
      <c r="K25" s="2"/>
      <c r="L25" s="6"/>
      <c r="M25" s="2"/>
      <c r="N25" s="2"/>
      <c r="O25" s="6"/>
      <c r="P25" s="2"/>
      <c r="Q25" s="2"/>
      <c r="R25" s="6"/>
      <c r="S25" s="2"/>
      <c r="T25" s="2"/>
      <c r="U25" s="6"/>
      <c r="V25" s="2"/>
      <c r="W25" s="6"/>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row>
    <row r="26" spans="1:54" x14ac:dyDescent="0.25">
      <c r="A26" s="2"/>
      <c r="B26" s="2"/>
      <c r="C26" s="2"/>
      <c r="D26" s="6" t="s">
        <v>0</v>
      </c>
      <c r="E26" s="25">
        <f t="shared" si="1"/>
        <v>44774</v>
      </c>
      <c r="F26" s="6" t="s">
        <v>0</v>
      </c>
      <c r="G26" s="25">
        <f t="shared" si="0"/>
        <v>44774</v>
      </c>
      <c r="H26" s="2"/>
      <c r="I26" s="6"/>
      <c r="J26" s="2"/>
      <c r="K26" s="2"/>
      <c r="L26" s="6"/>
      <c r="M26" s="2"/>
      <c r="N26" s="2"/>
      <c r="O26" s="6"/>
      <c r="P26" s="2"/>
      <c r="Q26" s="2"/>
      <c r="R26" s="6"/>
      <c r="S26" s="2"/>
      <c r="T26" s="2"/>
      <c r="U26" s="6"/>
      <c r="V26" s="2"/>
      <c r="W26" s="6"/>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row>
    <row r="27" spans="1:54" x14ac:dyDescent="0.25">
      <c r="A27" s="2"/>
      <c r="B27" s="2"/>
      <c r="C27" s="2"/>
      <c r="D27" s="6" t="s">
        <v>0</v>
      </c>
      <c r="E27" s="25">
        <f t="shared" si="1"/>
        <v>44805</v>
      </c>
      <c r="F27" s="6" t="s">
        <v>0</v>
      </c>
      <c r="G27" s="25">
        <f t="shared" si="0"/>
        <v>44805</v>
      </c>
      <c r="H27" s="2"/>
      <c r="I27" s="6"/>
      <c r="J27" s="2"/>
      <c r="K27" s="2"/>
      <c r="L27" s="6"/>
      <c r="M27" s="2"/>
      <c r="N27" s="2"/>
      <c r="O27" s="6"/>
      <c r="P27" s="2"/>
      <c r="Q27" s="2"/>
      <c r="R27" s="6"/>
      <c r="S27" s="2"/>
      <c r="T27" s="2"/>
      <c r="U27" s="6"/>
      <c r="V27" s="2"/>
      <c r="W27" s="6"/>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row>
    <row r="28" spans="1:54" x14ac:dyDescent="0.25">
      <c r="A28" s="2"/>
      <c r="B28" s="2"/>
      <c r="C28" s="2"/>
      <c r="D28" s="6" t="s">
        <v>0</v>
      </c>
      <c r="E28" s="25">
        <f t="shared" si="1"/>
        <v>44835</v>
      </c>
      <c r="F28" s="6" t="s">
        <v>0</v>
      </c>
      <c r="G28" s="25">
        <f t="shared" si="0"/>
        <v>44835</v>
      </c>
      <c r="H28" s="2"/>
      <c r="I28" s="6"/>
      <c r="J28" s="2"/>
      <c r="K28" s="2"/>
      <c r="L28" s="6"/>
      <c r="M28" s="2"/>
      <c r="N28" s="2"/>
      <c r="O28" s="6"/>
      <c r="P28" s="2"/>
      <c r="Q28" s="2"/>
      <c r="R28" s="6"/>
      <c r="S28" s="2"/>
      <c r="T28" s="2"/>
      <c r="U28" s="6"/>
      <c r="V28" s="2"/>
      <c r="W28" s="6"/>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row>
    <row r="29" spans="1:54" x14ac:dyDescent="0.25">
      <c r="A29" s="2"/>
      <c r="B29" s="2"/>
      <c r="C29" s="2"/>
      <c r="D29" s="6" t="s">
        <v>0</v>
      </c>
      <c r="E29" s="25">
        <f t="shared" si="1"/>
        <v>44866</v>
      </c>
      <c r="F29" s="6" t="s">
        <v>0</v>
      </c>
      <c r="G29" s="25">
        <f t="shared" si="0"/>
        <v>44866</v>
      </c>
      <c r="H29" s="2"/>
      <c r="I29" s="6"/>
      <c r="J29" s="2"/>
      <c r="K29" s="2"/>
      <c r="L29" s="6"/>
      <c r="M29" s="2"/>
      <c r="N29" s="2"/>
      <c r="O29" s="6"/>
      <c r="P29" s="2"/>
      <c r="Q29" s="2"/>
      <c r="R29" s="6"/>
      <c r="S29" s="2"/>
      <c r="T29" s="2"/>
      <c r="U29" s="6"/>
      <c r="V29" s="2"/>
      <c r="W29" s="6"/>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row>
    <row r="30" spans="1:54" x14ac:dyDescent="0.25">
      <c r="A30" s="2"/>
      <c r="B30" s="2"/>
      <c r="C30" s="2"/>
      <c r="D30" s="6" t="s">
        <v>0</v>
      </c>
      <c r="E30" s="25">
        <f t="shared" si="1"/>
        <v>44896</v>
      </c>
      <c r="F30" s="6" t="s">
        <v>0</v>
      </c>
      <c r="G30" s="25">
        <f t="shared" si="0"/>
        <v>44896</v>
      </c>
      <c r="H30" s="2"/>
      <c r="I30" s="6"/>
      <c r="J30" s="2"/>
      <c r="K30" s="2"/>
      <c r="L30" s="6"/>
      <c r="M30" s="2"/>
      <c r="N30" s="2"/>
      <c r="O30" s="6"/>
      <c r="P30" s="2"/>
      <c r="Q30" s="2"/>
      <c r="R30" s="6"/>
      <c r="S30" s="2"/>
      <c r="T30" s="2"/>
      <c r="U30" s="6"/>
      <c r="V30" s="2"/>
      <c r="W30" s="6"/>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row>
    <row r="31" spans="1:54" x14ac:dyDescent="0.25">
      <c r="A31" s="2"/>
      <c r="B31" s="2"/>
      <c r="C31" s="2"/>
      <c r="D31" s="6" t="s">
        <v>0</v>
      </c>
      <c r="E31" s="25">
        <f t="shared" si="1"/>
        <v>44927</v>
      </c>
      <c r="F31" s="6" t="s">
        <v>0</v>
      </c>
      <c r="G31" s="25">
        <f t="shared" si="0"/>
        <v>44927</v>
      </c>
      <c r="H31" s="2"/>
      <c r="I31" s="6"/>
      <c r="J31" s="2"/>
      <c r="K31" s="2"/>
      <c r="L31" s="6"/>
      <c r="M31" s="2"/>
      <c r="N31" s="2"/>
      <c r="O31" s="6"/>
      <c r="P31" s="2"/>
      <c r="Q31" s="2"/>
      <c r="R31" s="6"/>
      <c r="S31" s="2"/>
      <c r="T31" s="2"/>
      <c r="U31" s="6"/>
      <c r="V31" s="2"/>
      <c r="W31" s="6"/>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row>
    <row r="32" spans="1:54" x14ac:dyDescent="0.25">
      <c r="A32" s="2"/>
      <c r="B32" s="2"/>
      <c r="C32" s="2"/>
      <c r="D32" s="6" t="s">
        <v>0</v>
      </c>
      <c r="E32" s="25">
        <f t="shared" si="1"/>
        <v>44958</v>
      </c>
      <c r="F32" s="6" t="s">
        <v>0</v>
      </c>
      <c r="G32" s="25">
        <f t="shared" si="0"/>
        <v>44958</v>
      </c>
      <c r="H32" s="2"/>
      <c r="I32" s="6"/>
      <c r="J32" s="2"/>
      <c r="K32" s="2"/>
      <c r="L32" s="6"/>
      <c r="M32" s="2"/>
      <c r="N32" s="2"/>
      <c r="O32" s="6"/>
      <c r="P32" s="2"/>
      <c r="Q32" s="2"/>
      <c r="R32" s="6"/>
      <c r="S32" s="2"/>
      <c r="T32" s="2"/>
      <c r="U32" s="6"/>
      <c r="V32" s="2"/>
      <c r="W32" s="6"/>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row>
    <row r="33" spans="1:54" x14ac:dyDescent="0.25">
      <c r="A33" s="2"/>
      <c r="B33" s="2"/>
      <c r="C33" s="2"/>
      <c r="D33" s="6" t="s">
        <v>0</v>
      </c>
      <c r="E33" s="25">
        <f t="shared" si="1"/>
        <v>44986</v>
      </c>
      <c r="F33" s="6" t="s">
        <v>0</v>
      </c>
      <c r="G33" s="25">
        <f t="shared" si="0"/>
        <v>44986</v>
      </c>
      <c r="H33" s="2"/>
      <c r="I33" s="6"/>
      <c r="J33" s="2"/>
      <c r="K33" s="2"/>
      <c r="L33" s="6"/>
      <c r="M33" s="2"/>
      <c r="N33" s="2"/>
      <c r="O33" s="6"/>
      <c r="P33" s="2"/>
      <c r="Q33" s="2"/>
      <c r="R33" s="6"/>
      <c r="S33" s="2"/>
      <c r="T33" s="2"/>
      <c r="U33" s="6"/>
      <c r="V33" s="2"/>
      <c r="W33" s="6"/>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row>
    <row r="34" spans="1:54" x14ac:dyDescent="0.25">
      <c r="A34" s="2"/>
      <c r="B34" s="2"/>
      <c r="C34" s="2"/>
      <c r="D34" s="6" t="s">
        <v>0</v>
      </c>
      <c r="E34" s="25">
        <f t="shared" si="1"/>
        <v>45017</v>
      </c>
      <c r="F34" s="6" t="s">
        <v>0</v>
      </c>
      <c r="G34" s="25">
        <f t="shared" si="0"/>
        <v>45017</v>
      </c>
      <c r="H34" s="2"/>
      <c r="I34" s="6"/>
      <c r="J34" s="2"/>
      <c r="K34" s="2"/>
      <c r="L34" s="6"/>
      <c r="M34" s="2"/>
      <c r="N34" s="2"/>
      <c r="O34" s="6"/>
      <c r="P34" s="2"/>
      <c r="Q34" s="2"/>
      <c r="R34" s="6"/>
      <c r="S34" s="2"/>
      <c r="T34" s="2"/>
      <c r="U34" s="6"/>
      <c r="V34" s="2"/>
      <c r="W34" s="6"/>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row>
    <row r="35" spans="1:54" x14ac:dyDescent="0.25">
      <c r="A35" s="2"/>
      <c r="B35" s="2"/>
      <c r="C35" s="2"/>
      <c r="D35" s="6" t="s">
        <v>0</v>
      </c>
      <c r="E35" s="25">
        <f t="shared" si="1"/>
        <v>45047</v>
      </c>
      <c r="F35" s="6" t="s">
        <v>0</v>
      </c>
      <c r="G35" s="25">
        <f t="shared" si="0"/>
        <v>45047</v>
      </c>
      <c r="H35" s="2"/>
      <c r="I35" s="6"/>
      <c r="J35" s="2"/>
      <c r="K35" s="2"/>
      <c r="L35" s="6"/>
      <c r="M35" s="2"/>
      <c r="N35" s="2"/>
      <c r="O35" s="6"/>
      <c r="P35" s="2"/>
      <c r="Q35" s="2"/>
      <c r="R35" s="6"/>
      <c r="S35" s="2"/>
      <c r="T35" s="2"/>
      <c r="U35" s="6"/>
      <c r="V35" s="2"/>
      <c r="W35" s="6"/>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row>
    <row r="36" spans="1:54" x14ac:dyDescent="0.25">
      <c r="A36" s="2"/>
      <c r="B36" s="2"/>
      <c r="C36" s="2"/>
      <c r="D36" s="6" t="s">
        <v>0</v>
      </c>
      <c r="E36" s="25"/>
      <c r="F36" s="6" t="s">
        <v>0</v>
      </c>
      <c r="G36" s="25"/>
      <c r="H36" s="2"/>
      <c r="I36" s="6"/>
      <c r="J36" s="2"/>
      <c r="K36" s="2"/>
      <c r="L36" s="6"/>
      <c r="M36" s="2"/>
      <c r="N36" s="2"/>
      <c r="O36" s="6"/>
      <c r="P36" s="2"/>
      <c r="Q36" s="2"/>
      <c r="R36" s="6"/>
      <c r="S36" s="2"/>
      <c r="T36" s="2"/>
      <c r="U36" s="6"/>
      <c r="V36" s="2"/>
      <c r="W36" s="6"/>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row>
    <row r="37" spans="1:54"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row>
    <row r="38" spans="1:54"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row>
    <row r="39" spans="1:54"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row>
    <row r="40" spans="1:54"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row>
    <row r="41" spans="1:54"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row>
    <row r="42" spans="1:54"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row>
    <row r="43" spans="1:54"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row>
    <row r="44" spans="1:54"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row>
    <row r="45" spans="1:54"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row>
    <row r="46" spans="1:54"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row>
    <row r="47" spans="1:54"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row>
    <row r="48" spans="1:54"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row>
    <row r="49" spans="1:54"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row>
    <row r="50" spans="1:54"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row>
    <row r="51" spans="1:54"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row>
    <row r="52" spans="1:54"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row>
    <row r="53" spans="1:54"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row>
    <row r="54" spans="1:54"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row>
    <row r="55" spans="1:54"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row>
    <row r="56" spans="1:54"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row>
    <row r="57" spans="1:54"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row>
  </sheetData>
  <conditionalFormatting sqref="E10">
    <cfRule type="containsBlanks" dxfId="5492" priority="60">
      <formula>LEN(TRIM(E10))=0</formula>
    </cfRule>
  </conditionalFormatting>
  <conditionalFormatting sqref="E8">
    <cfRule type="containsBlanks" dxfId="5491" priority="59">
      <formula>LEN(TRIM(E8))=0</formula>
    </cfRule>
  </conditionalFormatting>
  <conditionalFormatting sqref="G10">
    <cfRule type="containsBlanks" dxfId="5490" priority="58">
      <formula>LEN(TRIM(G10))=0</formula>
    </cfRule>
  </conditionalFormatting>
  <conditionalFormatting sqref="E12:E36">
    <cfRule type="containsBlanks" dxfId="5489" priority="57">
      <formula>LEN(TRIM(E12))=0</formula>
    </cfRule>
  </conditionalFormatting>
  <conditionalFormatting sqref="AL12">
    <cfRule type="containsBlanks" dxfId="5488" priority="53">
      <formula>LEN(TRIM(AL12))=0</formula>
    </cfRule>
  </conditionalFormatting>
  <conditionalFormatting sqref="G12:G36">
    <cfRule type="containsBlanks" dxfId="5487" priority="55">
      <formula>LEN(TRIM(G12))=0</formula>
    </cfRule>
  </conditionalFormatting>
  <conditionalFormatting sqref="AL8">
    <cfRule type="containsBlanks" dxfId="5486" priority="54">
      <formula>LEN(TRIM(AL8))=0</formula>
    </cfRule>
  </conditionalFormatting>
  <conditionalFormatting sqref="AA12">
    <cfRule type="containsBlanks" dxfId="5485" priority="51">
      <formula>LEN(TRIM(AA12))=0</formula>
    </cfRule>
  </conditionalFormatting>
  <conditionalFormatting sqref="AA8">
    <cfRule type="containsBlanks" dxfId="5484" priority="52">
      <formula>LEN(TRIM(AA8))=0</formula>
    </cfRule>
  </conditionalFormatting>
  <conditionalFormatting sqref="AA13:AA14">
    <cfRule type="containsBlanks" dxfId="5483" priority="50">
      <formula>LEN(TRIM(AA13))=0</formula>
    </cfRule>
  </conditionalFormatting>
  <conditionalFormatting sqref="AA15">
    <cfRule type="containsBlanks" dxfId="5482" priority="49">
      <formula>LEN(TRIM(AA15))=0</formula>
    </cfRule>
  </conditionalFormatting>
  <conditionalFormatting sqref="AD12">
    <cfRule type="containsBlanks" dxfId="5481" priority="47">
      <formula>LEN(TRIM(AD12))=0</formula>
    </cfRule>
  </conditionalFormatting>
  <conditionalFormatting sqref="AD10">
    <cfRule type="containsBlanks" dxfId="5480" priority="48">
      <formula>LEN(TRIM(AD10))=0</formula>
    </cfRule>
  </conditionalFormatting>
  <conditionalFormatting sqref="AD13:AD14">
    <cfRule type="containsBlanks" dxfId="5479" priority="46">
      <formula>LEN(TRIM(AD13))=0</formula>
    </cfRule>
  </conditionalFormatting>
  <conditionalFormatting sqref="AD15">
    <cfRule type="containsBlanks" dxfId="5478" priority="45">
      <formula>LEN(TRIM(AD15))=0</formula>
    </cfRule>
  </conditionalFormatting>
  <conditionalFormatting sqref="AD16:AD18">
    <cfRule type="containsBlanks" dxfId="5477" priority="44">
      <formula>LEN(TRIM(AD16))=0</formula>
    </cfRule>
  </conditionalFormatting>
  <conditionalFormatting sqref="AF12">
    <cfRule type="containsBlanks" dxfId="5476" priority="42">
      <formula>LEN(TRIM(AF12))=0</formula>
    </cfRule>
  </conditionalFormatting>
  <conditionalFormatting sqref="AF10">
    <cfRule type="containsBlanks" dxfId="5475" priority="43">
      <formula>LEN(TRIM(AF10))=0</formula>
    </cfRule>
  </conditionalFormatting>
  <conditionalFormatting sqref="AF12:AF14">
    <cfRule type="containsBlanks" dxfId="5474" priority="41">
      <formula>LEN(TRIM(AF12))=0</formula>
    </cfRule>
  </conditionalFormatting>
  <conditionalFormatting sqref="AF15">
    <cfRule type="containsBlanks" dxfId="5473" priority="40">
      <formula>LEN(TRIM(AF15))=0</formula>
    </cfRule>
  </conditionalFormatting>
  <conditionalFormatting sqref="AF16:AF18">
    <cfRule type="containsBlanks" dxfId="5472" priority="39">
      <formula>LEN(TRIM(AF16))=0</formula>
    </cfRule>
  </conditionalFormatting>
  <conditionalFormatting sqref="AD13">
    <cfRule type="containsBlanks" dxfId="5471" priority="38">
      <formula>LEN(TRIM(AD13))=0</formula>
    </cfRule>
  </conditionalFormatting>
  <conditionalFormatting sqref="AD14:AD15">
    <cfRule type="containsBlanks" dxfId="5470" priority="37">
      <formula>LEN(TRIM(AD14))=0</formula>
    </cfRule>
  </conditionalFormatting>
  <conditionalFormatting sqref="AD16">
    <cfRule type="containsBlanks" dxfId="5469" priority="36">
      <formula>LEN(TRIM(AD16))=0</formula>
    </cfRule>
  </conditionalFormatting>
  <conditionalFormatting sqref="AD16">
    <cfRule type="containsBlanks" dxfId="5468" priority="35">
      <formula>LEN(TRIM(AD16))=0</formula>
    </cfRule>
  </conditionalFormatting>
  <conditionalFormatting sqref="AL13">
    <cfRule type="containsBlanks" dxfId="5467" priority="34">
      <formula>LEN(TRIM(AL13))=0</formula>
    </cfRule>
  </conditionalFormatting>
  <conditionalFormatting sqref="AL14">
    <cfRule type="containsBlanks" dxfId="5466" priority="33">
      <formula>LEN(TRIM(AL14))=0</formula>
    </cfRule>
  </conditionalFormatting>
  <conditionalFormatting sqref="AD8">
    <cfRule type="containsBlanks" dxfId="5465" priority="30">
      <formula>LEN(TRIM(AD8))=0</formula>
    </cfRule>
  </conditionalFormatting>
  <conditionalFormatting sqref="AL15">
    <cfRule type="containsBlanks" dxfId="5464" priority="29">
      <formula>LEN(TRIM(AL15))=0</formula>
    </cfRule>
  </conditionalFormatting>
  <conditionalFormatting sqref="AL17">
    <cfRule type="containsBlanks" dxfId="5463" priority="27">
      <formula>LEN(TRIM(AL17))=0</formula>
    </cfRule>
  </conditionalFormatting>
  <conditionalFormatting sqref="AI15">
    <cfRule type="containsBlanks" dxfId="5462" priority="23">
      <formula>LEN(TRIM(AI15))=0</formula>
    </cfRule>
  </conditionalFormatting>
  <conditionalFormatting sqref="AL16">
    <cfRule type="containsBlanks" dxfId="5461" priority="28">
      <formula>LEN(TRIM(AL16))=0</formula>
    </cfRule>
  </conditionalFormatting>
  <conditionalFormatting sqref="AI12">
    <cfRule type="containsBlanks" dxfId="5460" priority="25">
      <formula>LEN(TRIM(AI12))=0</formula>
    </cfRule>
  </conditionalFormatting>
  <conditionalFormatting sqref="AI8">
    <cfRule type="containsBlanks" dxfId="5459" priority="26">
      <formula>LEN(TRIM(AI8))=0</formula>
    </cfRule>
  </conditionalFormatting>
  <conditionalFormatting sqref="AI13:AI14">
    <cfRule type="containsBlanks" dxfId="5458" priority="24">
      <formula>LEN(TRIM(AI13))=0</formula>
    </cfRule>
  </conditionalFormatting>
  <conditionalFormatting sqref="S8">
    <cfRule type="containsBlanks" dxfId="5457" priority="21">
      <formula>LEN(TRIM(S8))=0</formula>
    </cfRule>
  </conditionalFormatting>
  <conditionalFormatting sqref="S12:S22">
    <cfRule type="containsBlanks" dxfId="5456" priority="20">
      <formula>LEN(TRIM(S12))=0</formula>
    </cfRule>
  </conditionalFormatting>
  <conditionalFormatting sqref="V8">
    <cfRule type="containsBlanks" dxfId="5455" priority="19">
      <formula>LEN(TRIM(V8))=0</formula>
    </cfRule>
  </conditionalFormatting>
  <conditionalFormatting sqref="V12:V22">
    <cfRule type="containsBlanks" dxfId="5454" priority="18">
      <formula>LEN(TRIM(V12))=0</formula>
    </cfRule>
  </conditionalFormatting>
  <conditionalFormatting sqref="V23">
    <cfRule type="containsBlanks" dxfId="5453" priority="17">
      <formula>LEN(TRIM(V23))=0</formula>
    </cfRule>
  </conditionalFormatting>
  <conditionalFormatting sqref="X8">
    <cfRule type="containsBlanks" dxfId="5452" priority="16">
      <formula>LEN(TRIM(X8))=0</formula>
    </cfRule>
  </conditionalFormatting>
  <conditionalFormatting sqref="X12:X23">
    <cfRule type="containsBlanks" dxfId="5451" priority="15">
      <formula>LEN(TRIM(X12))=0</formula>
    </cfRule>
  </conditionalFormatting>
  <conditionalFormatting sqref="AL18">
    <cfRule type="containsBlanks" dxfId="5450" priority="13">
      <formula>LEN(TRIM(AL18))=0</formula>
    </cfRule>
  </conditionalFormatting>
  <conditionalFormatting sqref="AL19">
    <cfRule type="containsBlanks" dxfId="5449" priority="12">
      <formula>LEN(TRIM(AL19))=0</formula>
    </cfRule>
  </conditionalFormatting>
  <conditionalFormatting sqref="AL20">
    <cfRule type="containsBlanks" dxfId="5448" priority="11">
      <formula>LEN(TRIM(AL20))=0</formula>
    </cfRule>
  </conditionalFormatting>
  <conditionalFormatting sqref="J8">
    <cfRule type="containsBlanks" dxfId="5447" priority="10">
      <formula>LEN(TRIM(J8))=0</formula>
    </cfRule>
  </conditionalFormatting>
  <conditionalFormatting sqref="J12:J16">
    <cfRule type="containsBlanks" dxfId="5446" priority="9">
      <formula>LEN(TRIM(J12))=0</formula>
    </cfRule>
  </conditionalFormatting>
  <conditionalFormatting sqref="AL21">
    <cfRule type="containsBlanks" dxfId="5445" priority="8">
      <formula>LEN(TRIM(AL21))=0</formula>
    </cfRule>
  </conditionalFormatting>
  <conditionalFormatting sqref="M8">
    <cfRule type="containsBlanks" dxfId="5444" priority="7">
      <formula>LEN(TRIM(M8))=0</formula>
    </cfRule>
  </conditionalFormatting>
  <conditionalFormatting sqref="M12:M15">
    <cfRule type="containsBlanks" dxfId="5443" priority="6">
      <formula>LEN(TRIM(M12))=0</formula>
    </cfRule>
  </conditionalFormatting>
  <conditionalFormatting sqref="P8">
    <cfRule type="containsBlanks" dxfId="5442" priority="5">
      <formula>LEN(TRIM(P8))=0</formula>
    </cfRule>
  </conditionalFormatting>
  <conditionalFormatting sqref="P12:P16">
    <cfRule type="containsBlanks" dxfId="5441" priority="4">
      <formula>LEN(TRIM(P12))=0</formula>
    </cfRule>
  </conditionalFormatting>
  <conditionalFormatting sqref="P17">
    <cfRule type="containsBlanks" dxfId="5440" priority="3">
      <formula>LEN(TRIM(P17))=0</formula>
    </cfRule>
  </conditionalFormatting>
  <conditionalFormatting sqref="C3:E6">
    <cfRule type="cellIs" dxfId="5439" priority="2" operator="equal">
      <formula>0</formula>
    </cfRule>
  </conditionalFormatting>
  <conditionalFormatting sqref="A1:D1">
    <cfRule type="cellIs" dxfId="5438" priority="1" operator="equal">
      <formula>0</formula>
    </cfRule>
  </conditionalFormatting>
  <hyperlinks>
    <hyperlink ref="A1:D1" location="оглавление!A1" tooltip="оглавление" display="оглавление"/>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B418"/>
  <sheetViews>
    <sheetView workbookViewId="0">
      <pane xSplit="14" ySplit="10" topLeftCell="O11" activePane="bottomRight" state="frozen"/>
      <selection pane="topRight" activeCell="O1" sqref="O1"/>
      <selection pane="bottomLeft" activeCell="A11" sqref="A11"/>
      <selection pane="bottomRight" activeCell="A12" sqref="A12"/>
    </sheetView>
  </sheetViews>
  <sheetFormatPr defaultColWidth="9.109375" defaultRowHeight="12" x14ac:dyDescent="0.25"/>
  <cols>
    <col min="1" max="4" width="2.6640625"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
        <v>191</v>
      </c>
      <c r="N1" s="42"/>
      <c r="O1" s="42"/>
      <c r="P1" s="43">
        <f>IF($J$13="","",IF(MONTH($J$13)&lt;&gt;1,0,1))</f>
        <v>1</v>
      </c>
      <c r="Q1" s="43">
        <f t="shared" ref="Q1:AA1" si="0">IF(P1="","",IF(P1+1&gt;$J$16,"",P1+1))</f>
        <v>2</v>
      </c>
      <c r="R1" s="43">
        <f t="shared" si="0"/>
        <v>3</v>
      </c>
      <c r="S1" s="43">
        <f t="shared" si="0"/>
        <v>4</v>
      </c>
      <c r="T1" s="43">
        <f t="shared" si="0"/>
        <v>5</v>
      </c>
      <c r="U1" s="43">
        <f t="shared" si="0"/>
        <v>6</v>
      </c>
      <c r="V1" s="43">
        <f t="shared" si="0"/>
        <v>7</v>
      </c>
      <c r="W1" s="43" t="str">
        <f t="shared" si="0"/>
        <v/>
      </c>
      <c r="X1" s="43" t="str">
        <f t="shared" si="0"/>
        <v/>
      </c>
      <c r="Y1" s="43" t="str">
        <f t="shared" si="0"/>
        <v/>
      </c>
      <c r="Z1" s="43" t="str">
        <f t="shared" si="0"/>
        <v/>
      </c>
      <c r="AA1" s="43" t="str">
        <f t="shared" si="0"/>
        <v/>
      </c>
      <c r="AB1" s="2"/>
    </row>
    <row r="2" spans="1:28" x14ac:dyDescent="0.25">
      <c r="A2" s="2"/>
      <c r="B2" s="2"/>
      <c r="C2" s="2"/>
      <c r="D2" s="2"/>
      <c r="E2" s="2"/>
      <c r="F2" s="2"/>
      <c r="G2" s="2"/>
      <c r="H2" s="2"/>
      <c r="I2" s="28"/>
      <c r="J2" s="2"/>
      <c r="K2" s="28"/>
      <c r="L2" s="2"/>
      <c r="M2" s="52"/>
      <c r="N2" s="2"/>
      <c r="O2" s="2"/>
      <c r="P2" s="2"/>
      <c r="Q2" s="36"/>
      <c r="R2" s="2"/>
      <c r="S2" s="2"/>
      <c r="T2" s="2"/>
      <c r="U2" s="2"/>
      <c r="V2" s="2"/>
      <c r="W2" s="2"/>
      <c r="X2" s="2"/>
      <c r="Y2" s="2"/>
      <c r="Z2" s="2"/>
      <c r="AA2" s="2"/>
      <c r="AB2" s="2"/>
    </row>
    <row r="3" spans="1:28" x14ac:dyDescent="0.25">
      <c r="A3" s="2"/>
      <c r="B3" s="2"/>
      <c r="C3" s="89" t="str">
        <f>методология!$E$4</f>
        <v>Инвестмодель базы отдыха - Беседки &amp; Веревочный парк</v>
      </c>
      <c r="D3" s="20"/>
      <c r="E3" s="20"/>
      <c r="F3" s="2"/>
      <c r="G3" s="2"/>
      <c r="H3" s="2"/>
      <c r="I3" s="28"/>
      <c r="J3" s="2"/>
      <c r="K3" s="28"/>
      <c r="L3" s="2"/>
      <c r="M3" s="52"/>
      <c r="N3" s="2"/>
      <c r="O3" s="2"/>
      <c r="P3" s="2"/>
      <c r="Q3" s="2"/>
      <c r="R3" s="2"/>
      <c r="S3" s="2"/>
      <c r="T3" s="2"/>
      <c r="U3" s="2"/>
      <c r="V3" s="2"/>
      <c r="W3" s="2"/>
      <c r="X3" s="2"/>
      <c r="Y3" s="2"/>
      <c r="Z3" s="2"/>
      <c r="AA3" s="2"/>
      <c r="AB3" s="2"/>
    </row>
    <row r="4" spans="1:28" x14ac:dyDescent="0.25">
      <c r="A4" s="2"/>
      <c r="B4" s="2"/>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2"/>
      <c r="B5" s="2"/>
      <c r="C5" s="2"/>
      <c r="D5" s="2"/>
      <c r="E5" s="2"/>
      <c r="F5" s="2"/>
      <c r="G5" s="2"/>
      <c r="H5" s="2"/>
      <c r="I5" s="28"/>
      <c r="J5" s="2"/>
      <c r="K5" s="28"/>
      <c r="L5" s="2"/>
      <c r="M5" s="52"/>
      <c r="N5" s="2"/>
      <c r="O5" s="2"/>
      <c r="P5" s="2"/>
      <c r="Q5" s="2"/>
      <c r="R5" s="2"/>
      <c r="S5" s="2"/>
      <c r="T5" s="2"/>
      <c r="U5" s="2"/>
      <c r="V5" s="2"/>
      <c r="W5" s="2"/>
      <c r="X5" s="2"/>
      <c r="Y5" s="2"/>
      <c r="Z5" s="2"/>
      <c r="AA5" s="2"/>
      <c r="AB5" s="2"/>
    </row>
    <row r="6" spans="1:28" x14ac:dyDescent="0.25">
      <c r="A6" s="2"/>
      <c r="B6" s="2"/>
      <c r="C6" s="225" t="s">
        <v>305</v>
      </c>
      <c r="D6" s="210"/>
      <c r="E6" s="226"/>
      <c r="F6" s="2"/>
      <c r="G6" s="2"/>
      <c r="H6" s="2"/>
      <c r="I6" s="28"/>
      <c r="J6" s="2"/>
      <c r="K6" s="28"/>
      <c r="L6" s="2"/>
      <c r="M6" s="52"/>
      <c r="N6" s="2"/>
      <c r="O6" s="2"/>
      <c r="P6" s="96" t="str">
        <f>IF(P$1="","",IF(P$1&gt;0,YEAR(P8)&amp;"г.",""))</f>
        <v>2022г.</v>
      </c>
      <c r="Q6" s="96" t="str">
        <f t="shared" ref="Q6:AA6" si="1">IF(Q$1="","",IF(Q$1&gt;0,YEAR(Q8)&amp;"г.",""))</f>
        <v>2023г.</v>
      </c>
      <c r="R6" s="96" t="str">
        <f t="shared" si="1"/>
        <v>2024г.</v>
      </c>
      <c r="S6" s="96" t="str">
        <f t="shared" si="1"/>
        <v>2025г.</v>
      </c>
      <c r="T6" s="96" t="str">
        <f t="shared" si="1"/>
        <v>2026г.</v>
      </c>
      <c r="U6" s="96" t="str">
        <f t="shared" si="1"/>
        <v>2027г.</v>
      </c>
      <c r="V6" s="96" t="str">
        <f t="shared" si="1"/>
        <v>2028г.</v>
      </c>
      <c r="W6" s="96" t="str">
        <f t="shared" si="1"/>
        <v/>
      </c>
      <c r="X6" s="96" t="str">
        <f t="shared" si="1"/>
        <v/>
      </c>
      <c r="Y6" s="96" t="str">
        <f t="shared" si="1"/>
        <v/>
      </c>
      <c r="Z6" s="96" t="str">
        <f t="shared" si="1"/>
        <v/>
      </c>
      <c r="AA6" s="96" t="str">
        <f t="shared" si="1"/>
        <v/>
      </c>
      <c r="AB6" s="2"/>
    </row>
    <row r="7" spans="1:28" x14ac:dyDescent="0.25">
      <c r="A7" s="2"/>
      <c r="B7" s="2"/>
      <c r="C7" s="2"/>
      <c r="D7" s="2"/>
      <c r="E7" s="2" t="s">
        <v>166</v>
      </c>
      <c r="F7" s="2"/>
      <c r="G7" s="2"/>
      <c r="H7" s="2"/>
      <c r="I7" s="28"/>
      <c r="J7" s="2"/>
      <c r="K7" s="28"/>
      <c r="L7" s="2"/>
      <c r="M7" s="52"/>
      <c r="N7" s="2"/>
      <c r="O7" s="2"/>
      <c r="P7" s="94">
        <f>IF($J$13="","",$J$13)</f>
        <v>44562</v>
      </c>
      <c r="Q7" s="94">
        <f>IF(Q$1="","",P8+1)</f>
        <v>44927</v>
      </c>
      <c r="R7" s="94">
        <f t="shared" ref="R7:AA7" si="2">IF(R$1="","",Q8+1)</f>
        <v>45292</v>
      </c>
      <c r="S7" s="94">
        <f t="shared" si="2"/>
        <v>45658</v>
      </c>
      <c r="T7" s="94">
        <f t="shared" si="2"/>
        <v>46023</v>
      </c>
      <c r="U7" s="94">
        <f t="shared" si="2"/>
        <v>46388</v>
      </c>
      <c r="V7" s="94">
        <f t="shared" si="2"/>
        <v>46753</v>
      </c>
      <c r="W7" s="94" t="str">
        <f t="shared" si="2"/>
        <v/>
      </c>
      <c r="X7" s="94" t="str">
        <f t="shared" si="2"/>
        <v/>
      </c>
      <c r="Y7" s="94" t="str">
        <f t="shared" si="2"/>
        <v/>
      </c>
      <c r="Z7" s="94" t="str">
        <f t="shared" si="2"/>
        <v/>
      </c>
      <c r="AA7" s="94" t="str">
        <f t="shared" si="2"/>
        <v/>
      </c>
      <c r="AB7" s="2"/>
    </row>
    <row r="8" spans="1:28" s="5" customFormat="1" x14ac:dyDescent="0.25">
      <c r="A8" s="3"/>
      <c r="B8" s="3"/>
      <c r="C8" s="3"/>
      <c r="D8" s="3"/>
      <c r="E8" s="3" t="str">
        <f>KPI!$E$8</f>
        <v>KPI</v>
      </c>
      <c r="F8" s="3"/>
      <c r="G8" s="28" t="str">
        <f>KPI!$G$8</f>
        <v>ед.изм.</v>
      </c>
      <c r="H8" s="3"/>
      <c r="I8" s="28"/>
      <c r="J8" s="3"/>
      <c r="K8" s="28"/>
      <c r="L8" s="3"/>
      <c r="M8" s="53" t="s">
        <v>8</v>
      </c>
      <c r="N8" s="3"/>
      <c r="O8" s="3"/>
      <c r="P8" s="95">
        <f>IF(P7="","",EOMONTH(P7,12-MONTH(P7)))</f>
        <v>44926</v>
      </c>
      <c r="Q8" s="95">
        <f>IF(Q$1="","",EOMONTH(Q$7,11))</f>
        <v>45291</v>
      </c>
      <c r="R8" s="95">
        <f t="shared" ref="R8:AA8" si="3">IF(R$1="","",EOMONTH(R$7,11))</f>
        <v>45657</v>
      </c>
      <c r="S8" s="95">
        <f t="shared" si="3"/>
        <v>46022</v>
      </c>
      <c r="T8" s="95">
        <f t="shared" si="3"/>
        <v>46387</v>
      </c>
      <c r="U8" s="95">
        <f t="shared" si="3"/>
        <v>46752</v>
      </c>
      <c r="V8" s="95">
        <f t="shared" si="3"/>
        <v>47118</v>
      </c>
      <c r="W8" s="95" t="str">
        <f t="shared" si="3"/>
        <v/>
      </c>
      <c r="X8" s="95" t="str">
        <f t="shared" si="3"/>
        <v/>
      </c>
      <c r="Y8" s="95" t="str">
        <f t="shared" si="3"/>
        <v/>
      </c>
      <c r="Z8" s="95" t="str">
        <f t="shared" si="3"/>
        <v/>
      </c>
      <c r="AA8" s="95" t="str">
        <f t="shared" si="3"/>
        <v/>
      </c>
      <c r="AB8" s="3"/>
    </row>
    <row r="9" spans="1:28" ht="3.9" customHeight="1" x14ac:dyDescent="0.25">
      <c r="A9" s="2"/>
      <c r="B9" s="2"/>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customHeight="1" x14ac:dyDescent="0.25">
      <c r="A10" s="2"/>
      <c r="B10" s="2"/>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x14ac:dyDescent="0.25">
      <c r="A11" s="3"/>
      <c r="B11" s="3"/>
      <c r="C11" s="3"/>
      <c r="D11" s="3"/>
      <c r="E11" s="3" t="str">
        <f>структура!$S$8</f>
        <v>операционный период</v>
      </c>
      <c r="F11" s="3"/>
      <c r="G11" s="3"/>
      <c r="H11" s="3"/>
      <c r="I11" s="28"/>
      <c r="J11" s="3"/>
      <c r="K11" s="28"/>
      <c r="L11" s="3"/>
      <c r="M11" s="55"/>
      <c r="N11" s="3"/>
      <c r="O11" s="3"/>
      <c r="P11" s="46"/>
      <c r="Q11" s="46"/>
      <c r="R11" s="46"/>
      <c r="S11" s="46"/>
      <c r="T11" s="46"/>
      <c r="U11" s="46"/>
      <c r="V11" s="46"/>
      <c r="W11" s="46"/>
      <c r="X11" s="46"/>
      <c r="Y11" s="46"/>
      <c r="Z11" s="46"/>
      <c r="AA11" s="46"/>
      <c r="AB11" s="3"/>
    </row>
    <row r="12" spans="1:28" ht="3.9" customHeight="1" x14ac:dyDescent="0.25">
      <c r="A12" s="2"/>
      <c r="B12" s="2"/>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x14ac:dyDescent="0.25">
      <c r="A13" s="3"/>
      <c r="B13" s="3"/>
      <c r="C13" s="3"/>
      <c r="D13" s="3"/>
      <c r="E13" s="3" t="str">
        <f>KPI!$E$29</f>
        <v>месяц начала операционной деятельности</v>
      </c>
      <c r="F13" s="3"/>
      <c r="G13" s="3"/>
      <c r="H13" s="3"/>
      <c r="I13" s="3"/>
      <c r="J13" s="44">
        <f>EOMONTH(капитал!$J$15,0)+1</f>
        <v>44562</v>
      </c>
      <c r="K13" s="3"/>
      <c r="L13" s="3"/>
      <c r="M13" s="55"/>
      <c r="N13" s="3"/>
      <c r="O13" s="3"/>
      <c r="P13" s="46"/>
      <c r="Q13" s="46"/>
      <c r="R13" s="46"/>
      <c r="S13" s="46"/>
      <c r="T13" s="46"/>
      <c r="U13" s="46"/>
      <c r="V13" s="46"/>
      <c r="W13" s="46"/>
      <c r="X13" s="46"/>
      <c r="Y13" s="46"/>
      <c r="Z13" s="46"/>
      <c r="AA13" s="46"/>
      <c r="AB13" s="3"/>
    </row>
    <row r="14" spans="1:28" ht="3.9" customHeight="1" x14ac:dyDescent="0.25">
      <c r="A14" s="2"/>
      <c r="B14" s="2"/>
      <c r="C14" s="2"/>
      <c r="D14" s="2"/>
      <c r="E14" s="21"/>
      <c r="F14" s="2"/>
      <c r="G14" s="2"/>
      <c r="H14" s="2"/>
      <c r="I14" s="28"/>
      <c r="J14" s="21"/>
      <c r="K14" s="28"/>
      <c r="L14" s="3"/>
      <c r="M14" s="52"/>
      <c r="N14" s="2"/>
      <c r="O14" s="2"/>
      <c r="P14" s="36"/>
      <c r="Q14" s="36"/>
      <c r="R14" s="36"/>
      <c r="S14" s="36"/>
      <c r="T14" s="36"/>
      <c r="U14" s="36"/>
      <c r="V14" s="36"/>
      <c r="W14" s="36"/>
      <c r="X14" s="36"/>
      <c r="Y14" s="36"/>
      <c r="Z14" s="36"/>
      <c r="AA14" s="36"/>
      <c r="AB14" s="2"/>
    </row>
    <row r="15" spans="1:28" ht="3.9" customHeight="1" x14ac:dyDescent="0.25">
      <c r="A15" s="2"/>
      <c r="B15" s="2"/>
      <c r="C15" s="2"/>
      <c r="D15" s="2"/>
      <c r="E15" s="2"/>
      <c r="F15" s="2"/>
      <c r="G15" s="2"/>
      <c r="H15" s="2"/>
      <c r="I15" s="28"/>
      <c r="J15" s="2"/>
      <c r="K15" s="28"/>
      <c r="L15" s="3"/>
      <c r="M15" s="52"/>
      <c r="N15" s="2"/>
      <c r="O15" s="2"/>
      <c r="P15" s="36"/>
      <c r="Q15" s="36"/>
      <c r="R15" s="36"/>
      <c r="S15" s="36"/>
      <c r="T15" s="36"/>
      <c r="U15" s="36"/>
      <c r="V15" s="36"/>
      <c r="W15" s="36"/>
      <c r="X15" s="36"/>
      <c r="Y15" s="36"/>
      <c r="Z15" s="36"/>
      <c r="AA15" s="36"/>
      <c r="AB15" s="2"/>
    </row>
    <row r="16" spans="1:28" s="5" customFormat="1" x14ac:dyDescent="0.25">
      <c r="A16" s="3"/>
      <c r="B16" s="3"/>
      <c r="C16" s="3"/>
      <c r="D16" s="3"/>
      <c r="E16" s="3" t="str">
        <f>KPI!$E$30</f>
        <v>горизонт моделирования</v>
      </c>
      <c r="F16" s="3"/>
      <c r="G16" s="3" t="str">
        <f>IF($E16="","",INDEX(KPI!$G:$G,SUMIFS(KPI!$B:$B,KPI!$E:$E,$E16)))</f>
        <v>к-во лет</v>
      </c>
      <c r="H16" s="3"/>
      <c r="I16" s="6"/>
      <c r="J16" s="204">
        <f>операции!J16</f>
        <v>7</v>
      </c>
      <c r="K16" s="30"/>
      <c r="L16" s="3"/>
      <c r="M16" s="55"/>
      <c r="N16" s="3"/>
      <c r="O16" s="3"/>
      <c r="P16" s="46"/>
      <c r="Q16" s="46"/>
      <c r="R16" s="46"/>
      <c r="S16" s="46"/>
      <c r="T16" s="46"/>
      <c r="U16" s="46"/>
      <c r="V16" s="46"/>
      <c r="W16" s="46"/>
      <c r="X16" s="46"/>
      <c r="Y16" s="46"/>
      <c r="Z16" s="46"/>
      <c r="AA16" s="46"/>
      <c r="AB16" s="3"/>
    </row>
    <row r="17" spans="1:28" ht="3.9" customHeight="1" x14ac:dyDescent="0.25">
      <c r="A17" s="2"/>
      <c r="B17" s="2"/>
      <c r="C17" s="2"/>
      <c r="D17" s="2"/>
      <c r="E17" s="21"/>
      <c r="F17" s="2"/>
      <c r="G17" s="21"/>
      <c r="H17" s="2"/>
      <c r="I17" s="28"/>
      <c r="J17" s="21"/>
      <c r="K17" s="28"/>
      <c r="L17" s="2"/>
      <c r="M17" s="52"/>
      <c r="N17" s="2"/>
      <c r="O17" s="2"/>
      <c r="P17" s="36"/>
      <c r="Q17" s="36"/>
      <c r="R17" s="36"/>
      <c r="S17" s="36"/>
      <c r="T17" s="36"/>
      <c r="U17" s="36"/>
      <c r="V17" s="36"/>
      <c r="W17" s="36"/>
      <c r="X17" s="36"/>
      <c r="Y17" s="36"/>
      <c r="Z17" s="36"/>
      <c r="AA17" s="36"/>
      <c r="AB17" s="2"/>
    </row>
    <row r="18" spans="1:28" ht="8.1" customHeight="1" x14ac:dyDescent="0.25">
      <c r="A18" s="2"/>
      <c r="B18" s="2"/>
      <c r="C18" s="2"/>
      <c r="D18" s="2"/>
      <c r="E18" s="2"/>
      <c r="F18" s="2"/>
      <c r="G18" s="2"/>
      <c r="H18" s="2"/>
      <c r="I18" s="28"/>
      <c r="J18" s="2"/>
      <c r="K18" s="28"/>
      <c r="L18" s="2"/>
      <c r="M18" s="52"/>
      <c r="N18" s="2"/>
      <c r="O18" s="2"/>
      <c r="P18" s="36"/>
      <c r="Q18" s="36"/>
      <c r="R18" s="36"/>
      <c r="S18" s="36"/>
      <c r="T18" s="36"/>
      <c r="U18" s="36"/>
      <c r="V18" s="36"/>
      <c r="W18" s="36"/>
      <c r="X18" s="36"/>
      <c r="Y18" s="36"/>
      <c r="Z18" s="36"/>
      <c r="AA18" s="36"/>
      <c r="AB18" s="2"/>
    </row>
    <row r="19" spans="1:28" s="5" customFormat="1" x14ac:dyDescent="0.25">
      <c r="A19" s="3"/>
      <c r="B19" s="3"/>
      <c r="C19" s="3"/>
      <c r="D19" s="3"/>
      <c r="E19" s="3" t="str">
        <f>KPI!$E$31</f>
        <v>наполняемость арендаторами</v>
      </c>
      <c r="F19" s="3"/>
      <c r="G19" s="3" t="str">
        <f>IF($E19="","",INDEX(KPI!$G:$G,SUMIFS(KPI!$B:$B,KPI!$E:$E,$E19)))</f>
        <v>%</v>
      </c>
      <c r="H19" s="3"/>
      <c r="I19" s="28"/>
      <c r="J19" s="44"/>
      <c r="K19" s="28"/>
      <c r="L19" s="3"/>
      <c r="M19" s="55"/>
      <c r="N19" s="3"/>
      <c r="O19" s="3"/>
      <c r="P19" s="104" t="str">
        <f>сценарии!$J$4</f>
        <v>сценарий-1</v>
      </c>
      <c r="Q19" s="46"/>
      <c r="R19" s="46"/>
      <c r="S19" s="46"/>
      <c r="T19" s="46"/>
      <c r="U19" s="46"/>
      <c r="V19" s="46"/>
      <c r="W19" s="46"/>
      <c r="X19" s="46"/>
      <c r="Y19" s="46"/>
      <c r="Z19" s="46"/>
      <c r="AA19" s="46"/>
      <c r="AB19" s="3"/>
    </row>
    <row r="20" spans="1:28" s="23" customFormat="1" ht="10.199999999999999" x14ac:dyDescent="0.2">
      <c r="A20" s="22"/>
      <c r="B20" s="22"/>
      <c r="C20" s="22"/>
      <c r="D20" s="22"/>
      <c r="E20" s="22" t="str">
        <f>E19</f>
        <v>наполняемость арендаторами</v>
      </c>
      <c r="F20" s="22"/>
      <c r="G20" s="22" t="str">
        <f>IF($E20="","",INDEX(KPI!$G:$G,SUMIFS(KPI!$B:$B,KPI!$E:$E,$E20)))</f>
        <v>%</v>
      </c>
      <c r="H20" s="100">
        <f>структура!$V$12</f>
        <v>1</v>
      </c>
      <c r="I20" s="31"/>
      <c r="J20" s="98" t="str">
        <f>структура!$X$12</f>
        <v>янв</v>
      </c>
      <c r="K20" s="99"/>
      <c r="L20" s="22"/>
      <c r="M20" s="58"/>
      <c r="N20" s="22"/>
      <c r="O20" s="22"/>
      <c r="P20" s="102">
        <f>IF(P$1="",0,SUMIFS(сценарии!P:P,сценарии!$E:$E,$E20,сценарии!$J:$J,$J20,сценарии!$M:$M,$P$19))</f>
        <v>0.2</v>
      </c>
      <c r="Q20" s="102">
        <f>IF(Q$1="",0,SUMIFS(сценарии!Q:Q,сценарии!$E:$E,$E20,сценарии!$J:$J,$J20,сценарии!$M:$M,$P$19))</f>
        <v>0.2</v>
      </c>
      <c r="R20" s="102">
        <f>IF(R$1="",0,SUMIFS(сценарии!R:R,сценарии!$E:$E,$E20,сценарии!$J:$J,$J20,сценарии!$M:$M,$P$19))</f>
        <v>0.2</v>
      </c>
      <c r="S20" s="102">
        <f>IF(S$1="",0,SUMIFS(сценарии!S:S,сценарии!$E:$E,$E20,сценарии!$J:$J,$J20,сценарии!$M:$M,$P$19))</f>
        <v>0.2</v>
      </c>
      <c r="T20" s="102">
        <f>IF(T$1="",0,SUMIFS(сценарии!T:T,сценарии!$E:$E,$E20,сценарии!$J:$J,$J20,сценарии!$M:$M,$P$19))</f>
        <v>0.2</v>
      </c>
      <c r="U20" s="102">
        <f>IF(U$1="",0,SUMIFS(сценарии!U:U,сценарии!$E:$E,$E20,сценарии!$J:$J,$J20,сценарии!$M:$M,$P$19))</f>
        <v>0.2</v>
      </c>
      <c r="V20" s="102">
        <f>IF(V$1="",0,SUMIFS(сценарии!V:V,сценарии!$E:$E,$E20,сценарии!$J:$J,$J20,сценарии!$M:$M,$P$19))</f>
        <v>0.2</v>
      </c>
      <c r="W20" s="102">
        <f>IF(W$1="",0,SUMIFS(сценарии!W:W,сценарии!$E:$E,$E20,сценарии!$J:$J,$J20,сценарии!$M:$M,$P$19))</f>
        <v>0</v>
      </c>
      <c r="X20" s="102">
        <f>IF(X$1="",0,SUMIFS(сценарии!X:X,сценарии!$E:$E,$E20,сценарии!$J:$J,$J20,сценарии!$M:$M,$P$19))</f>
        <v>0</v>
      </c>
      <c r="Y20" s="102">
        <f>IF(Y$1="",0,SUMIFS(сценарии!Y:Y,сценарии!$E:$E,$E20,сценарии!$J:$J,$J20,сценарии!$M:$M,$P$19))</f>
        <v>0</v>
      </c>
      <c r="Z20" s="102">
        <f>IF(Z$1="",0,SUMIFS(сценарии!Z:Z,сценарии!$E:$E,$E20,сценарии!$J:$J,$J20,сценарии!$M:$M,$P$19))</f>
        <v>0</v>
      </c>
      <c r="AA20" s="102">
        <f>IF(AA$1="",0,SUMIFS(сценарии!AA:AA,сценарии!$E:$E,$E20,сценарии!$J:$J,$J20,сценарии!$M:$M,$P$19))</f>
        <v>0</v>
      </c>
      <c r="AB20" s="22"/>
    </row>
    <row r="21" spans="1:28" s="23" customFormat="1" ht="10.199999999999999" x14ac:dyDescent="0.2">
      <c r="A21" s="22"/>
      <c r="B21" s="22"/>
      <c r="C21" s="22"/>
      <c r="D21" s="22"/>
      <c r="E21" s="22" t="str">
        <f>E19</f>
        <v>наполняемость арендаторами</v>
      </c>
      <c r="F21" s="22"/>
      <c r="G21" s="22" t="str">
        <f>IF($E21="","",INDEX(KPI!$G:$G,SUMIFS(KPI!$B:$B,KPI!$E:$E,$E21)))</f>
        <v>%</v>
      </c>
      <c r="H21" s="100">
        <f>структура!$V$13</f>
        <v>2</v>
      </c>
      <c r="I21" s="31"/>
      <c r="J21" s="98" t="str">
        <f>структура!$X$13</f>
        <v>фев</v>
      </c>
      <c r="K21" s="99"/>
      <c r="L21" s="22"/>
      <c r="M21" s="58"/>
      <c r="N21" s="22"/>
      <c r="O21" s="22"/>
      <c r="P21" s="102">
        <f>IF(P$1="",0,SUMIFS(сценарии!P:P,сценарии!$E:$E,$E21,сценарии!$J:$J,$J21,сценарии!$M:$M,$P$19))</f>
        <v>0.2</v>
      </c>
      <c r="Q21" s="102">
        <f>IF(Q$1="",0,SUMIFS(сценарии!Q:Q,сценарии!$E:$E,$E21,сценарии!$J:$J,$J21,сценарии!$M:$M,$P$19))</f>
        <v>0.2</v>
      </c>
      <c r="R21" s="102">
        <f>IF(R$1="",0,SUMIFS(сценарии!R:R,сценарии!$E:$E,$E21,сценарии!$J:$J,$J21,сценарии!$M:$M,$P$19))</f>
        <v>0.2</v>
      </c>
      <c r="S21" s="102">
        <f>IF(S$1="",0,SUMIFS(сценарии!S:S,сценарии!$E:$E,$E21,сценарии!$J:$J,$J21,сценарии!$M:$M,$P$19))</f>
        <v>0.2</v>
      </c>
      <c r="T21" s="102">
        <f>IF(T$1="",0,SUMIFS(сценарии!T:T,сценарии!$E:$E,$E21,сценарии!$J:$J,$J21,сценарии!$M:$M,$P$19))</f>
        <v>0.2</v>
      </c>
      <c r="U21" s="102">
        <f>IF(U$1="",0,SUMIFS(сценарии!U:U,сценарии!$E:$E,$E21,сценарии!$J:$J,$J21,сценарии!$M:$M,$P$19))</f>
        <v>0.2</v>
      </c>
      <c r="V21" s="102">
        <f>IF(V$1="",0,SUMIFS(сценарии!V:V,сценарии!$E:$E,$E21,сценарии!$J:$J,$J21,сценарии!$M:$M,$P$19))</f>
        <v>0.2</v>
      </c>
      <c r="W21" s="102">
        <f>IF(W$1="",0,SUMIFS(сценарии!W:W,сценарии!$E:$E,$E21,сценарии!$J:$J,$J21,сценарии!$M:$M,$P$19))</f>
        <v>0</v>
      </c>
      <c r="X21" s="102">
        <f>IF(X$1="",0,SUMIFS(сценарии!X:X,сценарии!$E:$E,$E21,сценарии!$J:$J,$J21,сценарии!$M:$M,$P$19))</f>
        <v>0</v>
      </c>
      <c r="Y21" s="102">
        <f>IF(Y$1="",0,SUMIFS(сценарии!Y:Y,сценарии!$E:$E,$E21,сценарии!$J:$J,$J21,сценарии!$M:$M,$P$19))</f>
        <v>0</v>
      </c>
      <c r="Z21" s="102">
        <f>IF(Z$1="",0,SUMIFS(сценарии!Z:Z,сценарии!$E:$E,$E21,сценарии!$J:$J,$J21,сценарии!$M:$M,$P$19))</f>
        <v>0</v>
      </c>
      <c r="AA21" s="102">
        <f>IF(AA$1="",0,SUMIFS(сценарии!AA:AA,сценарии!$E:$E,$E21,сценарии!$J:$J,$J21,сценарии!$M:$M,$P$19))</f>
        <v>0</v>
      </c>
      <c r="AB21" s="22"/>
    </row>
    <row r="22" spans="1:28" s="23" customFormat="1" ht="10.199999999999999" x14ac:dyDescent="0.2">
      <c r="A22" s="22"/>
      <c r="B22" s="22"/>
      <c r="C22" s="22"/>
      <c r="D22" s="22"/>
      <c r="E22" s="22" t="str">
        <f>E19</f>
        <v>наполняемость арендаторами</v>
      </c>
      <c r="F22" s="22"/>
      <c r="G22" s="22" t="str">
        <f>IF($E22="","",INDEX(KPI!$G:$G,SUMIFS(KPI!$B:$B,KPI!$E:$E,$E22)))</f>
        <v>%</v>
      </c>
      <c r="H22" s="100">
        <f>структура!$V$14</f>
        <v>3</v>
      </c>
      <c r="I22" s="31"/>
      <c r="J22" s="98" t="str">
        <f>структура!$X$14</f>
        <v>мар</v>
      </c>
      <c r="K22" s="99"/>
      <c r="L22" s="22"/>
      <c r="M22" s="58"/>
      <c r="N22" s="22"/>
      <c r="O22" s="22"/>
      <c r="P22" s="102">
        <f>IF(P$1="",0,SUMIFS(сценарии!P:P,сценарии!$E:$E,$E22,сценарии!$J:$J,$J22,сценарии!$M:$M,$P$19))</f>
        <v>0.25</v>
      </c>
      <c r="Q22" s="102">
        <f>IF(Q$1="",0,SUMIFS(сценарии!Q:Q,сценарии!$E:$E,$E22,сценарии!$J:$J,$J22,сценарии!$M:$M,$P$19))</f>
        <v>0.25</v>
      </c>
      <c r="R22" s="102">
        <f>IF(R$1="",0,SUMIFS(сценарии!R:R,сценарии!$E:$E,$E22,сценарии!$J:$J,$J22,сценарии!$M:$M,$P$19))</f>
        <v>0.25</v>
      </c>
      <c r="S22" s="102">
        <f>IF(S$1="",0,SUMIFS(сценарии!S:S,сценарии!$E:$E,$E22,сценарии!$J:$J,$J22,сценарии!$M:$M,$P$19))</f>
        <v>0.25</v>
      </c>
      <c r="T22" s="102">
        <f>IF(T$1="",0,SUMIFS(сценарии!T:T,сценарии!$E:$E,$E22,сценарии!$J:$J,$J22,сценарии!$M:$M,$P$19))</f>
        <v>0.25</v>
      </c>
      <c r="U22" s="102">
        <f>IF(U$1="",0,SUMIFS(сценарии!U:U,сценарии!$E:$E,$E22,сценарии!$J:$J,$J22,сценарии!$M:$M,$P$19))</f>
        <v>0.25</v>
      </c>
      <c r="V22" s="102">
        <f>IF(V$1="",0,SUMIFS(сценарии!V:V,сценарии!$E:$E,$E22,сценарии!$J:$J,$J22,сценарии!$M:$M,$P$19))</f>
        <v>0.25</v>
      </c>
      <c r="W22" s="102">
        <f>IF(W$1="",0,SUMIFS(сценарии!W:W,сценарии!$E:$E,$E22,сценарии!$J:$J,$J22,сценарии!$M:$M,$P$19))</f>
        <v>0</v>
      </c>
      <c r="X22" s="102">
        <f>IF(X$1="",0,SUMIFS(сценарии!X:X,сценарии!$E:$E,$E22,сценарии!$J:$J,$J22,сценарии!$M:$M,$P$19))</f>
        <v>0</v>
      </c>
      <c r="Y22" s="102">
        <f>IF(Y$1="",0,SUMIFS(сценарии!Y:Y,сценарии!$E:$E,$E22,сценарии!$J:$J,$J22,сценарии!$M:$M,$P$19))</f>
        <v>0</v>
      </c>
      <c r="Z22" s="102">
        <f>IF(Z$1="",0,SUMIFS(сценарии!Z:Z,сценарии!$E:$E,$E22,сценарии!$J:$J,$J22,сценарии!$M:$M,$P$19))</f>
        <v>0</v>
      </c>
      <c r="AA22" s="102">
        <f>IF(AA$1="",0,SUMIFS(сценарии!AA:AA,сценарии!$E:$E,$E22,сценарии!$J:$J,$J22,сценарии!$M:$M,$P$19))</f>
        <v>0</v>
      </c>
      <c r="AB22" s="22"/>
    </row>
    <row r="23" spans="1:28" s="23" customFormat="1" ht="10.199999999999999" x14ac:dyDescent="0.2">
      <c r="A23" s="22"/>
      <c r="B23" s="22"/>
      <c r="C23" s="22"/>
      <c r="D23" s="22"/>
      <c r="E23" s="22" t="str">
        <f>E19</f>
        <v>наполняемость арендаторами</v>
      </c>
      <c r="F23" s="22"/>
      <c r="G23" s="22" t="str">
        <f>IF($E23="","",INDEX(KPI!$G:$G,SUMIFS(KPI!$B:$B,KPI!$E:$E,$E23)))</f>
        <v>%</v>
      </c>
      <c r="H23" s="100">
        <f>структура!$V$15</f>
        <v>4</v>
      </c>
      <c r="I23" s="31"/>
      <c r="J23" s="98" t="str">
        <f>структура!$X$15</f>
        <v>апр</v>
      </c>
      <c r="K23" s="99"/>
      <c r="L23" s="22"/>
      <c r="M23" s="58"/>
      <c r="N23" s="22"/>
      <c r="O23" s="22"/>
      <c r="P23" s="102">
        <f>IF(P$1="",0,SUMIFS(сценарии!P:P,сценарии!$E:$E,$E23,сценарии!$J:$J,$J23,сценарии!$M:$M,$P$19))</f>
        <v>0.3</v>
      </c>
      <c r="Q23" s="102">
        <f>IF(Q$1="",0,SUMIFS(сценарии!Q:Q,сценарии!$E:$E,$E23,сценарии!$J:$J,$J23,сценарии!$M:$M,$P$19))</f>
        <v>0.3</v>
      </c>
      <c r="R23" s="102">
        <f>IF(R$1="",0,SUMIFS(сценарии!R:R,сценарии!$E:$E,$E23,сценарии!$J:$J,$J23,сценарии!$M:$M,$P$19))</f>
        <v>0.3</v>
      </c>
      <c r="S23" s="102">
        <f>IF(S$1="",0,SUMIFS(сценарии!S:S,сценарии!$E:$E,$E23,сценарии!$J:$J,$J23,сценарии!$M:$M,$P$19))</f>
        <v>0.3</v>
      </c>
      <c r="T23" s="102">
        <f>IF(T$1="",0,SUMIFS(сценарии!T:T,сценарии!$E:$E,$E23,сценарии!$J:$J,$J23,сценарии!$M:$M,$P$19))</f>
        <v>0.3</v>
      </c>
      <c r="U23" s="102">
        <f>IF(U$1="",0,SUMIFS(сценарии!U:U,сценарии!$E:$E,$E23,сценарии!$J:$J,$J23,сценарии!$M:$M,$P$19))</f>
        <v>0.3</v>
      </c>
      <c r="V23" s="102">
        <f>IF(V$1="",0,SUMIFS(сценарии!V:V,сценарии!$E:$E,$E23,сценарии!$J:$J,$J23,сценарии!$M:$M,$P$19))</f>
        <v>0.3</v>
      </c>
      <c r="W23" s="102">
        <f>IF(W$1="",0,SUMIFS(сценарии!W:W,сценарии!$E:$E,$E23,сценарии!$J:$J,$J23,сценарии!$M:$M,$P$19))</f>
        <v>0</v>
      </c>
      <c r="X23" s="102">
        <f>IF(X$1="",0,SUMIFS(сценарии!X:X,сценарии!$E:$E,$E23,сценарии!$J:$J,$J23,сценарии!$M:$M,$P$19))</f>
        <v>0</v>
      </c>
      <c r="Y23" s="102">
        <f>IF(Y$1="",0,SUMIFS(сценарии!Y:Y,сценарии!$E:$E,$E23,сценарии!$J:$J,$J23,сценарии!$M:$M,$P$19))</f>
        <v>0</v>
      </c>
      <c r="Z23" s="102">
        <f>IF(Z$1="",0,SUMIFS(сценарии!Z:Z,сценарии!$E:$E,$E23,сценарии!$J:$J,$J23,сценарии!$M:$M,$P$19))</f>
        <v>0</v>
      </c>
      <c r="AA23" s="102">
        <f>IF(AA$1="",0,SUMIFS(сценарии!AA:AA,сценарии!$E:$E,$E23,сценарии!$J:$J,$J23,сценарии!$M:$M,$P$19))</f>
        <v>0</v>
      </c>
      <c r="AB23" s="22"/>
    </row>
    <row r="24" spans="1:28" s="23" customFormat="1" ht="10.199999999999999" x14ac:dyDescent="0.2">
      <c r="A24" s="22"/>
      <c r="B24" s="22"/>
      <c r="C24" s="22"/>
      <c r="D24" s="22"/>
      <c r="E24" s="22" t="str">
        <f>E19</f>
        <v>наполняемость арендаторами</v>
      </c>
      <c r="F24" s="22"/>
      <c r="G24" s="22" t="str">
        <f>IF($E24="","",INDEX(KPI!$G:$G,SUMIFS(KPI!$B:$B,KPI!$E:$E,$E24)))</f>
        <v>%</v>
      </c>
      <c r="H24" s="100">
        <f>структура!$V$16</f>
        <v>5</v>
      </c>
      <c r="I24" s="31"/>
      <c r="J24" s="98" t="str">
        <f>структура!$X$16</f>
        <v>май</v>
      </c>
      <c r="K24" s="99"/>
      <c r="L24" s="22"/>
      <c r="M24" s="58"/>
      <c r="N24" s="22"/>
      <c r="O24" s="22"/>
      <c r="P24" s="102">
        <f>IF(P$1="",0,SUMIFS(сценарии!P:P,сценарии!$E:$E,$E24,сценарии!$J:$J,$J24,сценарии!$M:$M,$P$19))</f>
        <v>0.3</v>
      </c>
      <c r="Q24" s="102">
        <f>IF(Q$1="",0,SUMIFS(сценарии!Q:Q,сценарии!$E:$E,$E24,сценарии!$J:$J,$J24,сценарии!$M:$M,$P$19))</f>
        <v>0.3</v>
      </c>
      <c r="R24" s="102">
        <f>IF(R$1="",0,SUMIFS(сценарии!R:R,сценарии!$E:$E,$E24,сценарии!$J:$J,$J24,сценарии!$M:$M,$P$19))</f>
        <v>0.3</v>
      </c>
      <c r="S24" s="102">
        <f>IF(S$1="",0,SUMIFS(сценарии!S:S,сценарии!$E:$E,$E24,сценарии!$J:$J,$J24,сценарии!$M:$M,$P$19))</f>
        <v>0.3</v>
      </c>
      <c r="T24" s="102">
        <f>IF(T$1="",0,SUMIFS(сценарии!T:T,сценарии!$E:$E,$E24,сценарии!$J:$J,$J24,сценарии!$M:$M,$P$19))</f>
        <v>0.3</v>
      </c>
      <c r="U24" s="102">
        <f>IF(U$1="",0,SUMIFS(сценарии!U:U,сценарии!$E:$E,$E24,сценарии!$J:$J,$J24,сценарии!$M:$M,$P$19))</f>
        <v>0.3</v>
      </c>
      <c r="V24" s="102">
        <f>IF(V$1="",0,SUMIFS(сценарии!V:V,сценарии!$E:$E,$E24,сценарии!$J:$J,$J24,сценарии!$M:$M,$P$19))</f>
        <v>0.3</v>
      </c>
      <c r="W24" s="102">
        <f>IF(W$1="",0,SUMIFS(сценарии!W:W,сценарии!$E:$E,$E24,сценарии!$J:$J,$J24,сценарии!$M:$M,$P$19))</f>
        <v>0</v>
      </c>
      <c r="X24" s="102">
        <f>IF(X$1="",0,SUMIFS(сценарии!X:X,сценарии!$E:$E,$E24,сценарии!$J:$J,$J24,сценарии!$M:$M,$P$19))</f>
        <v>0</v>
      </c>
      <c r="Y24" s="102">
        <f>IF(Y$1="",0,SUMIFS(сценарии!Y:Y,сценарии!$E:$E,$E24,сценарии!$J:$J,$J24,сценарии!$M:$M,$P$19))</f>
        <v>0</v>
      </c>
      <c r="Z24" s="102">
        <f>IF(Z$1="",0,SUMIFS(сценарии!Z:Z,сценарии!$E:$E,$E24,сценарии!$J:$J,$J24,сценарии!$M:$M,$P$19))</f>
        <v>0</v>
      </c>
      <c r="AA24" s="102">
        <f>IF(AA$1="",0,SUMIFS(сценарии!AA:AA,сценарии!$E:$E,$E24,сценарии!$J:$J,$J24,сценарии!$M:$M,$P$19))</f>
        <v>0</v>
      </c>
      <c r="AB24" s="22"/>
    </row>
    <row r="25" spans="1:28" s="23" customFormat="1" ht="10.199999999999999" x14ac:dyDescent="0.2">
      <c r="A25" s="22"/>
      <c r="B25" s="22"/>
      <c r="C25" s="22"/>
      <c r="D25" s="22"/>
      <c r="E25" s="22" t="str">
        <f>E19</f>
        <v>наполняемость арендаторами</v>
      </c>
      <c r="F25" s="22"/>
      <c r="G25" s="22" t="str">
        <f>IF($E25="","",INDEX(KPI!$G:$G,SUMIFS(KPI!$B:$B,KPI!$E:$E,$E25)))</f>
        <v>%</v>
      </c>
      <c r="H25" s="100">
        <f>структура!$V$17</f>
        <v>6</v>
      </c>
      <c r="I25" s="31"/>
      <c r="J25" s="98" t="str">
        <f>структура!$X$17</f>
        <v>июн</v>
      </c>
      <c r="K25" s="99"/>
      <c r="L25" s="22"/>
      <c r="M25" s="58"/>
      <c r="N25" s="22"/>
      <c r="O25" s="22"/>
      <c r="P25" s="102">
        <f>IF(P$1="",0,SUMIFS(сценарии!P:P,сценарии!$E:$E,$E25,сценарии!$J:$J,$J25,сценарии!$M:$M,$P$19))</f>
        <v>0.4</v>
      </c>
      <c r="Q25" s="102">
        <f>IF(Q$1="",0,SUMIFS(сценарии!Q:Q,сценарии!$E:$E,$E25,сценарии!$J:$J,$J25,сценарии!$M:$M,$P$19))</f>
        <v>0.4</v>
      </c>
      <c r="R25" s="102">
        <f>IF(R$1="",0,SUMIFS(сценарии!R:R,сценарии!$E:$E,$E25,сценарии!$J:$J,$J25,сценарии!$M:$M,$P$19))</f>
        <v>0.4</v>
      </c>
      <c r="S25" s="102">
        <f>IF(S$1="",0,SUMIFS(сценарии!S:S,сценарии!$E:$E,$E25,сценарии!$J:$J,$J25,сценарии!$M:$M,$P$19))</f>
        <v>0.4</v>
      </c>
      <c r="T25" s="102">
        <f>IF(T$1="",0,SUMIFS(сценарии!T:T,сценарии!$E:$E,$E25,сценарии!$J:$J,$J25,сценарии!$M:$M,$P$19))</f>
        <v>0.4</v>
      </c>
      <c r="U25" s="102">
        <f>IF(U$1="",0,SUMIFS(сценарии!U:U,сценарии!$E:$E,$E25,сценарии!$J:$J,$J25,сценарии!$M:$M,$P$19))</f>
        <v>0.4</v>
      </c>
      <c r="V25" s="102">
        <f>IF(V$1="",0,SUMIFS(сценарии!V:V,сценарии!$E:$E,$E25,сценарии!$J:$J,$J25,сценарии!$M:$M,$P$19))</f>
        <v>0.4</v>
      </c>
      <c r="W25" s="102">
        <f>IF(W$1="",0,SUMIFS(сценарии!W:W,сценарии!$E:$E,$E25,сценарии!$J:$J,$J25,сценарии!$M:$M,$P$19))</f>
        <v>0</v>
      </c>
      <c r="X25" s="102">
        <f>IF(X$1="",0,SUMIFS(сценарии!X:X,сценарии!$E:$E,$E25,сценарии!$J:$J,$J25,сценарии!$M:$M,$P$19))</f>
        <v>0</v>
      </c>
      <c r="Y25" s="102">
        <f>IF(Y$1="",0,SUMIFS(сценарии!Y:Y,сценарии!$E:$E,$E25,сценарии!$J:$J,$J25,сценарии!$M:$M,$P$19))</f>
        <v>0</v>
      </c>
      <c r="Z25" s="102">
        <f>IF(Z$1="",0,SUMIFS(сценарии!Z:Z,сценарии!$E:$E,$E25,сценарии!$J:$J,$J25,сценарии!$M:$M,$P$19))</f>
        <v>0</v>
      </c>
      <c r="AA25" s="102">
        <f>IF(AA$1="",0,SUMIFS(сценарии!AA:AA,сценарии!$E:$E,$E25,сценарии!$J:$J,$J25,сценарии!$M:$M,$P$19))</f>
        <v>0</v>
      </c>
      <c r="AB25" s="22"/>
    </row>
    <row r="26" spans="1:28" s="23" customFormat="1" ht="10.199999999999999" x14ac:dyDescent="0.2">
      <c r="A26" s="22"/>
      <c r="B26" s="22"/>
      <c r="C26" s="22"/>
      <c r="D26" s="22"/>
      <c r="E26" s="22" t="str">
        <f>E19</f>
        <v>наполняемость арендаторами</v>
      </c>
      <c r="F26" s="22"/>
      <c r="G26" s="22" t="str">
        <f>IF($E26="","",INDEX(KPI!$G:$G,SUMIFS(KPI!$B:$B,KPI!$E:$E,$E26)))</f>
        <v>%</v>
      </c>
      <c r="H26" s="100">
        <f>структура!$V$18</f>
        <v>7</v>
      </c>
      <c r="I26" s="31"/>
      <c r="J26" s="98" t="str">
        <f>структура!$X$18</f>
        <v>июл</v>
      </c>
      <c r="K26" s="99"/>
      <c r="L26" s="22"/>
      <c r="M26" s="58"/>
      <c r="N26" s="22"/>
      <c r="O26" s="22"/>
      <c r="P26" s="102">
        <f>IF(P$1="",0,SUMIFS(сценарии!P:P,сценарии!$E:$E,$E26,сценарии!$J:$J,$J26,сценарии!$M:$M,$P$19))</f>
        <v>0.4</v>
      </c>
      <c r="Q26" s="102">
        <f>IF(Q$1="",0,SUMIFS(сценарии!Q:Q,сценарии!$E:$E,$E26,сценарии!$J:$J,$J26,сценарии!$M:$M,$P$19))</f>
        <v>0.4</v>
      </c>
      <c r="R26" s="102">
        <f>IF(R$1="",0,SUMIFS(сценарии!R:R,сценарии!$E:$E,$E26,сценарии!$J:$J,$J26,сценарии!$M:$M,$P$19))</f>
        <v>0.4</v>
      </c>
      <c r="S26" s="102">
        <f>IF(S$1="",0,SUMIFS(сценарии!S:S,сценарии!$E:$E,$E26,сценарии!$J:$J,$J26,сценарии!$M:$M,$P$19))</f>
        <v>0.4</v>
      </c>
      <c r="T26" s="102">
        <f>IF(T$1="",0,SUMIFS(сценарии!T:T,сценарии!$E:$E,$E26,сценарии!$J:$J,$J26,сценарии!$M:$M,$P$19))</f>
        <v>0.4</v>
      </c>
      <c r="U26" s="102">
        <f>IF(U$1="",0,SUMIFS(сценарии!U:U,сценарии!$E:$E,$E26,сценарии!$J:$J,$J26,сценарии!$M:$M,$P$19))</f>
        <v>0.4</v>
      </c>
      <c r="V26" s="102">
        <f>IF(V$1="",0,SUMIFS(сценарии!V:V,сценарии!$E:$E,$E26,сценарии!$J:$J,$J26,сценарии!$M:$M,$P$19))</f>
        <v>0.4</v>
      </c>
      <c r="W26" s="102">
        <f>IF(W$1="",0,SUMIFS(сценарии!W:W,сценарии!$E:$E,$E26,сценарии!$J:$J,$J26,сценарии!$M:$M,$P$19))</f>
        <v>0</v>
      </c>
      <c r="X26" s="102">
        <f>IF(X$1="",0,SUMIFS(сценарии!X:X,сценарии!$E:$E,$E26,сценарии!$J:$J,$J26,сценарии!$M:$M,$P$19))</f>
        <v>0</v>
      </c>
      <c r="Y26" s="102">
        <f>IF(Y$1="",0,SUMIFS(сценарии!Y:Y,сценарии!$E:$E,$E26,сценарии!$J:$J,$J26,сценарии!$M:$M,$P$19))</f>
        <v>0</v>
      </c>
      <c r="Z26" s="102">
        <f>IF(Z$1="",0,SUMIFS(сценарии!Z:Z,сценарии!$E:$E,$E26,сценарии!$J:$J,$J26,сценарии!$M:$M,$P$19))</f>
        <v>0</v>
      </c>
      <c r="AA26" s="102">
        <f>IF(AA$1="",0,SUMIFS(сценарии!AA:AA,сценарии!$E:$E,$E26,сценарии!$J:$J,$J26,сценарии!$M:$M,$P$19))</f>
        <v>0</v>
      </c>
      <c r="AB26" s="22"/>
    </row>
    <row r="27" spans="1:28" s="23" customFormat="1" ht="10.199999999999999" x14ac:dyDescent="0.2">
      <c r="A27" s="22"/>
      <c r="B27" s="22"/>
      <c r="C27" s="22"/>
      <c r="D27" s="22"/>
      <c r="E27" s="22" t="str">
        <f>E19</f>
        <v>наполняемость арендаторами</v>
      </c>
      <c r="F27" s="22"/>
      <c r="G27" s="22" t="str">
        <f>IF($E27="","",INDEX(KPI!$G:$G,SUMIFS(KPI!$B:$B,KPI!$E:$E,$E27)))</f>
        <v>%</v>
      </c>
      <c r="H27" s="100">
        <f>структура!$V$19</f>
        <v>8</v>
      </c>
      <c r="I27" s="31"/>
      <c r="J27" s="98" t="str">
        <f>структура!$X$19</f>
        <v>авг</v>
      </c>
      <c r="K27" s="99"/>
      <c r="L27" s="22"/>
      <c r="M27" s="58"/>
      <c r="N27" s="22"/>
      <c r="O27" s="22"/>
      <c r="P27" s="102">
        <f>IF(P$1="",0,SUMIFS(сценарии!P:P,сценарии!$E:$E,$E27,сценарии!$J:$J,$J27,сценарии!$M:$M,$P$19))</f>
        <v>0.4</v>
      </c>
      <c r="Q27" s="102">
        <f>IF(Q$1="",0,SUMIFS(сценарии!Q:Q,сценарии!$E:$E,$E27,сценарии!$J:$J,$J27,сценарии!$M:$M,$P$19))</f>
        <v>0.4</v>
      </c>
      <c r="R27" s="102">
        <f>IF(R$1="",0,SUMIFS(сценарии!R:R,сценарии!$E:$E,$E27,сценарии!$J:$J,$J27,сценарии!$M:$M,$P$19))</f>
        <v>0.4</v>
      </c>
      <c r="S27" s="102">
        <f>IF(S$1="",0,SUMIFS(сценарии!S:S,сценарии!$E:$E,$E27,сценарии!$J:$J,$J27,сценарии!$M:$M,$P$19))</f>
        <v>0.4</v>
      </c>
      <c r="T27" s="102">
        <f>IF(T$1="",0,SUMIFS(сценарии!T:T,сценарии!$E:$E,$E27,сценарии!$J:$J,$J27,сценарии!$M:$M,$P$19))</f>
        <v>0.4</v>
      </c>
      <c r="U27" s="102">
        <f>IF(U$1="",0,SUMIFS(сценарии!U:U,сценарии!$E:$E,$E27,сценарии!$J:$J,$J27,сценарии!$M:$M,$P$19))</f>
        <v>0.4</v>
      </c>
      <c r="V27" s="102">
        <f>IF(V$1="",0,SUMIFS(сценарии!V:V,сценарии!$E:$E,$E27,сценарии!$J:$J,$J27,сценарии!$M:$M,$P$19))</f>
        <v>0.4</v>
      </c>
      <c r="W27" s="102">
        <f>IF(W$1="",0,SUMIFS(сценарии!W:W,сценарии!$E:$E,$E27,сценарии!$J:$J,$J27,сценарии!$M:$M,$P$19))</f>
        <v>0</v>
      </c>
      <c r="X27" s="102">
        <f>IF(X$1="",0,SUMIFS(сценарии!X:X,сценарии!$E:$E,$E27,сценарии!$J:$J,$J27,сценарии!$M:$M,$P$19))</f>
        <v>0</v>
      </c>
      <c r="Y27" s="102">
        <f>IF(Y$1="",0,SUMIFS(сценарии!Y:Y,сценарии!$E:$E,$E27,сценарии!$J:$J,$J27,сценарии!$M:$M,$P$19))</f>
        <v>0</v>
      </c>
      <c r="Z27" s="102">
        <f>IF(Z$1="",0,SUMIFS(сценарии!Z:Z,сценарии!$E:$E,$E27,сценарии!$J:$J,$J27,сценарии!$M:$M,$P$19))</f>
        <v>0</v>
      </c>
      <c r="AA27" s="102">
        <f>IF(AA$1="",0,SUMIFS(сценарии!AA:AA,сценарии!$E:$E,$E27,сценарии!$J:$J,$J27,сценарии!$M:$M,$P$19))</f>
        <v>0</v>
      </c>
      <c r="AB27" s="22"/>
    </row>
    <row r="28" spans="1:28" s="23" customFormat="1" ht="10.199999999999999" x14ac:dyDescent="0.2">
      <c r="A28" s="22"/>
      <c r="B28" s="22"/>
      <c r="C28" s="22"/>
      <c r="D28" s="22"/>
      <c r="E28" s="22" t="str">
        <f>E19</f>
        <v>наполняемость арендаторами</v>
      </c>
      <c r="F28" s="22"/>
      <c r="G28" s="22" t="str">
        <f>IF($E28="","",INDEX(KPI!$G:$G,SUMIFS(KPI!$B:$B,KPI!$E:$E,$E28)))</f>
        <v>%</v>
      </c>
      <c r="H28" s="100">
        <f>структура!$V$20</f>
        <v>9</v>
      </c>
      <c r="I28" s="31"/>
      <c r="J28" s="98" t="str">
        <f>структура!$X$20</f>
        <v>сен</v>
      </c>
      <c r="K28" s="99"/>
      <c r="L28" s="22"/>
      <c r="M28" s="58"/>
      <c r="N28" s="22"/>
      <c r="O28" s="22"/>
      <c r="P28" s="102">
        <f>IF(P$1="",0,SUMIFS(сценарии!P:P,сценарии!$E:$E,$E28,сценарии!$J:$J,$J28,сценарии!$M:$M,$P$19))</f>
        <v>0.35</v>
      </c>
      <c r="Q28" s="102">
        <f>IF(Q$1="",0,SUMIFS(сценарии!Q:Q,сценарии!$E:$E,$E28,сценарии!$J:$J,$J28,сценарии!$M:$M,$P$19))</f>
        <v>0.35</v>
      </c>
      <c r="R28" s="102">
        <f>IF(R$1="",0,SUMIFS(сценарии!R:R,сценарии!$E:$E,$E28,сценарии!$J:$J,$J28,сценарии!$M:$M,$P$19))</f>
        <v>0.35</v>
      </c>
      <c r="S28" s="102">
        <f>IF(S$1="",0,SUMIFS(сценарии!S:S,сценарии!$E:$E,$E28,сценарии!$J:$J,$J28,сценарии!$M:$M,$P$19))</f>
        <v>0.35</v>
      </c>
      <c r="T28" s="102">
        <f>IF(T$1="",0,SUMIFS(сценарии!T:T,сценарии!$E:$E,$E28,сценарии!$J:$J,$J28,сценарии!$M:$M,$P$19))</f>
        <v>0.35</v>
      </c>
      <c r="U28" s="102">
        <f>IF(U$1="",0,SUMIFS(сценарии!U:U,сценарии!$E:$E,$E28,сценарии!$J:$J,$J28,сценарии!$M:$M,$P$19))</f>
        <v>0.35</v>
      </c>
      <c r="V28" s="102">
        <f>IF(V$1="",0,SUMIFS(сценарии!V:V,сценарии!$E:$E,$E28,сценарии!$J:$J,$J28,сценарии!$M:$M,$P$19))</f>
        <v>0.35</v>
      </c>
      <c r="W28" s="102">
        <f>IF(W$1="",0,SUMIFS(сценарии!W:W,сценарии!$E:$E,$E28,сценарии!$J:$J,$J28,сценарии!$M:$M,$P$19))</f>
        <v>0</v>
      </c>
      <c r="X28" s="102">
        <f>IF(X$1="",0,SUMIFS(сценарии!X:X,сценарии!$E:$E,$E28,сценарии!$J:$J,$J28,сценарии!$M:$M,$P$19))</f>
        <v>0</v>
      </c>
      <c r="Y28" s="102">
        <f>IF(Y$1="",0,SUMIFS(сценарии!Y:Y,сценарии!$E:$E,$E28,сценарии!$J:$J,$J28,сценарии!$M:$M,$P$19))</f>
        <v>0</v>
      </c>
      <c r="Z28" s="102">
        <f>IF(Z$1="",0,SUMIFS(сценарии!Z:Z,сценарии!$E:$E,$E28,сценарии!$J:$J,$J28,сценарии!$M:$M,$P$19))</f>
        <v>0</v>
      </c>
      <c r="AA28" s="102">
        <f>IF(AA$1="",0,SUMIFS(сценарии!AA:AA,сценарии!$E:$E,$E28,сценарии!$J:$J,$J28,сценарии!$M:$M,$P$19))</f>
        <v>0</v>
      </c>
      <c r="AB28" s="22"/>
    </row>
    <row r="29" spans="1:28" s="23" customFormat="1" ht="10.199999999999999" x14ac:dyDescent="0.2">
      <c r="A29" s="22"/>
      <c r="B29" s="22"/>
      <c r="C29" s="22"/>
      <c r="D29" s="22"/>
      <c r="E29" s="22" t="str">
        <f>E19</f>
        <v>наполняемость арендаторами</v>
      </c>
      <c r="F29" s="22"/>
      <c r="G29" s="22" t="str">
        <f>IF($E29="","",INDEX(KPI!$G:$G,SUMIFS(KPI!$B:$B,KPI!$E:$E,$E29)))</f>
        <v>%</v>
      </c>
      <c r="H29" s="100">
        <f>структура!$V$21</f>
        <v>10</v>
      </c>
      <c r="I29" s="31"/>
      <c r="J29" s="98" t="str">
        <f>структура!$X$21</f>
        <v>окт</v>
      </c>
      <c r="K29" s="99"/>
      <c r="L29" s="22"/>
      <c r="M29" s="58"/>
      <c r="N29" s="22"/>
      <c r="O29" s="22"/>
      <c r="P29" s="102">
        <f>IF(P$1="",0,SUMIFS(сценарии!P:P,сценарии!$E:$E,$E29,сценарии!$J:$J,$J29,сценарии!$M:$M,$P$19))</f>
        <v>0.28000000000000003</v>
      </c>
      <c r="Q29" s="102">
        <f>IF(Q$1="",0,SUMIFS(сценарии!Q:Q,сценарии!$E:$E,$E29,сценарии!$J:$J,$J29,сценарии!$M:$M,$P$19))</f>
        <v>0.28000000000000003</v>
      </c>
      <c r="R29" s="102">
        <f>IF(R$1="",0,SUMIFS(сценарии!R:R,сценарии!$E:$E,$E29,сценарии!$J:$J,$J29,сценарии!$M:$M,$P$19))</f>
        <v>0.28000000000000003</v>
      </c>
      <c r="S29" s="102">
        <f>IF(S$1="",0,SUMIFS(сценарии!S:S,сценарии!$E:$E,$E29,сценарии!$J:$J,$J29,сценарии!$M:$M,$P$19))</f>
        <v>0.28000000000000003</v>
      </c>
      <c r="T29" s="102">
        <f>IF(T$1="",0,SUMIFS(сценарии!T:T,сценарии!$E:$E,$E29,сценарии!$J:$J,$J29,сценарии!$M:$M,$P$19))</f>
        <v>0.28000000000000003</v>
      </c>
      <c r="U29" s="102">
        <f>IF(U$1="",0,SUMIFS(сценарии!U:U,сценарии!$E:$E,$E29,сценарии!$J:$J,$J29,сценарии!$M:$M,$P$19))</f>
        <v>0.28000000000000003</v>
      </c>
      <c r="V29" s="102">
        <f>IF(V$1="",0,SUMIFS(сценарии!V:V,сценарии!$E:$E,$E29,сценарии!$J:$J,$J29,сценарии!$M:$M,$P$19))</f>
        <v>0.28000000000000003</v>
      </c>
      <c r="W29" s="102">
        <f>IF(W$1="",0,SUMIFS(сценарии!W:W,сценарии!$E:$E,$E29,сценарии!$J:$J,$J29,сценарии!$M:$M,$P$19))</f>
        <v>0</v>
      </c>
      <c r="X29" s="102">
        <f>IF(X$1="",0,SUMIFS(сценарии!X:X,сценарии!$E:$E,$E29,сценарии!$J:$J,$J29,сценарии!$M:$M,$P$19))</f>
        <v>0</v>
      </c>
      <c r="Y29" s="102">
        <f>IF(Y$1="",0,SUMIFS(сценарии!Y:Y,сценарии!$E:$E,$E29,сценарии!$J:$J,$J29,сценарии!$M:$M,$P$19))</f>
        <v>0</v>
      </c>
      <c r="Z29" s="102">
        <f>IF(Z$1="",0,SUMIFS(сценарии!Z:Z,сценарии!$E:$E,$E29,сценарии!$J:$J,$J29,сценарии!$M:$M,$P$19))</f>
        <v>0</v>
      </c>
      <c r="AA29" s="102">
        <f>IF(AA$1="",0,SUMIFS(сценарии!AA:AA,сценарии!$E:$E,$E29,сценарии!$J:$J,$J29,сценарии!$M:$M,$P$19))</f>
        <v>0</v>
      </c>
      <c r="AB29" s="22"/>
    </row>
    <row r="30" spans="1:28" s="23" customFormat="1" ht="10.199999999999999" x14ac:dyDescent="0.2">
      <c r="A30" s="22"/>
      <c r="B30" s="22"/>
      <c r="C30" s="22"/>
      <c r="D30" s="22"/>
      <c r="E30" s="22" t="str">
        <f>E19</f>
        <v>наполняемость арендаторами</v>
      </c>
      <c r="F30" s="22"/>
      <c r="G30" s="22" t="str">
        <f>IF($E30="","",INDEX(KPI!$G:$G,SUMIFS(KPI!$B:$B,KPI!$E:$E,$E30)))</f>
        <v>%</v>
      </c>
      <c r="H30" s="100">
        <f>структура!$V$22</f>
        <v>11</v>
      </c>
      <c r="I30" s="31"/>
      <c r="J30" s="98" t="str">
        <f>структура!$X$22</f>
        <v>ноя</v>
      </c>
      <c r="K30" s="99"/>
      <c r="L30" s="22"/>
      <c r="M30" s="58"/>
      <c r="N30" s="22"/>
      <c r="O30" s="22"/>
      <c r="P30" s="102">
        <f>IF(P$1="",0,SUMIFS(сценарии!P:P,сценарии!$E:$E,$E30,сценарии!$J:$J,$J30,сценарии!$M:$M,$P$19))</f>
        <v>0.25</v>
      </c>
      <c r="Q30" s="102">
        <f>IF(Q$1="",0,SUMIFS(сценарии!Q:Q,сценарии!$E:$E,$E30,сценарии!$J:$J,$J30,сценарии!$M:$M,$P$19))</f>
        <v>0.25</v>
      </c>
      <c r="R30" s="102">
        <f>IF(R$1="",0,SUMIFS(сценарии!R:R,сценарии!$E:$E,$E30,сценарии!$J:$J,$J30,сценарии!$M:$M,$P$19))</f>
        <v>0.25</v>
      </c>
      <c r="S30" s="102">
        <f>IF(S$1="",0,SUMIFS(сценарии!S:S,сценарии!$E:$E,$E30,сценарии!$J:$J,$J30,сценарии!$M:$M,$P$19))</f>
        <v>0.25</v>
      </c>
      <c r="T30" s="102">
        <f>IF(T$1="",0,SUMIFS(сценарии!T:T,сценарии!$E:$E,$E30,сценарии!$J:$J,$J30,сценарии!$M:$M,$P$19))</f>
        <v>0.25</v>
      </c>
      <c r="U30" s="102">
        <f>IF(U$1="",0,SUMIFS(сценарии!U:U,сценарии!$E:$E,$E30,сценарии!$J:$J,$J30,сценарии!$M:$M,$P$19))</f>
        <v>0.25</v>
      </c>
      <c r="V30" s="102">
        <f>IF(V$1="",0,SUMIFS(сценарии!V:V,сценарии!$E:$E,$E30,сценарии!$J:$J,$J30,сценарии!$M:$M,$P$19))</f>
        <v>0.25</v>
      </c>
      <c r="W30" s="102">
        <f>IF(W$1="",0,SUMIFS(сценарии!W:W,сценарии!$E:$E,$E30,сценарии!$J:$J,$J30,сценарии!$M:$M,$P$19))</f>
        <v>0</v>
      </c>
      <c r="X30" s="102">
        <f>IF(X$1="",0,SUMIFS(сценарии!X:X,сценарии!$E:$E,$E30,сценарии!$J:$J,$J30,сценарии!$M:$M,$P$19))</f>
        <v>0</v>
      </c>
      <c r="Y30" s="102">
        <f>IF(Y$1="",0,SUMIFS(сценарии!Y:Y,сценарии!$E:$E,$E30,сценарии!$J:$J,$J30,сценарии!$M:$M,$P$19))</f>
        <v>0</v>
      </c>
      <c r="Z30" s="102">
        <f>IF(Z$1="",0,SUMIFS(сценарии!Z:Z,сценарии!$E:$E,$E30,сценарии!$J:$J,$J30,сценарии!$M:$M,$P$19))</f>
        <v>0</v>
      </c>
      <c r="AA30" s="102">
        <f>IF(AA$1="",0,SUMIFS(сценарии!AA:AA,сценарии!$E:$E,$E30,сценарии!$J:$J,$J30,сценарии!$M:$M,$P$19))</f>
        <v>0</v>
      </c>
      <c r="AB30" s="22"/>
    </row>
    <row r="31" spans="1:28" s="23" customFormat="1" ht="10.199999999999999" x14ac:dyDescent="0.2">
      <c r="A31" s="22"/>
      <c r="B31" s="22"/>
      <c r="C31" s="22"/>
      <c r="D31" s="22"/>
      <c r="E31" s="22" t="str">
        <f>E19</f>
        <v>наполняемость арендаторами</v>
      </c>
      <c r="F31" s="22"/>
      <c r="G31" s="22" t="str">
        <f>IF($E31="","",INDEX(KPI!$G:$G,SUMIFS(KPI!$B:$B,KPI!$E:$E,$E31)))</f>
        <v>%</v>
      </c>
      <c r="H31" s="100">
        <f>структура!$V$23</f>
        <v>12</v>
      </c>
      <c r="I31" s="31"/>
      <c r="J31" s="98" t="str">
        <f>структура!$X$23</f>
        <v>дек</v>
      </c>
      <c r="K31" s="99"/>
      <c r="L31" s="22"/>
      <c r="M31" s="58"/>
      <c r="N31" s="22"/>
      <c r="O31" s="22"/>
      <c r="P31" s="102">
        <f>IF(P$1="",0,SUMIFS(сценарии!P:P,сценарии!$E:$E,$E31,сценарии!$J:$J,$J31,сценарии!$M:$M,$P$19))</f>
        <v>0.2</v>
      </c>
      <c r="Q31" s="102">
        <f>IF(Q$1="",0,SUMIFS(сценарии!Q:Q,сценарии!$E:$E,$E31,сценарии!$J:$J,$J31,сценарии!$M:$M,$P$19))</f>
        <v>0.2</v>
      </c>
      <c r="R31" s="102">
        <f>IF(R$1="",0,SUMIFS(сценарии!R:R,сценарии!$E:$E,$E31,сценарии!$J:$J,$J31,сценарии!$M:$M,$P$19))</f>
        <v>0.2</v>
      </c>
      <c r="S31" s="102">
        <f>IF(S$1="",0,SUMIFS(сценарии!S:S,сценарии!$E:$E,$E31,сценарии!$J:$J,$J31,сценарии!$M:$M,$P$19))</f>
        <v>0.2</v>
      </c>
      <c r="T31" s="102">
        <f>IF(T$1="",0,SUMIFS(сценарии!T:T,сценарии!$E:$E,$E31,сценарии!$J:$J,$J31,сценарии!$M:$M,$P$19))</f>
        <v>0.2</v>
      </c>
      <c r="U31" s="102">
        <f>IF(U$1="",0,SUMIFS(сценарии!U:U,сценарии!$E:$E,$E31,сценарии!$J:$J,$J31,сценарии!$M:$M,$P$19))</f>
        <v>0.2</v>
      </c>
      <c r="V31" s="102">
        <f>IF(V$1="",0,SUMIFS(сценарии!V:V,сценарии!$E:$E,$E31,сценарии!$J:$J,$J31,сценарии!$M:$M,$P$19))</f>
        <v>0.2</v>
      </c>
      <c r="W31" s="102">
        <f>IF(W$1="",0,SUMIFS(сценарии!W:W,сценарии!$E:$E,$E31,сценарии!$J:$J,$J31,сценарии!$M:$M,$P$19))</f>
        <v>0</v>
      </c>
      <c r="X31" s="102">
        <f>IF(X$1="",0,SUMIFS(сценарии!X:X,сценарии!$E:$E,$E31,сценарии!$J:$J,$J31,сценарии!$M:$M,$P$19))</f>
        <v>0</v>
      </c>
      <c r="Y31" s="102">
        <f>IF(Y$1="",0,SUMIFS(сценарии!Y:Y,сценарии!$E:$E,$E31,сценарии!$J:$J,$J31,сценарии!$M:$M,$P$19))</f>
        <v>0</v>
      </c>
      <c r="Z31" s="102">
        <f>IF(Z$1="",0,SUMIFS(сценарии!Z:Z,сценарии!$E:$E,$E31,сценарии!$J:$J,$J31,сценарии!$M:$M,$P$19))</f>
        <v>0</v>
      </c>
      <c r="AA31" s="102">
        <f>IF(AA$1="",0,SUMIFS(сценарии!AA:AA,сценарии!$E:$E,$E31,сценарии!$J:$J,$J31,сценарии!$M:$M,$P$19))</f>
        <v>0</v>
      </c>
      <c r="AB31" s="22"/>
    </row>
    <row r="32" spans="1:28" ht="3.9" customHeight="1" x14ac:dyDescent="0.25">
      <c r="A32" s="2"/>
      <c r="B32" s="2"/>
      <c r="C32" s="2"/>
      <c r="D32" s="2"/>
      <c r="E32" s="21"/>
      <c r="F32" s="2"/>
      <c r="G32" s="21"/>
      <c r="H32" s="2"/>
      <c r="I32" s="28"/>
      <c r="J32" s="21"/>
      <c r="K32" s="28"/>
      <c r="L32" s="2"/>
      <c r="M32" s="52"/>
      <c r="N32" s="2"/>
      <c r="O32" s="2"/>
      <c r="P32" s="36"/>
      <c r="Q32" s="36"/>
      <c r="R32" s="36"/>
      <c r="S32" s="36"/>
      <c r="T32" s="36"/>
      <c r="U32" s="36"/>
      <c r="V32" s="36"/>
      <c r="W32" s="36"/>
      <c r="X32" s="36"/>
      <c r="Y32" s="36"/>
      <c r="Z32" s="36"/>
      <c r="AA32" s="36"/>
      <c r="AB32" s="2"/>
    </row>
    <row r="33" spans="1:28" ht="8.1" customHeight="1" x14ac:dyDescent="0.25">
      <c r="A33" s="2"/>
      <c r="B33" s="2"/>
      <c r="C33" s="2"/>
      <c r="D33" s="2"/>
      <c r="E33" s="2"/>
      <c r="F33" s="2"/>
      <c r="G33" s="2"/>
      <c r="H33" s="2"/>
      <c r="I33" s="28"/>
      <c r="J33" s="2"/>
      <c r="K33" s="28"/>
      <c r="L33" s="2"/>
      <c r="M33" s="52"/>
      <c r="N33" s="2"/>
      <c r="O33" s="2"/>
      <c r="P33" s="36"/>
      <c r="Q33" s="36"/>
      <c r="R33" s="36"/>
      <c r="S33" s="36"/>
      <c r="T33" s="36"/>
      <c r="U33" s="36"/>
      <c r="V33" s="36"/>
      <c r="W33" s="36"/>
      <c r="X33" s="36"/>
      <c r="Y33" s="36"/>
      <c r="Z33" s="36"/>
      <c r="AA33" s="36"/>
      <c r="AB33" s="2"/>
    </row>
    <row r="34" spans="1:28" s="5" customFormat="1" x14ac:dyDescent="0.25">
      <c r="A34" s="3"/>
      <c r="B34" s="3"/>
      <c r="C34" s="3"/>
      <c r="D34" s="3"/>
      <c r="E34" s="3" t="str">
        <f>KPI!$E$32</f>
        <v>стоимость аренды в сутки</v>
      </c>
      <c r="F34" s="3"/>
      <c r="G34" s="3" t="str">
        <f>IF($E34="","",INDEX(KPI!$G:$G,SUMIFS(KPI!$B:$B,KPI!$E:$E,$E34)))</f>
        <v>руб.</v>
      </c>
      <c r="H34" s="3"/>
      <c r="I34" s="28"/>
      <c r="J34" s="3"/>
      <c r="K34" s="28"/>
      <c r="L34" s="3"/>
      <c r="M34" s="55"/>
      <c r="N34" s="3"/>
      <c r="O34" s="3"/>
      <c r="P34" s="46"/>
      <c r="Q34" s="46"/>
      <c r="R34" s="46"/>
      <c r="S34" s="46"/>
      <c r="T34" s="46"/>
      <c r="U34" s="46"/>
      <c r="V34" s="46"/>
      <c r="W34" s="46"/>
      <c r="X34" s="46"/>
      <c r="Y34" s="46"/>
      <c r="Z34" s="46"/>
      <c r="AA34" s="46"/>
      <c r="AB34" s="3"/>
    </row>
    <row r="35" spans="1:28" ht="3.9" customHeight="1" x14ac:dyDescent="0.25">
      <c r="A35" s="2"/>
      <c r="B35" s="2"/>
      <c r="C35" s="2"/>
      <c r="D35" s="2"/>
      <c r="E35" s="2"/>
      <c r="F35" s="2"/>
      <c r="G35" s="2"/>
      <c r="H35" s="2"/>
      <c r="I35" s="28"/>
      <c r="J35" s="2"/>
      <c r="K35" s="28"/>
      <c r="L35" s="2"/>
      <c r="M35" s="52"/>
      <c r="N35" s="2"/>
      <c r="O35" s="2"/>
      <c r="P35" s="36"/>
      <c r="Q35" s="36"/>
      <c r="R35" s="36"/>
      <c r="S35" s="36"/>
      <c r="T35" s="36"/>
      <c r="U35" s="36"/>
      <c r="V35" s="36"/>
      <c r="W35" s="36"/>
      <c r="X35" s="36"/>
      <c r="Y35" s="36"/>
      <c r="Z35" s="36"/>
      <c r="AA35" s="36"/>
      <c r="AB35" s="2"/>
    </row>
    <row r="36" spans="1:28" x14ac:dyDescent="0.25">
      <c r="A36" s="2"/>
      <c r="B36" s="2"/>
      <c r="C36" s="2"/>
      <c r="D36" s="2"/>
      <c r="E36" s="48" t="str">
        <f>структура!$AF$12</f>
        <v>беседка большая</v>
      </c>
      <c r="F36" s="2"/>
      <c r="G36" s="2" t="str">
        <f>G34</f>
        <v>руб.</v>
      </c>
      <c r="H36" s="2"/>
      <c r="I36" s="6"/>
      <c r="J36" s="204">
        <f>операции!J36</f>
        <v>6000</v>
      </c>
      <c r="K36" s="28"/>
      <c r="L36" s="2"/>
      <c r="M36" s="52"/>
      <c r="N36" s="2"/>
      <c r="O36" s="2"/>
      <c r="P36" s="36"/>
      <c r="Q36" s="36"/>
      <c r="R36" s="36"/>
      <c r="S36" s="36"/>
      <c r="T36" s="36"/>
      <c r="U36" s="36"/>
      <c r="V36" s="36"/>
      <c r="W36" s="36"/>
      <c r="X36" s="36"/>
      <c r="Y36" s="36"/>
      <c r="Z36" s="36"/>
      <c r="AA36" s="36"/>
      <c r="AB36" s="2"/>
    </row>
    <row r="37" spans="1:28" x14ac:dyDescent="0.25">
      <c r="A37" s="2"/>
      <c r="B37" s="2"/>
      <c r="C37" s="2"/>
      <c r="D37" s="2"/>
      <c r="E37" s="49" t="str">
        <f>структура!$AF$13</f>
        <v>беседка малая</v>
      </c>
      <c r="F37" s="2"/>
      <c r="G37" s="2" t="str">
        <f>G34</f>
        <v>руб.</v>
      </c>
      <c r="H37" s="2"/>
      <c r="I37" s="6"/>
      <c r="J37" s="204">
        <f>операции!J37</f>
        <v>4600</v>
      </c>
      <c r="K37" s="28"/>
      <c r="L37" s="2"/>
      <c r="M37" s="52"/>
      <c r="N37" s="2"/>
      <c r="O37" s="2"/>
      <c r="P37" s="36"/>
      <c r="Q37" s="36"/>
      <c r="R37" s="36"/>
      <c r="S37" s="36"/>
      <c r="T37" s="36"/>
      <c r="U37" s="36"/>
      <c r="V37" s="36"/>
      <c r="W37" s="36"/>
      <c r="X37" s="36"/>
      <c r="Y37" s="36"/>
      <c r="Z37" s="36"/>
      <c r="AA37" s="36"/>
      <c r="AB37" s="2"/>
    </row>
    <row r="38" spans="1:28" x14ac:dyDescent="0.25">
      <c r="A38" s="2"/>
      <c r="B38" s="2"/>
      <c r="C38" s="2"/>
      <c r="D38" s="2"/>
      <c r="E38" s="49" t="str">
        <f>структура!$AF$14</f>
        <v>прочие для сдачи в аренду</v>
      </c>
      <c r="F38" s="2"/>
      <c r="G38" s="2" t="str">
        <f>G34</f>
        <v>руб.</v>
      </c>
      <c r="H38" s="2"/>
      <c r="I38" s="6"/>
      <c r="J38" s="204">
        <f>операции!J38</f>
        <v>0</v>
      </c>
      <c r="K38" s="28"/>
      <c r="L38" s="2"/>
      <c r="M38" s="52"/>
      <c r="N38" s="2"/>
      <c r="O38" s="2"/>
      <c r="P38" s="36"/>
      <c r="Q38" s="36"/>
      <c r="R38" s="36"/>
      <c r="S38" s="36"/>
      <c r="T38" s="36"/>
      <c r="U38" s="36"/>
      <c r="V38" s="36"/>
      <c r="W38" s="36"/>
      <c r="X38" s="36"/>
      <c r="Y38" s="36"/>
      <c r="Z38" s="36"/>
      <c r="AA38" s="36"/>
      <c r="AB38" s="2"/>
    </row>
    <row r="39" spans="1:28" ht="3.9" customHeight="1" x14ac:dyDescent="0.25">
      <c r="A39" s="2"/>
      <c r="B39" s="2"/>
      <c r="C39" s="2"/>
      <c r="D39" s="2"/>
      <c r="E39" s="50"/>
      <c r="F39" s="2"/>
      <c r="G39" s="2"/>
      <c r="H39" s="2"/>
      <c r="I39" s="28"/>
      <c r="J39" s="2"/>
      <c r="K39" s="28"/>
      <c r="L39" s="2"/>
      <c r="M39" s="52"/>
      <c r="N39" s="2"/>
      <c r="O39" s="2"/>
      <c r="P39" s="36"/>
      <c r="Q39" s="36"/>
      <c r="R39" s="36"/>
      <c r="S39" s="36"/>
      <c r="T39" s="36"/>
      <c r="U39" s="36"/>
      <c r="V39" s="36"/>
      <c r="W39" s="36"/>
      <c r="X39" s="36"/>
      <c r="Y39" s="36"/>
      <c r="Z39" s="36"/>
      <c r="AA39" s="36"/>
      <c r="AB39" s="2"/>
    </row>
    <row r="40" spans="1:28" ht="3.9" customHeight="1" x14ac:dyDescent="0.25">
      <c r="A40" s="2"/>
      <c r="B40" s="2"/>
      <c r="C40" s="2"/>
      <c r="D40" s="2"/>
      <c r="E40" s="2"/>
      <c r="F40" s="2"/>
      <c r="G40" s="2"/>
      <c r="H40" s="2"/>
      <c r="I40" s="28"/>
      <c r="J40" s="2"/>
      <c r="K40" s="28"/>
      <c r="L40" s="2"/>
      <c r="M40" s="52"/>
      <c r="N40" s="2"/>
      <c r="O40" s="2"/>
      <c r="P40" s="36"/>
      <c r="Q40" s="36"/>
      <c r="R40" s="36"/>
      <c r="S40" s="36"/>
      <c r="T40" s="36"/>
      <c r="U40" s="36"/>
      <c r="V40" s="36"/>
      <c r="W40" s="36"/>
      <c r="X40" s="36"/>
      <c r="Y40" s="36"/>
      <c r="Z40" s="36"/>
      <c r="AA40" s="36"/>
      <c r="AB40" s="2"/>
    </row>
    <row r="41" spans="1:28" s="5" customFormat="1" x14ac:dyDescent="0.25">
      <c r="A41" s="3"/>
      <c r="B41" s="3"/>
      <c r="C41" s="3"/>
      <c r="D41" s="3"/>
      <c r="E41" s="89" t="str">
        <f>KPI!$E$33</f>
        <v>средний арендный чек</v>
      </c>
      <c r="F41" s="89"/>
      <c r="G41" s="89" t="str">
        <f>IF($E41="","",INDEX(KPI!$G:$G,SUMIFS(KPI!$B:$B,KPI!$E:$E,$E41)))</f>
        <v>руб.</v>
      </c>
      <c r="H41" s="89"/>
      <c r="I41" s="90"/>
      <c r="J41" s="91" t="str">
        <f>структура!$AL$18</f>
        <v>одинаковая наполняемость</v>
      </c>
      <c r="K41" s="90"/>
      <c r="L41" s="89"/>
      <c r="M41" s="92">
        <f>IF(SUM(капитал!$J$67:$J$70)=0,0,SUMPRODUCT(капитал!$J$67:$J$70,$J$36:$J$39)/SUM(капитал!$J$67:$J$70))</f>
        <v>5246.1538461538457</v>
      </c>
      <c r="N41" s="3"/>
      <c r="O41" s="3"/>
      <c r="P41" s="93">
        <f>IF(P1="",0,IF(SUM(капитал!$J$67:$J$70)=0,0,SUMPRODUCT(капитал!$J$67:$J$70,$J$36:$J$39)/SUM(капитал!$J$67:$J$70)))</f>
        <v>5246.1538461538457</v>
      </c>
      <c r="Q41" s="93">
        <f>IF(Q1="",0,IF(SUM(капитал!$J$67:$J$70)=0,0,SUMPRODUCT(капитал!$J$67:$J$70,$J$36:$J$39)/SUM(капитал!$J$67:$J$70)))</f>
        <v>5246.1538461538457</v>
      </c>
      <c r="R41" s="93">
        <f>IF(R1="",0,IF(SUM(капитал!$J$67:$J$70)=0,0,SUMPRODUCT(капитал!$J$67:$J$70,$J$36:$J$39)/SUM(капитал!$J$67:$J$70)))</f>
        <v>5246.1538461538457</v>
      </c>
      <c r="S41" s="93">
        <f>IF(S1="",0,IF(SUM(капитал!$J$67:$J$70)=0,0,SUMPRODUCT(капитал!$J$67:$J$70,$J$36:$J$39)/SUM(капитал!$J$67:$J$70)))</f>
        <v>5246.1538461538457</v>
      </c>
      <c r="T41" s="93">
        <f>IF(T1="",0,IF(SUM(капитал!$J$67:$J$70)=0,0,SUMPRODUCT(капитал!$J$67:$J$70,$J$36:$J$39)/SUM(капитал!$J$67:$J$70)))</f>
        <v>5246.1538461538457</v>
      </c>
      <c r="U41" s="93">
        <f>IF(U1="",0,IF(SUM(капитал!$J$67:$J$70)=0,0,SUMPRODUCT(капитал!$J$67:$J$70,$J$36:$J$39)/SUM(капитал!$J$67:$J$70)))</f>
        <v>5246.1538461538457</v>
      </c>
      <c r="V41" s="93">
        <f>IF(V1="",0,IF(SUM(капитал!$J$67:$J$70)=0,0,SUMPRODUCT(капитал!$J$67:$J$70,$J$36:$J$39)/SUM(капитал!$J$67:$J$70)))</f>
        <v>5246.1538461538457</v>
      </c>
      <c r="W41" s="93">
        <f>IF(W1="",0,IF(SUM(капитал!$J$67:$J$70)=0,0,SUMPRODUCT(капитал!$J$67:$J$70,$J$36:$J$39)/SUM(капитал!$J$67:$J$70)))</f>
        <v>0</v>
      </c>
      <c r="X41" s="93">
        <f>IF(X1="",0,IF(SUM(капитал!$J$67:$J$70)=0,0,SUMPRODUCT(капитал!$J$67:$J$70,$J$36:$J$39)/SUM(капитал!$J$67:$J$70)))</f>
        <v>0</v>
      </c>
      <c r="Y41" s="93">
        <f>IF(Y1="",0,IF(SUM(капитал!$J$67:$J$70)=0,0,SUMPRODUCT(капитал!$J$67:$J$70,$J$36:$J$39)/SUM(капитал!$J$67:$J$70)))</f>
        <v>0</v>
      </c>
      <c r="Z41" s="93">
        <f>IF(Z1="",0,IF(SUM(капитал!$J$67:$J$70)=0,0,SUMPRODUCT(капитал!$J$67:$J$70,$J$36:$J$39)/SUM(капитал!$J$67:$J$70)))</f>
        <v>0</v>
      </c>
      <c r="AA41" s="93">
        <f>IF(AA1="",0,IF(SUM(капитал!$J$67:$J$70)=0,0,SUMPRODUCT(капитал!$J$67:$J$70,$J$36:$J$39)/SUM(капитал!$J$67:$J$70)))</f>
        <v>0</v>
      </c>
      <c r="AB41" s="3"/>
    </row>
    <row r="42" spans="1:28" ht="8.1" customHeight="1" x14ac:dyDescent="0.25">
      <c r="A42" s="2"/>
      <c r="B42" s="2"/>
      <c r="C42" s="2"/>
      <c r="D42" s="2"/>
      <c r="E42" s="2"/>
      <c r="F42" s="2"/>
      <c r="G42" s="2"/>
      <c r="H42" s="2"/>
      <c r="I42" s="28"/>
      <c r="J42" s="2"/>
      <c r="K42" s="28"/>
      <c r="L42" s="2"/>
      <c r="M42" s="52"/>
      <c r="N42" s="2"/>
      <c r="O42" s="2"/>
      <c r="P42" s="36"/>
      <c r="Q42" s="36"/>
      <c r="R42" s="36"/>
      <c r="S42" s="36"/>
      <c r="T42" s="36"/>
      <c r="U42" s="36"/>
      <c r="V42" s="36"/>
      <c r="W42" s="36"/>
      <c r="X42" s="36"/>
      <c r="Y42" s="36"/>
      <c r="Z42" s="36"/>
      <c r="AA42" s="36"/>
      <c r="AB42" s="2"/>
    </row>
    <row r="43" spans="1:28" s="5" customFormat="1" x14ac:dyDescent="0.25">
      <c r="A43" s="3"/>
      <c r="B43" s="3"/>
      <c r="C43" s="3"/>
      <c r="D43" s="3"/>
      <c r="E43" s="3" t="str">
        <f>KPI!$E$34</f>
        <v>количество арендных сделок</v>
      </c>
      <c r="F43" s="3"/>
      <c r="G43" s="3" t="str">
        <f>IF($E43="","",INDEX(KPI!$G:$G,SUMIFS(KPI!$B:$B,KPI!$E:$E,$E43)))</f>
        <v>шт</v>
      </c>
      <c r="H43" s="3"/>
      <c r="I43" s="28"/>
      <c r="J43" s="44"/>
      <c r="K43" s="28"/>
      <c r="L43" s="3"/>
      <c r="M43" s="55"/>
      <c r="N43" s="3"/>
      <c r="O43" s="3"/>
      <c r="P43" s="46">
        <f>IF(P$1="",0,IF(P$1=0,SUMIFS(P44:P55,H44:H55,"&gt;="&amp;MONTH($J$13)),SUM(P44:P55)))</f>
        <v>1392</v>
      </c>
      <c r="Q43" s="46">
        <f t="shared" ref="Q43:AA43" si="4">IF(Q$1="",0,SUM(Q44:Q55))</f>
        <v>1392</v>
      </c>
      <c r="R43" s="46">
        <f t="shared" si="4"/>
        <v>1395</v>
      </c>
      <c r="S43" s="46">
        <f t="shared" si="4"/>
        <v>1392</v>
      </c>
      <c r="T43" s="46">
        <f t="shared" si="4"/>
        <v>1392</v>
      </c>
      <c r="U43" s="46">
        <f t="shared" si="4"/>
        <v>1392</v>
      </c>
      <c r="V43" s="46">
        <f t="shared" si="4"/>
        <v>1395</v>
      </c>
      <c r="W43" s="46">
        <f t="shared" si="4"/>
        <v>0</v>
      </c>
      <c r="X43" s="46">
        <f t="shared" si="4"/>
        <v>0</v>
      </c>
      <c r="Y43" s="46">
        <f t="shared" si="4"/>
        <v>0</v>
      </c>
      <c r="Z43" s="46">
        <f t="shared" si="4"/>
        <v>0</v>
      </c>
      <c r="AA43" s="46">
        <f t="shared" si="4"/>
        <v>0</v>
      </c>
      <c r="AB43" s="3"/>
    </row>
    <row r="44" spans="1:28" s="23" customFormat="1" ht="10.199999999999999" x14ac:dyDescent="0.2">
      <c r="A44" s="22"/>
      <c r="B44" s="22"/>
      <c r="C44" s="22"/>
      <c r="D44" s="22"/>
      <c r="E44" s="22" t="str">
        <f t="shared" ref="E44:E55" si="5">$E$43</f>
        <v>количество арендных сделок</v>
      </c>
      <c r="F44" s="22"/>
      <c r="G44" s="22" t="str">
        <f>IF($E44="","",INDEX(KPI!$G:$G,SUMIFS(KPI!$B:$B,KPI!$E:$E,$E44)))</f>
        <v>шт</v>
      </c>
      <c r="H44" s="100">
        <f>структура!$V$12</f>
        <v>1</v>
      </c>
      <c r="I44" s="31"/>
      <c r="J44" s="98" t="str">
        <f>структура!$X$12</f>
        <v>янв</v>
      </c>
      <c r="K44" s="99"/>
      <c r="L44" s="22"/>
      <c r="M44" s="58"/>
      <c r="N44" s="22"/>
      <c r="O44" s="22"/>
      <c r="P44" s="101">
        <f>IF(P$1="",0,INT(SUM(капитал!$J$67:$J$70)*DAY(EOMONTH(P$8,$H44-MONTH(P$8)))*P20))</f>
        <v>80</v>
      </c>
      <c r="Q44" s="101">
        <f>IF(Q$1="",0,INT(SUM(капитал!$J$67:$J$70)*DAY(EOMONTH(Q$8,$H44-MONTH(Q$8)))*Q20))</f>
        <v>80</v>
      </c>
      <c r="R44" s="101">
        <f>IF(R$1="",0,INT(SUM(капитал!$J$67:$J$70)*DAY(EOMONTH(R$8,$H44-MONTH(R$8)))*R20))</f>
        <v>80</v>
      </c>
      <c r="S44" s="101">
        <f>IF(S$1="",0,INT(SUM(капитал!$J$67:$J$70)*DAY(EOMONTH(S$8,$H44-MONTH(S$8)))*S20))</f>
        <v>80</v>
      </c>
      <c r="T44" s="101">
        <f>IF(T$1="",0,INT(SUM(капитал!$J$67:$J$70)*DAY(EOMONTH(T$8,$H44-MONTH(T$8)))*T20))</f>
        <v>80</v>
      </c>
      <c r="U44" s="101">
        <f>IF(U$1="",0,INT(SUM(капитал!$J$67:$J$70)*DAY(EOMONTH(U$8,$H44-MONTH(U$8)))*U20))</f>
        <v>80</v>
      </c>
      <c r="V44" s="101">
        <f>IF(V$1="",0,INT(SUM(капитал!$J$67:$J$70)*DAY(EOMONTH(V$8,$H44-MONTH(V$8)))*V20))</f>
        <v>80</v>
      </c>
      <c r="W44" s="101">
        <f>IF(W$1="",0,INT(SUM(капитал!$J$67:$J$70)*DAY(EOMONTH(W$8,$H44-MONTH(W$8)))*W20))</f>
        <v>0</v>
      </c>
      <c r="X44" s="101">
        <f>IF(X$1="",0,INT(SUM(капитал!$J$67:$J$70)*DAY(EOMONTH(X$8,$H44-MONTH(X$8)))*X20))</f>
        <v>0</v>
      </c>
      <c r="Y44" s="101">
        <f>IF(Y$1="",0,INT(SUM(капитал!$J$67:$J$70)*DAY(EOMONTH(Y$8,$H44-MONTH(Y$8)))*Y20))</f>
        <v>0</v>
      </c>
      <c r="Z44" s="101">
        <f>IF(Z$1="",0,INT(SUM(капитал!$J$67:$J$70)*DAY(EOMONTH(Z$8,$H44-MONTH(Z$8)))*Z20))</f>
        <v>0</v>
      </c>
      <c r="AA44" s="101">
        <f>IF(AA$1="",0,INT(SUM(капитал!$J$67:$J$70)*DAY(EOMONTH(AA$8,$H44-MONTH(AA$8)))*AA20))</f>
        <v>0</v>
      </c>
      <c r="AB44" s="22"/>
    </row>
    <row r="45" spans="1:28" s="23" customFormat="1" ht="10.199999999999999" x14ac:dyDescent="0.2">
      <c r="A45" s="22"/>
      <c r="B45" s="22"/>
      <c r="C45" s="22"/>
      <c r="D45" s="22"/>
      <c r="E45" s="22" t="str">
        <f t="shared" si="5"/>
        <v>количество арендных сделок</v>
      </c>
      <c r="F45" s="22"/>
      <c r="G45" s="22" t="str">
        <f>IF($E45="","",INDEX(KPI!$G:$G,SUMIFS(KPI!$B:$B,KPI!$E:$E,$E45)))</f>
        <v>шт</v>
      </c>
      <c r="H45" s="100">
        <f>структура!$V$13</f>
        <v>2</v>
      </c>
      <c r="I45" s="31"/>
      <c r="J45" s="98" t="str">
        <f>структура!$X$13</f>
        <v>фев</v>
      </c>
      <c r="K45" s="99"/>
      <c r="L45" s="22"/>
      <c r="M45" s="58"/>
      <c r="N45" s="22"/>
      <c r="O45" s="22"/>
      <c r="P45" s="101">
        <f>IF(P$1="",0,INT(SUM(капитал!$J$67:$J$70)*DAY(EOMONTH(P$8,$H45-MONTH(P$8)))*P21))</f>
        <v>72</v>
      </c>
      <c r="Q45" s="101">
        <f>IF(Q$1="",0,INT(SUM(капитал!$J$67:$J$70)*DAY(EOMONTH(Q$8,$H45-MONTH(Q$8)))*Q21))</f>
        <v>72</v>
      </c>
      <c r="R45" s="101">
        <f>IF(R$1="",0,INT(SUM(капитал!$J$67:$J$70)*DAY(EOMONTH(R$8,$H45-MONTH(R$8)))*R21))</f>
        <v>75</v>
      </c>
      <c r="S45" s="101">
        <f>IF(S$1="",0,INT(SUM(капитал!$J$67:$J$70)*DAY(EOMONTH(S$8,$H45-MONTH(S$8)))*S21))</f>
        <v>72</v>
      </c>
      <c r="T45" s="101">
        <f>IF(T$1="",0,INT(SUM(капитал!$J$67:$J$70)*DAY(EOMONTH(T$8,$H45-MONTH(T$8)))*T21))</f>
        <v>72</v>
      </c>
      <c r="U45" s="101">
        <f>IF(U$1="",0,INT(SUM(капитал!$J$67:$J$70)*DAY(EOMONTH(U$8,$H45-MONTH(U$8)))*U21))</f>
        <v>72</v>
      </c>
      <c r="V45" s="101">
        <f>IF(V$1="",0,INT(SUM(капитал!$J$67:$J$70)*DAY(EOMONTH(V$8,$H45-MONTH(V$8)))*V21))</f>
        <v>75</v>
      </c>
      <c r="W45" s="101">
        <f>IF(W$1="",0,INT(SUM(капитал!$J$67:$J$70)*DAY(EOMONTH(W$8,$H45-MONTH(W$8)))*W21))</f>
        <v>0</v>
      </c>
      <c r="X45" s="101">
        <f>IF(X$1="",0,INT(SUM(капитал!$J$67:$J$70)*DAY(EOMONTH(X$8,$H45-MONTH(X$8)))*X21))</f>
        <v>0</v>
      </c>
      <c r="Y45" s="101">
        <f>IF(Y$1="",0,INT(SUM(капитал!$J$67:$J$70)*DAY(EOMONTH(Y$8,$H45-MONTH(Y$8)))*Y21))</f>
        <v>0</v>
      </c>
      <c r="Z45" s="101">
        <f>IF(Z$1="",0,INT(SUM(капитал!$J$67:$J$70)*DAY(EOMONTH(Z$8,$H45-MONTH(Z$8)))*Z21))</f>
        <v>0</v>
      </c>
      <c r="AA45" s="101">
        <f>IF(AA$1="",0,INT(SUM(капитал!$J$67:$J$70)*DAY(EOMONTH(AA$8,$H45-MONTH(AA$8)))*AA21))</f>
        <v>0</v>
      </c>
      <c r="AB45" s="22"/>
    </row>
    <row r="46" spans="1:28" s="23" customFormat="1" ht="10.199999999999999" x14ac:dyDescent="0.2">
      <c r="A46" s="22"/>
      <c r="B46" s="22"/>
      <c r="C46" s="22"/>
      <c r="D46" s="22"/>
      <c r="E46" s="22" t="str">
        <f t="shared" si="5"/>
        <v>количество арендных сделок</v>
      </c>
      <c r="F46" s="22"/>
      <c r="G46" s="22" t="str">
        <f>IF($E46="","",INDEX(KPI!$G:$G,SUMIFS(KPI!$B:$B,KPI!$E:$E,$E46)))</f>
        <v>шт</v>
      </c>
      <c r="H46" s="100">
        <f>структура!$V$14</f>
        <v>3</v>
      </c>
      <c r="I46" s="31"/>
      <c r="J46" s="98" t="str">
        <f>структура!$X$14</f>
        <v>мар</v>
      </c>
      <c r="K46" s="99"/>
      <c r="L46" s="22"/>
      <c r="M46" s="58"/>
      <c r="N46" s="22"/>
      <c r="O46" s="22"/>
      <c r="P46" s="101">
        <f>IF(P$1="",0,INT(SUM(капитал!$J$67:$J$70)*DAY(EOMONTH(P$8,$H46-MONTH(P$8)))*P22))</f>
        <v>100</v>
      </c>
      <c r="Q46" s="101">
        <f>IF(Q$1="",0,INT(SUM(капитал!$J$67:$J$70)*DAY(EOMONTH(Q$8,$H46-MONTH(Q$8)))*Q22))</f>
        <v>100</v>
      </c>
      <c r="R46" s="101">
        <f>IF(R$1="",0,INT(SUM(капитал!$J$67:$J$70)*DAY(EOMONTH(R$8,$H46-MONTH(R$8)))*R22))</f>
        <v>100</v>
      </c>
      <c r="S46" s="101">
        <f>IF(S$1="",0,INT(SUM(капитал!$J$67:$J$70)*DAY(EOMONTH(S$8,$H46-MONTH(S$8)))*S22))</f>
        <v>100</v>
      </c>
      <c r="T46" s="101">
        <f>IF(T$1="",0,INT(SUM(капитал!$J$67:$J$70)*DAY(EOMONTH(T$8,$H46-MONTH(T$8)))*T22))</f>
        <v>100</v>
      </c>
      <c r="U46" s="101">
        <f>IF(U$1="",0,INT(SUM(капитал!$J$67:$J$70)*DAY(EOMONTH(U$8,$H46-MONTH(U$8)))*U22))</f>
        <v>100</v>
      </c>
      <c r="V46" s="101">
        <f>IF(V$1="",0,INT(SUM(капитал!$J$67:$J$70)*DAY(EOMONTH(V$8,$H46-MONTH(V$8)))*V22))</f>
        <v>100</v>
      </c>
      <c r="W46" s="101">
        <f>IF(W$1="",0,INT(SUM(капитал!$J$67:$J$70)*DAY(EOMONTH(W$8,$H46-MONTH(W$8)))*W22))</f>
        <v>0</v>
      </c>
      <c r="X46" s="101">
        <f>IF(X$1="",0,INT(SUM(капитал!$J$67:$J$70)*DAY(EOMONTH(X$8,$H46-MONTH(X$8)))*X22))</f>
        <v>0</v>
      </c>
      <c r="Y46" s="101">
        <f>IF(Y$1="",0,INT(SUM(капитал!$J$67:$J$70)*DAY(EOMONTH(Y$8,$H46-MONTH(Y$8)))*Y22))</f>
        <v>0</v>
      </c>
      <c r="Z46" s="101">
        <f>IF(Z$1="",0,INT(SUM(капитал!$J$67:$J$70)*DAY(EOMONTH(Z$8,$H46-MONTH(Z$8)))*Z22))</f>
        <v>0</v>
      </c>
      <c r="AA46" s="101">
        <f>IF(AA$1="",0,INT(SUM(капитал!$J$67:$J$70)*DAY(EOMONTH(AA$8,$H46-MONTH(AA$8)))*AA22))</f>
        <v>0</v>
      </c>
      <c r="AB46" s="22"/>
    </row>
    <row r="47" spans="1:28" s="23" customFormat="1" ht="10.199999999999999" x14ac:dyDescent="0.2">
      <c r="A47" s="22"/>
      <c r="B47" s="22"/>
      <c r="C47" s="22"/>
      <c r="D47" s="22"/>
      <c r="E47" s="22" t="str">
        <f t="shared" si="5"/>
        <v>количество арендных сделок</v>
      </c>
      <c r="F47" s="22"/>
      <c r="G47" s="22" t="str">
        <f>IF($E47="","",INDEX(KPI!$G:$G,SUMIFS(KPI!$B:$B,KPI!$E:$E,$E47)))</f>
        <v>шт</v>
      </c>
      <c r="H47" s="100">
        <f>структура!$V$15</f>
        <v>4</v>
      </c>
      <c r="I47" s="31"/>
      <c r="J47" s="98" t="str">
        <f>структура!$X$15</f>
        <v>апр</v>
      </c>
      <c r="K47" s="99"/>
      <c r="L47" s="22"/>
      <c r="M47" s="58"/>
      <c r="N47" s="22"/>
      <c r="O47" s="22"/>
      <c r="P47" s="101">
        <f>IF(P$1="",0,INT(SUM(капитал!$J$67:$J$70)*DAY(EOMONTH(P$8,$H47-MONTH(P$8)))*P23))</f>
        <v>117</v>
      </c>
      <c r="Q47" s="101">
        <f>IF(Q$1="",0,INT(SUM(капитал!$J$67:$J$70)*DAY(EOMONTH(Q$8,$H47-MONTH(Q$8)))*Q23))</f>
        <v>117</v>
      </c>
      <c r="R47" s="101">
        <f>IF(R$1="",0,INT(SUM(капитал!$J$67:$J$70)*DAY(EOMONTH(R$8,$H47-MONTH(R$8)))*R23))</f>
        <v>117</v>
      </c>
      <c r="S47" s="101">
        <f>IF(S$1="",0,INT(SUM(капитал!$J$67:$J$70)*DAY(EOMONTH(S$8,$H47-MONTH(S$8)))*S23))</f>
        <v>117</v>
      </c>
      <c r="T47" s="101">
        <f>IF(T$1="",0,INT(SUM(капитал!$J$67:$J$70)*DAY(EOMONTH(T$8,$H47-MONTH(T$8)))*T23))</f>
        <v>117</v>
      </c>
      <c r="U47" s="101">
        <f>IF(U$1="",0,INT(SUM(капитал!$J$67:$J$70)*DAY(EOMONTH(U$8,$H47-MONTH(U$8)))*U23))</f>
        <v>117</v>
      </c>
      <c r="V47" s="101">
        <f>IF(V$1="",0,INT(SUM(капитал!$J$67:$J$70)*DAY(EOMONTH(V$8,$H47-MONTH(V$8)))*V23))</f>
        <v>117</v>
      </c>
      <c r="W47" s="101">
        <f>IF(W$1="",0,INT(SUM(капитал!$J$67:$J$70)*DAY(EOMONTH(W$8,$H47-MONTH(W$8)))*W23))</f>
        <v>0</v>
      </c>
      <c r="X47" s="101">
        <f>IF(X$1="",0,INT(SUM(капитал!$J$67:$J$70)*DAY(EOMONTH(X$8,$H47-MONTH(X$8)))*X23))</f>
        <v>0</v>
      </c>
      <c r="Y47" s="101">
        <f>IF(Y$1="",0,INT(SUM(капитал!$J$67:$J$70)*DAY(EOMONTH(Y$8,$H47-MONTH(Y$8)))*Y23))</f>
        <v>0</v>
      </c>
      <c r="Z47" s="101">
        <f>IF(Z$1="",0,INT(SUM(капитал!$J$67:$J$70)*DAY(EOMONTH(Z$8,$H47-MONTH(Z$8)))*Z23))</f>
        <v>0</v>
      </c>
      <c r="AA47" s="101">
        <f>IF(AA$1="",0,INT(SUM(капитал!$J$67:$J$70)*DAY(EOMONTH(AA$8,$H47-MONTH(AA$8)))*AA23))</f>
        <v>0</v>
      </c>
      <c r="AB47" s="22"/>
    </row>
    <row r="48" spans="1:28" s="23" customFormat="1" ht="10.199999999999999" x14ac:dyDescent="0.2">
      <c r="A48" s="22"/>
      <c r="B48" s="22"/>
      <c r="C48" s="22"/>
      <c r="D48" s="22"/>
      <c r="E48" s="22" t="str">
        <f t="shared" si="5"/>
        <v>количество арендных сделок</v>
      </c>
      <c r="F48" s="22"/>
      <c r="G48" s="22" t="str">
        <f>IF($E48="","",INDEX(KPI!$G:$G,SUMIFS(KPI!$B:$B,KPI!$E:$E,$E48)))</f>
        <v>шт</v>
      </c>
      <c r="H48" s="100">
        <f>структура!$V$16</f>
        <v>5</v>
      </c>
      <c r="I48" s="31"/>
      <c r="J48" s="98" t="str">
        <f>структура!$X$16</f>
        <v>май</v>
      </c>
      <c r="K48" s="99"/>
      <c r="L48" s="22"/>
      <c r="M48" s="58"/>
      <c r="N48" s="22"/>
      <c r="O48" s="22"/>
      <c r="P48" s="101">
        <f>IF(P$1="",0,INT(SUM(капитал!$J$67:$J$70)*DAY(EOMONTH(P$8,$H48-MONTH(P$8)))*P24))</f>
        <v>120</v>
      </c>
      <c r="Q48" s="101">
        <f>IF(Q$1="",0,INT(SUM(капитал!$J$67:$J$70)*DAY(EOMONTH(Q$8,$H48-MONTH(Q$8)))*Q24))</f>
        <v>120</v>
      </c>
      <c r="R48" s="101">
        <f>IF(R$1="",0,INT(SUM(капитал!$J$67:$J$70)*DAY(EOMONTH(R$8,$H48-MONTH(R$8)))*R24))</f>
        <v>120</v>
      </c>
      <c r="S48" s="101">
        <f>IF(S$1="",0,INT(SUM(капитал!$J$67:$J$70)*DAY(EOMONTH(S$8,$H48-MONTH(S$8)))*S24))</f>
        <v>120</v>
      </c>
      <c r="T48" s="101">
        <f>IF(T$1="",0,INT(SUM(капитал!$J$67:$J$70)*DAY(EOMONTH(T$8,$H48-MONTH(T$8)))*T24))</f>
        <v>120</v>
      </c>
      <c r="U48" s="101">
        <f>IF(U$1="",0,INT(SUM(капитал!$J$67:$J$70)*DAY(EOMONTH(U$8,$H48-MONTH(U$8)))*U24))</f>
        <v>120</v>
      </c>
      <c r="V48" s="101">
        <f>IF(V$1="",0,INT(SUM(капитал!$J$67:$J$70)*DAY(EOMONTH(V$8,$H48-MONTH(V$8)))*V24))</f>
        <v>120</v>
      </c>
      <c r="W48" s="101">
        <f>IF(W$1="",0,INT(SUM(капитал!$J$67:$J$70)*DAY(EOMONTH(W$8,$H48-MONTH(W$8)))*W24))</f>
        <v>0</v>
      </c>
      <c r="X48" s="101">
        <f>IF(X$1="",0,INT(SUM(капитал!$J$67:$J$70)*DAY(EOMONTH(X$8,$H48-MONTH(X$8)))*X24))</f>
        <v>0</v>
      </c>
      <c r="Y48" s="101">
        <f>IF(Y$1="",0,INT(SUM(капитал!$J$67:$J$70)*DAY(EOMONTH(Y$8,$H48-MONTH(Y$8)))*Y24))</f>
        <v>0</v>
      </c>
      <c r="Z48" s="101">
        <f>IF(Z$1="",0,INT(SUM(капитал!$J$67:$J$70)*DAY(EOMONTH(Z$8,$H48-MONTH(Z$8)))*Z24))</f>
        <v>0</v>
      </c>
      <c r="AA48" s="101">
        <f>IF(AA$1="",0,INT(SUM(капитал!$J$67:$J$70)*DAY(EOMONTH(AA$8,$H48-MONTH(AA$8)))*AA24))</f>
        <v>0</v>
      </c>
      <c r="AB48" s="22"/>
    </row>
    <row r="49" spans="1:28" s="23" customFormat="1" ht="10.199999999999999" x14ac:dyDescent="0.2">
      <c r="A49" s="22"/>
      <c r="B49" s="22"/>
      <c r="C49" s="22"/>
      <c r="D49" s="22"/>
      <c r="E49" s="22" t="str">
        <f t="shared" si="5"/>
        <v>количество арендных сделок</v>
      </c>
      <c r="F49" s="22"/>
      <c r="G49" s="22" t="str">
        <f>IF($E49="","",INDEX(KPI!$G:$G,SUMIFS(KPI!$B:$B,KPI!$E:$E,$E49)))</f>
        <v>шт</v>
      </c>
      <c r="H49" s="100">
        <f>структура!$V$17</f>
        <v>6</v>
      </c>
      <c r="I49" s="31"/>
      <c r="J49" s="98" t="str">
        <f>структура!$X$17</f>
        <v>июн</v>
      </c>
      <c r="K49" s="99"/>
      <c r="L49" s="22"/>
      <c r="M49" s="58"/>
      <c r="N49" s="22"/>
      <c r="O49" s="22"/>
      <c r="P49" s="101">
        <f>IF(P$1="",0,INT(SUM(капитал!$J$67:$J$70)*DAY(EOMONTH(P$8,$H49-MONTH(P$8)))*P25))</f>
        <v>156</v>
      </c>
      <c r="Q49" s="101">
        <f>IF(Q$1="",0,INT(SUM(капитал!$J$67:$J$70)*DAY(EOMONTH(Q$8,$H49-MONTH(Q$8)))*Q25))</f>
        <v>156</v>
      </c>
      <c r="R49" s="101">
        <f>IF(R$1="",0,INT(SUM(капитал!$J$67:$J$70)*DAY(EOMONTH(R$8,$H49-MONTH(R$8)))*R25))</f>
        <v>156</v>
      </c>
      <c r="S49" s="101">
        <f>IF(S$1="",0,INT(SUM(капитал!$J$67:$J$70)*DAY(EOMONTH(S$8,$H49-MONTH(S$8)))*S25))</f>
        <v>156</v>
      </c>
      <c r="T49" s="101">
        <f>IF(T$1="",0,INT(SUM(капитал!$J$67:$J$70)*DAY(EOMONTH(T$8,$H49-MONTH(T$8)))*T25))</f>
        <v>156</v>
      </c>
      <c r="U49" s="101">
        <f>IF(U$1="",0,INT(SUM(капитал!$J$67:$J$70)*DAY(EOMONTH(U$8,$H49-MONTH(U$8)))*U25))</f>
        <v>156</v>
      </c>
      <c r="V49" s="101">
        <f>IF(V$1="",0,INT(SUM(капитал!$J$67:$J$70)*DAY(EOMONTH(V$8,$H49-MONTH(V$8)))*V25))</f>
        <v>156</v>
      </c>
      <c r="W49" s="101">
        <f>IF(W$1="",0,INT(SUM(капитал!$J$67:$J$70)*DAY(EOMONTH(W$8,$H49-MONTH(W$8)))*W25))</f>
        <v>0</v>
      </c>
      <c r="X49" s="101">
        <f>IF(X$1="",0,INT(SUM(капитал!$J$67:$J$70)*DAY(EOMONTH(X$8,$H49-MONTH(X$8)))*X25))</f>
        <v>0</v>
      </c>
      <c r="Y49" s="101">
        <f>IF(Y$1="",0,INT(SUM(капитал!$J$67:$J$70)*DAY(EOMONTH(Y$8,$H49-MONTH(Y$8)))*Y25))</f>
        <v>0</v>
      </c>
      <c r="Z49" s="101">
        <f>IF(Z$1="",0,INT(SUM(капитал!$J$67:$J$70)*DAY(EOMONTH(Z$8,$H49-MONTH(Z$8)))*Z25))</f>
        <v>0</v>
      </c>
      <c r="AA49" s="101">
        <f>IF(AA$1="",0,INT(SUM(капитал!$J$67:$J$70)*DAY(EOMONTH(AA$8,$H49-MONTH(AA$8)))*AA25))</f>
        <v>0</v>
      </c>
      <c r="AB49" s="22"/>
    </row>
    <row r="50" spans="1:28" s="23" customFormat="1" ht="10.199999999999999" x14ac:dyDescent="0.2">
      <c r="A50" s="22"/>
      <c r="B50" s="22"/>
      <c r="C50" s="22"/>
      <c r="D50" s="22"/>
      <c r="E50" s="22" t="str">
        <f t="shared" si="5"/>
        <v>количество арендных сделок</v>
      </c>
      <c r="F50" s="22"/>
      <c r="G50" s="22" t="str">
        <f>IF($E50="","",INDEX(KPI!$G:$G,SUMIFS(KPI!$B:$B,KPI!$E:$E,$E50)))</f>
        <v>шт</v>
      </c>
      <c r="H50" s="100">
        <f>структура!$V$18</f>
        <v>7</v>
      </c>
      <c r="I50" s="31"/>
      <c r="J50" s="98" t="str">
        <f>структура!$X$18</f>
        <v>июл</v>
      </c>
      <c r="K50" s="99"/>
      <c r="L50" s="22"/>
      <c r="M50" s="58"/>
      <c r="N50" s="22"/>
      <c r="O50" s="22"/>
      <c r="P50" s="101">
        <f>IF(P$1="",0,INT(SUM(капитал!$J$67:$J$70)*DAY(EOMONTH(P$8,$H50-MONTH(P$8)))*P26))</f>
        <v>161</v>
      </c>
      <c r="Q50" s="101">
        <f>IF(Q$1="",0,INT(SUM(капитал!$J$67:$J$70)*DAY(EOMONTH(Q$8,$H50-MONTH(Q$8)))*Q26))</f>
        <v>161</v>
      </c>
      <c r="R50" s="101">
        <f>IF(R$1="",0,INT(SUM(капитал!$J$67:$J$70)*DAY(EOMONTH(R$8,$H50-MONTH(R$8)))*R26))</f>
        <v>161</v>
      </c>
      <c r="S50" s="101">
        <f>IF(S$1="",0,INT(SUM(капитал!$J$67:$J$70)*DAY(EOMONTH(S$8,$H50-MONTH(S$8)))*S26))</f>
        <v>161</v>
      </c>
      <c r="T50" s="101">
        <f>IF(T$1="",0,INT(SUM(капитал!$J$67:$J$70)*DAY(EOMONTH(T$8,$H50-MONTH(T$8)))*T26))</f>
        <v>161</v>
      </c>
      <c r="U50" s="101">
        <f>IF(U$1="",0,INT(SUM(капитал!$J$67:$J$70)*DAY(EOMONTH(U$8,$H50-MONTH(U$8)))*U26))</f>
        <v>161</v>
      </c>
      <c r="V50" s="101">
        <f>IF(V$1="",0,INT(SUM(капитал!$J$67:$J$70)*DAY(EOMONTH(V$8,$H50-MONTH(V$8)))*V26))</f>
        <v>161</v>
      </c>
      <c r="W50" s="101">
        <f>IF(W$1="",0,INT(SUM(капитал!$J$67:$J$70)*DAY(EOMONTH(W$8,$H50-MONTH(W$8)))*W26))</f>
        <v>0</v>
      </c>
      <c r="X50" s="101">
        <f>IF(X$1="",0,INT(SUM(капитал!$J$67:$J$70)*DAY(EOMONTH(X$8,$H50-MONTH(X$8)))*X26))</f>
        <v>0</v>
      </c>
      <c r="Y50" s="101">
        <f>IF(Y$1="",0,INT(SUM(капитал!$J$67:$J$70)*DAY(EOMONTH(Y$8,$H50-MONTH(Y$8)))*Y26))</f>
        <v>0</v>
      </c>
      <c r="Z50" s="101">
        <f>IF(Z$1="",0,INT(SUM(капитал!$J$67:$J$70)*DAY(EOMONTH(Z$8,$H50-MONTH(Z$8)))*Z26))</f>
        <v>0</v>
      </c>
      <c r="AA50" s="101">
        <f>IF(AA$1="",0,INT(SUM(капитал!$J$67:$J$70)*DAY(EOMONTH(AA$8,$H50-MONTH(AA$8)))*AA26))</f>
        <v>0</v>
      </c>
      <c r="AB50" s="22"/>
    </row>
    <row r="51" spans="1:28" s="23" customFormat="1" ht="10.199999999999999" x14ac:dyDescent="0.2">
      <c r="A51" s="22"/>
      <c r="B51" s="22"/>
      <c r="C51" s="22"/>
      <c r="D51" s="22"/>
      <c r="E51" s="22" t="str">
        <f t="shared" si="5"/>
        <v>количество арендных сделок</v>
      </c>
      <c r="F51" s="22"/>
      <c r="G51" s="22" t="str">
        <f>IF($E51="","",INDEX(KPI!$G:$G,SUMIFS(KPI!$B:$B,KPI!$E:$E,$E51)))</f>
        <v>шт</v>
      </c>
      <c r="H51" s="100">
        <f>структура!$V$19</f>
        <v>8</v>
      </c>
      <c r="I51" s="31"/>
      <c r="J51" s="98" t="str">
        <f>структура!$X$19</f>
        <v>авг</v>
      </c>
      <c r="K51" s="99"/>
      <c r="L51" s="22"/>
      <c r="M51" s="58"/>
      <c r="N51" s="22"/>
      <c r="O51" s="22"/>
      <c r="P51" s="101">
        <f>IF(P$1="",0,INT(SUM(капитал!$J$67:$J$70)*DAY(EOMONTH(P$8,$H51-MONTH(P$8)))*P27))</f>
        <v>161</v>
      </c>
      <c r="Q51" s="101">
        <f>IF(Q$1="",0,INT(SUM(капитал!$J$67:$J$70)*DAY(EOMONTH(Q$8,$H51-MONTH(Q$8)))*Q27))</f>
        <v>161</v>
      </c>
      <c r="R51" s="101">
        <f>IF(R$1="",0,INT(SUM(капитал!$J$67:$J$70)*DAY(EOMONTH(R$8,$H51-MONTH(R$8)))*R27))</f>
        <v>161</v>
      </c>
      <c r="S51" s="101">
        <f>IF(S$1="",0,INT(SUM(капитал!$J$67:$J$70)*DAY(EOMONTH(S$8,$H51-MONTH(S$8)))*S27))</f>
        <v>161</v>
      </c>
      <c r="T51" s="101">
        <f>IF(T$1="",0,INT(SUM(капитал!$J$67:$J$70)*DAY(EOMONTH(T$8,$H51-MONTH(T$8)))*T27))</f>
        <v>161</v>
      </c>
      <c r="U51" s="101">
        <f>IF(U$1="",0,INT(SUM(капитал!$J$67:$J$70)*DAY(EOMONTH(U$8,$H51-MONTH(U$8)))*U27))</f>
        <v>161</v>
      </c>
      <c r="V51" s="101">
        <f>IF(V$1="",0,INT(SUM(капитал!$J$67:$J$70)*DAY(EOMONTH(V$8,$H51-MONTH(V$8)))*V27))</f>
        <v>161</v>
      </c>
      <c r="W51" s="101">
        <f>IF(W$1="",0,INT(SUM(капитал!$J$67:$J$70)*DAY(EOMONTH(W$8,$H51-MONTH(W$8)))*W27))</f>
        <v>0</v>
      </c>
      <c r="X51" s="101">
        <f>IF(X$1="",0,INT(SUM(капитал!$J$67:$J$70)*DAY(EOMONTH(X$8,$H51-MONTH(X$8)))*X27))</f>
        <v>0</v>
      </c>
      <c r="Y51" s="101">
        <f>IF(Y$1="",0,INT(SUM(капитал!$J$67:$J$70)*DAY(EOMONTH(Y$8,$H51-MONTH(Y$8)))*Y27))</f>
        <v>0</v>
      </c>
      <c r="Z51" s="101">
        <f>IF(Z$1="",0,INT(SUM(капитал!$J$67:$J$70)*DAY(EOMONTH(Z$8,$H51-MONTH(Z$8)))*Z27))</f>
        <v>0</v>
      </c>
      <c r="AA51" s="101">
        <f>IF(AA$1="",0,INT(SUM(капитал!$J$67:$J$70)*DAY(EOMONTH(AA$8,$H51-MONTH(AA$8)))*AA27))</f>
        <v>0</v>
      </c>
      <c r="AB51" s="22"/>
    </row>
    <row r="52" spans="1:28" s="23" customFormat="1" ht="10.199999999999999" x14ac:dyDescent="0.2">
      <c r="A52" s="22"/>
      <c r="B52" s="22"/>
      <c r="C52" s="22"/>
      <c r="D52" s="22"/>
      <c r="E52" s="22" t="str">
        <f t="shared" si="5"/>
        <v>количество арендных сделок</v>
      </c>
      <c r="F52" s="22"/>
      <c r="G52" s="22" t="str">
        <f>IF($E52="","",INDEX(KPI!$G:$G,SUMIFS(KPI!$B:$B,KPI!$E:$E,$E52)))</f>
        <v>шт</v>
      </c>
      <c r="H52" s="100">
        <f>структура!$V$20</f>
        <v>9</v>
      </c>
      <c r="I52" s="31"/>
      <c r="J52" s="98" t="str">
        <f>структура!$X$20</f>
        <v>сен</v>
      </c>
      <c r="K52" s="99"/>
      <c r="L52" s="22"/>
      <c r="M52" s="58"/>
      <c r="N52" s="22"/>
      <c r="O52" s="22"/>
      <c r="P52" s="101">
        <f>IF(P$1="",0,INT(SUM(капитал!$J$67:$J$70)*DAY(EOMONTH(P$8,$H52-MONTH(P$8)))*P28))</f>
        <v>136</v>
      </c>
      <c r="Q52" s="101">
        <f>IF(Q$1="",0,INT(SUM(капитал!$J$67:$J$70)*DAY(EOMONTH(Q$8,$H52-MONTH(Q$8)))*Q28))</f>
        <v>136</v>
      </c>
      <c r="R52" s="101">
        <f>IF(R$1="",0,INT(SUM(капитал!$J$67:$J$70)*DAY(EOMONTH(R$8,$H52-MONTH(R$8)))*R28))</f>
        <v>136</v>
      </c>
      <c r="S52" s="101">
        <f>IF(S$1="",0,INT(SUM(капитал!$J$67:$J$70)*DAY(EOMONTH(S$8,$H52-MONTH(S$8)))*S28))</f>
        <v>136</v>
      </c>
      <c r="T52" s="101">
        <f>IF(T$1="",0,INT(SUM(капитал!$J$67:$J$70)*DAY(EOMONTH(T$8,$H52-MONTH(T$8)))*T28))</f>
        <v>136</v>
      </c>
      <c r="U52" s="101">
        <f>IF(U$1="",0,INT(SUM(капитал!$J$67:$J$70)*DAY(EOMONTH(U$8,$H52-MONTH(U$8)))*U28))</f>
        <v>136</v>
      </c>
      <c r="V52" s="101">
        <f>IF(V$1="",0,INT(SUM(капитал!$J$67:$J$70)*DAY(EOMONTH(V$8,$H52-MONTH(V$8)))*V28))</f>
        <v>136</v>
      </c>
      <c r="W52" s="101">
        <f>IF(W$1="",0,INT(SUM(капитал!$J$67:$J$70)*DAY(EOMONTH(W$8,$H52-MONTH(W$8)))*W28))</f>
        <v>0</v>
      </c>
      <c r="X52" s="101">
        <f>IF(X$1="",0,INT(SUM(капитал!$J$67:$J$70)*DAY(EOMONTH(X$8,$H52-MONTH(X$8)))*X28))</f>
        <v>0</v>
      </c>
      <c r="Y52" s="101">
        <f>IF(Y$1="",0,INT(SUM(капитал!$J$67:$J$70)*DAY(EOMONTH(Y$8,$H52-MONTH(Y$8)))*Y28))</f>
        <v>0</v>
      </c>
      <c r="Z52" s="101">
        <f>IF(Z$1="",0,INT(SUM(капитал!$J$67:$J$70)*DAY(EOMONTH(Z$8,$H52-MONTH(Z$8)))*Z28))</f>
        <v>0</v>
      </c>
      <c r="AA52" s="101">
        <f>IF(AA$1="",0,INT(SUM(капитал!$J$67:$J$70)*DAY(EOMONTH(AA$8,$H52-MONTH(AA$8)))*AA28))</f>
        <v>0</v>
      </c>
      <c r="AB52" s="22"/>
    </row>
    <row r="53" spans="1:28" s="23" customFormat="1" ht="10.199999999999999" x14ac:dyDescent="0.2">
      <c r="A53" s="22"/>
      <c r="B53" s="22"/>
      <c r="C53" s="22"/>
      <c r="D53" s="22"/>
      <c r="E53" s="22" t="str">
        <f t="shared" si="5"/>
        <v>количество арендных сделок</v>
      </c>
      <c r="F53" s="22"/>
      <c r="G53" s="22" t="str">
        <f>IF($E53="","",INDEX(KPI!$G:$G,SUMIFS(KPI!$B:$B,KPI!$E:$E,$E53)))</f>
        <v>шт</v>
      </c>
      <c r="H53" s="100">
        <f>структура!$V$21</f>
        <v>10</v>
      </c>
      <c r="I53" s="31"/>
      <c r="J53" s="98" t="str">
        <f>структура!$X$21</f>
        <v>окт</v>
      </c>
      <c r="K53" s="99"/>
      <c r="L53" s="22"/>
      <c r="M53" s="58"/>
      <c r="N53" s="22"/>
      <c r="O53" s="22"/>
      <c r="P53" s="101">
        <f>IF(P$1="",0,INT(SUM(капитал!$J$67:$J$70)*DAY(EOMONTH(P$8,$H53-MONTH(P$8)))*P29))</f>
        <v>112</v>
      </c>
      <c r="Q53" s="101">
        <f>IF(Q$1="",0,INT(SUM(капитал!$J$67:$J$70)*DAY(EOMONTH(Q$8,$H53-MONTH(Q$8)))*Q29))</f>
        <v>112</v>
      </c>
      <c r="R53" s="101">
        <f>IF(R$1="",0,INT(SUM(капитал!$J$67:$J$70)*DAY(EOMONTH(R$8,$H53-MONTH(R$8)))*R29))</f>
        <v>112</v>
      </c>
      <c r="S53" s="101">
        <f>IF(S$1="",0,INT(SUM(капитал!$J$67:$J$70)*DAY(EOMONTH(S$8,$H53-MONTH(S$8)))*S29))</f>
        <v>112</v>
      </c>
      <c r="T53" s="101">
        <f>IF(T$1="",0,INT(SUM(капитал!$J$67:$J$70)*DAY(EOMONTH(T$8,$H53-MONTH(T$8)))*T29))</f>
        <v>112</v>
      </c>
      <c r="U53" s="101">
        <f>IF(U$1="",0,INT(SUM(капитал!$J$67:$J$70)*DAY(EOMONTH(U$8,$H53-MONTH(U$8)))*U29))</f>
        <v>112</v>
      </c>
      <c r="V53" s="101">
        <f>IF(V$1="",0,INT(SUM(капитал!$J$67:$J$70)*DAY(EOMONTH(V$8,$H53-MONTH(V$8)))*V29))</f>
        <v>112</v>
      </c>
      <c r="W53" s="101">
        <f>IF(W$1="",0,INT(SUM(капитал!$J$67:$J$70)*DAY(EOMONTH(W$8,$H53-MONTH(W$8)))*W29))</f>
        <v>0</v>
      </c>
      <c r="X53" s="101">
        <f>IF(X$1="",0,INT(SUM(капитал!$J$67:$J$70)*DAY(EOMONTH(X$8,$H53-MONTH(X$8)))*X29))</f>
        <v>0</v>
      </c>
      <c r="Y53" s="101">
        <f>IF(Y$1="",0,INT(SUM(капитал!$J$67:$J$70)*DAY(EOMONTH(Y$8,$H53-MONTH(Y$8)))*Y29))</f>
        <v>0</v>
      </c>
      <c r="Z53" s="101">
        <f>IF(Z$1="",0,INT(SUM(капитал!$J$67:$J$70)*DAY(EOMONTH(Z$8,$H53-MONTH(Z$8)))*Z29))</f>
        <v>0</v>
      </c>
      <c r="AA53" s="101">
        <f>IF(AA$1="",0,INT(SUM(капитал!$J$67:$J$70)*DAY(EOMONTH(AA$8,$H53-MONTH(AA$8)))*AA29))</f>
        <v>0</v>
      </c>
      <c r="AB53" s="22"/>
    </row>
    <row r="54" spans="1:28" s="23" customFormat="1" ht="10.199999999999999" x14ac:dyDescent="0.2">
      <c r="A54" s="22"/>
      <c r="B54" s="22"/>
      <c r="C54" s="22"/>
      <c r="D54" s="22"/>
      <c r="E54" s="22" t="str">
        <f t="shared" si="5"/>
        <v>количество арендных сделок</v>
      </c>
      <c r="F54" s="22"/>
      <c r="G54" s="22" t="str">
        <f>IF($E54="","",INDEX(KPI!$G:$G,SUMIFS(KPI!$B:$B,KPI!$E:$E,$E54)))</f>
        <v>шт</v>
      </c>
      <c r="H54" s="100">
        <f>структура!$V$22</f>
        <v>11</v>
      </c>
      <c r="I54" s="31"/>
      <c r="J54" s="98" t="str">
        <f>структура!$X$22</f>
        <v>ноя</v>
      </c>
      <c r="K54" s="99"/>
      <c r="L54" s="22"/>
      <c r="M54" s="58"/>
      <c r="N54" s="22"/>
      <c r="O54" s="22"/>
      <c r="P54" s="101">
        <f>IF(P$1="",0,INT(SUM(капитал!$J$67:$J$70)*DAY(EOMONTH(P$8,$H54-MONTH(P$8)))*P30))</f>
        <v>97</v>
      </c>
      <c r="Q54" s="101">
        <f>IF(Q$1="",0,INT(SUM(капитал!$J$67:$J$70)*DAY(EOMONTH(Q$8,$H54-MONTH(Q$8)))*Q30))</f>
        <v>97</v>
      </c>
      <c r="R54" s="101">
        <f>IF(R$1="",0,INT(SUM(капитал!$J$67:$J$70)*DAY(EOMONTH(R$8,$H54-MONTH(R$8)))*R30))</f>
        <v>97</v>
      </c>
      <c r="S54" s="101">
        <f>IF(S$1="",0,INT(SUM(капитал!$J$67:$J$70)*DAY(EOMONTH(S$8,$H54-MONTH(S$8)))*S30))</f>
        <v>97</v>
      </c>
      <c r="T54" s="101">
        <f>IF(T$1="",0,INT(SUM(капитал!$J$67:$J$70)*DAY(EOMONTH(T$8,$H54-MONTH(T$8)))*T30))</f>
        <v>97</v>
      </c>
      <c r="U54" s="101">
        <f>IF(U$1="",0,INT(SUM(капитал!$J$67:$J$70)*DAY(EOMONTH(U$8,$H54-MONTH(U$8)))*U30))</f>
        <v>97</v>
      </c>
      <c r="V54" s="101">
        <f>IF(V$1="",0,INT(SUM(капитал!$J$67:$J$70)*DAY(EOMONTH(V$8,$H54-MONTH(V$8)))*V30))</f>
        <v>97</v>
      </c>
      <c r="W54" s="101">
        <f>IF(W$1="",0,INT(SUM(капитал!$J$67:$J$70)*DAY(EOMONTH(W$8,$H54-MONTH(W$8)))*W30))</f>
        <v>0</v>
      </c>
      <c r="X54" s="101">
        <f>IF(X$1="",0,INT(SUM(капитал!$J$67:$J$70)*DAY(EOMONTH(X$8,$H54-MONTH(X$8)))*X30))</f>
        <v>0</v>
      </c>
      <c r="Y54" s="101">
        <f>IF(Y$1="",0,INT(SUM(капитал!$J$67:$J$70)*DAY(EOMONTH(Y$8,$H54-MONTH(Y$8)))*Y30))</f>
        <v>0</v>
      </c>
      <c r="Z54" s="101">
        <f>IF(Z$1="",0,INT(SUM(капитал!$J$67:$J$70)*DAY(EOMONTH(Z$8,$H54-MONTH(Z$8)))*Z30))</f>
        <v>0</v>
      </c>
      <c r="AA54" s="101">
        <f>IF(AA$1="",0,INT(SUM(капитал!$J$67:$J$70)*DAY(EOMONTH(AA$8,$H54-MONTH(AA$8)))*AA30))</f>
        <v>0</v>
      </c>
      <c r="AB54" s="22"/>
    </row>
    <row r="55" spans="1:28" s="23" customFormat="1" ht="10.199999999999999" x14ac:dyDescent="0.2">
      <c r="A55" s="22"/>
      <c r="B55" s="22"/>
      <c r="C55" s="22"/>
      <c r="D55" s="22"/>
      <c r="E55" s="22" t="str">
        <f t="shared" si="5"/>
        <v>количество арендных сделок</v>
      </c>
      <c r="F55" s="22"/>
      <c r="G55" s="22" t="str">
        <f>IF($E55="","",INDEX(KPI!$G:$G,SUMIFS(KPI!$B:$B,KPI!$E:$E,$E55)))</f>
        <v>шт</v>
      </c>
      <c r="H55" s="100">
        <f>структура!$V$23</f>
        <v>12</v>
      </c>
      <c r="I55" s="31"/>
      <c r="J55" s="98" t="str">
        <f>структура!$X$23</f>
        <v>дек</v>
      </c>
      <c r="K55" s="99"/>
      <c r="L55" s="22"/>
      <c r="M55" s="58"/>
      <c r="N55" s="22"/>
      <c r="O55" s="22"/>
      <c r="P55" s="101">
        <f>IF(P$1="",0,INT(SUM(капитал!$J$67:$J$70)*DAY(EOMONTH(P$8,$H55-MONTH(P$8)))*P31))</f>
        <v>80</v>
      </c>
      <c r="Q55" s="101">
        <f>IF(Q$1="",0,INT(SUM(капитал!$J$67:$J$70)*DAY(EOMONTH(Q$8,$H55-MONTH(Q$8)))*Q31))</f>
        <v>80</v>
      </c>
      <c r="R55" s="101">
        <f>IF(R$1="",0,INT(SUM(капитал!$J$67:$J$70)*DAY(EOMONTH(R$8,$H55-MONTH(R$8)))*R31))</f>
        <v>80</v>
      </c>
      <c r="S55" s="101">
        <f>IF(S$1="",0,INT(SUM(капитал!$J$67:$J$70)*DAY(EOMONTH(S$8,$H55-MONTH(S$8)))*S31))</f>
        <v>80</v>
      </c>
      <c r="T55" s="101">
        <f>IF(T$1="",0,INT(SUM(капитал!$J$67:$J$70)*DAY(EOMONTH(T$8,$H55-MONTH(T$8)))*T31))</f>
        <v>80</v>
      </c>
      <c r="U55" s="101">
        <f>IF(U$1="",0,INT(SUM(капитал!$J$67:$J$70)*DAY(EOMONTH(U$8,$H55-MONTH(U$8)))*U31))</f>
        <v>80</v>
      </c>
      <c r="V55" s="101">
        <f>IF(V$1="",0,INT(SUM(капитал!$J$67:$J$70)*DAY(EOMONTH(V$8,$H55-MONTH(V$8)))*V31))</f>
        <v>80</v>
      </c>
      <c r="W55" s="101">
        <f>IF(W$1="",0,INT(SUM(капитал!$J$67:$J$70)*DAY(EOMONTH(W$8,$H55-MONTH(W$8)))*W31))</f>
        <v>0</v>
      </c>
      <c r="X55" s="101">
        <f>IF(X$1="",0,INT(SUM(капитал!$J$67:$J$70)*DAY(EOMONTH(X$8,$H55-MONTH(X$8)))*X31))</f>
        <v>0</v>
      </c>
      <c r="Y55" s="101">
        <f>IF(Y$1="",0,INT(SUM(капитал!$J$67:$J$70)*DAY(EOMONTH(Y$8,$H55-MONTH(Y$8)))*Y31))</f>
        <v>0</v>
      </c>
      <c r="Z55" s="101">
        <f>IF(Z$1="",0,INT(SUM(капитал!$J$67:$J$70)*DAY(EOMONTH(Z$8,$H55-MONTH(Z$8)))*Z31))</f>
        <v>0</v>
      </c>
      <c r="AA55" s="101">
        <f>IF(AA$1="",0,INT(SUM(капитал!$J$67:$J$70)*DAY(EOMONTH(AA$8,$H55-MONTH(AA$8)))*AA31))</f>
        <v>0</v>
      </c>
      <c r="AB55" s="22"/>
    </row>
    <row r="56" spans="1:28" ht="3.9" customHeight="1" x14ac:dyDescent="0.25">
      <c r="A56" s="2"/>
      <c r="B56" s="2"/>
      <c r="C56" s="2"/>
      <c r="D56" s="2"/>
      <c r="E56" s="21"/>
      <c r="F56" s="2"/>
      <c r="G56" s="21"/>
      <c r="H56" s="2"/>
      <c r="I56" s="28"/>
      <c r="J56" s="21"/>
      <c r="K56" s="28"/>
      <c r="L56" s="2"/>
      <c r="M56" s="52"/>
      <c r="N56" s="2"/>
      <c r="O56" s="2"/>
      <c r="P56" s="36"/>
      <c r="Q56" s="36"/>
      <c r="R56" s="36"/>
      <c r="S56" s="36"/>
      <c r="T56" s="36"/>
      <c r="U56" s="36"/>
      <c r="V56" s="36"/>
      <c r="W56" s="36"/>
      <c r="X56" s="36"/>
      <c r="Y56" s="36"/>
      <c r="Z56" s="36"/>
      <c r="AA56" s="36"/>
      <c r="AB56" s="2"/>
    </row>
    <row r="57" spans="1:28" ht="8.1" customHeight="1" x14ac:dyDescent="0.25">
      <c r="A57" s="2"/>
      <c r="B57" s="2"/>
      <c r="C57" s="2"/>
      <c r="D57" s="2"/>
      <c r="E57" s="2"/>
      <c r="F57" s="2"/>
      <c r="G57" s="2"/>
      <c r="H57" s="2"/>
      <c r="I57" s="28"/>
      <c r="J57" s="2"/>
      <c r="K57" s="28"/>
      <c r="L57" s="2"/>
      <c r="M57" s="52"/>
      <c r="N57" s="2"/>
      <c r="O57" s="2"/>
      <c r="P57" s="36"/>
      <c r="Q57" s="36"/>
      <c r="R57" s="36"/>
      <c r="S57" s="36"/>
      <c r="T57" s="36"/>
      <c r="U57" s="36"/>
      <c r="V57" s="36"/>
      <c r="W57" s="36"/>
      <c r="X57" s="36"/>
      <c r="Y57" s="36"/>
      <c r="Z57" s="36"/>
      <c r="AA57" s="36"/>
      <c r="AB57" s="2"/>
    </row>
    <row r="58" spans="1:28" s="5" customFormat="1" x14ac:dyDescent="0.25">
      <c r="A58" s="3"/>
      <c r="B58" s="3"/>
      <c r="C58" s="3"/>
      <c r="D58" s="108"/>
      <c r="E58" s="3" t="str">
        <f>KPI!$E$35</f>
        <v>доход от сдачи в аренду</v>
      </c>
      <c r="F58" s="3"/>
      <c r="G58" s="3" t="str">
        <f>IF($E58="","",INDEX(KPI!$G:$G,SUMIFS(KPI!$B:$B,KPI!$E:$E,$E58)))</f>
        <v>тыс.руб.</v>
      </c>
      <c r="H58" s="3"/>
      <c r="I58" s="28"/>
      <c r="J58" s="44"/>
      <c r="K58" s="28"/>
      <c r="L58" s="3"/>
      <c r="M58" s="55">
        <f>SUM($O58:$AB58)</f>
        <v>51149.999999999993</v>
      </c>
      <c r="N58" s="3"/>
      <c r="O58" s="3"/>
      <c r="P58" s="46">
        <f>IF(P$1="",0,IF(P$1=0,SUMIFS(P59:P70,H59:H70,"&gt;="&amp;MONTH($J$13)),SUM(P59:P70)))</f>
        <v>7302.6461538461535</v>
      </c>
      <c r="Q58" s="46">
        <f t="shared" ref="Q58" si="6">IF(Q$1="",0,SUM(Q59:Q70))</f>
        <v>7302.6461538461535</v>
      </c>
      <c r="R58" s="46">
        <f t="shared" ref="R58:AA58" si="7">IF(R$1="",0,SUM(R59:R70))</f>
        <v>7318.3846153846152</v>
      </c>
      <c r="S58" s="46">
        <f t="shared" si="7"/>
        <v>7302.6461538461535</v>
      </c>
      <c r="T58" s="46">
        <f t="shared" si="7"/>
        <v>7302.6461538461535</v>
      </c>
      <c r="U58" s="46">
        <f t="shared" si="7"/>
        <v>7302.6461538461535</v>
      </c>
      <c r="V58" s="46">
        <f t="shared" si="7"/>
        <v>7318.3846153846152</v>
      </c>
      <c r="W58" s="46">
        <f t="shared" si="7"/>
        <v>0</v>
      </c>
      <c r="X58" s="46">
        <f t="shared" si="7"/>
        <v>0</v>
      </c>
      <c r="Y58" s="46">
        <f t="shared" si="7"/>
        <v>0</v>
      </c>
      <c r="Z58" s="46">
        <f t="shared" si="7"/>
        <v>0</v>
      </c>
      <c r="AA58" s="46">
        <f t="shared" si="7"/>
        <v>0</v>
      </c>
      <c r="AB58" s="3"/>
    </row>
    <row r="59" spans="1:28" s="23" customFormat="1" ht="10.199999999999999" x14ac:dyDescent="0.2">
      <c r="A59" s="22"/>
      <c r="B59" s="22"/>
      <c r="C59" s="22"/>
      <c r="D59" s="22"/>
      <c r="E59" s="22" t="str">
        <f t="shared" ref="E59:E70" si="8">$E$58</f>
        <v>доход от сдачи в аренду</v>
      </c>
      <c r="F59" s="22"/>
      <c r="G59" s="22" t="str">
        <f>IF($E59="","",INDEX(KPI!$G:$G,SUMIFS(KPI!$B:$B,KPI!$E:$E,$E59)))</f>
        <v>тыс.руб.</v>
      </c>
      <c r="H59" s="100">
        <f>структура!$V$12</f>
        <v>1</v>
      </c>
      <c r="I59" s="31"/>
      <c r="J59" s="98" t="str">
        <f>структура!$X$12</f>
        <v>янв</v>
      </c>
      <c r="K59" s="99"/>
      <c r="L59" s="22"/>
      <c r="M59" s="58"/>
      <c r="N59" s="22"/>
      <c r="O59" s="22"/>
      <c r="P59" s="101">
        <f t="shared" ref="P59:AA70" si="9">IF(P$1="",0,P$41*P44/1000)</f>
        <v>419.69230769230762</v>
      </c>
      <c r="Q59" s="101">
        <f t="shared" si="9"/>
        <v>419.69230769230762</v>
      </c>
      <c r="R59" s="101">
        <f t="shared" si="9"/>
        <v>419.69230769230762</v>
      </c>
      <c r="S59" s="101">
        <f t="shared" si="9"/>
        <v>419.69230769230762</v>
      </c>
      <c r="T59" s="101">
        <f t="shared" si="9"/>
        <v>419.69230769230762</v>
      </c>
      <c r="U59" s="101">
        <f t="shared" si="9"/>
        <v>419.69230769230762</v>
      </c>
      <c r="V59" s="101">
        <f t="shared" si="9"/>
        <v>419.69230769230762</v>
      </c>
      <c r="W59" s="101">
        <f t="shared" si="9"/>
        <v>0</v>
      </c>
      <c r="X59" s="101">
        <f t="shared" si="9"/>
        <v>0</v>
      </c>
      <c r="Y59" s="101">
        <f t="shared" si="9"/>
        <v>0</v>
      </c>
      <c r="Z59" s="101">
        <f t="shared" si="9"/>
        <v>0</v>
      </c>
      <c r="AA59" s="101">
        <f t="shared" si="9"/>
        <v>0</v>
      </c>
      <c r="AB59" s="22"/>
    </row>
    <row r="60" spans="1:28" s="23" customFormat="1" ht="10.199999999999999" x14ac:dyDescent="0.2">
      <c r="A60" s="22"/>
      <c r="B60" s="22"/>
      <c r="C60" s="22"/>
      <c r="D60" s="22"/>
      <c r="E60" s="22" t="str">
        <f t="shared" si="8"/>
        <v>доход от сдачи в аренду</v>
      </c>
      <c r="F60" s="22"/>
      <c r="G60" s="22" t="str">
        <f>IF($E60="","",INDEX(KPI!$G:$G,SUMIFS(KPI!$B:$B,KPI!$E:$E,$E60)))</f>
        <v>тыс.руб.</v>
      </c>
      <c r="H60" s="100">
        <f>структура!$V$13</f>
        <v>2</v>
      </c>
      <c r="I60" s="31"/>
      <c r="J60" s="98" t="str">
        <f>структура!$X$13</f>
        <v>фев</v>
      </c>
      <c r="K60" s="99"/>
      <c r="L60" s="22"/>
      <c r="M60" s="58"/>
      <c r="N60" s="22"/>
      <c r="O60" s="22"/>
      <c r="P60" s="101">
        <f t="shared" si="9"/>
        <v>377.72307692307686</v>
      </c>
      <c r="Q60" s="101">
        <f t="shared" si="9"/>
        <v>377.72307692307686</v>
      </c>
      <c r="R60" s="101">
        <f t="shared" si="9"/>
        <v>393.46153846153845</v>
      </c>
      <c r="S60" s="101">
        <f t="shared" si="9"/>
        <v>377.72307692307686</v>
      </c>
      <c r="T60" s="101">
        <f t="shared" si="9"/>
        <v>377.72307692307686</v>
      </c>
      <c r="U60" s="101">
        <f t="shared" si="9"/>
        <v>377.72307692307686</v>
      </c>
      <c r="V60" s="101">
        <f t="shared" si="9"/>
        <v>393.46153846153845</v>
      </c>
      <c r="W60" s="101">
        <f t="shared" si="9"/>
        <v>0</v>
      </c>
      <c r="X60" s="101">
        <f t="shared" si="9"/>
        <v>0</v>
      </c>
      <c r="Y60" s="101">
        <f t="shared" si="9"/>
        <v>0</v>
      </c>
      <c r="Z60" s="101">
        <f t="shared" si="9"/>
        <v>0</v>
      </c>
      <c r="AA60" s="101">
        <f t="shared" si="9"/>
        <v>0</v>
      </c>
      <c r="AB60" s="22"/>
    </row>
    <row r="61" spans="1:28" s="23" customFormat="1" ht="10.199999999999999" x14ac:dyDescent="0.2">
      <c r="A61" s="22"/>
      <c r="B61" s="22"/>
      <c r="C61" s="22"/>
      <c r="D61" s="22"/>
      <c r="E61" s="22" t="str">
        <f t="shared" si="8"/>
        <v>доход от сдачи в аренду</v>
      </c>
      <c r="F61" s="22"/>
      <c r="G61" s="22" t="str">
        <f>IF($E61="","",INDEX(KPI!$G:$G,SUMIFS(KPI!$B:$B,KPI!$E:$E,$E61)))</f>
        <v>тыс.руб.</v>
      </c>
      <c r="H61" s="100">
        <f>структура!$V$14</f>
        <v>3</v>
      </c>
      <c r="I61" s="31"/>
      <c r="J61" s="98" t="str">
        <f>структура!$X$14</f>
        <v>мар</v>
      </c>
      <c r="K61" s="99"/>
      <c r="L61" s="22"/>
      <c r="M61" s="58"/>
      <c r="N61" s="22"/>
      <c r="O61" s="22"/>
      <c r="P61" s="101">
        <f t="shared" si="9"/>
        <v>524.61538461538464</v>
      </c>
      <c r="Q61" s="101">
        <f t="shared" si="9"/>
        <v>524.61538461538464</v>
      </c>
      <c r="R61" s="101">
        <f t="shared" si="9"/>
        <v>524.61538461538464</v>
      </c>
      <c r="S61" s="101">
        <f t="shared" si="9"/>
        <v>524.61538461538464</v>
      </c>
      <c r="T61" s="101">
        <f t="shared" si="9"/>
        <v>524.61538461538464</v>
      </c>
      <c r="U61" s="101">
        <f t="shared" si="9"/>
        <v>524.61538461538464</v>
      </c>
      <c r="V61" s="101">
        <f t="shared" si="9"/>
        <v>524.61538461538464</v>
      </c>
      <c r="W61" s="101">
        <f t="shared" si="9"/>
        <v>0</v>
      </c>
      <c r="X61" s="101">
        <f t="shared" si="9"/>
        <v>0</v>
      </c>
      <c r="Y61" s="101">
        <f t="shared" si="9"/>
        <v>0</v>
      </c>
      <c r="Z61" s="101">
        <f t="shared" si="9"/>
        <v>0</v>
      </c>
      <c r="AA61" s="101">
        <f t="shared" si="9"/>
        <v>0</v>
      </c>
      <c r="AB61" s="22"/>
    </row>
    <row r="62" spans="1:28" s="23" customFormat="1" ht="10.199999999999999" x14ac:dyDescent="0.2">
      <c r="A62" s="22"/>
      <c r="B62" s="22"/>
      <c r="C62" s="22"/>
      <c r="D62" s="22"/>
      <c r="E62" s="22" t="str">
        <f t="shared" si="8"/>
        <v>доход от сдачи в аренду</v>
      </c>
      <c r="F62" s="22"/>
      <c r="G62" s="22" t="str">
        <f>IF($E62="","",INDEX(KPI!$G:$G,SUMIFS(KPI!$B:$B,KPI!$E:$E,$E62)))</f>
        <v>тыс.руб.</v>
      </c>
      <c r="H62" s="100">
        <f>структура!$V$15</f>
        <v>4</v>
      </c>
      <c r="I62" s="31"/>
      <c r="J62" s="98" t="str">
        <f>структура!$X$15</f>
        <v>апр</v>
      </c>
      <c r="K62" s="99"/>
      <c r="L62" s="22"/>
      <c r="M62" s="58"/>
      <c r="N62" s="22"/>
      <c r="O62" s="22"/>
      <c r="P62" s="101">
        <f t="shared" si="9"/>
        <v>613.79999999999995</v>
      </c>
      <c r="Q62" s="101">
        <f t="shared" si="9"/>
        <v>613.79999999999995</v>
      </c>
      <c r="R62" s="101">
        <f t="shared" si="9"/>
        <v>613.79999999999995</v>
      </c>
      <c r="S62" s="101">
        <f t="shared" si="9"/>
        <v>613.79999999999995</v>
      </c>
      <c r="T62" s="101">
        <f t="shared" si="9"/>
        <v>613.79999999999995</v>
      </c>
      <c r="U62" s="101">
        <f t="shared" si="9"/>
        <v>613.79999999999995</v>
      </c>
      <c r="V62" s="101">
        <f t="shared" si="9"/>
        <v>613.79999999999995</v>
      </c>
      <c r="W62" s="101">
        <f t="shared" si="9"/>
        <v>0</v>
      </c>
      <c r="X62" s="101">
        <f t="shared" si="9"/>
        <v>0</v>
      </c>
      <c r="Y62" s="101">
        <f t="shared" si="9"/>
        <v>0</v>
      </c>
      <c r="Z62" s="101">
        <f t="shared" si="9"/>
        <v>0</v>
      </c>
      <c r="AA62" s="101">
        <f t="shared" si="9"/>
        <v>0</v>
      </c>
      <c r="AB62" s="22"/>
    </row>
    <row r="63" spans="1:28" s="23" customFormat="1" ht="10.199999999999999" x14ac:dyDescent="0.2">
      <c r="A63" s="22"/>
      <c r="B63" s="22"/>
      <c r="C63" s="22"/>
      <c r="D63" s="22"/>
      <c r="E63" s="22" t="str">
        <f t="shared" si="8"/>
        <v>доход от сдачи в аренду</v>
      </c>
      <c r="F63" s="22"/>
      <c r="G63" s="22" t="str">
        <f>IF($E63="","",INDEX(KPI!$G:$G,SUMIFS(KPI!$B:$B,KPI!$E:$E,$E63)))</f>
        <v>тыс.руб.</v>
      </c>
      <c r="H63" s="100">
        <f>структура!$V$16</f>
        <v>5</v>
      </c>
      <c r="I63" s="31"/>
      <c r="J63" s="98" t="str">
        <f>структура!$X$16</f>
        <v>май</v>
      </c>
      <c r="K63" s="99"/>
      <c r="L63" s="22"/>
      <c r="M63" s="58"/>
      <c r="N63" s="22"/>
      <c r="O63" s="22"/>
      <c r="P63" s="101">
        <f t="shared" si="9"/>
        <v>629.53846153846155</v>
      </c>
      <c r="Q63" s="101">
        <f t="shared" si="9"/>
        <v>629.53846153846155</v>
      </c>
      <c r="R63" s="101">
        <f t="shared" si="9"/>
        <v>629.53846153846155</v>
      </c>
      <c r="S63" s="101">
        <f t="shared" si="9"/>
        <v>629.53846153846155</v>
      </c>
      <c r="T63" s="101">
        <f t="shared" si="9"/>
        <v>629.53846153846155</v>
      </c>
      <c r="U63" s="101">
        <f t="shared" si="9"/>
        <v>629.53846153846155</v>
      </c>
      <c r="V63" s="101">
        <f t="shared" si="9"/>
        <v>629.53846153846155</v>
      </c>
      <c r="W63" s="101">
        <f t="shared" si="9"/>
        <v>0</v>
      </c>
      <c r="X63" s="101">
        <f t="shared" si="9"/>
        <v>0</v>
      </c>
      <c r="Y63" s="101">
        <f t="shared" si="9"/>
        <v>0</v>
      </c>
      <c r="Z63" s="101">
        <f t="shared" si="9"/>
        <v>0</v>
      </c>
      <c r="AA63" s="101">
        <f t="shared" si="9"/>
        <v>0</v>
      </c>
      <c r="AB63" s="22"/>
    </row>
    <row r="64" spans="1:28" s="23" customFormat="1" ht="10.199999999999999" x14ac:dyDescent="0.2">
      <c r="A64" s="22"/>
      <c r="B64" s="22"/>
      <c r="C64" s="22"/>
      <c r="D64" s="22"/>
      <c r="E64" s="22" t="str">
        <f t="shared" si="8"/>
        <v>доход от сдачи в аренду</v>
      </c>
      <c r="F64" s="22"/>
      <c r="G64" s="22" t="str">
        <f>IF($E64="","",INDEX(KPI!$G:$G,SUMIFS(KPI!$B:$B,KPI!$E:$E,$E64)))</f>
        <v>тыс.руб.</v>
      </c>
      <c r="H64" s="100">
        <f>структура!$V$17</f>
        <v>6</v>
      </c>
      <c r="I64" s="31"/>
      <c r="J64" s="98" t="str">
        <f>структура!$X$17</f>
        <v>июн</v>
      </c>
      <c r="K64" s="99"/>
      <c r="L64" s="22"/>
      <c r="M64" s="58"/>
      <c r="N64" s="22"/>
      <c r="O64" s="22"/>
      <c r="P64" s="101">
        <f t="shared" si="9"/>
        <v>818.39999999999986</v>
      </c>
      <c r="Q64" s="101">
        <f t="shared" si="9"/>
        <v>818.39999999999986</v>
      </c>
      <c r="R64" s="101">
        <f t="shared" si="9"/>
        <v>818.39999999999986</v>
      </c>
      <c r="S64" s="101">
        <f t="shared" si="9"/>
        <v>818.39999999999986</v>
      </c>
      <c r="T64" s="101">
        <f t="shared" si="9"/>
        <v>818.39999999999986</v>
      </c>
      <c r="U64" s="101">
        <f t="shared" si="9"/>
        <v>818.39999999999986</v>
      </c>
      <c r="V64" s="101">
        <f t="shared" si="9"/>
        <v>818.39999999999986</v>
      </c>
      <c r="W64" s="101">
        <f t="shared" si="9"/>
        <v>0</v>
      </c>
      <c r="X64" s="101">
        <f t="shared" si="9"/>
        <v>0</v>
      </c>
      <c r="Y64" s="101">
        <f t="shared" si="9"/>
        <v>0</v>
      </c>
      <c r="Z64" s="101">
        <f t="shared" si="9"/>
        <v>0</v>
      </c>
      <c r="AA64" s="101">
        <f t="shared" si="9"/>
        <v>0</v>
      </c>
      <c r="AB64" s="22"/>
    </row>
    <row r="65" spans="1:28" s="23" customFormat="1" ht="10.199999999999999" x14ac:dyDescent="0.2">
      <c r="A65" s="22"/>
      <c r="B65" s="22"/>
      <c r="C65" s="22"/>
      <c r="D65" s="22"/>
      <c r="E65" s="22" t="str">
        <f t="shared" si="8"/>
        <v>доход от сдачи в аренду</v>
      </c>
      <c r="F65" s="22"/>
      <c r="G65" s="22" t="str">
        <f>IF($E65="","",INDEX(KPI!$G:$G,SUMIFS(KPI!$B:$B,KPI!$E:$E,$E65)))</f>
        <v>тыс.руб.</v>
      </c>
      <c r="H65" s="100">
        <f>структура!$V$18</f>
        <v>7</v>
      </c>
      <c r="I65" s="31"/>
      <c r="J65" s="98" t="str">
        <f>структура!$X$18</f>
        <v>июл</v>
      </c>
      <c r="K65" s="99"/>
      <c r="L65" s="22"/>
      <c r="M65" s="58"/>
      <c r="N65" s="22"/>
      <c r="O65" s="22"/>
      <c r="P65" s="101">
        <f t="shared" si="9"/>
        <v>844.63076923076915</v>
      </c>
      <c r="Q65" s="101">
        <f t="shared" si="9"/>
        <v>844.63076923076915</v>
      </c>
      <c r="R65" s="101">
        <f t="shared" si="9"/>
        <v>844.63076923076915</v>
      </c>
      <c r="S65" s="101">
        <f t="shared" si="9"/>
        <v>844.63076923076915</v>
      </c>
      <c r="T65" s="101">
        <f t="shared" si="9"/>
        <v>844.63076923076915</v>
      </c>
      <c r="U65" s="101">
        <f t="shared" si="9"/>
        <v>844.63076923076915</v>
      </c>
      <c r="V65" s="101">
        <f t="shared" si="9"/>
        <v>844.63076923076915</v>
      </c>
      <c r="W65" s="101">
        <f t="shared" si="9"/>
        <v>0</v>
      </c>
      <c r="X65" s="101">
        <f t="shared" si="9"/>
        <v>0</v>
      </c>
      <c r="Y65" s="101">
        <f t="shared" si="9"/>
        <v>0</v>
      </c>
      <c r="Z65" s="101">
        <f t="shared" si="9"/>
        <v>0</v>
      </c>
      <c r="AA65" s="101">
        <f t="shared" si="9"/>
        <v>0</v>
      </c>
      <c r="AB65" s="22"/>
    </row>
    <row r="66" spans="1:28" s="23" customFormat="1" ht="10.199999999999999" x14ac:dyDescent="0.2">
      <c r="A66" s="22"/>
      <c r="B66" s="22"/>
      <c r="C66" s="22"/>
      <c r="D66" s="22"/>
      <c r="E66" s="22" t="str">
        <f t="shared" si="8"/>
        <v>доход от сдачи в аренду</v>
      </c>
      <c r="F66" s="22"/>
      <c r="G66" s="22" t="str">
        <f>IF($E66="","",INDEX(KPI!$G:$G,SUMIFS(KPI!$B:$B,KPI!$E:$E,$E66)))</f>
        <v>тыс.руб.</v>
      </c>
      <c r="H66" s="100">
        <f>структура!$V$19</f>
        <v>8</v>
      </c>
      <c r="I66" s="31"/>
      <c r="J66" s="98" t="str">
        <f>структура!$X$19</f>
        <v>авг</v>
      </c>
      <c r="K66" s="99"/>
      <c r="L66" s="22"/>
      <c r="M66" s="58"/>
      <c r="N66" s="22"/>
      <c r="O66" s="22"/>
      <c r="P66" s="101">
        <f t="shared" si="9"/>
        <v>844.63076923076915</v>
      </c>
      <c r="Q66" s="101">
        <f t="shared" si="9"/>
        <v>844.63076923076915</v>
      </c>
      <c r="R66" s="101">
        <f t="shared" si="9"/>
        <v>844.63076923076915</v>
      </c>
      <c r="S66" s="101">
        <f t="shared" si="9"/>
        <v>844.63076923076915</v>
      </c>
      <c r="T66" s="101">
        <f t="shared" si="9"/>
        <v>844.63076923076915</v>
      </c>
      <c r="U66" s="101">
        <f t="shared" si="9"/>
        <v>844.63076923076915</v>
      </c>
      <c r="V66" s="101">
        <f t="shared" si="9"/>
        <v>844.63076923076915</v>
      </c>
      <c r="W66" s="101">
        <f t="shared" si="9"/>
        <v>0</v>
      </c>
      <c r="X66" s="101">
        <f t="shared" si="9"/>
        <v>0</v>
      </c>
      <c r="Y66" s="101">
        <f t="shared" si="9"/>
        <v>0</v>
      </c>
      <c r="Z66" s="101">
        <f t="shared" si="9"/>
        <v>0</v>
      </c>
      <c r="AA66" s="101">
        <f t="shared" si="9"/>
        <v>0</v>
      </c>
      <c r="AB66" s="22"/>
    </row>
    <row r="67" spans="1:28" s="23" customFormat="1" ht="10.199999999999999" x14ac:dyDescent="0.2">
      <c r="A67" s="22"/>
      <c r="B67" s="22"/>
      <c r="C67" s="22"/>
      <c r="D67" s="22"/>
      <c r="E67" s="22" t="str">
        <f t="shared" si="8"/>
        <v>доход от сдачи в аренду</v>
      </c>
      <c r="F67" s="22"/>
      <c r="G67" s="22" t="str">
        <f>IF($E67="","",INDEX(KPI!$G:$G,SUMIFS(KPI!$B:$B,KPI!$E:$E,$E67)))</f>
        <v>тыс.руб.</v>
      </c>
      <c r="H67" s="100">
        <f>структура!$V$20</f>
        <v>9</v>
      </c>
      <c r="I67" s="31"/>
      <c r="J67" s="98" t="str">
        <f>структура!$X$20</f>
        <v>сен</v>
      </c>
      <c r="K67" s="99"/>
      <c r="L67" s="22"/>
      <c r="M67" s="58"/>
      <c r="N67" s="22"/>
      <c r="O67" s="22"/>
      <c r="P67" s="101">
        <f t="shared" si="9"/>
        <v>713.47692307692296</v>
      </c>
      <c r="Q67" s="101">
        <f t="shared" si="9"/>
        <v>713.47692307692296</v>
      </c>
      <c r="R67" s="101">
        <f t="shared" si="9"/>
        <v>713.47692307692296</v>
      </c>
      <c r="S67" s="101">
        <f t="shared" si="9"/>
        <v>713.47692307692296</v>
      </c>
      <c r="T67" s="101">
        <f t="shared" si="9"/>
        <v>713.47692307692296</v>
      </c>
      <c r="U67" s="101">
        <f t="shared" si="9"/>
        <v>713.47692307692296</v>
      </c>
      <c r="V67" s="101">
        <f t="shared" si="9"/>
        <v>713.47692307692296</v>
      </c>
      <c r="W67" s="101">
        <f t="shared" si="9"/>
        <v>0</v>
      </c>
      <c r="X67" s="101">
        <f t="shared" si="9"/>
        <v>0</v>
      </c>
      <c r="Y67" s="101">
        <f t="shared" si="9"/>
        <v>0</v>
      </c>
      <c r="Z67" s="101">
        <f t="shared" si="9"/>
        <v>0</v>
      </c>
      <c r="AA67" s="101">
        <f t="shared" si="9"/>
        <v>0</v>
      </c>
      <c r="AB67" s="22"/>
    </row>
    <row r="68" spans="1:28" s="23" customFormat="1" ht="10.199999999999999" x14ac:dyDescent="0.2">
      <c r="A68" s="22"/>
      <c r="B68" s="22"/>
      <c r="C68" s="22"/>
      <c r="D68" s="22"/>
      <c r="E68" s="22" t="str">
        <f t="shared" si="8"/>
        <v>доход от сдачи в аренду</v>
      </c>
      <c r="F68" s="22"/>
      <c r="G68" s="22" t="str">
        <f>IF($E68="","",INDEX(KPI!$G:$G,SUMIFS(KPI!$B:$B,KPI!$E:$E,$E68)))</f>
        <v>тыс.руб.</v>
      </c>
      <c r="H68" s="100">
        <f>структура!$V$21</f>
        <v>10</v>
      </c>
      <c r="I68" s="31"/>
      <c r="J68" s="98" t="str">
        <f>структура!$X$21</f>
        <v>окт</v>
      </c>
      <c r="K68" s="99"/>
      <c r="L68" s="22"/>
      <c r="M68" s="58"/>
      <c r="N68" s="22"/>
      <c r="O68" s="22"/>
      <c r="P68" s="101">
        <f t="shared" si="9"/>
        <v>587.56923076923078</v>
      </c>
      <c r="Q68" s="101">
        <f t="shared" si="9"/>
        <v>587.56923076923078</v>
      </c>
      <c r="R68" s="101">
        <f t="shared" si="9"/>
        <v>587.56923076923078</v>
      </c>
      <c r="S68" s="101">
        <f t="shared" si="9"/>
        <v>587.56923076923078</v>
      </c>
      <c r="T68" s="101">
        <f t="shared" si="9"/>
        <v>587.56923076923078</v>
      </c>
      <c r="U68" s="101">
        <f t="shared" si="9"/>
        <v>587.56923076923078</v>
      </c>
      <c r="V68" s="101">
        <f t="shared" si="9"/>
        <v>587.56923076923078</v>
      </c>
      <c r="W68" s="101">
        <f t="shared" si="9"/>
        <v>0</v>
      </c>
      <c r="X68" s="101">
        <f t="shared" si="9"/>
        <v>0</v>
      </c>
      <c r="Y68" s="101">
        <f t="shared" si="9"/>
        <v>0</v>
      </c>
      <c r="Z68" s="101">
        <f t="shared" si="9"/>
        <v>0</v>
      </c>
      <c r="AA68" s="101">
        <f t="shared" si="9"/>
        <v>0</v>
      </c>
      <c r="AB68" s="22"/>
    </row>
    <row r="69" spans="1:28" s="23" customFormat="1" ht="10.199999999999999" x14ac:dyDescent="0.2">
      <c r="A69" s="22"/>
      <c r="B69" s="22"/>
      <c r="C69" s="22"/>
      <c r="D69" s="22"/>
      <c r="E69" s="22" t="str">
        <f t="shared" si="8"/>
        <v>доход от сдачи в аренду</v>
      </c>
      <c r="F69" s="22"/>
      <c r="G69" s="22" t="str">
        <f>IF($E69="","",INDEX(KPI!$G:$G,SUMIFS(KPI!$B:$B,KPI!$E:$E,$E69)))</f>
        <v>тыс.руб.</v>
      </c>
      <c r="H69" s="100">
        <f>структура!$V$22</f>
        <v>11</v>
      </c>
      <c r="I69" s="31"/>
      <c r="J69" s="98" t="str">
        <f>структура!$X$22</f>
        <v>ноя</v>
      </c>
      <c r="K69" s="99"/>
      <c r="L69" s="22"/>
      <c r="M69" s="58"/>
      <c r="N69" s="22"/>
      <c r="O69" s="22"/>
      <c r="P69" s="101">
        <f t="shared" si="9"/>
        <v>508.87692307692305</v>
      </c>
      <c r="Q69" s="101">
        <f t="shared" si="9"/>
        <v>508.87692307692305</v>
      </c>
      <c r="R69" s="101">
        <f t="shared" si="9"/>
        <v>508.87692307692305</v>
      </c>
      <c r="S69" s="101">
        <f t="shared" si="9"/>
        <v>508.87692307692305</v>
      </c>
      <c r="T69" s="101">
        <f t="shared" si="9"/>
        <v>508.87692307692305</v>
      </c>
      <c r="U69" s="101">
        <f t="shared" si="9"/>
        <v>508.87692307692305</v>
      </c>
      <c r="V69" s="101">
        <f t="shared" si="9"/>
        <v>508.87692307692305</v>
      </c>
      <c r="W69" s="101">
        <f t="shared" si="9"/>
        <v>0</v>
      </c>
      <c r="X69" s="101">
        <f t="shared" si="9"/>
        <v>0</v>
      </c>
      <c r="Y69" s="101">
        <f t="shared" si="9"/>
        <v>0</v>
      </c>
      <c r="Z69" s="101">
        <f t="shared" si="9"/>
        <v>0</v>
      </c>
      <c r="AA69" s="101">
        <f t="shared" si="9"/>
        <v>0</v>
      </c>
      <c r="AB69" s="22"/>
    </row>
    <row r="70" spans="1:28" s="23" customFormat="1" ht="10.199999999999999" x14ac:dyDescent="0.2">
      <c r="A70" s="22"/>
      <c r="B70" s="22"/>
      <c r="C70" s="22"/>
      <c r="D70" s="22"/>
      <c r="E70" s="22" t="str">
        <f t="shared" si="8"/>
        <v>доход от сдачи в аренду</v>
      </c>
      <c r="F70" s="22"/>
      <c r="G70" s="22" t="str">
        <f>IF($E70="","",INDEX(KPI!$G:$G,SUMIFS(KPI!$B:$B,KPI!$E:$E,$E70)))</f>
        <v>тыс.руб.</v>
      </c>
      <c r="H70" s="100">
        <f>структура!$V$23</f>
        <v>12</v>
      </c>
      <c r="I70" s="31"/>
      <c r="J70" s="98" t="str">
        <f>структура!$X$23</f>
        <v>дек</v>
      </c>
      <c r="K70" s="99"/>
      <c r="L70" s="22"/>
      <c r="M70" s="58"/>
      <c r="N70" s="22"/>
      <c r="O70" s="22"/>
      <c r="P70" s="101">
        <f t="shared" si="9"/>
        <v>419.69230769230762</v>
      </c>
      <c r="Q70" s="101">
        <f t="shared" si="9"/>
        <v>419.69230769230762</v>
      </c>
      <c r="R70" s="101">
        <f t="shared" si="9"/>
        <v>419.69230769230762</v>
      </c>
      <c r="S70" s="101">
        <f t="shared" si="9"/>
        <v>419.69230769230762</v>
      </c>
      <c r="T70" s="101">
        <f t="shared" si="9"/>
        <v>419.69230769230762</v>
      </c>
      <c r="U70" s="101">
        <f t="shared" si="9"/>
        <v>419.69230769230762</v>
      </c>
      <c r="V70" s="101">
        <f t="shared" si="9"/>
        <v>419.69230769230762</v>
      </c>
      <c r="W70" s="101">
        <f t="shared" si="9"/>
        <v>0</v>
      </c>
      <c r="X70" s="101">
        <f t="shared" si="9"/>
        <v>0</v>
      </c>
      <c r="Y70" s="101">
        <f t="shared" si="9"/>
        <v>0</v>
      </c>
      <c r="Z70" s="101">
        <f t="shared" si="9"/>
        <v>0</v>
      </c>
      <c r="AA70" s="101">
        <f t="shared" si="9"/>
        <v>0</v>
      </c>
      <c r="AB70" s="22"/>
    </row>
    <row r="71" spans="1:28" ht="3.9" customHeight="1" x14ac:dyDescent="0.25">
      <c r="A71" s="2"/>
      <c r="B71" s="2"/>
      <c r="C71" s="2"/>
      <c r="D71" s="2"/>
      <c r="E71" s="21"/>
      <c r="F71" s="2"/>
      <c r="G71" s="21"/>
      <c r="H71" s="2"/>
      <c r="I71" s="28"/>
      <c r="J71" s="21"/>
      <c r="K71" s="28"/>
      <c r="L71" s="2"/>
      <c r="M71" s="52"/>
      <c r="N71" s="2"/>
      <c r="O71" s="2"/>
      <c r="P71" s="36"/>
      <c r="Q71" s="36"/>
      <c r="R71" s="36"/>
      <c r="S71" s="36"/>
      <c r="T71" s="36"/>
      <c r="U71" s="36"/>
      <c r="V71" s="36"/>
      <c r="W71" s="36"/>
      <c r="X71" s="36"/>
      <c r="Y71" s="36"/>
      <c r="Z71" s="36"/>
      <c r="AA71" s="36"/>
      <c r="AB71" s="2"/>
    </row>
    <row r="72" spans="1:28" ht="8.1" customHeight="1" x14ac:dyDescent="0.25">
      <c r="A72" s="2"/>
      <c r="B72" s="2"/>
      <c r="C72" s="2"/>
      <c r="D72" s="2"/>
      <c r="E72" s="2"/>
      <c r="F72" s="2"/>
      <c r="G72" s="2"/>
      <c r="H72" s="2"/>
      <c r="I72" s="28"/>
      <c r="J72" s="2"/>
      <c r="K72" s="28"/>
      <c r="L72" s="2"/>
      <c r="M72" s="52"/>
      <c r="N72" s="2"/>
      <c r="O72" s="2"/>
      <c r="P72" s="36"/>
      <c r="Q72" s="36"/>
      <c r="R72" s="36"/>
      <c r="S72" s="36"/>
      <c r="T72" s="36"/>
      <c r="U72" s="36"/>
      <c r="V72" s="36"/>
      <c r="W72" s="36"/>
      <c r="X72" s="36"/>
      <c r="Y72" s="36"/>
      <c r="Z72" s="36"/>
      <c r="AA72" s="36"/>
      <c r="AB72" s="2"/>
    </row>
    <row r="73" spans="1:28" s="5" customFormat="1" x14ac:dyDescent="0.25">
      <c r="A73" s="3"/>
      <c r="B73" s="3"/>
      <c r="C73" s="3"/>
      <c r="D73" s="3"/>
      <c r="E73" s="3" t="str">
        <f>KPI!$E$36</f>
        <v>максимальное кол-во человек на объект</v>
      </c>
      <c r="F73" s="3"/>
      <c r="G73" s="3" t="str">
        <f>IF($E73="","",INDEX(KPI!$G:$G,SUMIFS(KPI!$B:$B,KPI!$E:$E,$E73)))</f>
        <v>чел</v>
      </c>
      <c r="H73" s="3"/>
      <c r="I73" s="28"/>
      <c r="J73" s="3"/>
      <c r="K73" s="28"/>
      <c r="L73" s="3"/>
      <c r="M73" s="55"/>
      <c r="N73" s="3"/>
      <c r="O73" s="3"/>
      <c r="P73" s="46"/>
      <c r="Q73" s="46"/>
      <c r="R73" s="46"/>
      <c r="S73" s="46"/>
      <c r="T73" s="46"/>
      <c r="U73" s="46"/>
      <c r="V73" s="46"/>
      <c r="W73" s="46"/>
      <c r="X73" s="46"/>
      <c r="Y73" s="46"/>
      <c r="Z73" s="46"/>
      <c r="AA73" s="46"/>
      <c r="AB73" s="3"/>
    </row>
    <row r="74" spans="1:28" ht="3.9" customHeight="1" x14ac:dyDescent="0.25">
      <c r="A74" s="2"/>
      <c r="B74" s="2"/>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x14ac:dyDescent="0.25">
      <c r="A75" s="2"/>
      <c r="B75" s="2"/>
      <c r="C75" s="2"/>
      <c r="D75" s="2"/>
      <c r="E75" s="48" t="str">
        <f>структура!$AF$12</f>
        <v>беседка большая</v>
      </c>
      <c r="F75" s="2"/>
      <c r="G75" s="2" t="str">
        <f>G73</f>
        <v>чел</v>
      </c>
      <c r="H75" s="2"/>
      <c r="I75" s="6"/>
      <c r="J75" s="204">
        <f>операции!J75</f>
        <v>20</v>
      </c>
      <c r="K75" s="28"/>
      <c r="L75" s="2"/>
      <c r="M75" s="52"/>
      <c r="N75" s="2"/>
      <c r="O75" s="2"/>
      <c r="P75" s="36"/>
      <c r="Q75" s="36"/>
      <c r="R75" s="36"/>
      <c r="S75" s="36"/>
      <c r="T75" s="36"/>
      <c r="U75" s="36"/>
      <c r="V75" s="36"/>
      <c r="W75" s="36"/>
      <c r="X75" s="36"/>
      <c r="Y75" s="36"/>
      <c r="Z75" s="36"/>
      <c r="AA75" s="36"/>
      <c r="AB75" s="2"/>
    </row>
    <row r="76" spans="1:28" x14ac:dyDescent="0.25">
      <c r="A76" s="2"/>
      <c r="B76" s="2"/>
      <c r="C76" s="2"/>
      <c r="D76" s="2"/>
      <c r="E76" s="49" t="str">
        <f>структура!$AF$13</f>
        <v>беседка малая</v>
      </c>
      <c r="F76" s="2"/>
      <c r="G76" s="2" t="str">
        <f>G73</f>
        <v>чел</v>
      </c>
      <c r="H76" s="2"/>
      <c r="I76" s="6"/>
      <c r="J76" s="204">
        <f>операции!J76</f>
        <v>10</v>
      </c>
      <c r="K76" s="28"/>
      <c r="L76" s="2"/>
      <c r="M76" s="52"/>
      <c r="N76" s="2"/>
      <c r="O76" s="2"/>
      <c r="P76" s="36"/>
      <c r="Q76" s="36"/>
      <c r="R76" s="36"/>
      <c r="S76" s="36"/>
      <c r="T76" s="36"/>
      <c r="U76" s="36"/>
      <c r="V76" s="36"/>
      <c r="W76" s="36"/>
      <c r="X76" s="36"/>
      <c r="Y76" s="36"/>
      <c r="Z76" s="36"/>
      <c r="AA76" s="36"/>
      <c r="AB76" s="2"/>
    </row>
    <row r="77" spans="1:28" x14ac:dyDescent="0.25">
      <c r="A77" s="2"/>
      <c r="B77" s="2"/>
      <c r="C77" s="2"/>
      <c r="D77" s="2"/>
      <c r="E77" s="49" t="str">
        <f>структура!$AF$14</f>
        <v>прочие для сдачи в аренду</v>
      </c>
      <c r="F77" s="2"/>
      <c r="G77" s="2" t="str">
        <f>G73</f>
        <v>чел</v>
      </c>
      <c r="H77" s="2"/>
      <c r="I77" s="6"/>
      <c r="J77" s="204">
        <f>операции!J77</f>
        <v>0</v>
      </c>
      <c r="K77" s="28"/>
      <c r="L77" s="2"/>
      <c r="M77" s="52"/>
      <c r="N77" s="2"/>
      <c r="O77" s="2"/>
      <c r="P77" s="36"/>
      <c r="Q77" s="36"/>
      <c r="R77" s="36"/>
      <c r="S77" s="36"/>
      <c r="T77" s="36"/>
      <c r="U77" s="36"/>
      <c r="V77" s="36"/>
      <c r="W77" s="36"/>
      <c r="X77" s="36"/>
      <c r="Y77" s="36"/>
      <c r="Z77" s="36"/>
      <c r="AA77" s="36"/>
      <c r="AB77" s="2"/>
    </row>
    <row r="78" spans="1:28" ht="3.9" customHeight="1" x14ac:dyDescent="0.25">
      <c r="A78" s="2"/>
      <c r="B78" s="2"/>
      <c r="C78" s="2"/>
      <c r="D78" s="2"/>
      <c r="E78" s="50"/>
      <c r="F78" s="2"/>
      <c r="G78" s="2"/>
      <c r="H78" s="2"/>
      <c r="I78" s="28"/>
      <c r="J78" s="2"/>
      <c r="K78" s="28"/>
      <c r="L78" s="2"/>
      <c r="M78" s="52"/>
      <c r="N78" s="2"/>
      <c r="O78" s="2"/>
      <c r="P78" s="36"/>
      <c r="Q78" s="36"/>
      <c r="R78" s="36"/>
      <c r="S78" s="36"/>
      <c r="T78" s="36"/>
      <c r="U78" s="36"/>
      <c r="V78" s="36"/>
      <c r="W78" s="36"/>
      <c r="X78" s="36"/>
      <c r="Y78" s="36"/>
      <c r="Z78" s="36"/>
      <c r="AA78" s="36"/>
      <c r="AB78" s="2"/>
    </row>
    <row r="79" spans="1:28" ht="8.1" customHeight="1" x14ac:dyDescent="0.25">
      <c r="A79" s="2"/>
      <c r="B79" s="2"/>
      <c r="C79" s="2"/>
      <c r="D79" s="2"/>
      <c r="E79" s="2"/>
      <c r="F79" s="2"/>
      <c r="G79" s="2"/>
      <c r="H79" s="2"/>
      <c r="I79" s="28"/>
      <c r="J79" s="2"/>
      <c r="K79" s="28"/>
      <c r="L79" s="2"/>
      <c r="M79" s="52"/>
      <c r="N79" s="2"/>
      <c r="O79" s="2"/>
      <c r="P79" s="36"/>
      <c r="Q79" s="36"/>
      <c r="R79" s="36"/>
      <c r="S79" s="36"/>
      <c r="T79" s="36"/>
      <c r="U79" s="36"/>
      <c r="V79" s="36"/>
      <c r="W79" s="36"/>
      <c r="X79" s="36"/>
      <c r="Y79" s="36"/>
      <c r="Z79" s="36"/>
      <c r="AA79" s="36"/>
      <c r="AB79" s="2"/>
    </row>
    <row r="80" spans="1:28" s="5" customFormat="1" x14ac:dyDescent="0.25">
      <c r="A80" s="3"/>
      <c r="B80" s="3"/>
      <c r="C80" s="3"/>
      <c r="D80" s="3"/>
      <c r="E80" s="3" t="str">
        <f>KPI!$E$37</f>
        <v>средняя наполняемость одного объекта</v>
      </c>
      <c r="F80" s="3"/>
      <c r="G80" s="3" t="str">
        <f>IF($E80="","",INDEX(KPI!$G:$G,SUMIFS(KPI!$B:$B,KPI!$E:$E,$E80)))</f>
        <v>чел</v>
      </c>
      <c r="H80" s="3"/>
      <c r="I80" s="28"/>
      <c r="J80" s="104" t="str">
        <f>$P$19</f>
        <v>сценарий-1</v>
      </c>
      <c r="K80" s="28"/>
      <c r="L80" s="3"/>
      <c r="M80" s="55"/>
      <c r="N80" s="3"/>
      <c r="O80" s="3"/>
      <c r="P80" s="46"/>
      <c r="Q80" s="46"/>
      <c r="R80" s="46"/>
      <c r="S80" s="46"/>
      <c r="T80" s="46"/>
      <c r="U80" s="46"/>
      <c r="V80" s="46"/>
      <c r="W80" s="46"/>
      <c r="X80" s="46"/>
      <c r="Y80" s="46"/>
      <c r="Z80" s="46"/>
      <c r="AA80" s="46"/>
      <c r="AB80" s="3"/>
    </row>
    <row r="81" spans="1:28" ht="3.9" customHeight="1" x14ac:dyDescent="0.25">
      <c r="A81" s="2"/>
      <c r="B81" s="2"/>
      <c r="C81" s="2"/>
      <c r="D81" s="2"/>
      <c r="E81" s="2"/>
      <c r="F81" s="2"/>
      <c r="G81" s="2"/>
      <c r="H81" s="2"/>
      <c r="I81" s="28"/>
      <c r="J81" s="2"/>
      <c r="K81" s="28"/>
      <c r="L81" s="2"/>
      <c r="M81" s="52"/>
      <c r="N81" s="2"/>
      <c r="O81" s="2"/>
      <c r="P81" s="36"/>
      <c r="Q81" s="36"/>
      <c r="R81" s="36"/>
      <c r="S81" s="36"/>
      <c r="T81" s="36"/>
      <c r="U81" s="36"/>
      <c r="V81" s="36"/>
      <c r="W81" s="36"/>
      <c r="X81" s="36"/>
      <c r="Y81" s="36"/>
      <c r="Z81" s="36"/>
      <c r="AA81" s="36"/>
      <c r="AB81" s="2"/>
    </row>
    <row r="82" spans="1:28" x14ac:dyDescent="0.25">
      <c r="A82" s="2"/>
      <c r="B82" s="2"/>
      <c r="C82" s="2"/>
      <c r="D82" s="2"/>
      <c r="E82" s="48" t="str">
        <f>структура!$AF$12</f>
        <v>беседка большая</v>
      </c>
      <c r="F82" s="2"/>
      <c r="G82" s="2" t="str">
        <f>G80</f>
        <v>чел</v>
      </c>
      <c r="H82" s="2"/>
      <c r="I82" s="28"/>
      <c r="J82" s="219">
        <f>SUMIFS(сценарии!J:J,сценарии!$E:$E,$E82,сценарии!$M:$M,$J$80)</f>
        <v>12</v>
      </c>
      <c r="K82" s="105" t="str">
        <f>IF(J82&gt;J75,структура!$AL$19,"")</f>
        <v/>
      </c>
      <c r="L82" s="2"/>
      <c r="M82" s="52"/>
      <c r="N82" s="2"/>
      <c r="O82" s="2"/>
      <c r="P82" s="36"/>
      <c r="Q82" s="36"/>
      <c r="R82" s="36"/>
      <c r="S82" s="36"/>
      <c r="T82" s="36"/>
      <c r="U82" s="36"/>
      <c r="V82" s="36"/>
      <c r="W82" s="36"/>
      <c r="X82" s="36"/>
      <c r="Y82" s="36"/>
      <c r="Z82" s="36"/>
      <c r="AA82" s="36"/>
      <c r="AB82" s="2"/>
    </row>
    <row r="83" spans="1:28" x14ac:dyDescent="0.25">
      <c r="A83" s="2"/>
      <c r="B83" s="2"/>
      <c r="C83" s="2"/>
      <c r="D83" s="2"/>
      <c r="E83" s="49" t="str">
        <f>структура!$AF$13</f>
        <v>беседка малая</v>
      </c>
      <c r="F83" s="2"/>
      <c r="G83" s="2" t="str">
        <f>G80</f>
        <v>чел</v>
      </c>
      <c r="H83" s="2"/>
      <c r="I83" s="28"/>
      <c r="J83" s="219">
        <f>SUMIFS(сценарии!J:J,сценарии!$E:$E,$E83,сценарии!$M:$M,$J$80)</f>
        <v>7</v>
      </c>
      <c r="K83" s="105" t="str">
        <f>IF(J83&gt;J76,структура!$AL$19,"")</f>
        <v/>
      </c>
      <c r="L83" s="2"/>
      <c r="M83" s="52"/>
      <c r="N83" s="2"/>
      <c r="O83" s="2"/>
      <c r="P83" s="36"/>
      <c r="Q83" s="36"/>
      <c r="R83" s="36"/>
      <c r="S83" s="36"/>
      <c r="T83" s="36"/>
      <c r="U83" s="36"/>
      <c r="V83" s="36"/>
      <c r="W83" s="36"/>
      <c r="X83" s="36"/>
      <c r="Y83" s="36"/>
      <c r="Z83" s="36"/>
      <c r="AA83" s="36"/>
      <c r="AB83" s="2"/>
    </row>
    <row r="84" spans="1:28" x14ac:dyDescent="0.25">
      <c r="A84" s="2"/>
      <c r="B84" s="2"/>
      <c r="C84" s="2"/>
      <c r="D84" s="2"/>
      <c r="E84" s="49" t="str">
        <f>структура!$AF$14</f>
        <v>прочие для сдачи в аренду</v>
      </c>
      <c r="F84" s="2"/>
      <c r="G84" s="2" t="str">
        <f>G80</f>
        <v>чел</v>
      </c>
      <c r="H84" s="2"/>
      <c r="I84" s="28"/>
      <c r="J84" s="219">
        <f>SUMIFS(сценарии!J:J,сценарии!$E:$E,$E84,сценарии!$M:$M,$J$80)</f>
        <v>0</v>
      </c>
      <c r="K84" s="28"/>
      <c r="L84" s="2"/>
      <c r="M84" s="52"/>
      <c r="N84" s="2"/>
      <c r="O84" s="2"/>
      <c r="P84" s="36"/>
      <c r="Q84" s="36"/>
      <c r="R84" s="36"/>
      <c r="S84" s="36"/>
      <c r="T84" s="36"/>
      <c r="U84" s="36"/>
      <c r="V84" s="36"/>
      <c r="W84" s="36"/>
      <c r="X84" s="36"/>
      <c r="Y84" s="36"/>
      <c r="Z84" s="36"/>
      <c r="AA84" s="36"/>
      <c r="AB84" s="2"/>
    </row>
    <row r="85" spans="1:28" ht="3.9" customHeight="1" x14ac:dyDescent="0.25">
      <c r="A85" s="2"/>
      <c r="B85" s="2"/>
      <c r="C85" s="2"/>
      <c r="D85" s="2"/>
      <c r="E85" s="50"/>
      <c r="F85" s="2"/>
      <c r="G85" s="2"/>
      <c r="H85" s="2"/>
      <c r="I85" s="28"/>
      <c r="J85" s="2"/>
      <c r="K85" s="28"/>
      <c r="L85" s="2"/>
      <c r="M85" s="52"/>
      <c r="N85" s="2"/>
      <c r="O85" s="2"/>
      <c r="P85" s="36"/>
      <c r="Q85" s="36"/>
      <c r="R85" s="36"/>
      <c r="S85" s="36"/>
      <c r="T85" s="36"/>
      <c r="U85" s="36"/>
      <c r="V85" s="36"/>
      <c r="W85" s="36"/>
      <c r="X85" s="36"/>
      <c r="Y85" s="36"/>
      <c r="Z85" s="36"/>
      <c r="AA85" s="36"/>
      <c r="AB85" s="2"/>
    </row>
    <row r="86" spans="1:28" ht="3.9" customHeight="1" x14ac:dyDescent="0.25">
      <c r="A86" s="2"/>
      <c r="B86" s="2"/>
      <c r="C86" s="2"/>
      <c r="D86" s="2"/>
      <c r="E86" s="2"/>
      <c r="F86" s="2"/>
      <c r="G86" s="2"/>
      <c r="H86" s="2"/>
      <c r="I86" s="28"/>
      <c r="J86" s="2"/>
      <c r="K86" s="28"/>
      <c r="L86" s="2"/>
      <c r="M86" s="52"/>
      <c r="N86" s="2"/>
      <c r="O86" s="2"/>
      <c r="P86" s="36"/>
      <c r="Q86" s="36"/>
      <c r="R86" s="36"/>
      <c r="S86" s="36"/>
      <c r="T86" s="36"/>
      <c r="U86" s="36"/>
      <c r="V86" s="36"/>
      <c r="W86" s="36"/>
      <c r="X86" s="36"/>
      <c r="Y86" s="36"/>
      <c r="Z86" s="36"/>
      <c r="AA86" s="36"/>
      <c r="AB86" s="2"/>
    </row>
    <row r="87" spans="1:28" s="5" customFormat="1" x14ac:dyDescent="0.25">
      <c r="A87" s="3"/>
      <c r="B87" s="3"/>
      <c r="C87" s="3"/>
      <c r="D87" s="3"/>
      <c r="E87" s="89" t="str">
        <f>KPI!$E$37</f>
        <v>средняя наполняемость одного объекта</v>
      </c>
      <c r="F87" s="89"/>
      <c r="G87" s="89" t="str">
        <f>IF($E87="","",INDEX(KPI!$G:$G,SUMIFS(KPI!$B:$B,KPI!$E:$E,$E87)))</f>
        <v>чел</v>
      </c>
      <c r="H87" s="89"/>
      <c r="I87" s="90"/>
      <c r="J87" s="91" t="str">
        <f>структура!$AL$18</f>
        <v>одинаковая наполняемость</v>
      </c>
      <c r="K87" s="90"/>
      <c r="L87" s="89"/>
      <c r="M87" s="92">
        <f>IF(SUM(капитал!$J$67:$J$70)=0,0,INT(SUMPRODUCT(капитал!$J$67:$J$70,$J$82:$J$85)/SUM(капитал!$J$67:$J$70)))</f>
        <v>9</v>
      </c>
      <c r="N87" s="3"/>
      <c r="O87" s="3"/>
      <c r="P87" s="93">
        <f>IF(P$1="",0,IF(SUM(капитал!$J$67:$J$70)=0,0,INT(SUMPRODUCT(капитал!$J$67:$J$70,$J$82:$J$85)/SUM(капитал!$J$67:$J$70))))</f>
        <v>9</v>
      </c>
      <c r="Q87" s="93">
        <f>IF(Q$1="",0,IF(SUM(капитал!$J$67:$J$70)=0,0,INT(SUMPRODUCT(капитал!$J$67:$J$70,$J$82:$J$85)/SUM(капитал!$J$67:$J$70))))</f>
        <v>9</v>
      </c>
      <c r="R87" s="93">
        <f>IF(R$1="",0,IF(SUM(капитал!$J$67:$J$70)=0,0,INT(SUMPRODUCT(капитал!$J$67:$J$70,$J$82:$J$85)/SUM(капитал!$J$67:$J$70))))</f>
        <v>9</v>
      </c>
      <c r="S87" s="93">
        <f>IF(S$1="",0,IF(SUM(капитал!$J$67:$J$70)=0,0,INT(SUMPRODUCT(капитал!$J$67:$J$70,$J$82:$J$85)/SUM(капитал!$J$67:$J$70))))</f>
        <v>9</v>
      </c>
      <c r="T87" s="93">
        <f>IF(T$1="",0,IF(SUM(капитал!$J$67:$J$70)=0,0,INT(SUMPRODUCT(капитал!$J$67:$J$70,$J$82:$J$85)/SUM(капитал!$J$67:$J$70))))</f>
        <v>9</v>
      </c>
      <c r="U87" s="93">
        <f>IF(U$1="",0,IF(SUM(капитал!$J$67:$J$70)=0,0,INT(SUMPRODUCT(капитал!$J$67:$J$70,$J$82:$J$85)/SUM(капитал!$J$67:$J$70))))</f>
        <v>9</v>
      </c>
      <c r="V87" s="93">
        <f>IF(V$1="",0,IF(SUM(капитал!$J$67:$J$70)=0,0,INT(SUMPRODUCT(капитал!$J$67:$J$70,$J$82:$J$85)/SUM(капитал!$J$67:$J$70))))</f>
        <v>9</v>
      </c>
      <c r="W87" s="93">
        <f>IF(W$1="",0,IF(SUM(капитал!$J$67:$J$70)=0,0,INT(SUMPRODUCT(капитал!$J$67:$J$70,$J$82:$J$85)/SUM(капитал!$J$67:$J$70))))</f>
        <v>0</v>
      </c>
      <c r="X87" s="93">
        <f>IF(X$1="",0,IF(SUM(капитал!$J$67:$J$70)=0,0,INT(SUMPRODUCT(капитал!$J$67:$J$70,$J$82:$J$85)/SUM(капитал!$J$67:$J$70))))</f>
        <v>0</v>
      </c>
      <c r="Y87" s="93">
        <f>IF(Y$1="",0,IF(SUM(капитал!$J$67:$J$70)=0,0,INT(SUMPRODUCT(капитал!$J$67:$J$70,$J$82:$J$85)/SUM(капитал!$J$67:$J$70))))</f>
        <v>0</v>
      </c>
      <c r="Z87" s="93">
        <f>IF(Z$1="",0,IF(SUM(капитал!$J$67:$J$70)=0,0,INT(SUMPRODUCT(капитал!$J$67:$J$70,$J$82:$J$85)/SUM(капитал!$J$67:$J$70))))</f>
        <v>0</v>
      </c>
      <c r="AA87" s="93">
        <f>IF(AA$1="",0,IF(SUM(капитал!$J$67:$J$70)=0,0,INT(SUMPRODUCT(капитал!$J$67:$J$70,$J$82:$J$85)/SUM(капитал!$J$67:$J$70))))</f>
        <v>0</v>
      </c>
      <c r="AB87" s="3"/>
    </row>
    <row r="88" spans="1:28" ht="8.1" customHeight="1" x14ac:dyDescent="0.25">
      <c r="A88" s="2"/>
      <c r="B88" s="2"/>
      <c r="C88" s="2"/>
      <c r="D88" s="2"/>
      <c r="E88" s="2"/>
      <c r="F88" s="2"/>
      <c r="G88" s="2"/>
      <c r="H88" s="2"/>
      <c r="I88" s="28"/>
      <c r="J88" s="2"/>
      <c r="K88" s="28"/>
      <c r="L88" s="2"/>
      <c r="M88" s="52"/>
      <c r="N88" s="2"/>
      <c r="O88" s="2"/>
      <c r="P88" s="36"/>
      <c r="Q88" s="36"/>
      <c r="R88" s="36"/>
      <c r="S88" s="36"/>
      <c r="T88" s="36"/>
      <c r="U88" s="36"/>
      <c r="V88" s="36"/>
      <c r="W88" s="36"/>
      <c r="X88" s="36"/>
      <c r="Y88" s="36"/>
      <c r="Z88" s="36"/>
      <c r="AA88" s="36"/>
      <c r="AB88" s="2"/>
    </row>
    <row r="89" spans="1:28" s="5" customFormat="1" x14ac:dyDescent="0.25">
      <c r="A89" s="3"/>
      <c r="B89" s="3"/>
      <c r="C89" s="3"/>
      <c r="D89" s="3"/>
      <c r="E89" s="3" t="str">
        <f>KPI!$E$38</f>
        <v>траффик арендаторов</v>
      </c>
      <c r="F89" s="3"/>
      <c r="G89" s="3" t="str">
        <f>IF($E89="","",INDEX(KPI!$G:$G,SUMIFS(KPI!$B:$B,KPI!$E:$E,$E89)))</f>
        <v>чел</v>
      </c>
      <c r="H89" s="3"/>
      <c r="I89" s="28"/>
      <c r="J89" s="44"/>
      <c r="K89" s="28"/>
      <c r="L89" s="3"/>
      <c r="M89" s="55"/>
      <c r="N89" s="3"/>
      <c r="O89" s="3"/>
      <c r="P89" s="46">
        <f>IF(P$1="",0,IF(P$1=0,SUMIFS(P90:P101,H90:H101,"&gt;="&amp;MONTH($J$13)),SUM(P90:P101)))</f>
        <v>12528</v>
      </c>
      <c r="Q89" s="46">
        <f t="shared" ref="Q89" si="10">IF(Q$1="",0,SUM(Q90:Q101))</f>
        <v>12528</v>
      </c>
      <c r="R89" s="46">
        <f t="shared" ref="R89:AA89" si="11">IF(R$1="",0,SUM(R90:R101))</f>
        <v>12555</v>
      </c>
      <c r="S89" s="46">
        <f t="shared" si="11"/>
        <v>12528</v>
      </c>
      <c r="T89" s="46">
        <f t="shared" si="11"/>
        <v>12528</v>
      </c>
      <c r="U89" s="46">
        <f t="shared" si="11"/>
        <v>12528</v>
      </c>
      <c r="V89" s="46">
        <f t="shared" si="11"/>
        <v>12555</v>
      </c>
      <c r="W89" s="46">
        <f t="shared" si="11"/>
        <v>0</v>
      </c>
      <c r="X89" s="46">
        <f t="shared" si="11"/>
        <v>0</v>
      </c>
      <c r="Y89" s="46">
        <f t="shared" si="11"/>
        <v>0</v>
      </c>
      <c r="Z89" s="46">
        <f t="shared" si="11"/>
        <v>0</v>
      </c>
      <c r="AA89" s="46">
        <f t="shared" si="11"/>
        <v>0</v>
      </c>
      <c r="AB89" s="3"/>
    </row>
    <row r="90" spans="1:28" s="23" customFormat="1" ht="10.199999999999999" x14ac:dyDescent="0.2">
      <c r="A90" s="22"/>
      <c r="B90" s="22"/>
      <c r="C90" s="22"/>
      <c r="D90" s="22"/>
      <c r="E90" s="22" t="str">
        <f>E89</f>
        <v>траффик арендаторов</v>
      </c>
      <c r="F90" s="22"/>
      <c r="G90" s="22" t="str">
        <f>IF($E90="","",INDEX(KPI!$G:$G,SUMIFS(KPI!$B:$B,KPI!$E:$E,$E90)))</f>
        <v>чел</v>
      </c>
      <c r="H90" s="100">
        <f>структура!$V$12</f>
        <v>1</v>
      </c>
      <c r="I90" s="31"/>
      <c r="J90" s="98" t="str">
        <f>структура!$X$12</f>
        <v>янв</v>
      </c>
      <c r="K90" s="99"/>
      <c r="L90" s="22"/>
      <c r="M90" s="58"/>
      <c r="N90" s="22"/>
      <c r="O90" s="22"/>
      <c r="P90" s="101">
        <f>IF(P$1="",0,P44*P$87)</f>
        <v>720</v>
      </c>
      <c r="Q90" s="101">
        <f t="shared" ref="Q90:AA90" si="12">IF(Q$1="",0,Q44*Q$87)</f>
        <v>720</v>
      </c>
      <c r="R90" s="101">
        <f t="shared" si="12"/>
        <v>720</v>
      </c>
      <c r="S90" s="101">
        <f t="shared" si="12"/>
        <v>720</v>
      </c>
      <c r="T90" s="101">
        <f t="shared" si="12"/>
        <v>720</v>
      </c>
      <c r="U90" s="101">
        <f t="shared" si="12"/>
        <v>720</v>
      </c>
      <c r="V90" s="101">
        <f t="shared" si="12"/>
        <v>720</v>
      </c>
      <c r="W90" s="101">
        <f t="shared" si="12"/>
        <v>0</v>
      </c>
      <c r="X90" s="101">
        <f t="shared" si="12"/>
        <v>0</v>
      </c>
      <c r="Y90" s="101">
        <f t="shared" si="12"/>
        <v>0</v>
      </c>
      <c r="Z90" s="101">
        <f t="shared" si="12"/>
        <v>0</v>
      </c>
      <c r="AA90" s="101">
        <f t="shared" si="12"/>
        <v>0</v>
      </c>
      <c r="AB90" s="22"/>
    </row>
    <row r="91" spans="1:28" s="23" customFormat="1" ht="10.199999999999999" x14ac:dyDescent="0.2">
      <c r="A91" s="22"/>
      <c r="B91" s="22"/>
      <c r="C91" s="22"/>
      <c r="D91" s="22"/>
      <c r="E91" s="22" t="str">
        <f>E89</f>
        <v>траффик арендаторов</v>
      </c>
      <c r="F91" s="22"/>
      <c r="G91" s="22" t="str">
        <f>IF($E91="","",INDEX(KPI!$G:$G,SUMIFS(KPI!$B:$B,KPI!$E:$E,$E91)))</f>
        <v>чел</v>
      </c>
      <c r="H91" s="100">
        <f>структура!$V$13</f>
        <v>2</v>
      </c>
      <c r="I91" s="31"/>
      <c r="J91" s="98" t="str">
        <f>структура!$X$13</f>
        <v>фев</v>
      </c>
      <c r="K91" s="99"/>
      <c r="L91" s="22"/>
      <c r="M91" s="58"/>
      <c r="N91" s="22"/>
      <c r="O91" s="22"/>
      <c r="P91" s="101">
        <f t="shared" ref="P91:AA101" si="13">IF(P$1="",0,P45*P$87)</f>
        <v>648</v>
      </c>
      <c r="Q91" s="101">
        <f t="shared" si="13"/>
        <v>648</v>
      </c>
      <c r="R91" s="101">
        <f t="shared" si="13"/>
        <v>675</v>
      </c>
      <c r="S91" s="101">
        <f t="shared" si="13"/>
        <v>648</v>
      </c>
      <c r="T91" s="101">
        <f t="shared" si="13"/>
        <v>648</v>
      </c>
      <c r="U91" s="101">
        <f t="shared" si="13"/>
        <v>648</v>
      </c>
      <c r="V91" s="101">
        <f t="shared" si="13"/>
        <v>675</v>
      </c>
      <c r="W91" s="101">
        <f t="shared" si="13"/>
        <v>0</v>
      </c>
      <c r="X91" s="101">
        <f t="shared" si="13"/>
        <v>0</v>
      </c>
      <c r="Y91" s="101">
        <f t="shared" si="13"/>
        <v>0</v>
      </c>
      <c r="Z91" s="101">
        <f t="shared" si="13"/>
        <v>0</v>
      </c>
      <c r="AA91" s="101">
        <f t="shared" si="13"/>
        <v>0</v>
      </c>
      <c r="AB91" s="22"/>
    </row>
    <row r="92" spans="1:28" s="23" customFormat="1" ht="10.199999999999999" x14ac:dyDescent="0.2">
      <c r="A92" s="22"/>
      <c r="B92" s="22"/>
      <c r="C92" s="22"/>
      <c r="D92" s="22"/>
      <c r="E92" s="22" t="str">
        <f>E89</f>
        <v>траффик арендаторов</v>
      </c>
      <c r="F92" s="22"/>
      <c r="G92" s="22" t="str">
        <f>IF($E92="","",INDEX(KPI!$G:$G,SUMIFS(KPI!$B:$B,KPI!$E:$E,$E92)))</f>
        <v>чел</v>
      </c>
      <c r="H92" s="100">
        <f>структура!$V$14</f>
        <v>3</v>
      </c>
      <c r="I92" s="31"/>
      <c r="J92" s="98" t="str">
        <f>структура!$X$14</f>
        <v>мар</v>
      </c>
      <c r="K92" s="99"/>
      <c r="L92" s="22"/>
      <c r="M92" s="58"/>
      <c r="N92" s="22"/>
      <c r="O92" s="22"/>
      <c r="P92" s="101">
        <f t="shared" si="13"/>
        <v>900</v>
      </c>
      <c r="Q92" s="101">
        <f t="shared" si="13"/>
        <v>900</v>
      </c>
      <c r="R92" s="101">
        <f t="shared" si="13"/>
        <v>900</v>
      </c>
      <c r="S92" s="101">
        <f t="shared" si="13"/>
        <v>900</v>
      </c>
      <c r="T92" s="101">
        <f t="shared" si="13"/>
        <v>900</v>
      </c>
      <c r="U92" s="101">
        <f t="shared" si="13"/>
        <v>900</v>
      </c>
      <c r="V92" s="101">
        <f t="shared" si="13"/>
        <v>900</v>
      </c>
      <c r="W92" s="101">
        <f t="shared" si="13"/>
        <v>0</v>
      </c>
      <c r="X92" s="101">
        <f t="shared" si="13"/>
        <v>0</v>
      </c>
      <c r="Y92" s="101">
        <f t="shared" si="13"/>
        <v>0</v>
      </c>
      <c r="Z92" s="101">
        <f t="shared" si="13"/>
        <v>0</v>
      </c>
      <c r="AA92" s="101">
        <f t="shared" si="13"/>
        <v>0</v>
      </c>
      <c r="AB92" s="22"/>
    </row>
    <row r="93" spans="1:28" s="23" customFormat="1" ht="10.199999999999999" x14ac:dyDescent="0.2">
      <c r="A93" s="22"/>
      <c r="B93" s="22"/>
      <c r="C93" s="22"/>
      <c r="D93" s="22"/>
      <c r="E93" s="22" t="str">
        <f>E89</f>
        <v>траффик арендаторов</v>
      </c>
      <c r="F93" s="22"/>
      <c r="G93" s="22" t="str">
        <f>IF($E93="","",INDEX(KPI!$G:$G,SUMIFS(KPI!$B:$B,KPI!$E:$E,$E93)))</f>
        <v>чел</v>
      </c>
      <c r="H93" s="100">
        <f>структура!$V$15</f>
        <v>4</v>
      </c>
      <c r="I93" s="31"/>
      <c r="J93" s="98" t="str">
        <f>структура!$X$15</f>
        <v>апр</v>
      </c>
      <c r="K93" s="99"/>
      <c r="L93" s="22"/>
      <c r="M93" s="58"/>
      <c r="N93" s="22"/>
      <c r="O93" s="22"/>
      <c r="P93" s="101">
        <f t="shared" si="13"/>
        <v>1053</v>
      </c>
      <c r="Q93" s="101">
        <f t="shared" si="13"/>
        <v>1053</v>
      </c>
      <c r="R93" s="101">
        <f t="shared" si="13"/>
        <v>1053</v>
      </c>
      <c r="S93" s="101">
        <f t="shared" si="13"/>
        <v>1053</v>
      </c>
      <c r="T93" s="101">
        <f t="shared" si="13"/>
        <v>1053</v>
      </c>
      <c r="U93" s="101">
        <f t="shared" si="13"/>
        <v>1053</v>
      </c>
      <c r="V93" s="101">
        <f t="shared" si="13"/>
        <v>1053</v>
      </c>
      <c r="W93" s="101">
        <f t="shared" si="13"/>
        <v>0</v>
      </c>
      <c r="X93" s="101">
        <f t="shared" si="13"/>
        <v>0</v>
      </c>
      <c r="Y93" s="101">
        <f t="shared" si="13"/>
        <v>0</v>
      </c>
      <c r="Z93" s="101">
        <f t="shared" si="13"/>
        <v>0</v>
      </c>
      <c r="AA93" s="101">
        <f t="shared" si="13"/>
        <v>0</v>
      </c>
      <c r="AB93" s="22"/>
    </row>
    <row r="94" spans="1:28" s="23" customFormat="1" ht="10.199999999999999" x14ac:dyDescent="0.2">
      <c r="A94" s="22"/>
      <c r="B94" s="22"/>
      <c r="C94" s="22"/>
      <c r="D94" s="22"/>
      <c r="E94" s="22" t="str">
        <f>E89</f>
        <v>траффик арендаторов</v>
      </c>
      <c r="F94" s="22"/>
      <c r="G94" s="22" t="str">
        <f>IF($E94="","",INDEX(KPI!$G:$G,SUMIFS(KPI!$B:$B,KPI!$E:$E,$E94)))</f>
        <v>чел</v>
      </c>
      <c r="H94" s="100">
        <f>структура!$V$16</f>
        <v>5</v>
      </c>
      <c r="I94" s="31"/>
      <c r="J94" s="98" t="str">
        <f>структура!$X$16</f>
        <v>май</v>
      </c>
      <c r="K94" s="99"/>
      <c r="L94" s="22"/>
      <c r="M94" s="58"/>
      <c r="N94" s="22"/>
      <c r="O94" s="22"/>
      <c r="P94" s="101">
        <f t="shared" si="13"/>
        <v>1080</v>
      </c>
      <c r="Q94" s="101">
        <f t="shared" si="13"/>
        <v>1080</v>
      </c>
      <c r="R94" s="101">
        <f t="shared" si="13"/>
        <v>1080</v>
      </c>
      <c r="S94" s="101">
        <f t="shared" si="13"/>
        <v>1080</v>
      </c>
      <c r="T94" s="101">
        <f t="shared" si="13"/>
        <v>1080</v>
      </c>
      <c r="U94" s="101">
        <f t="shared" si="13"/>
        <v>1080</v>
      </c>
      <c r="V94" s="101">
        <f t="shared" si="13"/>
        <v>1080</v>
      </c>
      <c r="W94" s="101">
        <f t="shared" si="13"/>
        <v>0</v>
      </c>
      <c r="X94" s="101">
        <f t="shared" si="13"/>
        <v>0</v>
      </c>
      <c r="Y94" s="101">
        <f t="shared" si="13"/>
        <v>0</v>
      </c>
      <c r="Z94" s="101">
        <f t="shared" si="13"/>
        <v>0</v>
      </c>
      <c r="AA94" s="101">
        <f t="shared" si="13"/>
        <v>0</v>
      </c>
      <c r="AB94" s="22"/>
    </row>
    <row r="95" spans="1:28" s="23" customFormat="1" ht="10.199999999999999" x14ac:dyDescent="0.2">
      <c r="A95" s="22"/>
      <c r="B95" s="22"/>
      <c r="C95" s="22"/>
      <c r="D95" s="22"/>
      <c r="E95" s="22" t="str">
        <f>E89</f>
        <v>траффик арендаторов</v>
      </c>
      <c r="F95" s="22"/>
      <c r="G95" s="22" t="str">
        <f>IF($E95="","",INDEX(KPI!$G:$G,SUMIFS(KPI!$B:$B,KPI!$E:$E,$E95)))</f>
        <v>чел</v>
      </c>
      <c r="H95" s="100">
        <f>структура!$V$17</f>
        <v>6</v>
      </c>
      <c r="I95" s="31"/>
      <c r="J95" s="98" t="str">
        <f>структура!$X$17</f>
        <v>июн</v>
      </c>
      <c r="K95" s="99"/>
      <c r="L95" s="22"/>
      <c r="M95" s="58"/>
      <c r="N95" s="22"/>
      <c r="O95" s="22"/>
      <c r="P95" s="101">
        <f t="shared" si="13"/>
        <v>1404</v>
      </c>
      <c r="Q95" s="101">
        <f t="shared" si="13"/>
        <v>1404</v>
      </c>
      <c r="R95" s="101">
        <f t="shared" si="13"/>
        <v>1404</v>
      </c>
      <c r="S95" s="101">
        <f t="shared" si="13"/>
        <v>1404</v>
      </c>
      <c r="T95" s="101">
        <f t="shared" si="13"/>
        <v>1404</v>
      </c>
      <c r="U95" s="101">
        <f t="shared" si="13"/>
        <v>1404</v>
      </c>
      <c r="V95" s="101">
        <f t="shared" si="13"/>
        <v>1404</v>
      </c>
      <c r="W95" s="101">
        <f t="shared" si="13"/>
        <v>0</v>
      </c>
      <c r="X95" s="101">
        <f t="shared" si="13"/>
        <v>0</v>
      </c>
      <c r="Y95" s="101">
        <f t="shared" si="13"/>
        <v>0</v>
      </c>
      <c r="Z95" s="101">
        <f t="shared" si="13"/>
        <v>0</v>
      </c>
      <c r="AA95" s="101">
        <f t="shared" si="13"/>
        <v>0</v>
      </c>
      <c r="AB95" s="22"/>
    </row>
    <row r="96" spans="1:28" s="23" customFormat="1" ht="10.199999999999999" x14ac:dyDescent="0.2">
      <c r="A96" s="22"/>
      <c r="B96" s="22"/>
      <c r="C96" s="22"/>
      <c r="D96" s="22"/>
      <c r="E96" s="22" t="str">
        <f>E89</f>
        <v>траффик арендаторов</v>
      </c>
      <c r="F96" s="22"/>
      <c r="G96" s="22" t="str">
        <f>IF($E96="","",INDEX(KPI!$G:$G,SUMIFS(KPI!$B:$B,KPI!$E:$E,$E96)))</f>
        <v>чел</v>
      </c>
      <c r="H96" s="100">
        <f>структура!$V$18</f>
        <v>7</v>
      </c>
      <c r="I96" s="31"/>
      <c r="J96" s="98" t="str">
        <f>структура!$X$18</f>
        <v>июл</v>
      </c>
      <c r="K96" s="99"/>
      <c r="L96" s="22"/>
      <c r="M96" s="58"/>
      <c r="N96" s="22"/>
      <c r="O96" s="22"/>
      <c r="P96" s="101">
        <f t="shared" si="13"/>
        <v>1449</v>
      </c>
      <c r="Q96" s="101">
        <f t="shared" si="13"/>
        <v>1449</v>
      </c>
      <c r="R96" s="101">
        <f t="shared" si="13"/>
        <v>1449</v>
      </c>
      <c r="S96" s="101">
        <f t="shared" si="13"/>
        <v>1449</v>
      </c>
      <c r="T96" s="101">
        <f t="shared" si="13"/>
        <v>1449</v>
      </c>
      <c r="U96" s="101">
        <f t="shared" si="13"/>
        <v>1449</v>
      </c>
      <c r="V96" s="101">
        <f t="shared" si="13"/>
        <v>1449</v>
      </c>
      <c r="W96" s="101">
        <f t="shared" si="13"/>
        <v>0</v>
      </c>
      <c r="X96" s="101">
        <f t="shared" si="13"/>
        <v>0</v>
      </c>
      <c r="Y96" s="101">
        <f t="shared" si="13"/>
        <v>0</v>
      </c>
      <c r="Z96" s="101">
        <f t="shared" si="13"/>
        <v>0</v>
      </c>
      <c r="AA96" s="101">
        <f t="shared" si="13"/>
        <v>0</v>
      </c>
      <c r="AB96" s="22"/>
    </row>
    <row r="97" spans="1:28" s="23" customFormat="1" ht="10.199999999999999" x14ac:dyDescent="0.2">
      <c r="A97" s="22"/>
      <c r="B97" s="22"/>
      <c r="C97" s="22"/>
      <c r="D97" s="22"/>
      <c r="E97" s="22" t="str">
        <f>E89</f>
        <v>траффик арендаторов</v>
      </c>
      <c r="F97" s="22"/>
      <c r="G97" s="22" t="str">
        <f>IF($E97="","",INDEX(KPI!$G:$G,SUMIFS(KPI!$B:$B,KPI!$E:$E,$E97)))</f>
        <v>чел</v>
      </c>
      <c r="H97" s="100">
        <f>структура!$V$19</f>
        <v>8</v>
      </c>
      <c r="I97" s="31"/>
      <c r="J97" s="98" t="str">
        <f>структура!$X$19</f>
        <v>авг</v>
      </c>
      <c r="K97" s="99"/>
      <c r="L97" s="22"/>
      <c r="M97" s="58"/>
      <c r="N97" s="22"/>
      <c r="O97" s="22"/>
      <c r="P97" s="101">
        <f t="shared" si="13"/>
        <v>1449</v>
      </c>
      <c r="Q97" s="101">
        <f t="shared" si="13"/>
        <v>1449</v>
      </c>
      <c r="R97" s="101">
        <f t="shared" si="13"/>
        <v>1449</v>
      </c>
      <c r="S97" s="101">
        <f t="shared" si="13"/>
        <v>1449</v>
      </c>
      <c r="T97" s="101">
        <f t="shared" si="13"/>
        <v>1449</v>
      </c>
      <c r="U97" s="101">
        <f t="shared" si="13"/>
        <v>1449</v>
      </c>
      <c r="V97" s="101">
        <f t="shared" si="13"/>
        <v>1449</v>
      </c>
      <c r="W97" s="101">
        <f t="shared" si="13"/>
        <v>0</v>
      </c>
      <c r="X97" s="101">
        <f t="shared" si="13"/>
        <v>0</v>
      </c>
      <c r="Y97" s="101">
        <f t="shared" si="13"/>
        <v>0</v>
      </c>
      <c r="Z97" s="101">
        <f t="shared" si="13"/>
        <v>0</v>
      </c>
      <c r="AA97" s="101">
        <f t="shared" si="13"/>
        <v>0</v>
      </c>
      <c r="AB97" s="22"/>
    </row>
    <row r="98" spans="1:28" s="23" customFormat="1" ht="10.199999999999999" x14ac:dyDescent="0.2">
      <c r="A98" s="22"/>
      <c r="B98" s="22"/>
      <c r="C98" s="22"/>
      <c r="D98" s="22"/>
      <c r="E98" s="22" t="str">
        <f>E89</f>
        <v>траффик арендаторов</v>
      </c>
      <c r="F98" s="22"/>
      <c r="G98" s="22" t="str">
        <f>IF($E98="","",INDEX(KPI!$G:$G,SUMIFS(KPI!$B:$B,KPI!$E:$E,$E98)))</f>
        <v>чел</v>
      </c>
      <c r="H98" s="100">
        <f>структура!$V$20</f>
        <v>9</v>
      </c>
      <c r="I98" s="31"/>
      <c r="J98" s="98" t="str">
        <f>структура!$X$20</f>
        <v>сен</v>
      </c>
      <c r="K98" s="99"/>
      <c r="L98" s="22"/>
      <c r="M98" s="58"/>
      <c r="N98" s="22"/>
      <c r="O98" s="22"/>
      <c r="P98" s="101">
        <f t="shared" si="13"/>
        <v>1224</v>
      </c>
      <c r="Q98" s="101">
        <f t="shared" si="13"/>
        <v>1224</v>
      </c>
      <c r="R98" s="101">
        <f t="shared" si="13"/>
        <v>1224</v>
      </c>
      <c r="S98" s="101">
        <f t="shared" si="13"/>
        <v>1224</v>
      </c>
      <c r="T98" s="101">
        <f t="shared" si="13"/>
        <v>1224</v>
      </c>
      <c r="U98" s="101">
        <f t="shared" si="13"/>
        <v>1224</v>
      </c>
      <c r="V98" s="101">
        <f t="shared" si="13"/>
        <v>1224</v>
      </c>
      <c r="W98" s="101">
        <f t="shared" si="13"/>
        <v>0</v>
      </c>
      <c r="X98" s="101">
        <f t="shared" si="13"/>
        <v>0</v>
      </c>
      <c r="Y98" s="101">
        <f t="shared" si="13"/>
        <v>0</v>
      </c>
      <c r="Z98" s="101">
        <f t="shared" si="13"/>
        <v>0</v>
      </c>
      <c r="AA98" s="101">
        <f t="shared" si="13"/>
        <v>0</v>
      </c>
      <c r="AB98" s="22"/>
    </row>
    <row r="99" spans="1:28" s="23" customFormat="1" ht="10.199999999999999" x14ac:dyDescent="0.2">
      <c r="A99" s="22"/>
      <c r="B99" s="22"/>
      <c r="C99" s="22"/>
      <c r="D99" s="22"/>
      <c r="E99" s="22" t="str">
        <f>E89</f>
        <v>траффик арендаторов</v>
      </c>
      <c r="F99" s="22"/>
      <c r="G99" s="22" t="str">
        <f>IF($E99="","",INDEX(KPI!$G:$G,SUMIFS(KPI!$B:$B,KPI!$E:$E,$E99)))</f>
        <v>чел</v>
      </c>
      <c r="H99" s="100">
        <f>структура!$V$21</f>
        <v>10</v>
      </c>
      <c r="I99" s="31"/>
      <c r="J99" s="98" t="str">
        <f>структура!$X$21</f>
        <v>окт</v>
      </c>
      <c r="K99" s="99"/>
      <c r="L99" s="22"/>
      <c r="M99" s="58"/>
      <c r="N99" s="22"/>
      <c r="O99" s="22"/>
      <c r="P99" s="101">
        <f t="shared" si="13"/>
        <v>1008</v>
      </c>
      <c r="Q99" s="101">
        <f t="shared" si="13"/>
        <v>1008</v>
      </c>
      <c r="R99" s="101">
        <f t="shared" si="13"/>
        <v>1008</v>
      </c>
      <c r="S99" s="101">
        <f t="shared" si="13"/>
        <v>1008</v>
      </c>
      <c r="T99" s="101">
        <f t="shared" si="13"/>
        <v>1008</v>
      </c>
      <c r="U99" s="101">
        <f t="shared" si="13"/>
        <v>1008</v>
      </c>
      <c r="V99" s="101">
        <f t="shared" si="13"/>
        <v>1008</v>
      </c>
      <c r="W99" s="101">
        <f t="shared" si="13"/>
        <v>0</v>
      </c>
      <c r="X99" s="101">
        <f t="shared" si="13"/>
        <v>0</v>
      </c>
      <c r="Y99" s="101">
        <f t="shared" si="13"/>
        <v>0</v>
      </c>
      <c r="Z99" s="101">
        <f t="shared" si="13"/>
        <v>0</v>
      </c>
      <c r="AA99" s="101">
        <f t="shared" si="13"/>
        <v>0</v>
      </c>
      <c r="AB99" s="22"/>
    </row>
    <row r="100" spans="1:28" s="23" customFormat="1" ht="10.199999999999999" x14ac:dyDescent="0.2">
      <c r="A100" s="22"/>
      <c r="B100" s="22"/>
      <c r="C100" s="22"/>
      <c r="D100" s="22"/>
      <c r="E100" s="22" t="str">
        <f>E89</f>
        <v>траффик арендаторов</v>
      </c>
      <c r="F100" s="22"/>
      <c r="G100" s="22" t="str">
        <f>IF($E100="","",INDEX(KPI!$G:$G,SUMIFS(KPI!$B:$B,KPI!$E:$E,$E100)))</f>
        <v>чел</v>
      </c>
      <c r="H100" s="100">
        <f>структура!$V$22</f>
        <v>11</v>
      </c>
      <c r="I100" s="31"/>
      <c r="J100" s="98" t="str">
        <f>структура!$X$22</f>
        <v>ноя</v>
      </c>
      <c r="K100" s="99"/>
      <c r="L100" s="22"/>
      <c r="M100" s="58"/>
      <c r="N100" s="22"/>
      <c r="O100" s="22"/>
      <c r="P100" s="101">
        <f t="shared" si="13"/>
        <v>873</v>
      </c>
      <c r="Q100" s="101">
        <f t="shared" si="13"/>
        <v>873</v>
      </c>
      <c r="R100" s="101">
        <f t="shared" si="13"/>
        <v>873</v>
      </c>
      <c r="S100" s="101">
        <f t="shared" si="13"/>
        <v>873</v>
      </c>
      <c r="T100" s="101">
        <f t="shared" si="13"/>
        <v>873</v>
      </c>
      <c r="U100" s="101">
        <f t="shared" si="13"/>
        <v>873</v>
      </c>
      <c r="V100" s="101">
        <f t="shared" si="13"/>
        <v>873</v>
      </c>
      <c r="W100" s="101">
        <f t="shared" si="13"/>
        <v>0</v>
      </c>
      <c r="X100" s="101">
        <f t="shared" si="13"/>
        <v>0</v>
      </c>
      <c r="Y100" s="101">
        <f t="shared" si="13"/>
        <v>0</v>
      </c>
      <c r="Z100" s="101">
        <f t="shared" si="13"/>
        <v>0</v>
      </c>
      <c r="AA100" s="101">
        <f t="shared" si="13"/>
        <v>0</v>
      </c>
      <c r="AB100" s="22"/>
    </row>
    <row r="101" spans="1:28" s="23" customFormat="1" ht="10.199999999999999" x14ac:dyDescent="0.2">
      <c r="A101" s="22"/>
      <c r="B101" s="22"/>
      <c r="C101" s="22"/>
      <c r="D101" s="22"/>
      <c r="E101" s="22" t="str">
        <f>E89</f>
        <v>траффик арендаторов</v>
      </c>
      <c r="F101" s="22"/>
      <c r="G101" s="22" t="str">
        <f>IF($E101="","",INDEX(KPI!$G:$G,SUMIFS(KPI!$B:$B,KPI!$E:$E,$E101)))</f>
        <v>чел</v>
      </c>
      <c r="H101" s="100">
        <f>структура!$V$23</f>
        <v>12</v>
      </c>
      <c r="I101" s="31"/>
      <c r="J101" s="98" t="str">
        <f>структура!$X$23</f>
        <v>дек</v>
      </c>
      <c r="K101" s="99"/>
      <c r="L101" s="22"/>
      <c r="M101" s="58"/>
      <c r="N101" s="22"/>
      <c r="O101" s="22"/>
      <c r="P101" s="101">
        <f t="shared" si="13"/>
        <v>720</v>
      </c>
      <c r="Q101" s="101">
        <f t="shared" si="13"/>
        <v>720</v>
      </c>
      <c r="R101" s="101">
        <f t="shared" si="13"/>
        <v>720</v>
      </c>
      <c r="S101" s="101">
        <f t="shared" si="13"/>
        <v>720</v>
      </c>
      <c r="T101" s="101">
        <f t="shared" si="13"/>
        <v>720</v>
      </c>
      <c r="U101" s="101">
        <f t="shared" si="13"/>
        <v>720</v>
      </c>
      <c r="V101" s="101">
        <f t="shared" si="13"/>
        <v>720</v>
      </c>
      <c r="W101" s="101">
        <f t="shared" si="13"/>
        <v>0</v>
      </c>
      <c r="X101" s="101">
        <f t="shared" si="13"/>
        <v>0</v>
      </c>
      <c r="Y101" s="101">
        <f t="shared" si="13"/>
        <v>0</v>
      </c>
      <c r="Z101" s="101">
        <f t="shared" si="13"/>
        <v>0</v>
      </c>
      <c r="AA101" s="101">
        <f t="shared" si="13"/>
        <v>0</v>
      </c>
      <c r="AB101" s="22"/>
    </row>
    <row r="102" spans="1:28" ht="3.9" customHeight="1" x14ac:dyDescent="0.25">
      <c r="A102" s="2"/>
      <c r="B102" s="2"/>
      <c r="C102" s="2"/>
      <c r="D102" s="2"/>
      <c r="E102" s="21"/>
      <c r="F102" s="2"/>
      <c r="G102" s="21"/>
      <c r="H102" s="2"/>
      <c r="I102" s="28"/>
      <c r="J102" s="21"/>
      <c r="K102" s="28"/>
      <c r="L102" s="2"/>
      <c r="M102" s="52"/>
      <c r="N102" s="2"/>
      <c r="O102" s="2"/>
      <c r="P102" s="36"/>
      <c r="Q102" s="36"/>
      <c r="R102" s="36"/>
      <c r="S102" s="36"/>
      <c r="T102" s="36"/>
      <c r="U102" s="36"/>
      <c r="V102" s="36"/>
      <c r="W102" s="36"/>
      <c r="X102" s="36"/>
      <c r="Y102" s="36"/>
      <c r="Z102" s="36"/>
      <c r="AA102" s="36"/>
      <c r="AB102" s="2"/>
    </row>
    <row r="103" spans="1:28" ht="8.1" customHeight="1" x14ac:dyDescent="0.25">
      <c r="A103" s="2"/>
      <c r="B103" s="2"/>
      <c r="C103" s="2"/>
      <c r="D103" s="2"/>
      <c r="E103" s="2"/>
      <c r="F103" s="2"/>
      <c r="G103" s="2"/>
      <c r="H103" s="2"/>
      <c r="I103" s="28"/>
      <c r="J103" s="2"/>
      <c r="K103" s="28"/>
      <c r="L103" s="2"/>
      <c r="M103" s="52"/>
      <c r="N103" s="2"/>
      <c r="O103" s="2"/>
      <c r="P103" s="36"/>
      <c r="Q103" s="36"/>
      <c r="R103" s="36"/>
      <c r="S103" s="36"/>
      <c r="T103" s="36"/>
      <c r="U103" s="36"/>
      <c r="V103" s="36"/>
      <c r="W103" s="36"/>
      <c r="X103" s="36"/>
      <c r="Y103" s="36"/>
      <c r="Z103" s="36"/>
      <c r="AA103" s="36"/>
      <c r="AB103" s="2"/>
    </row>
    <row r="104" spans="1:28" s="5" customFormat="1" x14ac:dyDescent="0.25">
      <c r="A104" s="3"/>
      <c r="B104" s="3"/>
      <c r="C104" s="3"/>
      <c r="D104" s="3"/>
      <c r="E104" s="3" t="str">
        <f>KPI!$E$41</f>
        <v>%-нт прироста "безарендного" траффика</v>
      </c>
      <c r="F104" s="3"/>
      <c r="G104" s="3" t="str">
        <f>IF($E104="","",INDEX(KPI!$G:$G,SUMIFS(KPI!$B:$B,KPI!$E:$E,$E104)))</f>
        <v>%</v>
      </c>
      <c r="H104" s="3"/>
      <c r="I104" s="6"/>
      <c r="J104" s="218">
        <f>SUMIFS(сценарии!J:J,сценарии!$E:$E,$E104,сценарии!$M:$M,$L$104)</f>
        <v>0.1</v>
      </c>
      <c r="K104" s="28"/>
      <c r="L104" s="104" t="str">
        <f>$P$19</f>
        <v>сценарий-1</v>
      </c>
      <c r="M104" s="55"/>
      <c r="N104" s="3"/>
      <c r="O104" s="3"/>
      <c r="P104" s="46"/>
      <c r="Q104" s="46"/>
      <c r="R104" s="46"/>
      <c r="S104" s="46"/>
      <c r="T104" s="46"/>
      <c r="U104" s="46"/>
      <c r="V104" s="46"/>
      <c r="W104" s="46"/>
      <c r="X104" s="46"/>
      <c r="Y104" s="46"/>
      <c r="Z104" s="46"/>
      <c r="AA104" s="46"/>
      <c r="AB104" s="3"/>
    </row>
    <row r="105" spans="1:28" ht="3.9" customHeight="1" x14ac:dyDescent="0.25">
      <c r="A105" s="2"/>
      <c r="B105" s="2"/>
      <c r="C105" s="2"/>
      <c r="D105" s="2"/>
      <c r="E105" s="2"/>
      <c r="F105" s="2"/>
      <c r="G105" s="2"/>
      <c r="H105" s="2"/>
      <c r="I105" s="28"/>
      <c r="J105" s="2"/>
      <c r="K105" s="28"/>
      <c r="L105" s="2"/>
      <c r="M105" s="52"/>
      <c r="N105" s="2"/>
      <c r="O105" s="2"/>
      <c r="P105" s="36"/>
      <c r="Q105" s="36"/>
      <c r="R105" s="36"/>
      <c r="S105" s="36"/>
      <c r="T105" s="36"/>
      <c r="U105" s="36"/>
      <c r="V105" s="36"/>
      <c r="W105" s="36"/>
      <c r="X105" s="36"/>
      <c r="Y105" s="36"/>
      <c r="Z105" s="36"/>
      <c r="AA105" s="36"/>
      <c r="AB105" s="2"/>
    </row>
    <row r="106" spans="1:28" ht="8.1" customHeight="1" x14ac:dyDescent="0.25">
      <c r="A106" s="2"/>
      <c r="B106" s="2"/>
      <c r="C106" s="2"/>
      <c r="D106" s="2"/>
      <c r="E106" s="2"/>
      <c r="F106" s="2"/>
      <c r="G106" s="2"/>
      <c r="H106" s="2"/>
      <c r="I106" s="28"/>
      <c r="J106" s="2"/>
      <c r="K106" s="28"/>
      <c r="L106" s="2"/>
      <c r="M106" s="52"/>
      <c r="N106" s="2"/>
      <c r="O106" s="2"/>
      <c r="P106" s="36"/>
      <c r="Q106" s="36"/>
      <c r="R106" s="36"/>
      <c r="S106" s="36"/>
      <c r="T106" s="36"/>
      <c r="U106" s="36"/>
      <c r="V106" s="36"/>
      <c r="W106" s="36"/>
      <c r="X106" s="36"/>
      <c r="Y106" s="36"/>
      <c r="Z106" s="36"/>
      <c r="AA106" s="36"/>
      <c r="AB106" s="2"/>
    </row>
    <row r="107" spans="1:28" x14ac:dyDescent="0.25">
      <c r="A107" s="2"/>
      <c r="B107" s="2"/>
      <c r="C107" s="2"/>
      <c r="D107" s="2"/>
      <c r="E107" s="3" t="str">
        <f>KPI!$E$39</f>
        <v>средний чек одной услуги</v>
      </c>
      <c r="F107" s="3"/>
      <c r="G107" s="3" t="str">
        <f>IF($E107="","",INDEX(KPI!$G:$G,SUMIFS(KPI!$B:$B,KPI!$E:$E,$E107)))</f>
        <v>руб.</v>
      </c>
      <c r="H107" s="3"/>
      <c r="I107" s="28"/>
      <c r="J107" s="44"/>
      <c r="K107" s="28"/>
      <c r="L107" s="3"/>
      <c r="M107" s="55"/>
      <c r="N107" s="2"/>
      <c r="O107" s="2"/>
      <c r="P107" s="36"/>
      <c r="Q107" s="36"/>
      <c r="R107" s="36"/>
      <c r="S107" s="36"/>
      <c r="T107" s="36"/>
      <c r="U107" s="36"/>
      <c r="V107" s="36"/>
      <c r="W107" s="36"/>
      <c r="X107" s="36"/>
      <c r="Y107" s="36"/>
      <c r="Z107" s="36"/>
      <c r="AA107" s="36"/>
      <c r="AB107" s="2"/>
    </row>
    <row r="108" spans="1:28" s="23" customFormat="1" x14ac:dyDescent="0.25">
      <c r="A108" s="22"/>
      <c r="B108" s="22"/>
      <c r="C108" s="22"/>
      <c r="D108" s="22"/>
      <c r="E108" s="22" t="str">
        <f>E107</f>
        <v>средний чек одной услуги</v>
      </c>
      <c r="F108" s="22"/>
      <c r="G108" s="22" t="str">
        <f>IF($E108="","",INDEX(KPI!$G:$G,SUMIFS(KPI!$B:$B,KPI!$E:$E,$E108)))</f>
        <v>руб.</v>
      </c>
      <c r="H108" s="100">
        <f>структура!$V$12</f>
        <v>1</v>
      </c>
      <c r="I108" s="31"/>
      <c r="J108" s="98" t="str">
        <f>структура!$X$12</f>
        <v>янв</v>
      </c>
      <c r="K108" s="99"/>
      <c r="L108" s="31"/>
      <c r="M108" s="204">
        <f>операции!M153</f>
        <v>0.1</v>
      </c>
      <c r="N108" s="22"/>
      <c r="O108" s="22"/>
      <c r="P108" s="100"/>
      <c r="Q108" s="100"/>
      <c r="R108" s="100"/>
      <c r="S108" s="100"/>
      <c r="T108" s="100"/>
      <c r="U108" s="100"/>
      <c r="V108" s="100"/>
      <c r="W108" s="100"/>
      <c r="X108" s="100"/>
      <c r="Y108" s="100"/>
      <c r="Z108" s="100"/>
      <c r="AA108" s="100"/>
      <c r="AB108" s="22"/>
    </row>
    <row r="109" spans="1:28" s="23" customFormat="1" x14ac:dyDescent="0.25">
      <c r="A109" s="22"/>
      <c r="B109" s="22"/>
      <c r="C109" s="22"/>
      <c r="D109" s="22"/>
      <c r="E109" s="22" t="str">
        <f>E107</f>
        <v>средний чек одной услуги</v>
      </c>
      <c r="F109" s="22"/>
      <c r="G109" s="22" t="str">
        <f>IF($E109="","",INDEX(KPI!$G:$G,SUMIFS(KPI!$B:$B,KPI!$E:$E,$E109)))</f>
        <v>руб.</v>
      </c>
      <c r="H109" s="100">
        <f>структура!$V$13</f>
        <v>2</v>
      </c>
      <c r="I109" s="31"/>
      <c r="J109" s="98" t="str">
        <f>структура!$X$13</f>
        <v>фев</v>
      </c>
      <c r="K109" s="99"/>
      <c r="L109" s="31"/>
      <c r="M109" s="204">
        <f>операции!M154</f>
        <v>0.1</v>
      </c>
      <c r="N109" s="22"/>
      <c r="O109" s="22"/>
      <c r="P109" s="100"/>
      <c r="Q109" s="100"/>
      <c r="R109" s="100"/>
      <c r="S109" s="100"/>
      <c r="T109" s="100"/>
      <c r="U109" s="100"/>
      <c r="V109" s="100"/>
      <c r="W109" s="100"/>
      <c r="X109" s="100"/>
      <c r="Y109" s="100"/>
      <c r="Z109" s="100"/>
      <c r="AA109" s="100"/>
      <c r="AB109" s="22"/>
    </row>
    <row r="110" spans="1:28" s="23" customFormat="1" x14ac:dyDescent="0.25">
      <c r="A110" s="22"/>
      <c r="B110" s="22"/>
      <c r="C110" s="22"/>
      <c r="D110" s="22"/>
      <c r="E110" s="22" t="str">
        <f>E107</f>
        <v>средний чек одной услуги</v>
      </c>
      <c r="F110" s="22"/>
      <c r="G110" s="22" t="str">
        <f>IF($E110="","",INDEX(KPI!$G:$G,SUMIFS(KPI!$B:$B,KPI!$E:$E,$E110)))</f>
        <v>руб.</v>
      </c>
      <c r="H110" s="100">
        <f>структура!$V$14</f>
        <v>3</v>
      </c>
      <c r="I110" s="31"/>
      <c r="J110" s="98" t="str">
        <f>структура!$X$14</f>
        <v>мар</v>
      </c>
      <c r="K110" s="99"/>
      <c r="L110" s="31"/>
      <c r="M110" s="204">
        <f>операции!M155</f>
        <v>0.1</v>
      </c>
      <c r="N110" s="22"/>
      <c r="O110" s="22"/>
      <c r="P110" s="100"/>
      <c r="Q110" s="100"/>
      <c r="R110" s="100"/>
      <c r="S110" s="100"/>
      <c r="T110" s="100"/>
      <c r="U110" s="100"/>
      <c r="V110" s="100"/>
      <c r="W110" s="100"/>
      <c r="X110" s="100"/>
      <c r="Y110" s="100"/>
      <c r="Z110" s="100"/>
      <c r="AA110" s="100"/>
      <c r="AB110" s="22"/>
    </row>
    <row r="111" spans="1:28" s="23" customFormat="1" x14ac:dyDescent="0.25">
      <c r="A111" s="22"/>
      <c r="B111" s="22"/>
      <c r="C111" s="22"/>
      <c r="D111" s="22"/>
      <c r="E111" s="22" t="str">
        <f>E107</f>
        <v>средний чек одной услуги</v>
      </c>
      <c r="F111" s="22"/>
      <c r="G111" s="22" t="str">
        <f>IF($E111="","",INDEX(KPI!$G:$G,SUMIFS(KPI!$B:$B,KPI!$E:$E,$E111)))</f>
        <v>руб.</v>
      </c>
      <c r="H111" s="100">
        <f>структура!$V$15</f>
        <v>4</v>
      </c>
      <c r="I111" s="31"/>
      <c r="J111" s="98" t="str">
        <f>структура!$X$15</f>
        <v>апр</v>
      </c>
      <c r="K111" s="99"/>
      <c r="L111" s="31"/>
      <c r="M111" s="204">
        <f>операции!M156</f>
        <v>0.1</v>
      </c>
      <c r="N111" s="22"/>
      <c r="O111" s="22"/>
      <c r="P111" s="100"/>
      <c r="Q111" s="100"/>
      <c r="R111" s="100"/>
      <c r="S111" s="100"/>
      <c r="T111" s="100"/>
      <c r="U111" s="100"/>
      <c r="V111" s="100"/>
      <c r="W111" s="100"/>
      <c r="X111" s="100"/>
      <c r="Y111" s="100"/>
      <c r="Z111" s="100"/>
      <c r="AA111" s="100"/>
      <c r="AB111" s="22"/>
    </row>
    <row r="112" spans="1:28" s="23" customFormat="1" x14ac:dyDescent="0.25">
      <c r="A112" s="22"/>
      <c r="B112" s="22"/>
      <c r="C112" s="22"/>
      <c r="D112" s="22"/>
      <c r="E112" s="22" t="str">
        <f>E107</f>
        <v>средний чек одной услуги</v>
      </c>
      <c r="F112" s="22"/>
      <c r="G112" s="22" t="str">
        <f>IF($E112="","",INDEX(KPI!$G:$G,SUMIFS(KPI!$B:$B,KPI!$E:$E,$E112)))</f>
        <v>руб.</v>
      </c>
      <c r="H112" s="100">
        <f>структура!$V$16</f>
        <v>5</v>
      </c>
      <c r="I112" s="31"/>
      <c r="J112" s="98" t="str">
        <f>структура!$X$16</f>
        <v>май</v>
      </c>
      <c r="K112" s="99"/>
      <c r="L112" s="31"/>
      <c r="M112" s="204">
        <f>операции!M157</f>
        <v>0.1</v>
      </c>
      <c r="N112" s="22"/>
      <c r="O112" s="22"/>
      <c r="P112" s="100"/>
      <c r="Q112" s="100"/>
      <c r="R112" s="100"/>
      <c r="S112" s="100"/>
      <c r="T112" s="100"/>
      <c r="U112" s="100"/>
      <c r="V112" s="100"/>
      <c r="W112" s="100"/>
      <c r="X112" s="100"/>
      <c r="Y112" s="100"/>
      <c r="Z112" s="100"/>
      <c r="AA112" s="100"/>
      <c r="AB112" s="22"/>
    </row>
    <row r="113" spans="1:28" s="23" customFormat="1" x14ac:dyDescent="0.25">
      <c r="A113" s="22"/>
      <c r="B113" s="22"/>
      <c r="C113" s="22"/>
      <c r="D113" s="22"/>
      <c r="E113" s="22" t="str">
        <f>E107</f>
        <v>средний чек одной услуги</v>
      </c>
      <c r="F113" s="22"/>
      <c r="G113" s="22" t="str">
        <f>IF($E113="","",INDEX(KPI!$G:$G,SUMIFS(KPI!$B:$B,KPI!$E:$E,$E113)))</f>
        <v>руб.</v>
      </c>
      <c r="H113" s="100">
        <f>структура!$V$17</f>
        <v>6</v>
      </c>
      <c r="I113" s="31"/>
      <c r="J113" s="98" t="str">
        <f>структура!$X$17</f>
        <v>июн</v>
      </c>
      <c r="K113" s="99"/>
      <c r="L113" s="31"/>
      <c r="M113" s="204">
        <f>операции!M158</f>
        <v>0.1</v>
      </c>
      <c r="N113" s="22"/>
      <c r="O113" s="22"/>
      <c r="P113" s="100"/>
      <c r="Q113" s="100"/>
      <c r="R113" s="100"/>
      <c r="S113" s="100"/>
      <c r="T113" s="100"/>
      <c r="U113" s="100"/>
      <c r="V113" s="100"/>
      <c r="W113" s="100"/>
      <c r="X113" s="100"/>
      <c r="Y113" s="100"/>
      <c r="Z113" s="100"/>
      <c r="AA113" s="100"/>
      <c r="AB113" s="22"/>
    </row>
    <row r="114" spans="1:28" s="23" customFormat="1" x14ac:dyDescent="0.25">
      <c r="A114" s="22"/>
      <c r="B114" s="22"/>
      <c r="C114" s="22"/>
      <c r="D114" s="22"/>
      <c r="E114" s="22" t="str">
        <f>E107</f>
        <v>средний чек одной услуги</v>
      </c>
      <c r="F114" s="22"/>
      <c r="G114" s="22" t="str">
        <f>IF($E114="","",INDEX(KPI!$G:$G,SUMIFS(KPI!$B:$B,KPI!$E:$E,$E114)))</f>
        <v>руб.</v>
      </c>
      <c r="H114" s="100">
        <f>структура!$V$18</f>
        <v>7</v>
      </c>
      <c r="I114" s="31"/>
      <c r="J114" s="98" t="str">
        <f>структура!$X$18</f>
        <v>июл</v>
      </c>
      <c r="K114" s="99"/>
      <c r="L114" s="31"/>
      <c r="M114" s="204">
        <f>операции!M159</f>
        <v>0.1</v>
      </c>
      <c r="N114" s="22"/>
      <c r="O114" s="22"/>
      <c r="P114" s="100"/>
      <c r="Q114" s="100"/>
      <c r="R114" s="100"/>
      <c r="S114" s="100"/>
      <c r="T114" s="100"/>
      <c r="U114" s="100"/>
      <c r="V114" s="100"/>
      <c r="W114" s="100"/>
      <c r="X114" s="100"/>
      <c r="Y114" s="100"/>
      <c r="Z114" s="100"/>
      <c r="AA114" s="100"/>
      <c r="AB114" s="22"/>
    </row>
    <row r="115" spans="1:28" s="23" customFormat="1" x14ac:dyDescent="0.25">
      <c r="A115" s="22"/>
      <c r="B115" s="22"/>
      <c r="C115" s="22"/>
      <c r="D115" s="22"/>
      <c r="E115" s="22" t="str">
        <f>E107</f>
        <v>средний чек одной услуги</v>
      </c>
      <c r="F115" s="22"/>
      <c r="G115" s="22" t="str">
        <f>IF($E115="","",INDEX(KPI!$G:$G,SUMIFS(KPI!$B:$B,KPI!$E:$E,$E115)))</f>
        <v>руб.</v>
      </c>
      <c r="H115" s="100">
        <f>структура!$V$19</f>
        <v>8</v>
      </c>
      <c r="I115" s="31"/>
      <c r="J115" s="98" t="str">
        <f>структура!$X$19</f>
        <v>авг</v>
      </c>
      <c r="K115" s="99"/>
      <c r="L115" s="31"/>
      <c r="M115" s="204">
        <f>операции!M160</f>
        <v>0.1</v>
      </c>
      <c r="N115" s="22"/>
      <c r="O115" s="22"/>
      <c r="P115" s="100"/>
      <c r="Q115" s="100"/>
      <c r="R115" s="100"/>
      <c r="S115" s="100"/>
      <c r="T115" s="100"/>
      <c r="U115" s="100"/>
      <c r="V115" s="100"/>
      <c r="W115" s="100"/>
      <c r="X115" s="100"/>
      <c r="Y115" s="100"/>
      <c r="Z115" s="100"/>
      <c r="AA115" s="100"/>
      <c r="AB115" s="22"/>
    </row>
    <row r="116" spans="1:28" s="23" customFormat="1" x14ac:dyDescent="0.25">
      <c r="A116" s="22"/>
      <c r="B116" s="22"/>
      <c r="C116" s="22"/>
      <c r="D116" s="22"/>
      <c r="E116" s="22" t="str">
        <f>E107</f>
        <v>средний чек одной услуги</v>
      </c>
      <c r="F116" s="22"/>
      <c r="G116" s="22" t="str">
        <f>IF($E116="","",INDEX(KPI!$G:$G,SUMIFS(KPI!$B:$B,KPI!$E:$E,$E116)))</f>
        <v>руб.</v>
      </c>
      <c r="H116" s="100">
        <f>структура!$V$20</f>
        <v>9</v>
      </c>
      <c r="I116" s="31"/>
      <c r="J116" s="98" t="str">
        <f>структура!$X$20</f>
        <v>сен</v>
      </c>
      <c r="K116" s="99"/>
      <c r="L116" s="31"/>
      <c r="M116" s="204">
        <f>операции!M161</f>
        <v>0.1</v>
      </c>
      <c r="N116" s="22"/>
      <c r="O116" s="22"/>
      <c r="P116" s="100"/>
      <c r="Q116" s="100"/>
      <c r="R116" s="100"/>
      <c r="S116" s="100"/>
      <c r="T116" s="100"/>
      <c r="U116" s="100"/>
      <c r="V116" s="100"/>
      <c r="W116" s="100"/>
      <c r="X116" s="100"/>
      <c r="Y116" s="100"/>
      <c r="Z116" s="100"/>
      <c r="AA116" s="100"/>
      <c r="AB116" s="22"/>
    </row>
    <row r="117" spans="1:28" s="23" customFormat="1" x14ac:dyDescent="0.25">
      <c r="A117" s="22"/>
      <c r="B117" s="22"/>
      <c r="C117" s="22"/>
      <c r="D117" s="22"/>
      <c r="E117" s="22" t="str">
        <f>E107</f>
        <v>средний чек одной услуги</v>
      </c>
      <c r="F117" s="22"/>
      <c r="G117" s="22" t="str">
        <f>IF($E117="","",INDEX(KPI!$G:$G,SUMIFS(KPI!$B:$B,KPI!$E:$E,$E117)))</f>
        <v>руб.</v>
      </c>
      <c r="H117" s="100">
        <f>структура!$V$21</f>
        <v>10</v>
      </c>
      <c r="I117" s="31"/>
      <c r="J117" s="98" t="str">
        <f>структура!$X$21</f>
        <v>окт</v>
      </c>
      <c r="K117" s="99"/>
      <c r="L117" s="31"/>
      <c r="M117" s="204">
        <f>операции!M162</f>
        <v>0.1</v>
      </c>
      <c r="N117" s="22"/>
      <c r="O117" s="22"/>
      <c r="P117" s="100"/>
      <c r="Q117" s="100"/>
      <c r="R117" s="100"/>
      <c r="S117" s="100"/>
      <c r="T117" s="100"/>
      <c r="U117" s="100"/>
      <c r="V117" s="100"/>
      <c r="W117" s="100"/>
      <c r="X117" s="100"/>
      <c r="Y117" s="100"/>
      <c r="Z117" s="100"/>
      <c r="AA117" s="100"/>
      <c r="AB117" s="22"/>
    </row>
    <row r="118" spans="1:28" s="23" customFormat="1" x14ac:dyDescent="0.25">
      <c r="A118" s="22"/>
      <c r="B118" s="22"/>
      <c r="C118" s="22"/>
      <c r="D118" s="22"/>
      <c r="E118" s="22" t="str">
        <f>E107</f>
        <v>средний чек одной услуги</v>
      </c>
      <c r="F118" s="22"/>
      <c r="G118" s="22" t="str">
        <f>IF($E118="","",INDEX(KPI!$G:$G,SUMIFS(KPI!$B:$B,KPI!$E:$E,$E118)))</f>
        <v>руб.</v>
      </c>
      <c r="H118" s="100">
        <f>структура!$V$22</f>
        <v>11</v>
      </c>
      <c r="I118" s="31"/>
      <c r="J118" s="98" t="str">
        <f>структура!$X$22</f>
        <v>ноя</v>
      </c>
      <c r="K118" s="99"/>
      <c r="L118" s="31"/>
      <c r="M118" s="204">
        <f>операции!M163</f>
        <v>0.1</v>
      </c>
      <c r="N118" s="22"/>
      <c r="O118" s="22"/>
      <c r="P118" s="100"/>
      <c r="Q118" s="100"/>
      <c r="R118" s="100"/>
      <c r="S118" s="100"/>
      <c r="T118" s="100"/>
      <c r="U118" s="100"/>
      <c r="V118" s="100"/>
      <c r="W118" s="100"/>
      <c r="X118" s="100"/>
      <c r="Y118" s="100"/>
      <c r="Z118" s="100"/>
      <c r="AA118" s="100"/>
      <c r="AB118" s="22"/>
    </row>
    <row r="119" spans="1:28" s="23" customFormat="1" x14ac:dyDescent="0.25">
      <c r="A119" s="22"/>
      <c r="B119" s="22"/>
      <c r="C119" s="22"/>
      <c r="D119" s="22"/>
      <c r="E119" s="22" t="str">
        <f>E107</f>
        <v>средний чек одной услуги</v>
      </c>
      <c r="F119" s="22"/>
      <c r="G119" s="22" t="str">
        <f>IF($E119="","",INDEX(KPI!$G:$G,SUMIFS(KPI!$B:$B,KPI!$E:$E,$E119)))</f>
        <v>руб.</v>
      </c>
      <c r="H119" s="100">
        <f>структура!$V$23</f>
        <v>12</v>
      </c>
      <c r="I119" s="31"/>
      <c r="J119" s="98" t="str">
        <f>структура!$X$23</f>
        <v>дек</v>
      </c>
      <c r="K119" s="99"/>
      <c r="L119" s="31"/>
      <c r="M119" s="204">
        <f>операции!M164</f>
        <v>0.1</v>
      </c>
      <c r="N119" s="22"/>
      <c r="O119" s="22"/>
      <c r="P119" s="100"/>
      <c r="Q119" s="100"/>
      <c r="R119" s="100"/>
      <c r="S119" s="100"/>
      <c r="T119" s="100"/>
      <c r="U119" s="100"/>
      <c r="V119" s="100"/>
      <c r="W119" s="100"/>
      <c r="X119" s="100"/>
      <c r="Y119" s="100"/>
      <c r="Z119" s="100"/>
      <c r="AA119" s="100"/>
      <c r="AB119" s="22"/>
    </row>
    <row r="120" spans="1:28" ht="3.9" customHeight="1" x14ac:dyDescent="0.25">
      <c r="A120" s="2"/>
      <c r="B120" s="2"/>
      <c r="C120" s="2"/>
      <c r="D120" s="2"/>
      <c r="E120" s="21"/>
      <c r="F120" s="2"/>
      <c r="G120" s="21"/>
      <c r="H120" s="2"/>
      <c r="I120" s="28"/>
      <c r="J120" s="21"/>
      <c r="K120" s="28"/>
      <c r="L120" s="2"/>
      <c r="M120" s="52"/>
      <c r="N120" s="2"/>
      <c r="O120" s="2"/>
      <c r="P120" s="36"/>
      <c r="Q120" s="36"/>
      <c r="R120" s="36"/>
      <c r="S120" s="36"/>
      <c r="T120" s="36"/>
      <c r="U120" s="36"/>
      <c r="V120" s="36"/>
      <c r="W120" s="36"/>
      <c r="X120" s="36"/>
      <c r="Y120" s="36"/>
      <c r="Z120" s="36"/>
      <c r="AA120" s="36"/>
      <c r="AB120" s="2"/>
    </row>
    <row r="121" spans="1:28" ht="8.1" customHeight="1" x14ac:dyDescent="0.25">
      <c r="A121" s="2"/>
      <c r="B121" s="2"/>
      <c r="C121" s="2"/>
      <c r="D121" s="2"/>
      <c r="E121" s="2"/>
      <c r="F121" s="2"/>
      <c r="G121" s="2"/>
      <c r="H121" s="2"/>
      <c r="I121" s="28"/>
      <c r="J121" s="2"/>
      <c r="K121" s="28"/>
      <c r="L121" s="2"/>
      <c r="M121" s="52"/>
      <c r="N121" s="2"/>
      <c r="O121" s="2"/>
      <c r="P121" s="36"/>
      <c r="Q121" s="36"/>
      <c r="R121" s="36"/>
      <c r="S121" s="36"/>
      <c r="T121" s="36"/>
      <c r="U121" s="36"/>
      <c r="V121" s="36"/>
      <c r="W121" s="36"/>
      <c r="X121" s="36"/>
      <c r="Y121" s="36"/>
      <c r="Z121" s="36"/>
      <c r="AA121" s="36"/>
      <c r="AB121" s="2"/>
    </row>
    <row r="122" spans="1:28" s="5" customFormat="1" x14ac:dyDescent="0.25">
      <c r="A122" s="3"/>
      <c r="B122" s="3"/>
      <c r="C122" s="3"/>
      <c r="D122" s="3"/>
      <c r="E122" s="3" t="str">
        <f>KPI!$E$40</f>
        <v>конверсия в покупку одной услуги проката</v>
      </c>
      <c r="F122" s="3"/>
      <c r="G122" s="3" t="str">
        <f>IF($E122="","",INDEX(KPI!$G:$G,SUMIFS(KPI!$B:$B,KPI!$E:$E,$E122)))</f>
        <v>%</v>
      </c>
      <c r="H122" s="3"/>
      <c r="I122" s="28"/>
      <c r="J122" s="44"/>
      <c r="K122" s="28"/>
      <c r="L122" s="3"/>
      <c r="M122" s="55"/>
      <c r="N122" s="3"/>
      <c r="O122" s="3"/>
      <c r="P122" s="104" t="str">
        <f>$P$19</f>
        <v>сценарий-1</v>
      </c>
      <c r="Q122" s="46"/>
      <c r="R122" s="46"/>
      <c r="S122" s="46"/>
      <c r="T122" s="46"/>
      <c r="U122" s="46"/>
      <c r="V122" s="46"/>
      <c r="W122" s="46"/>
      <c r="X122" s="46"/>
      <c r="Y122" s="46"/>
      <c r="Z122" s="46"/>
      <c r="AA122" s="46"/>
      <c r="AB122" s="3"/>
    </row>
    <row r="123" spans="1:28" s="23" customFormat="1" ht="10.199999999999999" x14ac:dyDescent="0.2">
      <c r="A123" s="22"/>
      <c r="B123" s="22"/>
      <c r="C123" s="22"/>
      <c r="D123" s="22"/>
      <c r="E123" s="22" t="str">
        <f>E122</f>
        <v>конверсия в покупку одной услуги проката</v>
      </c>
      <c r="F123" s="22"/>
      <c r="G123" s="22" t="str">
        <f>IF($E123="","",INDEX(KPI!$G:$G,SUMIFS(KPI!$B:$B,KPI!$E:$E,$E123)))</f>
        <v>%</v>
      </c>
      <c r="H123" s="100">
        <f>структура!$V$12</f>
        <v>1</v>
      </c>
      <c r="I123" s="31"/>
      <c r="J123" s="98" t="str">
        <f>структура!$X$12</f>
        <v>янв</v>
      </c>
      <c r="K123" s="99"/>
      <c r="L123" s="22"/>
      <c r="M123" s="58"/>
      <c r="N123" s="22"/>
      <c r="O123" s="22"/>
      <c r="P123" s="102">
        <f>IF(P$1="",0,SUMIFS(сценарии!P:P,сценарии!$E:$E,$E123,сценарии!$J:$J,$J123,сценарии!$M:$M,$P$122))</f>
        <v>0.25</v>
      </c>
      <c r="Q123" s="102">
        <f>IF(Q$1="",0,SUMIFS(сценарии!Q:Q,сценарии!$E:$E,$E123,сценарии!$J:$J,$J123,сценарии!$M:$M,$P$122))</f>
        <v>0.25</v>
      </c>
      <c r="R123" s="102">
        <f>IF(R$1="",0,SUMIFS(сценарии!R:R,сценарии!$E:$E,$E123,сценарии!$J:$J,$J123,сценарии!$M:$M,$P$122))</f>
        <v>0.25</v>
      </c>
      <c r="S123" s="102">
        <f>IF(S$1="",0,SUMIFS(сценарии!S:S,сценарии!$E:$E,$E123,сценарии!$J:$J,$J123,сценарии!$M:$M,$P$122))</f>
        <v>0.25</v>
      </c>
      <c r="T123" s="102">
        <f>IF(T$1="",0,SUMIFS(сценарии!T:T,сценарии!$E:$E,$E123,сценарии!$J:$J,$J123,сценарии!$M:$M,$P$122))</f>
        <v>0.25</v>
      </c>
      <c r="U123" s="102">
        <f>IF(U$1="",0,SUMIFS(сценарии!U:U,сценарии!$E:$E,$E123,сценарии!$J:$J,$J123,сценарии!$M:$M,$P$122))</f>
        <v>0.25</v>
      </c>
      <c r="V123" s="102">
        <f>IF(V$1="",0,SUMIFS(сценарии!V:V,сценарии!$E:$E,$E123,сценарии!$J:$J,$J123,сценарии!$M:$M,$P$122))</f>
        <v>0.25</v>
      </c>
      <c r="W123" s="102">
        <f>IF(W$1="",0,SUMIFS(сценарии!W:W,сценарии!$E:$E,$E123,сценарии!$J:$J,$J123,сценарии!$M:$M,$P$122))</f>
        <v>0</v>
      </c>
      <c r="X123" s="102">
        <f>IF(X$1="",0,SUMIFS(сценарии!X:X,сценарии!$E:$E,$E123,сценарии!$J:$J,$J123,сценарии!$M:$M,$P$122))</f>
        <v>0</v>
      </c>
      <c r="Y123" s="102">
        <f>IF(Y$1="",0,SUMIFS(сценарии!Y:Y,сценарии!$E:$E,$E123,сценарии!$J:$J,$J123,сценарии!$M:$M,$P$122))</f>
        <v>0</v>
      </c>
      <c r="Z123" s="102">
        <f>IF(Z$1="",0,SUMIFS(сценарии!Z:Z,сценарии!$E:$E,$E123,сценарии!$J:$J,$J123,сценарии!$M:$M,$P$122))</f>
        <v>0</v>
      </c>
      <c r="AA123" s="102">
        <f>IF(AA$1="",0,SUMIFS(сценарии!AA:AA,сценарии!$E:$E,$E123,сценарии!$J:$J,$J123,сценарии!$M:$M,$P$122))</f>
        <v>0</v>
      </c>
      <c r="AB123" s="22"/>
    </row>
    <row r="124" spans="1:28" s="23" customFormat="1" ht="10.199999999999999" x14ac:dyDescent="0.2">
      <c r="A124" s="22"/>
      <c r="B124" s="22"/>
      <c r="C124" s="22"/>
      <c r="D124" s="22"/>
      <c r="E124" s="22" t="str">
        <f>E122</f>
        <v>конверсия в покупку одной услуги проката</v>
      </c>
      <c r="F124" s="22"/>
      <c r="G124" s="22" t="str">
        <f>IF($E124="","",INDEX(KPI!$G:$G,SUMIFS(KPI!$B:$B,KPI!$E:$E,$E124)))</f>
        <v>%</v>
      </c>
      <c r="H124" s="100">
        <f>структура!$V$13</f>
        <v>2</v>
      </c>
      <c r="I124" s="31"/>
      <c r="J124" s="98" t="str">
        <f>структура!$X$13</f>
        <v>фев</v>
      </c>
      <c r="K124" s="99"/>
      <c r="L124" s="22"/>
      <c r="M124" s="58"/>
      <c r="N124" s="22"/>
      <c r="O124" s="22"/>
      <c r="P124" s="102">
        <f>IF(P$1="",0,SUMIFS(сценарии!P:P,сценарии!$E:$E,$E124,сценарии!$J:$J,$J124,сценарии!$M:$M,$P$122))</f>
        <v>0.2</v>
      </c>
      <c r="Q124" s="102">
        <f>IF(Q$1="",0,SUMIFS(сценарии!Q:Q,сценарии!$E:$E,$E124,сценарии!$J:$J,$J124,сценарии!$M:$M,$P$122))</f>
        <v>0.2</v>
      </c>
      <c r="R124" s="102">
        <f>IF(R$1="",0,SUMIFS(сценарии!R:R,сценарии!$E:$E,$E124,сценарии!$J:$J,$J124,сценарии!$M:$M,$P$122))</f>
        <v>0.2</v>
      </c>
      <c r="S124" s="102">
        <f>IF(S$1="",0,SUMIFS(сценарии!S:S,сценарии!$E:$E,$E124,сценарии!$J:$J,$J124,сценарии!$M:$M,$P$122))</f>
        <v>0.2</v>
      </c>
      <c r="T124" s="102">
        <f>IF(T$1="",0,SUMIFS(сценарии!T:T,сценарии!$E:$E,$E124,сценарии!$J:$J,$J124,сценарии!$M:$M,$P$122))</f>
        <v>0.2</v>
      </c>
      <c r="U124" s="102">
        <f>IF(U$1="",0,SUMIFS(сценарии!U:U,сценарии!$E:$E,$E124,сценарии!$J:$J,$J124,сценарии!$M:$M,$P$122))</f>
        <v>0.2</v>
      </c>
      <c r="V124" s="102">
        <f>IF(V$1="",0,SUMIFS(сценарии!V:V,сценарии!$E:$E,$E124,сценарии!$J:$J,$J124,сценарии!$M:$M,$P$122))</f>
        <v>0.2</v>
      </c>
      <c r="W124" s="102">
        <f>IF(W$1="",0,SUMIFS(сценарии!W:W,сценарии!$E:$E,$E124,сценарии!$J:$J,$J124,сценарии!$M:$M,$P$122))</f>
        <v>0</v>
      </c>
      <c r="X124" s="102">
        <f>IF(X$1="",0,SUMIFS(сценарии!X:X,сценарии!$E:$E,$E124,сценарии!$J:$J,$J124,сценарии!$M:$M,$P$122))</f>
        <v>0</v>
      </c>
      <c r="Y124" s="102">
        <f>IF(Y$1="",0,SUMIFS(сценарии!Y:Y,сценарии!$E:$E,$E124,сценарии!$J:$J,$J124,сценарии!$M:$M,$P$122))</f>
        <v>0</v>
      </c>
      <c r="Z124" s="102">
        <f>IF(Z$1="",0,SUMIFS(сценарии!Z:Z,сценарии!$E:$E,$E124,сценарии!$J:$J,$J124,сценарии!$M:$M,$P$122))</f>
        <v>0</v>
      </c>
      <c r="AA124" s="102">
        <f>IF(AA$1="",0,SUMIFS(сценарии!AA:AA,сценарии!$E:$E,$E124,сценарии!$J:$J,$J124,сценарии!$M:$M,$P$122))</f>
        <v>0</v>
      </c>
      <c r="AB124" s="22"/>
    </row>
    <row r="125" spans="1:28" s="23" customFormat="1" ht="10.199999999999999" x14ac:dyDescent="0.2">
      <c r="A125" s="22"/>
      <c r="B125" s="22"/>
      <c r="C125" s="22"/>
      <c r="D125" s="22"/>
      <c r="E125" s="22" t="str">
        <f>E122</f>
        <v>конверсия в покупку одной услуги проката</v>
      </c>
      <c r="F125" s="22"/>
      <c r="G125" s="22" t="str">
        <f>IF($E125="","",INDEX(KPI!$G:$G,SUMIFS(KPI!$B:$B,KPI!$E:$E,$E125)))</f>
        <v>%</v>
      </c>
      <c r="H125" s="100">
        <f>структура!$V$14</f>
        <v>3</v>
      </c>
      <c r="I125" s="31"/>
      <c r="J125" s="98" t="str">
        <f>структура!$X$14</f>
        <v>мар</v>
      </c>
      <c r="K125" s="99"/>
      <c r="L125" s="22"/>
      <c r="M125" s="58"/>
      <c r="N125" s="22"/>
      <c r="O125" s="22"/>
      <c r="P125" s="102">
        <f>IF(P$1="",0,SUMIFS(сценарии!P:P,сценарии!$E:$E,$E125,сценарии!$J:$J,$J125,сценарии!$M:$M,$P$122))</f>
        <v>0.2</v>
      </c>
      <c r="Q125" s="102">
        <f>IF(Q$1="",0,SUMIFS(сценарии!Q:Q,сценарии!$E:$E,$E125,сценарии!$J:$J,$J125,сценарии!$M:$M,$P$122))</f>
        <v>0.2</v>
      </c>
      <c r="R125" s="102">
        <f>IF(R$1="",0,SUMIFS(сценарии!R:R,сценарии!$E:$E,$E125,сценарии!$J:$J,$J125,сценарии!$M:$M,$P$122))</f>
        <v>0.2</v>
      </c>
      <c r="S125" s="102">
        <f>IF(S$1="",0,SUMIFS(сценарии!S:S,сценарии!$E:$E,$E125,сценарии!$J:$J,$J125,сценарии!$M:$M,$P$122))</f>
        <v>0.2</v>
      </c>
      <c r="T125" s="102">
        <f>IF(T$1="",0,SUMIFS(сценарии!T:T,сценарии!$E:$E,$E125,сценарии!$J:$J,$J125,сценарии!$M:$M,$P$122))</f>
        <v>0.2</v>
      </c>
      <c r="U125" s="102">
        <f>IF(U$1="",0,SUMIFS(сценарии!U:U,сценарии!$E:$E,$E125,сценарии!$J:$J,$J125,сценарии!$M:$M,$P$122))</f>
        <v>0.2</v>
      </c>
      <c r="V125" s="102">
        <f>IF(V$1="",0,SUMIFS(сценарии!V:V,сценарии!$E:$E,$E125,сценарии!$J:$J,$J125,сценарии!$M:$M,$P$122))</f>
        <v>0.2</v>
      </c>
      <c r="W125" s="102">
        <f>IF(W$1="",0,SUMIFS(сценарии!W:W,сценарии!$E:$E,$E125,сценарии!$J:$J,$J125,сценарии!$M:$M,$P$122))</f>
        <v>0</v>
      </c>
      <c r="X125" s="102">
        <f>IF(X$1="",0,SUMIFS(сценарии!X:X,сценарии!$E:$E,$E125,сценарии!$J:$J,$J125,сценарии!$M:$M,$P$122))</f>
        <v>0</v>
      </c>
      <c r="Y125" s="102">
        <f>IF(Y$1="",0,SUMIFS(сценарии!Y:Y,сценарии!$E:$E,$E125,сценарии!$J:$J,$J125,сценарии!$M:$M,$P$122))</f>
        <v>0</v>
      </c>
      <c r="Z125" s="102">
        <f>IF(Z$1="",0,SUMIFS(сценарии!Z:Z,сценарии!$E:$E,$E125,сценарии!$J:$J,$J125,сценарии!$M:$M,$P$122))</f>
        <v>0</v>
      </c>
      <c r="AA125" s="102">
        <f>IF(AA$1="",0,SUMIFS(сценарии!AA:AA,сценарии!$E:$E,$E125,сценарии!$J:$J,$J125,сценарии!$M:$M,$P$122))</f>
        <v>0</v>
      </c>
      <c r="AB125" s="22"/>
    </row>
    <row r="126" spans="1:28" s="23" customFormat="1" ht="10.199999999999999" x14ac:dyDescent="0.2">
      <c r="A126" s="22"/>
      <c r="B126" s="22"/>
      <c r="C126" s="22"/>
      <c r="D126" s="22"/>
      <c r="E126" s="22" t="str">
        <f>E122</f>
        <v>конверсия в покупку одной услуги проката</v>
      </c>
      <c r="F126" s="22"/>
      <c r="G126" s="22" t="str">
        <f>IF($E126="","",INDEX(KPI!$G:$G,SUMIFS(KPI!$B:$B,KPI!$E:$E,$E126)))</f>
        <v>%</v>
      </c>
      <c r="H126" s="100">
        <f>структура!$V$15</f>
        <v>4</v>
      </c>
      <c r="I126" s="31"/>
      <c r="J126" s="98" t="str">
        <f>структура!$X$15</f>
        <v>апр</v>
      </c>
      <c r="K126" s="99"/>
      <c r="L126" s="22"/>
      <c r="M126" s="58"/>
      <c r="N126" s="22"/>
      <c r="O126" s="22"/>
      <c r="P126" s="102">
        <f>IF(P$1="",0,SUMIFS(сценарии!P:P,сценарии!$E:$E,$E126,сценарии!$J:$J,$J126,сценарии!$M:$M,$P$122))</f>
        <v>0.2</v>
      </c>
      <c r="Q126" s="102">
        <f>IF(Q$1="",0,SUMIFS(сценарии!Q:Q,сценарии!$E:$E,$E126,сценарии!$J:$J,$J126,сценарии!$M:$M,$P$122))</f>
        <v>0.2</v>
      </c>
      <c r="R126" s="102">
        <f>IF(R$1="",0,SUMIFS(сценарии!R:R,сценарии!$E:$E,$E126,сценарии!$J:$J,$J126,сценарии!$M:$M,$P$122))</f>
        <v>0.2</v>
      </c>
      <c r="S126" s="102">
        <f>IF(S$1="",0,SUMIFS(сценарии!S:S,сценарии!$E:$E,$E126,сценарии!$J:$J,$J126,сценарии!$M:$M,$P$122))</f>
        <v>0.2</v>
      </c>
      <c r="T126" s="102">
        <f>IF(T$1="",0,SUMIFS(сценарии!T:T,сценарии!$E:$E,$E126,сценарии!$J:$J,$J126,сценарии!$M:$M,$P$122))</f>
        <v>0.2</v>
      </c>
      <c r="U126" s="102">
        <f>IF(U$1="",0,SUMIFS(сценарии!U:U,сценарии!$E:$E,$E126,сценарии!$J:$J,$J126,сценарии!$M:$M,$P$122))</f>
        <v>0.2</v>
      </c>
      <c r="V126" s="102">
        <f>IF(V$1="",0,SUMIFS(сценарии!V:V,сценарии!$E:$E,$E126,сценарии!$J:$J,$J126,сценарии!$M:$M,$P$122))</f>
        <v>0.2</v>
      </c>
      <c r="W126" s="102">
        <f>IF(W$1="",0,SUMIFS(сценарии!W:W,сценарии!$E:$E,$E126,сценарии!$J:$J,$J126,сценарии!$M:$M,$P$122))</f>
        <v>0</v>
      </c>
      <c r="X126" s="102">
        <f>IF(X$1="",0,SUMIFS(сценарии!X:X,сценарии!$E:$E,$E126,сценарии!$J:$J,$J126,сценарии!$M:$M,$P$122))</f>
        <v>0</v>
      </c>
      <c r="Y126" s="102">
        <f>IF(Y$1="",0,SUMIFS(сценарии!Y:Y,сценарии!$E:$E,$E126,сценарии!$J:$J,$J126,сценарии!$M:$M,$P$122))</f>
        <v>0</v>
      </c>
      <c r="Z126" s="102">
        <f>IF(Z$1="",0,SUMIFS(сценарии!Z:Z,сценарии!$E:$E,$E126,сценарии!$J:$J,$J126,сценарии!$M:$M,$P$122))</f>
        <v>0</v>
      </c>
      <c r="AA126" s="102">
        <f>IF(AA$1="",0,SUMIFS(сценарии!AA:AA,сценарии!$E:$E,$E126,сценарии!$J:$J,$J126,сценарии!$M:$M,$P$122))</f>
        <v>0</v>
      </c>
      <c r="AB126" s="22"/>
    </row>
    <row r="127" spans="1:28" s="23" customFormat="1" ht="10.199999999999999" x14ac:dyDescent="0.2">
      <c r="A127" s="22"/>
      <c r="B127" s="22"/>
      <c r="C127" s="22"/>
      <c r="D127" s="22"/>
      <c r="E127" s="22" t="str">
        <f>E122</f>
        <v>конверсия в покупку одной услуги проката</v>
      </c>
      <c r="F127" s="22"/>
      <c r="G127" s="22" t="str">
        <f>IF($E127="","",INDEX(KPI!$G:$G,SUMIFS(KPI!$B:$B,KPI!$E:$E,$E127)))</f>
        <v>%</v>
      </c>
      <c r="H127" s="100">
        <f>структура!$V$16</f>
        <v>5</v>
      </c>
      <c r="I127" s="31"/>
      <c r="J127" s="98" t="str">
        <f>структура!$X$16</f>
        <v>май</v>
      </c>
      <c r="K127" s="99"/>
      <c r="L127" s="22"/>
      <c r="M127" s="58"/>
      <c r="N127" s="22"/>
      <c r="O127" s="22"/>
      <c r="P127" s="102">
        <f>IF(P$1="",0,SUMIFS(сценарии!P:P,сценарии!$E:$E,$E127,сценарии!$J:$J,$J127,сценарии!$M:$M,$P$122))</f>
        <v>0.4</v>
      </c>
      <c r="Q127" s="102">
        <f>IF(Q$1="",0,SUMIFS(сценарии!Q:Q,сценарии!$E:$E,$E127,сценарии!$J:$J,$J127,сценарии!$M:$M,$P$122))</f>
        <v>0.4</v>
      </c>
      <c r="R127" s="102">
        <f>IF(R$1="",0,SUMIFS(сценарии!R:R,сценарии!$E:$E,$E127,сценарии!$J:$J,$J127,сценарии!$M:$M,$P$122))</f>
        <v>0.4</v>
      </c>
      <c r="S127" s="102">
        <f>IF(S$1="",0,SUMIFS(сценарии!S:S,сценарии!$E:$E,$E127,сценарии!$J:$J,$J127,сценарии!$M:$M,$P$122))</f>
        <v>0.4</v>
      </c>
      <c r="T127" s="102">
        <f>IF(T$1="",0,SUMIFS(сценарии!T:T,сценарии!$E:$E,$E127,сценарии!$J:$J,$J127,сценарии!$M:$M,$P$122))</f>
        <v>0.4</v>
      </c>
      <c r="U127" s="102">
        <f>IF(U$1="",0,SUMIFS(сценарии!U:U,сценарии!$E:$E,$E127,сценарии!$J:$J,$J127,сценарии!$M:$M,$P$122))</f>
        <v>0.4</v>
      </c>
      <c r="V127" s="102">
        <f>IF(V$1="",0,SUMIFS(сценарии!V:V,сценарии!$E:$E,$E127,сценарии!$J:$J,$J127,сценарии!$M:$M,$P$122))</f>
        <v>0.4</v>
      </c>
      <c r="W127" s="102">
        <f>IF(W$1="",0,SUMIFS(сценарии!W:W,сценарии!$E:$E,$E127,сценарии!$J:$J,$J127,сценарии!$M:$M,$P$122))</f>
        <v>0</v>
      </c>
      <c r="X127" s="102">
        <f>IF(X$1="",0,SUMIFS(сценарии!X:X,сценарии!$E:$E,$E127,сценарии!$J:$J,$J127,сценарии!$M:$M,$P$122))</f>
        <v>0</v>
      </c>
      <c r="Y127" s="102">
        <f>IF(Y$1="",0,SUMIFS(сценарии!Y:Y,сценарии!$E:$E,$E127,сценарии!$J:$J,$J127,сценарии!$M:$M,$P$122))</f>
        <v>0</v>
      </c>
      <c r="Z127" s="102">
        <f>IF(Z$1="",0,SUMIFS(сценарии!Z:Z,сценарии!$E:$E,$E127,сценарии!$J:$J,$J127,сценарии!$M:$M,$P$122))</f>
        <v>0</v>
      </c>
      <c r="AA127" s="102">
        <f>IF(AA$1="",0,SUMIFS(сценарии!AA:AA,сценарии!$E:$E,$E127,сценарии!$J:$J,$J127,сценарии!$M:$M,$P$122))</f>
        <v>0</v>
      </c>
      <c r="AB127" s="22"/>
    </row>
    <row r="128" spans="1:28" s="23" customFormat="1" ht="10.199999999999999" x14ac:dyDescent="0.2">
      <c r="A128" s="22"/>
      <c r="B128" s="22"/>
      <c r="C128" s="22"/>
      <c r="D128" s="22"/>
      <c r="E128" s="22" t="str">
        <f>E122</f>
        <v>конверсия в покупку одной услуги проката</v>
      </c>
      <c r="F128" s="22"/>
      <c r="G128" s="22" t="str">
        <f>IF($E128="","",INDEX(KPI!$G:$G,SUMIFS(KPI!$B:$B,KPI!$E:$E,$E128)))</f>
        <v>%</v>
      </c>
      <c r="H128" s="100">
        <f>структура!$V$17</f>
        <v>6</v>
      </c>
      <c r="I128" s="31"/>
      <c r="J128" s="98" t="str">
        <f>структура!$X$17</f>
        <v>июн</v>
      </c>
      <c r="K128" s="99"/>
      <c r="L128" s="22"/>
      <c r="M128" s="58"/>
      <c r="N128" s="22"/>
      <c r="O128" s="22"/>
      <c r="P128" s="102">
        <f>IF(P$1="",0,SUMIFS(сценарии!P:P,сценарии!$E:$E,$E128,сценарии!$J:$J,$J128,сценарии!$M:$M,$P$122))</f>
        <v>0.4</v>
      </c>
      <c r="Q128" s="102">
        <f>IF(Q$1="",0,SUMIFS(сценарии!Q:Q,сценарии!$E:$E,$E128,сценарии!$J:$J,$J128,сценарии!$M:$M,$P$122))</f>
        <v>0.4</v>
      </c>
      <c r="R128" s="102">
        <f>IF(R$1="",0,SUMIFS(сценарии!R:R,сценарии!$E:$E,$E128,сценарии!$J:$J,$J128,сценарии!$M:$M,$P$122))</f>
        <v>0.4</v>
      </c>
      <c r="S128" s="102">
        <f>IF(S$1="",0,SUMIFS(сценарии!S:S,сценарии!$E:$E,$E128,сценарии!$J:$J,$J128,сценарии!$M:$M,$P$122))</f>
        <v>0.4</v>
      </c>
      <c r="T128" s="102">
        <f>IF(T$1="",0,SUMIFS(сценарии!T:T,сценарии!$E:$E,$E128,сценарии!$J:$J,$J128,сценарии!$M:$M,$P$122))</f>
        <v>0.4</v>
      </c>
      <c r="U128" s="102">
        <f>IF(U$1="",0,SUMIFS(сценарии!U:U,сценарии!$E:$E,$E128,сценарии!$J:$J,$J128,сценарии!$M:$M,$P$122))</f>
        <v>0.4</v>
      </c>
      <c r="V128" s="102">
        <f>IF(V$1="",0,SUMIFS(сценарии!V:V,сценарии!$E:$E,$E128,сценарии!$J:$J,$J128,сценарии!$M:$M,$P$122))</f>
        <v>0.4</v>
      </c>
      <c r="W128" s="102">
        <f>IF(W$1="",0,SUMIFS(сценарии!W:W,сценарии!$E:$E,$E128,сценарии!$J:$J,$J128,сценарии!$M:$M,$P$122))</f>
        <v>0</v>
      </c>
      <c r="X128" s="102">
        <f>IF(X$1="",0,SUMIFS(сценарии!X:X,сценарии!$E:$E,$E128,сценарии!$J:$J,$J128,сценарии!$M:$M,$P$122))</f>
        <v>0</v>
      </c>
      <c r="Y128" s="102">
        <f>IF(Y$1="",0,SUMIFS(сценарии!Y:Y,сценарии!$E:$E,$E128,сценарии!$J:$J,$J128,сценарии!$M:$M,$P$122))</f>
        <v>0</v>
      </c>
      <c r="Z128" s="102">
        <f>IF(Z$1="",0,SUMIFS(сценарии!Z:Z,сценарии!$E:$E,$E128,сценарии!$J:$J,$J128,сценарии!$M:$M,$P$122))</f>
        <v>0</v>
      </c>
      <c r="AA128" s="102">
        <f>IF(AA$1="",0,SUMIFS(сценарии!AA:AA,сценарии!$E:$E,$E128,сценарии!$J:$J,$J128,сценарии!$M:$M,$P$122))</f>
        <v>0</v>
      </c>
      <c r="AB128" s="22"/>
    </row>
    <row r="129" spans="1:28" s="23" customFormat="1" ht="10.199999999999999" x14ac:dyDescent="0.2">
      <c r="A129" s="22"/>
      <c r="B129" s="22"/>
      <c r="C129" s="22"/>
      <c r="D129" s="22"/>
      <c r="E129" s="22" t="str">
        <f>E122</f>
        <v>конверсия в покупку одной услуги проката</v>
      </c>
      <c r="F129" s="22"/>
      <c r="G129" s="22" t="str">
        <f>IF($E129="","",INDEX(KPI!$G:$G,SUMIFS(KPI!$B:$B,KPI!$E:$E,$E129)))</f>
        <v>%</v>
      </c>
      <c r="H129" s="100">
        <f>структура!$V$18</f>
        <v>7</v>
      </c>
      <c r="I129" s="31"/>
      <c r="J129" s="98" t="str">
        <f>структура!$X$18</f>
        <v>июл</v>
      </c>
      <c r="K129" s="99"/>
      <c r="L129" s="22"/>
      <c r="M129" s="58"/>
      <c r="N129" s="22"/>
      <c r="O129" s="22"/>
      <c r="P129" s="102">
        <f>IF(P$1="",0,SUMIFS(сценарии!P:P,сценарии!$E:$E,$E129,сценарии!$J:$J,$J129,сценарии!$M:$M,$P$122))</f>
        <v>0.4</v>
      </c>
      <c r="Q129" s="102">
        <f>IF(Q$1="",0,SUMIFS(сценарии!Q:Q,сценарии!$E:$E,$E129,сценарии!$J:$J,$J129,сценарии!$M:$M,$P$122))</f>
        <v>0.4</v>
      </c>
      <c r="R129" s="102">
        <f>IF(R$1="",0,SUMIFS(сценарии!R:R,сценарии!$E:$E,$E129,сценарии!$J:$J,$J129,сценарии!$M:$M,$P$122))</f>
        <v>0.4</v>
      </c>
      <c r="S129" s="102">
        <f>IF(S$1="",0,SUMIFS(сценарии!S:S,сценарии!$E:$E,$E129,сценарии!$J:$J,$J129,сценарии!$M:$M,$P$122))</f>
        <v>0.4</v>
      </c>
      <c r="T129" s="102">
        <f>IF(T$1="",0,SUMIFS(сценарии!T:T,сценарии!$E:$E,$E129,сценарии!$J:$J,$J129,сценарии!$M:$M,$P$122))</f>
        <v>0.4</v>
      </c>
      <c r="U129" s="102">
        <f>IF(U$1="",0,SUMIFS(сценарии!U:U,сценарии!$E:$E,$E129,сценарии!$J:$J,$J129,сценарии!$M:$M,$P$122))</f>
        <v>0.4</v>
      </c>
      <c r="V129" s="102">
        <f>IF(V$1="",0,SUMIFS(сценарии!V:V,сценарии!$E:$E,$E129,сценарии!$J:$J,$J129,сценарии!$M:$M,$P$122))</f>
        <v>0.4</v>
      </c>
      <c r="W129" s="102">
        <f>IF(W$1="",0,SUMIFS(сценарии!W:W,сценарии!$E:$E,$E129,сценарии!$J:$J,$J129,сценарии!$M:$M,$P$122))</f>
        <v>0</v>
      </c>
      <c r="X129" s="102">
        <f>IF(X$1="",0,SUMIFS(сценарии!X:X,сценарии!$E:$E,$E129,сценарии!$J:$J,$J129,сценарии!$M:$M,$P$122))</f>
        <v>0</v>
      </c>
      <c r="Y129" s="102">
        <f>IF(Y$1="",0,SUMIFS(сценарии!Y:Y,сценарии!$E:$E,$E129,сценарии!$J:$J,$J129,сценарии!$M:$M,$P$122))</f>
        <v>0</v>
      </c>
      <c r="Z129" s="102">
        <f>IF(Z$1="",0,SUMIFS(сценарии!Z:Z,сценарии!$E:$E,$E129,сценарии!$J:$J,$J129,сценарии!$M:$M,$P$122))</f>
        <v>0</v>
      </c>
      <c r="AA129" s="102">
        <f>IF(AA$1="",0,SUMIFS(сценарии!AA:AA,сценарии!$E:$E,$E129,сценарии!$J:$J,$J129,сценарии!$M:$M,$P$122))</f>
        <v>0</v>
      </c>
      <c r="AB129" s="22"/>
    </row>
    <row r="130" spans="1:28" s="23" customFormat="1" ht="10.199999999999999" x14ac:dyDescent="0.2">
      <c r="A130" s="22"/>
      <c r="B130" s="22"/>
      <c r="C130" s="22"/>
      <c r="D130" s="22"/>
      <c r="E130" s="22" t="str">
        <f>E122</f>
        <v>конверсия в покупку одной услуги проката</v>
      </c>
      <c r="F130" s="22"/>
      <c r="G130" s="22" t="str">
        <f>IF($E130="","",INDEX(KPI!$G:$G,SUMIFS(KPI!$B:$B,KPI!$E:$E,$E130)))</f>
        <v>%</v>
      </c>
      <c r="H130" s="100">
        <f>структура!$V$19</f>
        <v>8</v>
      </c>
      <c r="I130" s="31"/>
      <c r="J130" s="98" t="str">
        <f>структура!$X$19</f>
        <v>авг</v>
      </c>
      <c r="K130" s="99"/>
      <c r="L130" s="22"/>
      <c r="M130" s="58"/>
      <c r="N130" s="22"/>
      <c r="O130" s="22"/>
      <c r="P130" s="102">
        <f>IF(P$1="",0,SUMIFS(сценарии!P:P,сценарии!$E:$E,$E130,сценарии!$J:$J,$J130,сценарии!$M:$M,$P$122))</f>
        <v>0.4</v>
      </c>
      <c r="Q130" s="102">
        <f>IF(Q$1="",0,SUMIFS(сценарии!Q:Q,сценарии!$E:$E,$E130,сценарии!$J:$J,$J130,сценарии!$M:$M,$P$122))</f>
        <v>0.4</v>
      </c>
      <c r="R130" s="102">
        <f>IF(R$1="",0,SUMIFS(сценарии!R:R,сценарии!$E:$E,$E130,сценарии!$J:$J,$J130,сценарии!$M:$M,$P$122))</f>
        <v>0.4</v>
      </c>
      <c r="S130" s="102">
        <f>IF(S$1="",0,SUMIFS(сценарии!S:S,сценарии!$E:$E,$E130,сценарии!$J:$J,$J130,сценарии!$M:$M,$P$122))</f>
        <v>0.4</v>
      </c>
      <c r="T130" s="102">
        <f>IF(T$1="",0,SUMIFS(сценарии!T:T,сценарии!$E:$E,$E130,сценарии!$J:$J,$J130,сценарии!$M:$M,$P$122))</f>
        <v>0.4</v>
      </c>
      <c r="U130" s="102">
        <f>IF(U$1="",0,SUMIFS(сценарии!U:U,сценарии!$E:$E,$E130,сценарии!$J:$J,$J130,сценарии!$M:$M,$P$122))</f>
        <v>0.4</v>
      </c>
      <c r="V130" s="102">
        <f>IF(V$1="",0,SUMIFS(сценарии!V:V,сценарии!$E:$E,$E130,сценарии!$J:$J,$J130,сценарии!$M:$M,$P$122))</f>
        <v>0.4</v>
      </c>
      <c r="W130" s="102">
        <f>IF(W$1="",0,SUMIFS(сценарии!W:W,сценарии!$E:$E,$E130,сценарии!$J:$J,$J130,сценарии!$M:$M,$P$122))</f>
        <v>0</v>
      </c>
      <c r="X130" s="102">
        <f>IF(X$1="",0,SUMIFS(сценарии!X:X,сценарии!$E:$E,$E130,сценарии!$J:$J,$J130,сценарии!$M:$M,$P$122))</f>
        <v>0</v>
      </c>
      <c r="Y130" s="102">
        <f>IF(Y$1="",0,SUMIFS(сценарии!Y:Y,сценарии!$E:$E,$E130,сценарии!$J:$J,$J130,сценарии!$M:$M,$P$122))</f>
        <v>0</v>
      </c>
      <c r="Z130" s="102">
        <f>IF(Z$1="",0,SUMIFS(сценарии!Z:Z,сценарии!$E:$E,$E130,сценарии!$J:$J,$J130,сценарии!$M:$M,$P$122))</f>
        <v>0</v>
      </c>
      <c r="AA130" s="102">
        <f>IF(AA$1="",0,SUMIFS(сценарии!AA:AA,сценарии!$E:$E,$E130,сценарии!$J:$J,$J130,сценарии!$M:$M,$P$122))</f>
        <v>0</v>
      </c>
      <c r="AB130" s="22"/>
    </row>
    <row r="131" spans="1:28" s="23" customFormat="1" ht="10.199999999999999" x14ac:dyDescent="0.2">
      <c r="A131" s="22"/>
      <c r="B131" s="22"/>
      <c r="C131" s="22"/>
      <c r="D131" s="22"/>
      <c r="E131" s="22" t="str">
        <f>E122</f>
        <v>конверсия в покупку одной услуги проката</v>
      </c>
      <c r="F131" s="22"/>
      <c r="G131" s="22" t="str">
        <f>IF($E131="","",INDEX(KPI!$G:$G,SUMIFS(KPI!$B:$B,KPI!$E:$E,$E131)))</f>
        <v>%</v>
      </c>
      <c r="H131" s="100">
        <f>структура!$V$20</f>
        <v>9</v>
      </c>
      <c r="I131" s="31"/>
      <c r="J131" s="98" t="str">
        <f>структура!$X$20</f>
        <v>сен</v>
      </c>
      <c r="K131" s="99"/>
      <c r="L131" s="22"/>
      <c r="M131" s="58"/>
      <c r="N131" s="22"/>
      <c r="O131" s="22"/>
      <c r="P131" s="102">
        <f>IF(P$1="",0,SUMIFS(сценарии!P:P,сценарии!$E:$E,$E131,сценарии!$J:$J,$J131,сценарии!$M:$M,$P$122))</f>
        <v>0.25</v>
      </c>
      <c r="Q131" s="102">
        <f>IF(Q$1="",0,SUMIFS(сценарии!Q:Q,сценарии!$E:$E,$E131,сценарии!$J:$J,$J131,сценарии!$M:$M,$P$122))</f>
        <v>0.25</v>
      </c>
      <c r="R131" s="102">
        <f>IF(R$1="",0,SUMIFS(сценарии!R:R,сценарии!$E:$E,$E131,сценарии!$J:$J,$J131,сценарии!$M:$M,$P$122))</f>
        <v>0.25</v>
      </c>
      <c r="S131" s="102">
        <f>IF(S$1="",0,SUMIFS(сценарии!S:S,сценарии!$E:$E,$E131,сценарии!$J:$J,$J131,сценарии!$M:$M,$P$122))</f>
        <v>0.25</v>
      </c>
      <c r="T131" s="102">
        <f>IF(T$1="",0,SUMIFS(сценарии!T:T,сценарии!$E:$E,$E131,сценарии!$J:$J,$J131,сценарии!$M:$M,$P$122))</f>
        <v>0.25</v>
      </c>
      <c r="U131" s="102">
        <f>IF(U$1="",0,SUMIFS(сценарии!U:U,сценарии!$E:$E,$E131,сценарии!$J:$J,$J131,сценарии!$M:$M,$P$122))</f>
        <v>0.25</v>
      </c>
      <c r="V131" s="102">
        <f>IF(V$1="",0,SUMIFS(сценарии!V:V,сценарии!$E:$E,$E131,сценарии!$J:$J,$J131,сценарии!$M:$M,$P$122))</f>
        <v>0.25</v>
      </c>
      <c r="W131" s="102">
        <f>IF(W$1="",0,SUMIFS(сценарии!W:W,сценарии!$E:$E,$E131,сценарии!$J:$J,$J131,сценарии!$M:$M,$P$122))</f>
        <v>0</v>
      </c>
      <c r="X131" s="102">
        <f>IF(X$1="",0,SUMIFS(сценарии!X:X,сценарии!$E:$E,$E131,сценарии!$J:$J,$J131,сценарии!$M:$M,$P$122))</f>
        <v>0</v>
      </c>
      <c r="Y131" s="102">
        <f>IF(Y$1="",0,SUMIFS(сценарии!Y:Y,сценарии!$E:$E,$E131,сценарии!$J:$J,$J131,сценарии!$M:$M,$P$122))</f>
        <v>0</v>
      </c>
      <c r="Z131" s="102">
        <f>IF(Z$1="",0,SUMIFS(сценарии!Z:Z,сценарии!$E:$E,$E131,сценарии!$J:$J,$J131,сценарии!$M:$M,$P$122))</f>
        <v>0</v>
      </c>
      <c r="AA131" s="102">
        <f>IF(AA$1="",0,SUMIFS(сценарии!AA:AA,сценарии!$E:$E,$E131,сценарии!$J:$J,$J131,сценарии!$M:$M,$P$122))</f>
        <v>0</v>
      </c>
      <c r="AB131" s="22"/>
    </row>
    <row r="132" spans="1:28" s="23" customFormat="1" ht="10.199999999999999" x14ac:dyDescent="0.2">
      <c r="A132" s="22"/>
      <c r="B132" s="22"/>
      <c r="C132" s="22"/>
      <c r="D132" s="22"/>
      <c r="E132" s="22" t="str">
        <f>E122</f>
        <v>конверсия в покупку одной услуги проката</v>
      </c>
      <c r="F132" s="22"/>
      <c r="G132" s="22" t="str">
        <f>IF($E132="","",INDEX(KPI!$G:$G,SUMIFS(KPI!$B:$B,KPI!$E:$E,$E132)))</f>
        <v>%</v>
      </c>
      <c r="H132" s="100">
        <f>структура!$V$21</f>
        <v>10</v>
      </c>
      <c r="I132" s="31"/>
      <c r="J132" s="98" t="str">
        <f>структура!$X$21</f>
        <v>окт</v>
      </c>
      <c r="K132" s="99"/>
      <c r="L132" s="22"/>
      <c r="M132" s="58"/>
      <c r="N132" s="22"/>
      <c r="O132" s="22"/>
      <c r="P132" s="102">
        <f>IF(P$1="",0,SUMIFS(сценарии!P:P,сценарии!$E:$E,$E132,сценарии!$J:$J,$J132,сценарии!$M:$M,$P$122))</f>
        <v>0.25</v>
      </c>
      <c r="Q132" s="102">
        <f>IF(Q$1="",0,SUMIFS(сценарии!Q:Q,сценарии!$E:$E,$E132,сценарии!$J:$J,$J132,сценарии!$M:$M,$P$122))</f>
        <v>0.25</v>
      </c>
      <c r="R132" s="102">
        <f>IF(R$1="",0,SUMIFS(сценарии!R:R,сценарии!$E:$E,$E132,сценарии!$J:$J,$J132,сценарии!$M:$M,$P$122))</f>
        <v>0.25</v>
      </c>
      <c r="S132" s="102">
        <f>IF(S$1="",0,SUMIFS(сценарии!S:S,сценарии!$E:$E,$E132,сценарии!$J:$J,$J132,сценарии!$M:$M,$P$122))</f>
        <v>0.25</v>
      </c>
      <c r="T132" s="102">
        <f>IF(T$1="",0,SUMIFS(сценарии!T:T,сценарии!$E:$E,$E132,сценарии!$J:$J,$J132,сценарии!$M:$M,$P$122))</f>
        <v>0.25</v>
      </c>
      <c r="U132" s="102">
        <f>IF(U$1="",0,SUMIFS(сценарии!U:U,сценарии!$E:$E,$E132,сценарии!$J:$J,$J132,сценарии!$M:$M,$P$122))</f>
        <v>0.25</v>
      </c>
      <c r="V132" s="102">
        <f>IF(V$1="",0,SUMIFS(сценарии!V:V,сценарии!$E:$E,$E132,сценарии!$J:$J,$J132,сценарии!$M:$M,$P$122))</f>
        <v>0.25</v>
      </c>
      <c r="W132" s="102">
        <f>IF(W$1="",0,SUMIFS(сценарии!W:W,сценарии!$E:$E,$E132,сценарии!$J:$J,$J132,сценарии!$M:$M,$P$122))</f>
        <v>0</v>
      </c>
      <c r="X132" s="102">
        <f>IF(X$1="",0,SUMIFS(сценарии!X:X,сценарии!$E:$E,$E132,сценарии!$J:$J,$J132,сценарии!$M:$M,$P$122))</f>
        <v>0</v>
      </c>
      <c r="Y132" s="102">
        <f>IF(Y$1="",0,SUMIFS(сценарии!Y:Y,сценарии!$E:$E,$E132,сценарии!$J:$J,$J132,сценарии!$M:$M,$P$122))</f>
        <v>0</v>
      </c>
      <c r="Z132" s="102">
        <f>IF(Z$1="",0,SUMIFS(сценарии!Z:Z,сценарии!$E:$E,$E132,сценарии!$J:$J,$J132,сценарии!$M:$M,$P$122))</f>
        <v>0</v>
      </c>
      <c r="AA132" s="102">
        <f>IF(AA$1="",0,SUMIFS(сценарии!AA:AA,сценарии!$E:$E,$E132,сценарии!$J:$J,$J132,сценарии!$M:$M,$P$122))</f>
        <v>0</v>
      </c>
      <c r="AB132" s="22"/>
    </row>
    <row r="133" spans="1:28" s="23" customFormat="1" ht="10.199999999999999" x14ac:dyDescent="0.2">
      <c r="A133" s="22"/>
      <c r="B133" s="22"/>
      <c r="C133" s="22"/>
      <c r="D133" s="22"/>
      <c r="E133" s="22" t="str">
        <f>E122</f>
        <v>конверсия в покупку одной услуги проката</v>
      </c>
      <c r="F133" s="22"/>
      <c r="G133" s="22" t="str">
        <f>IF($E133="","",INDEX(KPI!$G:$G,SUMIFS(KPI!$B:$B,KPI!$E:$E,$E133)))</f>
        <v>%</v>
      </c>
      <c r="H133" s="100">
        <f>структура!$V$22</f>
        <v>11</v>
      </c>
      <c r="I133" s="31"/>
      <c r="J133" s="98" t="str">
        <f>структура!$X$22</f>
        <v>ноя</v>
      </c>
      <c r="K133" s="99"/>
      <c r="L133" s="22"/>
      <c r="M133" s="58"/>
      <c r="N133" s="22"/>
      <c r="O133" s="22"/>
      <c r="P133" s="102">
        <f>IF(P$1="",0,SUMIFS(сценарии!P:P,сценарии!$E:$E,$E133,сценарии!$J:$J,$J133,сценарии!$M:$M,$P$122))</f>
        <v>0.2</v>
      </c>
      <c r="Q133" s="102">
        <f>IF(Q$1="",0,SUMIFS(сценарии!Q:Q,сценарии!$E:$E,$E133,сценарии!$J:$J,$J133,сценарии!$M:$M,$P$122))</f>
        <v>0.2</v>
      </c>
      <c r="R133" s="102">
        <f>IF(R$1="",0,SUMIFS(сценарии!R:R,сценарии!$E:$E,$E133,сценарии!$J:$J,$J133,сценарии!$M:$M,$P$122))</f>
        <v>0.2</v>
      </c>
      <c r="S133" s="102">
        <f>IF(S$1="",0,SUMIFS(сценарии!S:S,сценарии!$E:$E,$E133,сценарии!$J:$J,$J133,сценарии!$M:$M,$P$122))</f>
        <v>0.2</v>
      </c>
      <c r="T133" s="102">
        <f>IF(T$1="",0,SUMIFS(сценарии!T:T,сценарии!$E:$E,$E133,сценарии!$J:$J,$J133,сценарии!$M:$M,$P$122))</f>
        <v>0.2</v>
      </c>
      <c r="U133" s="102">
        <f>IF(U$1="",0,SUMIFS(сценарии!U:U,сценарии!$E:$E,$E133,сценарии!$J:$J,$J133,сценарии!$M:$M,$P$122))</f>
        <v>0.2</v>
      </c>
      <c r="V133" s="102">
        <f>IF(V$1="",0,SUMIFS(сценарии!V:V,сценарии!$E:$E,$E133,сценарии!$J:$J,$J133,сценарии!$M:$M,$P$122))</f>
        <v>0.2</v>
      </c>
      <c r="W133" s="102">
        <f>IF(W$1="",0,SUMIFS(сценарии!W:W,сценарии!$E:$E,$E133,сценарии!$J:$J,$J133,сценарии!$M:$M,$P$122))</f>
        <v>0</v>
      </c>
      <c r="X133" s="102">
        <f>IF(X$1="",0,SUMIFS(сценарии!X:X,сценарии!$E:$E,$E133,сценарии!$J:$J,$J133,сценарии!$M:$M,$P$122))</f>
        <v>0</v>
      </c>
      <c r="Y133" s="102">
        <f>IF(Y$1="",0,SUMIFS(сценарии!Y:Y,сценарии!$E:$E,$E133,сценарии!$J:$J,$J133,сценарии!$M:$M,$P$122))</f>
        <v>0</v>
      </c>
      <c r="Z133" s="102">
        <f>IF(Z$1="",0,SUMIFS(сценарии!Z:Z,сценарии!$E:$E,$E133,сценарии!$J:$J,$J133,сценарии!$M:$M,$P$122))</f>
        <v>0</v>
      </c>
      <c r="AA133" s="102">
        <f>IF(AA$1="",0,SUMIFS(сценарии!AA:AA,сценарии!$E:$E,$E133,сценарии!$J:$J,$J133,сценарии!$M:$M,$P$122))</f>
        <v>0</v>
      </c>
      <c r="AB133" s="22"/>
    </row>
    <row r="134" spans="1:28" s="23" customFormat="1" ht="10.199999999999999" x14ac:dyDescent="0.2">
      <c r="A134" s="22"/>
      <c r="B134" s="22"/>
      <c r="C134" s="22"/>
      <c r="D134" s="22"/>
      <c r="E134" s="22" t="str">
        <f>E122</f>
        <v>конверсия в покупку одной услуги проката</v>
      </c>
      <c r="F134" s="22"/>
      <c r="G134" s="22" t="str">
        <f>IF($E134="","",INDEX(KPI!$G:$G,SUMIFS(KPI!$B:$B,KPI!$E:$E,$E134)))</f>
        <v>%</v>
      </c>
      <c r="H134" s="100">
        <f>структура!$V$23</f>
        <v>12</v>
      </c>
      <c r="I134" s="31"/>
      <c r="J134" s="98" t="str">
        <f>структура!$X$23</f>
        <v>дек</v>
      </c>
      <c r="K134" s="99"/>
      <c r="L134" s="22"/>
      <c r="M134" s="58"/>
      <c r="N134" s="22"/>
      <c r="O134" s="22"/>
      <c r="P134" s="102">
        <f>IF(P$1="",0,SUMIFS(сценарии!P:P,сценарии!$E:$E,$E134,сценарии!$J:$J,$J134,сценарии!$M:$M,$P$122))</f>
        <v>0.3</v>
      </c>
      <c r="Q134" s="102">
        <f>IF(Q$1="",0,SUMIFS(сценарии!Q:Q,сценарии!$E:$E,$E134,сценарии!$J:$J,$J134,сценарии!$M:$M,$P$122))</f>
        <v>0.3</v>
      </c>
      <c r="R134" s="102">
        <f>IF(R$1="",0,SUMIFS(сценарии!R:R,сценарии!$E:$E,$E134,сценарии!$J:$J,$J134,сценарии!$M:$M,$P$122))</f>
        <v>0.3</v>
      </c>
      <c r="S134" s="102">
        <f>IF(S$1="",0,SUMIFS(сценарии!S:S,сценарии!$E:$E,$E134,сценарии!$J:$J,$J134,сценарии!$M:$M,$P$122))</f>
        <v>0.3</v>
      </c>
      <c r="T134" s="102">
        <f>IF(T$1="",0,SUMIFS(сценарии!T:T,сценарии!$E:$E,$E134,сценарии!$J:$J,$J134,сценарии!$M:$M,$P$122))</f>
        <v>0.3</v>
      </c>
      <c r="U134" s="102">
        <f>IF(U$1="",0,SUMIFS(сценарии!U:U,сценарии!$E:$E,$E134,сценарии!$J:$J,$J134,сценарии!$M:$M,$P$122))</f>
        <v>0.3</v>
      </c>
      <c r="V134" s="102">
        <f>IF(V$1="",0,SUMIFS(сценарии!V:V,сценарии!$E:$E,$E134,сценарии!$J:$J,$J134,сценарии!$M:$M,$P$122))</f>
        <v>0.3</v>
      </c>
      <c r="W134" s="102">
        <f>IF(W$1="",0,SUMIFS(сценарии!W:W,сценарии!$E:$E,$E134,сценарии!$J:$J,$J134,сценарии!$M:$M,$P$122))</f>
        <v>0</v>
      </c>
      <c r="X134" s="102">
        <f>IF(X$1="",0,SUMIFS(сценарии!X:X,сценарии!$E:$E,$E134,сценарии!$J:$J,$J134,сценарии!$M:$M,$P$122))</f>
        <v>0</v>
      </c>
      <c r="Y134" s="102">
        <f>IF(Y$1="",0,SUMIFS(сценарии!Y:Y,сценарии!$E:$E,$E134,сценарии!$J:$J,$J134,сценарии!$M:$M,$P$122))</f>
        <v>0</v>
      </c>
      <c r="Z134" s="102">
        <f>IF(Z$1="",0,SUMIFS(сценарии!Z:Z,сценарии!$E:$E,$E134,сценарии!$J:$J,$J134,сценарии!$M:$M,$P$122))</f>
        <v>0</v>
      </c>
      <c r="AA134" s="102">
        <f>IF(AA$1="",0,SUMIFS(сценарии!AA:AA,сценарии!$E:$E,$E134,сценарии!$J:$J,$J134,сценарии!$M:$M,$P$122))</f>
        <v>0</v>
      </c>
      <c r="AB134" s="22"/>
    </row>
    <row r="135" spans="1:28" ht="3.9" customHeight="1" x14ac:dyDescent="0.25">
      <c r="A135" s="2"/>
      <c r="B135" s="2"/>
      <c r="C135" s="2"/>
      <c r="D135" s="2"/>
      <c r="E135" s="21"/>
      <c r="F135" s="2"/>
      <c r="G135" s="21"/>
      <c r="H135" s="2"/>
      <c r="I135" s="28"/>
      <c r="J135" s="21"/>
      <c r="K135" s="28"/>
      <c r="L135" s="2"/>
      <c r="M135" s="52"/>
      <c r="N135" s="2"/>
      <c r="O135" s="2"/>
      <c r="P135" s="36"/>
      <c r="Q135" s="36"/>
      <c r="R135" s="36"/>
      <c r="S135" s="36"/>
      <c r="T135" s="36"/>
      <c r="U135" s="36"/>
      <c r="V135" s="36"/>
      <c r="W135" s="36"/>
      <c r="X135" s="36"/>
      <c r="Y135" s="36"/>
      <c r="Z135" s="36"/>
      <c r="AA135" s="36"/>
      <c r="AB135" s="2"/>
    </row>
    <row r="136" spans="1:28" ht="8.1" customHeight="1" x14ac:dyDescent="0.25">
      <c r="A136" s="2"/>
      <c r="B136" s="2"/>
      <c r="C136" s="2"/>
      <c r="D136" s="2"/>
      <c r="E136" s="2"/>
      <c r="F136" s="2"/>
      <c r="G136" s="2"/>
      <c r="H136" s="2"/>
      <c r="I136" s="28"/>
      <c r="J136" s="2"/>
      <c r="K136" s="28"/>
      <c r="L136" s="2"/>
      <c r="M136" s="52"/>
      <c r="N136" s="2"/>
      <c r="O136" s="2"/>
      <c r="P136" s="36"/>
      <c r="Q136" s="36"/>
      <c r="R136" s="36"/>
      <c r="S136" s="36"/>
      <c r="T136" s="36"/>
      <c r="U136" s="36"/>
      <c r="V136" s="36"/>
      <c r="W136" s="36"/>
      <c r="X136" s="36"/>
      <c r="Y136" s="36"/>
      <c r="Z136" s="36"/>
      <c r="AA136" s="36"/>
      <c r="AB136" s="2"/>
    </row>
    <row r="137" spans="1:28" s="5" customFormat="1" x14ac:dyDescent="0.25">
      <c r="A137" s="3"/>
      <c r="B137" s="3"/>
      <c r="C137" s="3"/>
      <c r="D137" s="108"/>
      <c r="E137" s="3" t="str">
        <f>KPI!$E$42</f>
        <v>доход от продажи услуг</v>
      </c>
      <c r="F137" s="3"/>
      <c r="G137" s="3" t="str">
        <f>IF($E137="","",INDEX(KPI!$G:$G,SUMIFS(KPI!$B:$B,KPI!$E:$E,$E137)))</f>
        <v>тыс.руб.</v>
      </c>
      <c r="H137" s="3"/>
      <c r="I137" s="28"/>
      <c r="J137" s="44"/>
      <c r="K137" s="28"/>
      <c r="L137" s="3"/>
      <c r="M137" s="55">
        <f>SUM($O137:$AB137)</f>
        <v>67218.450000000012</v>
      </c>
      <c r="N137" s="3"/>
      <c r="O137" s="3"/>
      <c r="P137" s="46">
        <f>IF(P$1="",0,IF(P$1=0,SUMIFS(P138:P149,H138:H149,"&gt;="&amp;MONTH($J$13)),SUM(P138:P149)))</f>
        <v>6841.7550000000001</v>
      </c>
      <c r="Q137" s="46">
        <f t="shared" ref="Q137" si="14">IF(Q$1="",0,SUM(Q138:Q149))</f>
        <v>7475.2049999999999</v>
      </c>
      <c r="R137" s="46">
        <f t="shared" ref="R137:AA137" si="15">IF(R$1="",0,SUM(R138:R149))</f>
        <v>8428.35</v>
      </c>
      <c r="S137" s="46">
        <f t="shared" si="15"/>
        <v>9058.83</v>
      </c>
      <c r="T137" s="46">
        <f t="shared" si="15"/>
        <v>10009.005000000001</v>
      </c>
      <c r="U137" s="46">
        <f t="shared" si="15"/>
        <v>11592.630000000001</v>
      </c>
      <c r="V137" s="46">
        <f t="shared" si="15"/>
        <v>13812.674999999997</v>
      </c>
      <c r="W137" s="46">
        <f t="shared" si="15"/>
        <v>0</v>
      </c>
      <c r="X137" s="46">
        <f t="shared" si="15"/>
        <v>0</v>
      </c>
      <c r="Y137" s="46">
        <f t="shared" si="15"/>
        <v>0</v>
      </c>
      <c r="Z137" s="46">
        <f t="shared" si="15"/>
        <v>0</v>
      </c>
      <c r="AA137" s="46">
        <f t="shared" si="15"/>
        <v>0</v>
      </c>
      <c r="AB137" s="3"/>
    </row>
    <row r="138" spans="1:28" s="23" customFormat="1" ht="10.199999999999999" x14ac:dyDescent="0.2">
      <c r="A138" s="22"/>
      <c r="B138" s="22"/>
      <c r="C138" s="22"/>
      <c r="D138" s="22"/>
      <c r="E138" s="22" t="str">
        <f>E137</f>
        <v>доход от продажи услуг</v>
      </c>
      <c r="F138" s="22"/>
      <c r="G138" s="22" t="str">
        <f>IF($E138="","",INDEX(KPI!$G:$G,SUMIFS(KPI!$B:$B,KPI!$E:$E,$E138)))</f>
        <v>тыс.руб.</v>
      </c>
      <c r="H138" s="100">
        <f>структура!$V$12</f>
        <v>1</v>
      </c>
      <c r="I138" s="31"/>
      <c r="J138" s="98" t="str">
        <f>структура!$X$12</f>
        <v>янв</v>
      </c>
      <c r="K138" s="99"/>
      <c r="L138" s="22"/>
      <c r="M138" s="58"/>
      <c r="N138" s="22"/>
      <c r="O138" s="22"/>
      <c r="P138" s="101">
        <f>IF(P$1="",0,операции!P198+(операции!P90*(1+$J$104)+операции!P$136*операции!$M138*операции!$M153)*P123*операции!$M123/1000)</f>
        <v>239.625</v>
      </c>
      <c r="Q138" s="101">
        <f>IF(Q$1="",0,операции!Q198+(операции!Q90*(1+$J$104)+операции!Q$136*операции!$M138*операции!$M153)*Q123*операции!$M123/1000)</f>
        <v>258.375</v>
      </c>
      <c r="R138" s="101">
        <f>IF(R$1="",0,операции!R198+(операции!R90*(1+$J$104)+операции!R$136*операции!$M138*операции!$M153)*R123*операции!$M123/1000)</f>
        <v>286.5</v>
      </c>
      <c r="S138" s="101">
        <f>IF(S$1="",0,операции!S198+(операции!S90*(1+$J$104)+операции!S$136*операции!$M138*операции!$M153)*S123*операции!$M123/1000)</f>
        <v>305.25</v>
      </c>
      <c r="T138" s="101">
        <f>IF(T$1="",0,операции!T198+(операции!T90*(1+$J$104)+операции!T$136*операции!$M138*операции!$M153)*T123*операции!$M123/1000)</f>
        <v>333.375</v>
      </c>
      <c r="U138" s="101">
        <f>IF(U$1="",0,операции!U198+(операции!U90*(1+$J$104)+операции!U$136*операции!$M138*операции!$M153)*U123*операции!$M123/1000)</f>
        <v>380.25</v>
      </c>
      <c r="V138" s="101">
        <f>IF(V$1="",0,операции!V198+(операции!V90*(1+$J$104)+операции!V$136*операции!$M138*операции!$M153)*V123*операции!$M123/1000)</f>
        <v>445.875</v>
      </c>
      <c r="W138" s="101">
        <f>IF(W$1="",0,операции!W198+(операции!W90*(1+$J$104)+операции!W$136*операции!$M138*операции!$M153)*W123*операции!$M123/1000)</f>
        <v>0</v>
      </c>
      <c r="X138" s="101">
        <f>IF(X$1="",0,операции!X198+(операции!X90*(1+$J$104)+операции!X$136*операции!$M138*операции!$M153)*X123*операции!$M123/1000)</f>
        <v>0</v>
      </c>
      <c r="Y138" s="101">
        <f>IF(Y$1="",0,операции!Y198+(операции!Y90*(1+$J$104)+операции!Y$136*операции!$M138*операции!$M153)*Y123*операции!$M123/1000)</f>
        <v>0</v>
      </c>
      <c r="Z138" s="101">
        <f>IF(Z$1="",0,операции!Z198+(операции!Z90*(1+$J$104)+операции!Z$136*операции!$M138*операции!$M153)*Z123*операции!$M123/1000)</f>
        <v>0</v>
      </c>
      <c r="AA138" s="101">
        <f>IF(AA$1="",0,операции!AA198+(операции!AA90*(1+$J$104)+операции!AA$136*операции!$M138*операции!$M153)*AA123*операции!$M123/1000)</f>
        <v>0</v>
      </c>
      <c r="AB138" s="22"/>
    </row>
    <row r="139" spans="1:28" s="23" customFormat="1" ht="10.199999999999999" x14ac:dyDescent="0.2">
      <c r="A139" s="22"/>
      <c r="B139" s="22"/>
      <c r="C139" s="22"/>
      <c r="D139" s="22"/>
      <c r="E139" s="22" t="str">
        <f>E137</f>
        <v>доход от продажи услуг</v>
      </c>
      <c r="F139" s="22"/>
      <c r="G139" s="22" t="str">
        <f>IF($E139="","",INDEX(KPI!$G:$G,SUMIFS(KPI!$B:$B,KPI!$E:$E,$E139)))</f>
        <v>тыс.руб.</v>
      </c>
      <c r="H139" s="100">
        <f>структура!$V$13</f>
        <v>2</v>
      </c>
      <c r="I139" s="31"/>
      <c r="J139" s="98" t="str">
        <f>структура!$X$13</f>
        <v>фев</v>
      </c>
      <c r="K139" s="99"/>
      <c r="L139" s="22"/>
      <c r="M139" s="58"/>
      <c r="N139" s="22"/>
      <c r="O139" s="22"/>
      <c r="P139" s="101">
        <f>IF(P$1="",0,операции!P199+(операции!P91*(1+$J$104)+операции!P$136*операции!$M139*операции!$M154)*P124*операции!$M124/1000)</f>
        <v>257.28000000000003</v>
      </c>
      <c r="Q139" s="101">
        <f>IF(Q$1="",0,операции!Q199+(операции!Q91*(1+$J$104)+операции!Q$136*операции!$M139*операции!$M154)*Q124*операции!$M124/1000)</f>
        <v>282.08000000000004</v>
      </c>
      <c r="R139" s="101">
        <f>IF(R$1="",0,операции!R199+(операции!R91*(1+$J$104)+операции!R$136*операции!$M139*операции!$M154)*R124*операции!$M124/1000)</f>
        <v>322.25</v>
      </c>
      <c r="S139" s="101">
        <f>IF(S$1="",0,операции!S199+(операции!S91*(1+$J$104)+операции!S$136*операции!$M139*операции!$M154)*S124*операции!$M124/1000)</f>
        <v>344.08000000000004</v>
      </c>
      <c r="T139" s="101">
        <f>IF(T$1="",0,операции!T199+(операции!T91*(1+$J$104)+операции!T$136*операции!$M139*операции!$M154)*T124*операции!$M124/1000)</f>
        <v>381.28000000000003</v>
      </c>
      <c r="U139" s="101">
        <f>IF(U$1="",0,операции!U199+(операции!U91*(1+$J$104)+операции!U$136*операции!$M139*операции!$M154)*U124*операции!$M124/1000)</f>
        <v>443.28000000000003</v>
      </c>
      <c r="V139" s="101">
        <f>IF(V$1="",0,операции!V199+(операции!V91*(1+$J$104)+операции!V$136*операции!$M139*операции!$M154)*V124*операции!$M124/1000)</f>
        <v>533.04999999999995</v>
      </c>
      <c r="W139" s="101">
        <f>IF(W$1="",0,операции!W199+(операции!W91*(1+$J$104)+операции!W$136*операции!$M139*операции!$M154)*W124*операции!$M124/1000)</f>
        <v>0</v>
      </c>
      <c r="X139" s="101">
        <f>IF(X$1="",0,операции!X199+(операции!X91*(1+$J$104)+операции!X$136*операции!$M139*операции!$M154)*X124*операции!$M124/1000)</f>
        <v>0</v>
      </c>
      <c r="Y139" s="101">
        <f>IF(Y$1="",0,операции!Y199+(операции!Y91*(1+$J$104)+операции!Y$136*операции!$M139*операции!$M154)*Y124*операции!$M124/1000)</f>
        <v>0</v>
      </c>
      <c r="Z139" s="101">
        <f>IF(Z$1="",0,операции!Z199+(операции!Z91*(1+$J$104)+операции!Z$136*операции!$M139*операции!$M154)*Z124*операции!$M124/1000)</f>
        <v>0</v>
      </c>
      <c r="AA139" s="101">
        <f>IF(AA$1="",0,операции!AA199+(операции!AA91*(1+$J$104)+операции!AA$136*операции!$M139*операции!$M154)*AA124*операции!$M124/1000)</f>
        <v>0</v>
      </c>
      <c r="AB139" s="22"/>
    </row>
    <row r="140" spans="1:28" s="23" customFormat="1" ht="10.199999999999999" x14ac:dyDescent="0.2">
      <c r="A140" s="22"/>
      <c r="B140" s="22"/>
      <c r="C140" s="22"/>
      <c r="D140" s="22"/>
      <c r="E140" s="22" t="str">
        <f>E137</f>
        <v>доход от продажи услуг</v>
      </c>
      <c r="F140" s="22"/>
      <c r="G140" s="22" t="str">
        <f>IF($E140="","",INDEX(KPI!$G:$G,SUMIFS(KPI!$B:$B,KPI!$E:$E,$E140)))</f>
        <v>тыс.руб.</v>
      </c>
      <c r="H140" s="100">
        <f>структура!$V$14</f>
        <v>3</v>
      </c>
      <c r="I140" s="31"/>
      <c r="J140" s="98" t="str">
        <f>структура!$X$14</f>
        <v>мар</v>
      </c>
      <c r="K140" s="99"/>
      <c r="L140" s="22"/>
      <c r="M140" s="58"/>
      <c r="N140" s="22"/>
      <c r="O140" s="22"/>
      <c r="P140" s="101">
        <f>IF(P$1="",0,операции!P200+(операции!P92*(1+$J$104)+операции!P$136*операции!$M140*операции!$M155)*P125*операции!$M125/1000)</f>
        <v>331.5</v>
      </c>
      <c r="Q140" s="101">
        <f>IF(Q$1="",0,операции!Q200+(операции!Q92*(1+$J$104)+операции!Q$136*операции!$M140*операции!$M155)*Q125*операции!$M125/1000)</f>
        <v>362.5</v>
      </c>
      <c r="R140" s="101">
        <f>IF(R$1="",0,операции!R200+(операции!R92*(1+$J$104)+операции!R$136*операции!$M140*операции!$M155)*R125*операции!$M125/1000)</f>
        <v>409</v>
      </c>
      <c r="S140" s="101">
        <f>IF(S$1="",0,операции!S200+(операции!S92*(1+$J$104)+операции!S$136*операции!$M140*операции!$M155)*S125*операции!$M125/1000)</f>
        <v>440</v>
      </c>
      <c r="T140" s="101">
        <f>IF(T$1="",0,операции!T200+(операции!T92*(1+$J$104)+операции!T$136*операции!$M140*операции!$M155)*T125*операции!$M125/1000)</f>
        <v>486.5</v>
      </c>
      <c r="U140" s="101">
        <f>IF(U$1="",0,операции!U200+(операции!U92*(1+$J$104)+операции!U$136*операции!$M140*операции!$M155)*U125*операции!$M125/1000)</f>
        <v>564</v>
      </c>
      <c r="V140" s="101">
        <f>IF(V$1="",0,операции!V200+(операции!V92*(1+$J$104)+операции!V$136*операции!$M140*операции!$M155)*V125*операции!$M125/1000)</f>
        <v>672.5</v>
      </c>
      <c r="W140" s="101">
        <f>IF(W$1="",0,операции!W200+(операции!W92*(1+$J$104)+операции!W$136*операции!$M140*операции!$M155)*W125*операции!$M125/1000)</f>
        <v>0</v>
      </c>
      <c r="X140" s="101">
        <f>IF(X$1="",0,операции!X200+(операции!X92*(1+$J$104)+операции!X$136*операции!$M140*операции!$M155)*X125*операции!$M125/1000)</f>
        <v>0</v>
      </c>
      <c r="Y140" s="101">
        <f>IF(Y$1="",0,операции!Y200+(операции!Y92*(1+$J$104)+операции!Y$136*операции!$M140*операции!$M155)*Y125*операции!$M125/1000)</f>
        <v>0</v>
      </c>
      <c r="Z140" s="101">
        <f>IF(Z$1="",0,операции!Z200+(операции!Z92*(1+$J$104)+операции!Z$136*операции!$M140*операции!$M155)*Z125*операции!$M125/1000)</f>
        <v>0</v>
      </c>
      <c r="AA140" s="101">
        <f>IF(AA$1="",0,операции!AA200+(операции!AA92*(1+$J$104)+операции!AA$136*операции!$M140*операции!$M155)*AA125*операции!$M125/1000)</f>
        <v>0</v>
      </c>
      <c r="AB140" s="22"/>
    </row>
    <row r="141" spans="1:28" s="23" customFormat="1" ht="10.199999999999999" x14ac:dyDescent="0.2">
      <c r="A141" s="22"/>
      <c r="B141" s="22"/>
      <c r="C141" s="22"/>
      <c r="D141" s="22"/>
      <c r="E141" s="22" t="str">
        <f>E137</f>
        <v>доход от продажи услуг</v>
      </c>
      <c r="F141" s="22"/>
      <c r="G141" s="22" t="str">
        <f>IF($E141="","",INDEX(KPI!$G:$G,SUMIFS(KPI!$B:$B,KPI!$E:$E,$E141)))</f>
        <v>тыс.руб.</v>
      </c>
      <c r="H141" s="100">
        <f>структура!$V$15</f>
        <v>4</v>
      </c>
      <c r="I141" s="31"/>
      <c r="J141" s="98" t="str">
        <f>структура!$X$15</f>
        <v>апр</v>
      </c>
      <c r="K141" s="99"/>
      <c r="L141" s="22"/>
      <c r="M141" s="58"/>
      <c r="N141" s="22"/>
      <c r="O141" s="22"/>
      <c r="P141" s="101">
        <f>IF(P$1="",0,операции!P201+(операции!P93*(1+$J$104)+операции!P$136*операции!$M141*операции!$M156)*P126*операции!$M126/1000)</f>
        <v>348.33000000000004</v>
      </c>
      <c r="Q141" s="101">
        <f>IF(Q$1="",0,операции!Q201+(операции!Q93*(1+$J$104)+операции!Q$136*операции!$M141*операции!$M156)*Q126*операции!$M126/1000)</f>
        <v>379.33000000000004</v>
      </c>
      <c r="R141" s="101">
        <f>IF(R$1="",0,операции!R201+(операции!R93*(1+$J$104)+операции!R$136*операции!$M141*операции!$M156)*R126*операции!$M126/1000)</f>
        <v>425.83000000000004</v>
      </c>
      <c r="S141" s="101">
        <f>IF(S$1="",0,операции!S201+(операции!S93*(1+$J$104)+операции!S$136*операции!$M141*операции!$M156)*S126*операции!$M126/1000)</f>
        <v>456.83000000000004</v>
      </c>
      <c r="T141" s="101">
        <f>IF(T$1="",0,операции!T201+(операции!T93*(1+$J$104)+операции!T$136*операции!$M141*операции!$M156)*T126*операции!$M126/1000)</f>
        <v>503.33000000000004</v>
      </c>
      <c r="U141" s="101">
        <f>IF(U$1="",0,операции!U201+(операции!U93*(1+$J$104)+операции!U$136*операции!$M141*операции!$M156)*U126*операции!$M126/1000)</f>
        <v>580.83000000000004</v>
      </c>
      <c r="V141" s="101">
        <f>IF(V$1="",0,операции!V201+(операции!V93*(1+$J$104)+операции!V$136*операции!$M141*операции!$M156)*V126*операции!$M126/1000)</f>
        <v>689.33</v>
      </c>
      <c r="W141" s="101">
        <f>IF(W$1="",0,операции!W201+(операции!W93*(1+$J$104)+операции!W$136*операции!$M141*операции!$M156)*W126*операции!$M126/1000)</f>
        <v>0</v>
      </c>
      <c r="X141" s="101">
        <f>IF(X$1="",0,операции!X201+(операции!X93*(1+$J$104)+операции!X$136*операции!$M141*операции!$M156)*X126*операции!$M126/1000)</f>
        <v>0</v>
      </c>
      <c r="Y141" s="101">
        <f>IF(Y$1="",0,операции!Y201+(операции!Y93*(1+$J$104)+операции!Y$136*операции!$M141*операции!$M156)*Y126*операции!$M126/1000)</f>
        <v>0</v>
      </c>
      <c r="Z141" s="101">
        <f>IF(Z$1="",0,операции!Z201+(операции!Z93*(1+$J$104)+операции!Z$136*операции!$M141*операции!$M156)*Z126*операции!$M126/1000)</f>
        <v>0</v>
      </c>
      <c r="AA141" s="101">
        <f>IF(AA$1="",0,операции!AA201+(операции!AA93*(1+$J$104)+операции!AA$136*операции!$M141*операции!$M156)*AA126*операции!$M126/1000)</f>
        <v>0</v>
      </c>
      <c r="AB141" s="22"/>
    </row>
    <row r="142" spans="1:28" s="23" customFormat="1" ht="10.199999999999999" x14ac:dyDescent="0.2">
      <c r="A142" s="22"/>
      <c r="B142" s="22"/>
      <c r="C142" s="22"/>
      <c r="D142" s="22"/>
      <c r="E142" s="22" t="str">
        <f>E137</f>
        <v>доход от продажи услуг</v>
      </c>
      <c r="F142" s="22"/>
      <c r="G142" s="22" t="str">
        <f>IF($E142="","",INDEX(KPI!$G:$G,SUMIFS(KPI!$B:$B,KPI!$E:$E,$E142)))</f>
        <v>тыс.руб.</v>
      </c>
      <c r="H142" s="100">
        <f>структура!$V$16</f>
        <v>5</v>
      </c>
      <c r="I142" s="31"/>
      <c r="J142" s="98" t="str">
        <f>структура!$X$16</f>
        <v>май</v>
      </c>
      <c r="K142" s="99"/>
      <c r="L142" s="22"/>
      <c r="M142" s="58"/>
      <c r="N142" s="22"/>
      <c r="O142" s="22"/>
      <c r="P142" s="101">
        <f>IF(P$1="",0,операции!P202+(операции!P94*(1+$J$104)+операции!P$136*операции!$M142*операции!$M157)*P127*операции!$M127/1000)</f>
        <v>861.6</v>
      </c>
      <c r="Q142" s="101">
        <f>IF(Q$1="",0,операции!Q202+(операции!Q94*(1+$J$104)+операции!Q$136*операции!$M142*операции!$M157)*Q127*операции!$M127/1000)</f>
        <v>944.8</v>
      </c>
      <c r="R142" s="101">
        <f>IF(R$1="",0,операции!R202+(операции!R94*(1+$J$104)+операции!R$136*операции!$M142*операции!$M157)*R127*операции!$M127/1000)</f>
        <v>1069.5999999999999</v>
      </c>
      <c r="S142" s="101">
        <f>IF(S$1="",0,операции!S202+(операции!S94*(1+$J$104)+операции!S$136*операции!$M142*операции!$M157)*S127*операции!$M127/1000)</f>
        <v>1152.8</v>
      </c>
      <c r="T142" s="101">
        <f>IF(T$1="",0,операции!T202+(операции!T94*(1+$J$104)+операции!T$136*операции!$M142*операции!$M157)*T127*операции!$M127/1000)</f>
        <v>1277.5999999999999</v>
      </c>
      <c r="U142" s="101">
        <f>IF(U$1="",0,операции!U202+(операции!U94*(1+$J$104)+операции!U$136*операции!$M142*операции!$M157)*U127*операции!$M127/1000)</f>
        <v>1485.6</v>
      </c>
      <c r="V142" s="101">
        <f>IF(V$1="",0,операции!V202+(операции!V94*(1+$J$104)+операции!V$136*операции!$M142*операции!$M157)*V127*операции!$M127/1000)</f>
        <v>1776.8</v>
      </c>
      <c r="W142" s="101">
        <f>IF(W$1="",0,операции!W202+(операции!W94*(1+$J$104)+операции!W$136*операции!$M142*операции!$M157)*W127*операции!$M127/1000)</f>
        <v>0</v>
      </c>
      <c r="X142" s="101">
        <f>IF(X$1="",0,операции!X202+(операции!X94*(1+$J$104)+операции!X$136*операции!$M142*операции!$M157)*X127*операции!$M127/1000)</f>
        <v>0</v>
      </c>
      <c r="Y142" s="101">
        <f>IF(Y$1="",0,операции!Y202+(операции!Y94*(1+$J$104)+операции!Y$136*операции!$M142*операции!$M157)*Y127*операции!$M127/1000)</f>
        <v>0</v>
      </c>
      <c r="Z142" s="101">
        <f>IF(Z$1="",0,операции!Z202+(операции!Z94*(1+$J$104)+операции!Z$136*операции!$M142*операции!$M157)*Z127*операции!$M127/1000)</f>
        <v>0</v>
      </c>
      <c r="AA142" s="101">
        <f>IF(AA$1="",0,операции!AA202+(операции!AA94*(1+$J$104)+операции!AA$136*операции!$M142*операции!$M157)*AA127*операции!$M127/1000)</f>
        <v>0</v>
      </c>
      <c r="AB142" s="22"/>
    </row>
    <row r="143" spans="1:28" s="23" customFormat="1" ht="10.199999999999999" x14ac:dyDescent="0.2">
      <c r="A143" s="22"/>
      <c r="B143" s="22"/>
      <c r="C143" s="22"/>
      <c r="D143" s="22"/>
      <c r="E143" s="22" t="str">
        <f>E137</f>
        <v>доход от продажи услуг</v>
      </c>
      <c r="F143" s="22"/>
      <c r="G143" s="22" t="str">
        <f>IF($E143="","",INDEX(KPI!$G:$G,SUMIFS(KPI!$B:$B,KPI!$E:$E,$E143)))</f>
        <v>тыс.руб.</v>
      </c>
      <c r="H143" s="100">
        <f>структура!$V$17</f>
        <v>6</v>
      </c>
      <c r="I143" s="31"/>
      <c r="J143" s="98" t="str">
        <f>структура!$X$17</f>
        <v>июн</v>
      </c>
      <c r="K143" s="99"/>
      <c r="L143" s="22"/>
      <c r="M143" s="58"/>
      <c r="N143" s="22"/>
      <c r="O143" s="22"/>
      <c r="P143" s="101">
        <f>IF(P$1="",0,операции!P203+(операции!P95*(1+$J$104)+операции!P$136*операции!$M143*операции!$M158)*P128*операции!$M128/1000)</f>
        <v>1268.8800000000001</v>
      </c>
      <c r="Q143" s="101">
        <f>IF(Q$1="",0,операции!Q203+(операции!Q95*(1+$J$104)+операции!Q$136*операции!$M143*операции!$M158)*Q128*операции!$M128/1000)</f>
        <v>1396.88</v>
      </c>
      <c r="R143" s="101">
        <f>IF(R$1="",0,операции!R203+(операции!R95*(1+$J$104)+операции!R$136*операции!$M143*операции!$M158)*R128*операции!$M128/1000)</f>
        <v>1588.88</v>
      </c>
      <c r="S143" s="101">
        <f>IF(S$1="",0,операции!S203+(операции!S95*(1+$J$104)+операции!S$136*операции!$M143*операции!$M158)*S128*операции!$M128/1000)</f>
        <v>1716.88</v>
      </c>
      <c r="T143" s="101">
        <f>IF(T$1="",0,операции!T203+(операции!T95*(1+$J$104)+операции!T$136*операции!$M143*операции!$M158)*T128*операции!$M128/1000)</f>
        <v>1908.88</v>
      </c>
      <c r="U143" s="101">
        <f>IF(U$1="",0,операции!U203+(операции!U95*(1+$J$104)+операции!U$136*операции!$M143*операции!$M158)*U128*операции!$M128/1000)</f>
        <v>2228.88</v>
      </c>
      <c r="V143" s="101">
        <f>IF(V$1="",0,операции!V203+(операции!V95*(1+$J$104)+операции!V$136*операции!$M143*операции!$M158)*V128*операции!$M128/1000)</f>
        <v>2676.88</v>
      </c>
      <c r="W143" s="101">
        <f>IF(W$1="",0,операции!W203+(операции!W95*(1+$J$104)+операции!W$136*операции!$M143*операции!$M158)*W128*операции!$M128/1000)</f>
        <v>0</v>
      </c>
      <c r="X143" s="101">
        <f>IF(X$1="",0,операции!X203+(операции!X95*(1+$J$104)+операции!X$136*операции!$M143*операции!$M158)*X128*операции!$M128/1000)</f>
        <v>0</v>
      </c>
      <c r="Y143" s="101">
        <f>IF(Y$1="",0,операции!Y203+(операции!Y95*(1+$J$104)+операции!Y$136*операции!$M143*операции!$M158)*Y128*операции!$M128/1000)</f>
        <v>0</v>
      </c>
      <c r="Z143" s="101">
        <f>IF(Z$1="",0,операции!Z203+(операции!Z95*(1+$J$104)+операции!Z$136*операции!$M143*операции!$M158)*Z128*операции!$M128/1000)</f>
        <v>0</v>
      </c>
      <c r="AA143" s="101">
        <f>IF(AA$1="",0,операции!AA203+(операции!AA95*(1+$J$104)+операции!AA$136*операции!$M143*операции!$M158)*AA128*операции!$M128/1000)</f>
        <v>0</v>
      </c>
      <c r="AB143" s="22"/>
    </row>
    <row r="144" spans="1:28" s="23" customFormat="1" ht="10.199999999999999" x14ac:dyDescent="0.2">
      <c r="A144" s="22"/>
      <c r="B144" s="22"/>
      <c r="C144" s="22"/>
      <c r="D144" s="22"/>
      <c r="E144" s="22" t="str">
        <f>E137</f>
        <v>доход от продажи услуг</v>
      </c>
      <c r="F144" s="22"/>
      <c r="G144" s="22" t="str">
        <f>IF($E144="","",INDEX(KPI!$G:$G,SUMIFS(KPI!$B:$B,KPI!$E:$E,$E144)))</f>
        <v>тыс.руб.</v>
      </c>
      <c r="H144" s="100">
        <f>структура!$V$18</f>
        <v>7</v>
      </c>
      <c r="I144" s="31"/>
      <c r="J144" s="98" t="str">
        <f>структура!$X$18</f>
        <v>июл</v>
      </c>
      <c r="K144" s="99"/>
      <c r="L144" s="22"/>
      <c r="M144" s="58"/>
      <c r="N144" s="22"/>
      <c r="O144" s="22"/>
      <c r="P144" s="101">
        <f>IF(P$1="",0,операции!P204+(операции!P96*(1+$J$104)+операции!P$136*операции!$M144*операции!$M159)*P129*операции!$M129/1000)</f>
        <v>1038.7800000000002</v>
      </c>
      <c r="Q144" s="101">
        <f>IF(Q$1="",0,операции!Q204+(операции!Q96*(1+$J$104)+операции!Q$136*операции!$M144*операции!$M159)*Q129*операции!$M129/1000)</f>
        <v>1134.7800000000002</v>
      </c>
      <c r="R144" s="101">
        <f>IF(R$1="",0,операции!R204+(операции!R96*(1+$J$104)+операции!R$136*операции!$M144*операции!$M159)*R129*операции!$M129/1000)</f>
        <v>1278.7800000000002</v>
      </c>
      <c r="S144" s="101">
        <f>IF(S$1="",0,операции!S204+(операции!S96*(1+$J$104)+операции!S$136*операции!$M144*операции!$M159)*S129*операции!$M129/1000)</f>
        <v>1374.7800000000002</v>
      </c>
      <c r="T144" s="101">
        <f>IF(T$1="",0,операции!T204+(операции!T96*(1+$J$104)+операции!T$136*операции!$M144*операции!$M159)*T129*операции!$M129/1000)</f>
        <v>1518.7800000000002</v>
      </c>
      <c r="U144" s="101">
        <f>IF(U$1="",0,операции!U204+(операции!U96*(1+$J$104)+операции!U$136*операции!$M144*операции!$M159)*U129*операции!$M129/1000)</f>
        <v>1758.7800000000002</v>
      </c>
      <c r="V144" s="101">
        <f>IF(V$1="",0,операции!V204+(операции!V96*(1+$J$104)+операции!V$136*операции!$M144*операции!$M159)*V129*операции!$M129/1000)</f>
        <v>2094.7800000000002</v>
      </c>
      <c r="W144" s="101">
        <f>IF(W$1="",0,операции!W204+(операции!W96*(1+$J$104)+операции!W$136*операции!$M144*операции!$M159)*W129*операции!$M129/1000)</f>
        <v>0</v>
      </c>
      <c r="X144" s="101">
        <f>IF(X$1="",0,операции!X204+(операции!X96*(1+$J$104)+операции!X$136*операции!$M144*операции!$M159)*X129*операции!$M129/1000)</f>
        <v>0</v>
      </c>
      <c r="Y144" s="101">
        <f>IF(Y$1="",0,операции!Y204+(операции!Y96*(1+$J$104)+операции!Y$136*операции!$M144*операции!$M159)*Y129*операции!$M129/1000)</f>
        <v>0</v>
      </c>
      <c r="Z144" s="101">
        <f>IF(Z$1="",0,операции!Z204+(операции!Z96*(1+$J$104)+операции!Z$136*операции!$M144*операции!$M159)*Z129*операции!$M129/1000)</f>
        <v>0</v>
      </c>
      <c r="AA144" s="101">
        <f>IF(AA$1="",0,операции!AA204+(операции!AA96*(1+$J$104)+операции!AA$136*операции!$M144*операции!$M159)*AA129*операции!$M129/1000)</f>
        <v>0</v>
      </c>
      <c r="AB144" s="22"/>
    </row>
    <row r="145" spans="1:28" s="23" customFormat="1" ht="10.199999999999999" x14ac:dyDescent="0.2">
      <c r="A145" s="22"/>
      <c r="B145" s="22"/>
      <c r="C145" s="22"/>
      <c r="D145" s="22"/>
      <c r="E145" s="22" t="str">
        <f>E137</f>
        <v>доход от продажи услуг</v>
      </c>
      <c r="F145" s="22"/>
      <c r="G145" s="22" t="str">
        <f>IF($E145="","",INDEX(KPI!$G:$G,SUMIFS(KPI!$B:$B,KPI!$E:$E,$E145)))</f>
        <v>тыс.руб.</v>
      </c>
      <c r="H145" s="100">
        <f>структура!$V$19</f>
        <v>8</v>
      </c>
      <c r="I145" s="31"/>
      <c r="J145" s="98" t="str">
        <f>структура!$X$19</f>
        <v>авг</v>
      </c>
      <c r="K145" s="99"/>
      <c r="L145" s="22"/>
      <c r="M145" s="58"/>
      <c r="N145" s="22"/>
      <c r="O145" s="22"/>
      <c r="P145" s="101">
        <f>IF(P$1="",0,операции!P205+(операции!P97*(1+$J$104)+операции!P$136*операции!$M145*операции!$M160)*P130*операции!$M130/1000)</f>
        <v>942.78000000000009</v>
      </c>
      <c r="Q145" s="101">
        <f>IF(Q$1="",0,операции!Q205+(операции!Q97*(1+$J$104)+операции!Q$136*операции!$M145*операции!$M160)*Q130*операции!$M130/1000)</f>
        <v>1025.98</v>
      </c>
      <c r="R145" s="101">
        <f>IF(R$1="",0,операции!R205+(операции!R97*(1+$J$104)+операции!R$136*операции!$M145*операции!$M160)*R130*операции!$M130/1000)</f>
        <v>1150.7800000000002</v>
      </c>
      <c r="S145" s="101">
        <f>IF(S$1="",0,операции!S205+(операции!S97*(1+$J$104)+операции!S$136*операции!$M145*операции!$M160)*S130*операции!$M130/1000)</f>
        <v>1233.98</v>
      </c>
      <c r="T145" s="101">
        <f>IF(T$1="",0,операции!T205+(операции!T97*(1+$J$104)+операции!T$136*операции!$M145*операции!$M160)*T130*операции!$M130/1000)</f>
        <v>1358.7800000000002</v>
      </c>
      <c r="U145" s="101">
        <f>IF(U$1="",0,операции!U205+(операции!U97*(1+$J$104)+операции!U$136*операции!$M145*операции!$M160)*U130*операции!$M130/1000)</f>
        <v>1566.7800000000002</v>
      </c>
      <c r="V145" s="101">
        <f>IF(V$1="",0,операции!V205+(операции!V97*(1+$J$104)+операции!V$136*операции!$M145*операции!$M160)*V130*операции!$M130/1000)</f>
        <v>1857.98</v>
      </c>
      <c r="W145" s="101">
        <f>IF(W$1="",0,операции!W205+(операции!W97*(1+$J$104)+операции!W$136*операции!$M145*операции!$M160)*W130*операции!$M130/1000)</f>
        <v>0</v>
      </c>
      <c r="X145" s="101">
        <f>IF(X$1="",0,операции!X205+(операции!X97*(1+$J$104)+операции!X$136*операции!$M145*операции!$M160)*X130*операции!$M130/1000)</f>
        <v>0</v>
      </c>
      <c r="Y145" s="101">
        <f>IF(Y$1="",0,операции!Y205+(операции!Y97*(1+$J$104)+операции!Y$136*операции!$M145*операции!$M160)*Y130*операции!$M130/1000)</f>
        <v>0</v>
      </c>
      <c r="Z145" s="101">
        <f>IF(Z$1="",0,операции!Z205+(операции!Z97*(1+$J$104)+операции!Z$136*операции!$M145*операции!$M160)*Z130*операции!$M130/1000)</f>
        <v>0</v>
      </c>
      <c r="AA145" s="101">
        <f>IF(AA$1="",0,операции!AA205+(операции!AA97*(1+$J$104)+операции!AA$136*операции!$M145*операции!$M160)*AA130*операции!$M130/1000)</f>
        <v>0</v>
      </c>
      <c r="AB145" s="22"/>
    </row>
    <row r="146" spans="1:28" s="23" customFormat="1" ht="10.199999999999999" x14ac:dyDescent="0.2">
      <c r="A146" s="22"/>
      <c r="B146" s="22"/>
      <c r="C146" s="22"/>
      <c r="D146" s="22"/>
      <c r="E146" s="22" t="str">
        <f>E137</f>
        <v>доход от продажи услуг</v>
      </c>
      <c r="F146" s="22"/>
      <c r="G146" s="22" t="str">
        <f>IF($E146="","",INDEX(KPI!$G:$G,SUMIFS(KPI!$B:$B,KPI!$E:$E,$E146)))</f>
        <v>тыс.руб.</v>
      </c>
      <c r="H146" s="100">
        <f>структура!$V$20</f>
        <v>9</v>
      </c>
      <c r="I146" s="31"/>
      <c r="J146" s="98" t="str">
        <f>структура!$X$20</f>
        <v>сен</v>
      </c>
      <c r="K146" s="99"/>
      <c r="L146" s="22"/>
      <c r="M146" s="58"/>
      <c r="N146" s="22"/>
      <c r="O146" s="22"/>
      <c r="P146" s="101">
        <f>IF(P$1="",0,операции!P206+(операции!P98*(1+$J$104)+операции!P$136*операции!$M146*операции!$M161)*P131*операции!$M131/1000)</f>
        <v>402.67500000000001</v>
      </c>
      <c r="Q146" s="101">
        <f>IF(Q$1="",0,операции!Q206+(операции!Q98*(1+$J$104)+операции!Q$136*операции!$M146*операции!$M161)*Q131*операции!$M131/1000)</f>
        <v>433.92500000000001</v>
      </c>
      <c r="R146" s="101">
        <f>IF(R$1="",0,операции!R206+(операции!R98*(1+$J$104)+операции!R$136*операции!$M146*операции!$M161)*R131*операции!$M131/1000)</f>
        <v>480.8</v>
      </c>
      <c r="S146" s="101">
        <f>IF(S$1="",0,операции!S206+(операции!S98*(1+$J$104)+операции!S$136*операции!$M146*операции!$M161)*S131*операции!$M131/1000)</f>
        <v>512.04999999999995</v>
      </c>
      <c r="T146" s="101">
        <f>IF(T$1="",0,операции!T206+(операции!T98*(1+$J$104)+операции!T$136*операции!$M146*операции!$M161)*T131*операции!$M131/1000)</f>
        <v>558.92499999999995</v>
      </c>
      <c r="U146" s="101">
        <f>IF(U$1="",0,операции!U206+(операции!U98*(1+$J$104)+операции!U$136*операции!$M146*операции!$M161)*U131*операции!$M131/1000)</f>
        <v>637.04999999999995</v>
      </c>
      <c r="V146" s="101">
        <f>IF(V$1="",0,операции!V206+(операции!V98*(1+$J$104)+операции!V$136*операции!$M146*операции!$M161)*V131*операции!$M131/1000)</f>
        <v>746.42499999999995</v>
      </c>
      <c r="W146" s="101">
        <f>IF(W$1="",0,операции!W206+(операции!W98*(1+$J$104)+операции!W$136*операции!$M146*операции!$M161)*W131*операции!$M131/1000)</f>
        <v>0</v>
      </c>
      <c r="X146" s="101">
        <f>IF(X$1="",0,операции!X206+(операции!X98*(1+$J$104)+операции!X$136*операции!$M146*операции!$M161)*X131*операции!$M131/1000)</f>
        <v>0</v>
      </c>
      <c r="Y146" s="101">
        <f>IF(Y$1="",0,операции!Y206+(операции!Y98*(1+$J$104)+операции!Y$136*операции!$M146*операции!$M161)*Y131*операции!$M131/1000)</f>
        <v>0</v>
      </c>
      <c r="Z146" s="101">
        <f>IF(Z$1="",0,операции!Z206+(операции!Z98*(1+$J$104)+операции!Z$136*операции!$M146*операции!$M161)*Z131*операции!$M131/1000)</f>
        <v>0</v>
      </c>
      <c r="AA146" s="101">
        <f>IF(AA$1="",0,операции!AA206+(операции!AA98*(1+$J$104)+операции!AA$136*операции!$M146*операции!$M161)*AA131*операции!$M131/1000)</f>
        <v>0</v>
      </c>
      <c r="AB146" s="22"/>
    </row>
    <row r="147" spans="1:28" s="23" customFormat="1" ht="10.199999999999999" x14ac:dyDescent="0.2">
      <c r="A147" s="22"/>
      <c r="B147" s="22"/>
      <c r="C147" s="22"/>
      <c r="D147" s="22"/>
      <c r="E147" s="22" t="str">
        <f>E137</f>
        <v>доход от продажи услуг</v>
      </c>
      <c r="F147" s="22"/>
      <c r="G147" s="22" t="str">
        <f>IF($E147="","",INDEX(KPI!$G:$G,SUMIFS(KPI!$B:$B,KPI!$E:$E,$E147)))</f>
        <v>тыс.руб.</v>
      </c>
      <c r="H147" s="100">
        <f>структура!$V$21</f>
        <v>10</v>
      </c>
      <c r="I147" s="31"/>
      <c r="J147" s="98" t="str">
        <f>структура!$X$21</f>
        <v>окт</v>
      </c>
      <c r="K147" s="99"/>
      <c r="L147" s="22"/>
      <c r="M147" s="58"/>
      <c r="N147" s="22"/>
      <c r="O147" s="22"/>
      <c r="P147" s="101">
        <f>IF(P$1="",0,операции!P207+(операции!P99*(1+$J$104)+операции!P$136*операции!$M147*операции!$M162)*P132*операции!$M132/1000)</f>
        <v>466.72500000000008</v>
      </c>
      <c r="Q147" s="101">
        <f>IF(Q$1="",0,операции!Q207+(операции!Q99*(1+$J$104)+операции!Q$136*операции!$M147*операции!$M162)*Q132*операции!$M132/1000)</f>
        <v>510.47500000000008</v>
      </c>
      <c r="R147" s="101">
        <f>IF(R$1="",0,операции!R207+(операции!R99*(1+$J$104)+операции!R$136*операции!$M147*операции!$M162)*R132*операции!$M132/1000)</f>
        <v>576.10000000000014</v>
      </c>
      <c r="S147" s="101">
        <f>IF(S$1="",0,операции!S207+(операции!S99*(1+$J$104)+операции!S$136*операции!$M147*операции!$M162)*S132*операции!$M132/1000)</f>
        <v>619.85000000000014</v>
      </c>
      <c r="T147" s="101">
        <f>IF(T$1="",0,операции!T207+(операции!T99*(1+$J$104)+операции!T$136*операции!$M147*операции!$M162)*T132*операции!$M132/1000)</f>
        <v>685.47500000000002</v>
      </c>
      <c r="U147" s="101">
        <f>IF(U$1="",0,операции!U207+(операции!U99*(1+$J$104)+операции!U$136*операции!$M147*операции!$M162)*U132*операции!$M132/1000)</f>
        <v>794.85000000000014</v>
      </c>
      <c r="V147" s="101">
        <f>IF(V$1="",0,операции!V207+(операции!V99*(1+$J$104)+операции!V$136*операции!$M147*операции!$M162)*V132*операции!$M132/1000)</f>
        <v>947.97500000000014</v>
      </c>
      <c r="W147" s="101">
        <f>IF(W$1="",0,операции!W207+(операции!W99*(1+$J$104)+операции!W$136*операции!$M147*операции!$M162)*W132*операции!$M132/1000)</f>
        <v>0</v>
      </c>
      <c r="X147" s="101">
        <f>IF(X$1="",0,операции!X207+(операции!X99*(1+$J$104)+операции!X$136*операции!$M147*операции!$M162)*X132*операции!$M132/1000)</f>
        <v>0</v>
      </c>
      <c r="Y147" s="101">
        <f>IF(Y$1="",0,операции!Y207+(операции!Y99*(1+$J$104)+операции!Y$136*операции!$M147*операции!$M162)*Y132*операции!$M132/1000)</f>
        <v>0</v>
      </c>
      <c r="Z147" s="101">
        <f>IF(Z$1="",0,операции!Z207+(операции!Z99*(1+$J$104)+операции!Z$136*операции!$M147*операции!$M162)*Z132*операции!$M132/1000)</f>
        <v>0</v>
      </c>
      <c r="AA147" s="101">
        <f>IF(AA$1="",0,операции!AA207+(операции!AA99*(1+$J$104)+операции!AA$136*операции!$M147*операции!$M162)*AA132*операции!$M132/1000)</f>
        <v>0</v>
      </c>
      <c r="AB147" s="22"/>
    </row>
    <row r="148" spans="1:28" s="23" customFormat="1" ht="10.199999999999999" x14ac:dyDescent="0.2">
      <c r="A148" s="22"/>
      <c r="B148" s="22"/>
      <c r="C148" s="22"/>
      <c r="D148" s="22"/>
      <c r="E148" s="22" t="str">
        <f>E137</f>
        <v>доход от продажи услуг</v>
      </c>
      <c r="F148" s="22"/>
      <c r="G148" s="22" t="str">
        <f>IF($E148="","",INDEX(KPI!$G:$G,SUMIFS(KPI!$B:$B,KPI!$E:$E,$E148)))</f>
        <v>тыс.руб.</v>
      </c>
      <c r="H148" s="100">
        <f>структура!$V$22</f>
        <v>11</v>
      </c>
      <c r="I148" s="31"/>
      <c r="J148" s="98" t="str">
        <f>структура!$X$22</f>
        <v>ноя</v>
      </c>
      <c r="K148" s="99"/>
      <c r="L148" s="22"/>
      <c r="M148" s="58"/>
      <c r="N148" s="22"/>
      <c r="O148" s="22"/>
      <c r="P148" s="101">
        <f>IF(P$1="",0,операции!P208+(операции!P100*(1+$J$104)+операции!P$136*операции!$M148*операции!$M163)*P133*операции!$M133/1000)</f>
        <v>328.53000000000003</v>
      </c>
      <c r="Q148" s="101">
        <f>IF(Q$1="",0,операции!Q208+(операции!Q100*(1+$J$104)+операции!Q$136*операции!$M148*операции!$M163)*Q133*операции!$M133/1000)</f>
        <v>359.53000000000003</v>
      </c>
      <c r="R148" s="101">
        <f>IF(R$1="",0,операции!R208+(операции!R100*(1+$J$104)+операции!R$136*операции!$M148*операции!$M163)*R133*операции!$M133/1000)</f>
        <v>406.03000000000003</v>
      </c>
      <c r="S148" s="101">
        <f>IF(S$1="",0,операции!S208+(операции!S100*(1+$J$104)+операции!S$136*операции!$M148*операции!$M163)*S133*операции!$M133/1000)</f>
        <v>437.03000000000003</v>
      </c>
      <c r="T148" s="101">
        <f>IF(T$1="",0,операции!T208+(операции!T100*(1+$J$104)+операции!T$136*операции!$M148*операции!$M163)*T133*операции!$M133/1000)</f>
        <v>483.53000000000003</v>
      </c>
      <c r="U148" s="101">
        <f>IF(U$1="",0,операции!U208+(операции!U100*(1+$J$104)+операции!U$136*операции!$M148*операции!$M163)*U133*операции!$M133/1000)</f>
        <v>561.03</v>
      </c>
      <c r="V148" s="101">
        <f>IF(V$1="",0,операции!V208+(операции!V100*(1+$J$104)+операции!V$136*операции!$M148*операции!$M163)*V133*операции!$M133/1000)</f>
        <v>669.53</v>
      </c>
      <c r="W148" s="101">
        <f>IF(W$1="",0,операции!W208+(операции!W100*(1+$J$104)+операции!W$136*операции!$M148*операции!$M163)*W133*операции!$M133/1000)</f>
        <v>0</v>
      </c>
      <c r="X148" s="101">
        <f>IF(X$1="",0,операции!X208+(операции!X100*(1+$J$104)+операции!X$136*операции!$M148*операции!$M163)*X133*операции!$M133/1000)</f>
        <v>0</v>
      </c>
      <c r="Y148" s="101">
        <f>IF(Y$1="",0,операции!Y208+(операции!Y100*(1+$J$104)+операции!Y$136*операции!$M148*операции!$M163)*Y133*операции!$M133/1000)</f>
        <v>0</v>
      </c>
      <c r="Z148" s="101">
        <f>IF(Z$1="",0,операции!Z208+(операции!Z100*(1+$J$104)+операции!Z$136*операции!$M148*операции!$M163)*Z133*операции!$M133/1000)</f>
        <v>0</v>
      </c>
      <c r="AA148" s="101">
        <f>IF(AA$1="",0,операции!AA208+(операции!AA100*(1+$J$104)+операции!AA$136*операции!$M148*операции!$M163)*AA133*операции!$M133/1000)</f>
        <v>0</v>
      </c>
      <c r="AB148" s="22"/>
    </row>
    <row r="149" spans="1:28" s="23" customFormat="1" ht="10.199999999999999" x14ac:dyDescent="0.2">
      <c r="A149" s="22"/>
      <c r="B149" s="22"/>
      <c r="C149" s="22"/>
      <c r="D149" s="22"/>
      <c r="E149" s="22" t="str">
        <f>E137</f>
        <v>доход от продажи услуг</v>
      </c>
      <c r="F149" s="22"/>
      <c r="G149" s="22" t="str">
        <f>IF($E149="","",INDEX(KPI!$G:$G,SUMIFS(KPI!$B:$B,KPI!$E:$E,$E149)))</f>
        <v>тыс.руб.</v>
      </c>
      <c r="H149" s="100">
        <f>структура!$V$23</f>
        <v>12</v>
      </c>
      <c r="I149" s="31"/>
      <c r="J149" s="98" t="str">
        <f>структура!$X$23</f>
        <v>дек</v>
      </c>
      <c r="K149" s="99"/>
      <c r="L149" s="22"/>
      <c r="M149" s="58"/>
      <c r="N149" s="22"/>
      <c r="O149" s="22"/>
      <c r="P149" s="101">
        <f>IF(P$1="",0,операции!P209+(операции!P101*(1+$J$104)+операции!P$136*операции!$M149*операции!$M164)*P134*операции!$M134/1000)</f>
        <v>355.04999999999916</v>
      </c>
      <c r="Q149" s="101">
        <f>IF(Q$1="",0,операции!Q209+(операции!Q101*(1+$J$104)+операции!Q$136*операции!$M149*операции!$M164)*Q134*операции!$M134/1000)</f>
        <v>386.54999999999905</v>
      </c>
      <c r="R149" s="101">
        <f>IF(R$1="",0,операции!R209+(операции!R101*(1+$J$104)+операции!R$136*операции!$M149*операции!$M164)*R134*операции!$M134/1000)</f>
        <v>433.79999999999893</v>
      </c>
      <c r="S149" s="101">
        <f>IF(S$1="",0,операции!S209+(операции!S101*(1+$J$104)+операции!S$136*операции!$M149*операции!$M164)*S134*операции!$M134/1000)</f>
        <v>465.29999999999882</v>
      </c>
      <c r="T149" s="101">
        <f>IF(T$1="",0,операции!T209+(операции!T101*(1+$J$104)+операции!T$136*операции!$M149*операции!$M164)*T134*операции!$M134/1000)</f>
        <v>512.54999999999859</v>
      </c>
      <c r="U149" s="101">
        <f>IF(U$1="",0,операции!U209+(операции!U101*(1+$J$104)+операции!U$136*операции!$M149*операции!$M164)*U134*операции!$M134/1000)</f>
        <v>591.29999999999836</v>
      </c>
      <c r="V149" s="101">
        <f>IF(V$1="",0,операции!V209+(операции!V101*(1+$J$104)+операции!V$136*операции!$M149*операции!$M164)*V134*операции!$M134/1000)</f>
        <v>701.54999999999791</v>
      </c>
      <c r="W149" s="101">
        <f>IF(W$1="",0,операции!W209+(операции!W101*(1+$J$104)+операции!W$136*операции!$M149*операции!$M164)*W134*операции!$M134/1000)</f>
        <v>0</v>
      </c>
      <c r="X149" s="101">
        <f>IF(X$1="",0,операции!X209+(операции!X101*(1+$J$104)+операции!X$136*операции!$M149*операции!$M164)*X134*операции!$M134/1000)</f>
        <v>0</v>
      </c>
      <c r="Y149" s="101">
        <f>IF(Y$1="",0,операции!Y209+(операции!Y101*(1+$J$104)+операции!Y$136*операции!$M149*операции!$M164)*Y134*операции!$M134/1000)</f>
        <v>0</v>
      </c>
      <c r="Z149" s="101">
        <f>IF(Z$1="",0,операции!Z209+(операции!Z101*(1+$J$104)+операции!Z$136*операции!$M149*операции!$M164)*Z134*операции!$M134/1000)</f>
        <v>0</v>
      </c>
      <c r="AA149" s="101">
        <f>IF(AA$1="",0,операции!AA209+(операции!AA101*(1+$J$104)+операции!AA$136*операции!$M149*операции!$M164)*AA134*операции!$M134/1000)</f>
        <v>0</v>
      </c>
      <c r="AB149" s="22"/>
    </row>
    <row r="150" spans="1:28" ht="3.9" customHeight="1" x14ac:dyDescent="0.25">
      <c r="A150" s="2"/>
      <c r="B150" s="2"/>
      <c r="C150" s="2"/>
      <c r="D150" s="109"/>
      <c r="E150" s="109"/>
      <c r="F150" s="2"/>
      <c r="G150" s="109"/>
      <c r="H150" s="2"/>
      <c r="I150" s="28"/>
      <c r="J150" s="109"/>
      <c r="K150" s="28"/>
      <c r="L150" s="2"/>
      <c r="M150" s="52"/>
      <c r="N150" s="2"/>
      <c r="O150" s="2"/>
      <c r="P150" s="36"/>
      <c r="Q150" s="36"/>
      <c r="R150" s="36"/>
      <c r="S150" s="36"/>
      <c r="T150" s="36"/>
      <c r="U150" s="36"/>
      <c r="V150" s="36"/>
      <c r="W150" s="36"/>
      <c r="X150" s="36"/>
      <c r="Y150" s="36"/>
      <c r="Z150" s="36"/>
      <c r="AA150" s="36"/>
      <c r="AB150" s="2"/>
    </row>
    <row r="151" spans="1:28" ht="8.1" customHeight="1" x14ac:dyDescent="0.25">
      <c r="A151" s="2"/>
      <c r="B151" s="2"/>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2"/>
    </row>
    <row r="152" spans="1:28" x14ac:dyDescent="0.25">
      <c r="A152" s="2"/>
      <c r="B152" s="2"/>
      <c r="C152" s="2"/>
      <c r="D152" s="2"/>
      <c r="E152" s="120" t="str">
        <f>KPI!$E$75</f>
        <v>ОПЕРАЦИОННЫЕ РАСХОДЫ</v>
      </c>
      <c r="F152" s="2"/>
      <c r="G152" s="2"/>
      <c r="H152" s="2"/>
      <c r="I152" s="28"/>
      <c r="J152" s="2"/>
      <c r="K152" s="28"/>
      <c r="L152" s="2"/>
      <c r="M152" s="52"/>
      <c r="N152" s="2"/>
      <c r="O152" s="2"/>
      <c r="P152" s="36"/>
      <c r="Q152" s="36"/>
      <c r="R152" s="36"/>
      <c r="S152" s="36"/>
      <c r="T152" s="36"/>
      <c r="U152" s="36"/>
      <c r="V152" s="36"/>
      <c r="W152" s="36"/>
      <c r="X152" s="36"/>
      <c r="Y152" s="36"/>
      <c r="Z152" s="36"/>
      <c r="AA152" s="36"/>
      <c r="AB152" s="2"/>
    </row>
    <row r="153" spans="1:28" ht="8.1" customHeight="1" x14ac:dyDescent="0.25">
      <c r="A153" s="2"/>
      <c r="B153" s="2"/>
      <c r="C153" s="2"/>
      <c r="D153" s="2"/>
      <c r="E153" s="2"/>
      <c r="F153" s="2"/>
      <c r="G153" s="2"/>
      <c r="H153" s="2"/>
      <c r="I153" s="28"/>
      <c r="J153" s="2"/>
      <c r="K153" s="28"/>
      <c r="L153" s="2"/>
      <c r="M153" s="52"/>
      <c r="N153" s="2"/>
      <c r="O153" s="2"/>
      <c r="P153" s="36"/>
      <c r="Q153" s="36"/>
      <c r="R153" s="36"/>
      <c r="S153" s="36"/>
      <c r="T153" s="36"/>
      <c r="U153" s="36"/>
      <c r="V153" s="36"/>
      <c r="W153" s="36"/>
      <c r="X153" s="36"/>
      <c r="Y153" s="36"/>
      <c r="Z153" s="36"/>
      <c r="AA153" s="36"/>
      <c r="AB153" s="2"/>
    </row>
    <row r="154" spans="1:28" s="5" customFormat="1" x14ac:dyDescent="0.25">
      <c r="A154" s="3"/>
      <c r="B154" s="3"/>
      <c r="C154" s="3"/>
      <c r="D154" s="3"/>
      <c r="E154" s="3" t="str">
        <f>KPI!$E$43</f>
        <v>%-нт маркетинговых расходов от дохода</v>
      </c>
      <c r="F154" s="3"/>
      <c r="G154" s="3" t="str">
        <f>IF($E154="","",INDEX(KPI!$G:$G,SUMIFS(KPI!$B:$B,KPI!$E:$E,$E154)))</f>
        <v>%</v>
      </c>
      <c r="H154" s="3"/>
      <c r="I154" s="28"/>
      <c r="J154" s="2"/>
      <c r="K154" s="28"/>
      <c r="L154" s="2"/>
      <c r="M154" s="52"/>
      <c r="N154" s="3"/>
      <c r="O154" s="6" t="s">
        <v>0</v>
      </c>
      <c r="P154" s="88">
        <v>0.05</v>
      </c>
      <c r="Q154" s="88">
        <v>0.05</v>
      </c>
      <c r="R154" s="88">
        <v>0.04</v>
      </c>
      <c r="S154" s="88">
        <v>0.03</v>
      </c>
      <c r="T154" s="88">
        <v>0.03</v>
      </c>
      <c r="U154" s="88">
        <v>2.7E-2</v>
      </c>
      <c r="V154" s="88">
        <v>2.5000000000000001E-2</v>
      </c>
      <c r="W154" s="88">
        <v>2.5000000000000001E-2</v>
      </c>
      <c r="X154" s="88">
        <v>0.03</v>
      </c>
      <c r="Y154" s="88">
        <v>0.03</v>
      </c>
      <c r="Z154" s="88">
        <v>0.03</v>
      </c>
      <c r="AA154" s="88">
        <v>0.03</v>
      </c>
      <c r="AB154" s="3"/>
    </row>
    <row r="155" spans="1:28" ht="3.9" customHeight="1" x14ac:dyDescent="0.25">
      <c r="A155" s="2"/>
      <c r="B155" s="2"/>
      <c r="C155" s="2"/>
      <c r="D155" s="2"/>
      <c r="E155" s="110"/>
      <c r="F155" s="2"/>
      <c r="G155" s="2"/>
      <c r="H155" s="2"/>
      <c r="I155" s="28"/>
      <c r="J155" s="2"/>
      <c r="K155" s="28"/>
      <c r="L155" s="2"/>
      <c r="M155" s="52"/>
      <c r="N155" s="2"/>
      <c r="O155" s="2"/>
      <c r="P155" s="36"/>
      <c r="Q155" s="36"/>
      <c r="R155" s="36"/>
      <c r="S155" s="36"/>
      <c r="T155" s="36"/>
      <c r="U155" s="36"/>
      <c r="V155" s="36"/>
      <c r="W155" s="36"/>
      <c r="X155" s="36"/>
      <c r="Y155" s="36"/>
      <c r="Z155" s="36"/>
      <c r="AA155" s="36"/>
      <c r="AB155" s="2"/>
    </row>
    <row r="156" spans="1:28" ht="8.1" customHeight="1" x14ac:dyDescent="0.25">
      <c r="A156" s="2"/>
      <c r="B156" s="2"/>
      <c r="C156" s="2"/>
      <c r="D156" s="2"/>
      <c r="E156" s="2"/>
      <c r="F156" s="2"/>
      <c r="G156" s="2"/>
      <c r="H156" s="2"/>
      <c r="I156" s="28"/>
      <c r="J156" s="2"/>
      <c r="K156" s="28"/>
      <c r="L156" s="2"/>
      <c r="M156" s="52"/>
      <c r="N156" s="2"/>
      <c r="O156" s="2"/>
      <c r="P156" s="36"/>
      <c r="Q156" s="36"/>
      <c r="R156" s="36"/>
      <c r="S156" s="36"/>
      <c r="T156" s="36"/>
      <c r="U156" s="36"/>
      <c r="V156" s="36"/>
      <c r="W156" s="36"/>
      <c r="X156" s="36"/>
      <c r="Y156" s="36"/>
      <c r="Z156" s="36"/>
      <c r="AA156" s="36"/>
      <c r="AB156" s="2"/>
    </row>
    <row r="157" spans="1:28" s="5" customFormat="1" x14ac:dyDescent="0.25">
      <c r="A157" s="3"/>
      <c r="B157" s="3"/>
      <c r="C157" s="3"/>
      <c r="D157" s="111"/>
      <c r="E157" s="3" t="str">
        <f>KPI!$E$44</f>
        <v>маркетинговые расходы (начисл/оплаты)</v>
      </c>
      <c r="F157" s="3"/>
      <c r="G157" s="3" t="str">
        <f>IF($E157="","",INDEX(KPI!$G:$G,SUMIFS(KPI!$B:$B,KPI!$E:$E,$E157)))</f>
        <v>тыс.руб.</v>
      </c>
      <c r="H157" s="116" t="str">
        <f>структура!$AL$20</f>
        <v>Заложен сдвиг на один месяц!</v>
      </c>
      <c r="I157" s="28"/>
      <c r="J157" s="44"/>
      <c r="K157" s="28"/>
      <c r="L157" s="3"/>
      <c r="M157" s="55">
        <f>SUM($O157:$AB157)</f>
        <v>4124.6247657692311</v>
      </c>
      <c r="N157" s="3"/>
      <c r="O157" s="3"/>
      <c r="P157" s="46">
        <f>IF(P$1="",0,IF(P$1=0,SUMIFS(P158:P169,H158:H169,"&gt;="&amp;MONTH($J$13)),SUM(P158:P169)))</f>
        <v>707.22005769230771</v>
      </c>
      <c r="Q157" s="46">
        <f t="shared" ref="Q157" si="16">IF(Q$1="",0,SUM(Q158:Q169))</f>
        <v>738.89255769230772</v>
      </c>
      <c r="R157" s="46">
        <f t="shared" ref="R157:AA157" si="17">IF(R$1="",0,SUM(R158:R169))</f>
        <v>629.86938461538466</v>
      </c>
      <c r="S157" s="46">
        <f t="shared" si="17"/>
        <v>490.84428461538459</v>
      </c>
      <c r="T157" s="46">
        <f t="shared" si="17"/>
        <v>519.34953461538464</v>
      </c>
      <c r="U157" s="46">
        <f t="shared" si="17"/>
        <v>510.1724561538461</v>
      </c>
      <c r="V157" s="46">
        <f t="shared" si="17"/>
        <v>528.27649038461527</v>
      </c>
      <c r="W157" s="46">
        <f t="shared" si="17"/>
        <v>0</v>
      </c>
      <c r="X157" s="46">
        <f t="shared" si="17"/>
        <v>0</v>
      </c>
      <c r="Y157" s="46">
        <f t="shared" si="17"/>
        <v>0</v>
      </c>
      <c r="Z157" s="46">
        <f t="shared" si="17"/>
        <v>0</v>
      </c>
      <c r="AA157" s="46">
        <f t="shared" si="17"/>
        <v>0</v>
      </c>
      <c r="AB157" s="3"/>
    </row>
    <row r="158" spans="1:28" s="23" customFormat="1" ht="10.199999999999999" x14ac:dyDescent="0.2">
      <c r="A158" s="22"/>
      <c r="B158" s="22"/>
      <c r="C158" s="22"/>
      <c r="D158" s="22"/>
      <c r="E158" s="22" t="str">
        <f>E157</f>
        <v>маркетинговые расходы (начисл/оплаты)</v>
      </c>
      <c r="F158" s="22"/>
      <c r="G158" s="22" t="str">
        <f>IF($E158="","",INDEX(KPI!$G:$G,SUMIFS(KPI!$B:$B,KPI!$E:$E,$E158)))</f>
        <v>тыс.руб.</v>
      </c>
      <c r="H158" s="100">
        <f>структура!$V$12</f>
        <v>1</v>
      </c>
      <c r="I158" s="31"/>
      <c r="J158" s="98" t="str">
        <f>структура!$X$12</f>
        <v>янв</v>
      </c>
      <c r="K158" s="99"/>
      <c r="L158" s="22"/>
      <c r="M158" s="58"/>
      <c r="N158" s="22"/>
      <c r="O158" s="22"/>
      <c r="P158" s="101">
        <f t="shared" ref="P158:AA158" si="18">IF(P$1="",0,(P60+P139)*P$154)</f>
        <v>31.750153846153843</v>
      </c>
      <c r="Q158" s="101">
        <f t="shared" si="18"/>
        <v>32.990153846153845</v>
      </c>
      <c r="R158" s="101">
        <f t="shared" si="18"/>
        <v>28.62846153846154</v>
      </c>
      <c r="S158" s="101">
        <f t="shared" si="18"/>
        <v>21.654092307692306</v>
      </c>
      <c r="T158" s="101">
        <f t="shared" si="18"/>
        <v>22.770092307692305</v>
      </c>
      <c r="U158" s="101">
        <f t="shared" si="18"/>
        <v>22.167083076923074</v>
      </c>
      <c r="V158" s="101">
        <f t="shared" si="18"/>
        <v>23.162788461538462</v>
      </c>
      <c r="W158" s="101">
        <f t="shared" si="18"/>
        <v>0</v>
      </c>
      <c r="X158" s="101">
        <f t="shared" si="18"/>
        <v>0</v>
      </c>
      <c r="Y158" s="101">
        <f t="shared" si="18"/>
        <v>0</v>
      </c>
      <c r="Z158" s="101">
        <f t="shared" si="18"/>
        <v>0</v>
      </c>
      <c r="AA158" s="101">
        <f t="shared" si="18"/>
        <v>0</v>
      </c>
      <c r="AB158" s="22"/>
    </row>
    <row r="159" spans="1:28" s="23" customFormat="1" ht="10.199999999999999" x14ac:dyDescent="0.2">
      <c r="A159" s="22"/>
      <c r="B159" s="22"/>
      <c r="C159" s="22"/>
      <c r="D159" s="22"/>
      <c r="E159" s="22" t="str">
        <f>E157</f>
        <v>маркетинговые расходы (начисл/оплаты)</v>
      </c>
      <c r="F159" s="22"/>
      <c r="G159" s="22" t="str">
        <f>IF($E159="","",INDEX(KPI!$G:$G,SUMIFS(KPI!$B:$B,KPI!$E:$E,$E159)))</f>
        <v>тыс.руб.</v>
      </c>
      <c r="H159" s="100">
        <f>структура!$V$13</f>
        <v>2</v>
      </c>
      <c r="I159" s="31"/>
      <c r="J159" s="98" t="str">
        <f>структура!$X$13</f>
        <v>фев</v>
      </c>
      <c r="K159" s="99"/>
      <c r="L159" s="22"/>
      <c r="M159" s="58"/>
      <c r="N159" s="22"/>
      <c r="O159" s="22"/>
      <c r="P159" s="101">
        <f t="shared" ref="P159:AA159" si="19">IF(P$1="",0,(P61+P140)*P$154)</f>
        <v>42.805769230769236</v>
      </c>
      <c r="Q159" s="101">
        <f t="shared" si="19"/>
        <v>44.355769230769234</v>
      </c>
      <c r="R159" s="101">
        <f t="shared" si="19"/>
        <v>37.344615384615388</v>
      </c>
      <c r="S159" s="101">
        <f t="shared" si="19"/>
        <v>28.938461538461539</v>
      </c>
      <c r="T159" s="101">
        <f t="shared" si="19"/>
        <v>30.333461538461538</v>
      </c>
      <c r="U159" s="101">
        <f t="shared" si="19"/>
        <v>29.392615384615389</v>
      </c>
      <c r="V159" s="101">
        <f t="shared" si="19"/>
        <v>29.92788461538462</v>
      </c>
      <c r="W159" s="101">
        <f t="shared" si="19"/>
        <v>0</v>
      </c>
      <c r="X159" s="101">
        <f t="shared" si="19"/>
        <v>0</v>
      </c>
      <c r="Y159" s="101">
        <f t="shared" si="19"/>
        <v>0</v>
      </c>
      <c r="Z159" s="101">
        <f t="shared" si="19"/>
        <v>0</v>
      </c>
      <c r="AA159" s="101">
        <f t="shared" si="19"/>
        <v>0</v>
      </c>
      <c r="AB159" s="22"/>
    </row>
    <row r="160" spans="1:28" s="23" customFormat="1" ht="10.199999999999999" x14ac:dyDescent="0.2">
      <c r="A160" s="22"/>
      <c r="B160" s="22"/>
      <c r="C160" s="22"/>
      <c r="D160" s="22"/>
      <c r="E160" s="22" t="str">
        <f>E157</f>
        <v>маркетинговые расходы (начисл/оплаты)</v>
      </c>
      <c r="F160" s="22"/>
      <c r="G160" s="22" t="str">
        <f>IF($E160="","",INDEX(KPI!$G:$G,SUMIFS(KPI!$B:$B,KPI!$E:$E,$E160)))</f>
        <v>тыс.руб.</v>
      </c>
      <c r="H160" s="100">
        <f>структура!$V$14</f>
        <v>3</v>
      </c>
      <c r="I160" s="31"/>
      <c r="J160" s="98" t="str">
        <f>структура!$X$14</f>
        <v>мар</v>
      </c>
      <c r="K160" s="99"/>
      <c r="L160" s="22"/>
      <c r="M160" s="58"/>
      <c r="N160" s="22"/>
      <c r="O160" s="22"/>
      <c r="P160" s="101">
        <f t="shared" ref="P160:AA160" si="20">IF(P$1="",0,(P62+P141)*P$154)</f>
        <v>48.106500000000004</v>
      </c>
      <c r="Q160" s="101">
        <f t="shared" si="20"/>
        <v>49.656500000000001</v>
      </c>
      <c r="R160" s="101">
        <f t="shared" si="20"/>
        <v>41.585200000000007</v>
      </c>
      <c r="S160" s="101">
        <f t="shared" si="20"/>
        <v>32.118900000000004</v>
      </c>
      <c r="T160" s="101">
        <f t="shared" si="20"/>
        <v>33.5139</v>
      </c>
      <c r="U160" s="101">
        <f t="shared" si="20"/>
        <v>32.255010000000006</v>
      </c>
      <c r="V160" s="101">
        <f t="shared" si="20"/>
        <v>32.578250000000004</v>
      </c>
      <c r="W160" s="101">
        <f t="shared" si="20"/>
        <v>0</v>
      </c>
      <c r="X160" s="101">
        <f t="shared" si="20"/>
        <v>0</v>
      </c>
      <c r="Y160" s="101">
        <f t="shared" si="20"/>
        <v>0</v>
      </c>
      <c r="Z160" s="101">
        <f t="shared" si="20"/>
        <v>0</v>
      </c>
      <c r="AA160" s="101">
        <f t="shared" si="20"/>
        <v>0</v>
      </c>
      <c r="AB160" s="22"/>
    </row>
    <row r="161" spans="1:28" s="23" customFormat="1" ht="10.199999999999999" x14ac:dyDescent="0.2">
      <c r="A161" s="22"/>
      <c r="B161" s="22"/>
      <c r="C161" s="22"/>
      <c r="D161" s="22"/>
      <c r="E161" s="22" t="str">
        <f>E157</f>
        <v>маркетинговые расходы (начисл/оплаты)</v>
      </c>
      <c r="F161" s="22"/>
      <c r="G161" s="22" t="str">
        <f>IF($E161="","",INDEX(KPI!$G:$G,SUMIFS(KPI!$B:$B,KPI!$E:$E,$E161)))</f>
        <v>тыс.руб.</v>
      </c>
      <c r="H161" s="100">
        <f>структура!$V$15</f>
        <v>4</v>
      </c>
      <c r="I161" s="31"/>
      <c r="J161" s="98" t="str">
        <f>структура!$X$15</f>
        <v>апр</v>
      </c>
      <c r="K161" s="99"/>
      <c r="L161" s="22"/>
      <c r="M161" s="58"/>
      <c r="N161" s="22"/>
      <c r="O161" s="22"/>
      <c r="P161" s="101">
        <f t="shared" ref="P161:AA161" si="21">IF(P$1="",0,(P63+P142)*P$154)</f>
        <v>74.556923076923084</v>
      </c>
      <c r="Q161" s="101">
        <f t="shared" si="21"/>
        <v>78.716923076923081</v>
      </c>
      <c r="R161" s="101">
        <f t="shared" si="21"/>
        <v>67.965538461538458</v>
      </c>
      <c r="S161" s="101">
        <f t="shared" si="21"/>
        <v>53.470153846153849</v>
      </c>
      <c r="T161" s="101">
        <f t="shared" si="21"/>
        <v>57.214153846153842</v>
      </c>
      <c r="U161" s="101">
        <f t="shared" si="21"/>
        <v>57.108738461538458</v>
      </c>
      <c r="V161" s="101">
        <f t="shared" si="21"/>
        <v>60.158461538461545</v>
      </c>
      <c r="W161" s="101">
        <f t="shared" si="21"/>
        <v>0</v>
      </c>
      <c r="X161" s="101">
        <f t="shared" si="21"/>
        <v>0</v>
      </c>
      <c r="Y161" s="101">
        <f t="shared" si="21"/>
        <v>0</v>
      </c>
      <c r="Z161" s="101">
        <f t="shared" si="21"/>
        <v>0</v>
      </c>
      <c r="AA161" s="101">
        <f t="shared" si="21"/>
        <v>0</v>
      </c>
      <c r="AB161" s="22"/>
    </row>
    <row r="162" spans="1:28" s="23" customFormat="1" ht="10.199999999999999" x14ac:dyDescent="0.2">
      <c r="A162" s="22"/>
      <c r="B162" s="22"/>
      <c r="C162" s="22"/>
      <c r="D162" s="22"/>
      <c r="E162" s="22" t="str">
        <f>E157</f>
        <v>маркетинговые расходы (начисл/оплаты)</v>
      </c>
      <c r="F162" s="22"/>
      <c r="G162" s="22" t="str">
        <f>IF($E162="","",INDEX(KPI!$G:$G,SUMIFS(KPI!$B:$B,KPI!$E:$E,$E162)))</f>
        <v>тыс.руб.</v>
      </c>
      <c r="H162" s="100">
        <f>структура!$V$16</f>
        <v>5</v>
      </c>
      <c r="I162" s="31"/>
      <c r="J162" s="98" t="str">
        <f>структура!$X$16</f>
        <v>май</v>
      </c>
      <c r="K162" s="99"/>
      <c r="L162" s="22"/>
      <c r="M162" s="58"/>
      <c r="N162" s="22"/>
      <c r="O162" s="22"/>
      <c r="P162" s="101">
        <f t="shared" ref="P162:AA162" si="22">IF(P$1="",0,(P64+P143)*P$154)</f>
        <v>104.36399999999999</v>
      </c>
      <c r="Q162" s="101">
        <f t="shared" si="22"/>
        <v>110.764</v>
      </c>
      <c r="R162" s="101">
        <f t="shared" si="22"/>
        <v>96.291199999999989</v>
      </c>
      <c r="S162" s="101">
        <f t="shared" si="22"/>
        <v>76.058399999999992</v>
      </c>
      <c r="T162" s="101">
        <f t="shared" si="22"/>
        <v>81.818399999999983</v>
      </c>
      <c r="U162" s="101">
        <f t="shared" si="22"/>
        <v>82.276559999999989</v>
      </c>
      <c r="V162" s="101">
        <f t="shared" si="22"/>
        <v>87.382000000000005</v>
      </c>
      <c r="W162" s="101">
        <f t="shared" si="22"/>
        <v>0</v>
      </c>
      <c r="X162" s="101">
        <f t="shared" si="22"/>
        <v>0</v>
      </c>
      <c r="Y162" s="101">
        <f t="shared" si="22"/>
        <v>0</v>
      </c>
      <c r="Z162" s="101">
        <f t="shared" si="22"/>
        <v>0</v>
      </c>
      <c r="AA162" s="101">
        <f t="shared" si="22"/>
        <v>0</v>
      </c>
      <c r="AB162" s="22"/>
    </row>
    <row r="163" spans="1:28" s="23" customFormat="1" ht="10.199999999999999" x14ac:dyDescent="0.2">
      <c r="A163" s="22"/>
      <c r="B163" s="22"/>
      <c r="C163" s="22"/>
      <c r="D163" s="22"/>
      <c r="E163" s="22" t="str">
        <f>E157</f>
        <v>маркетинговые расходы (начисл/оплаты)</v>
      </c>
      <c r="F163" s="22"/>
      <c r="G163" s="22" t="str">
        <f>IF($E163="","",INDEX(KPI!$G:$G,SUMIFS(KPI!$B:$B,KPI!$E:$E,$E163)))</f>
        <v>тыс.руб.</v>
      </c>
      <c r="H163" s="100">
        <f>структура!$V$17</f>
        <v>6</v>
      </c>
      <c r="I163" s="31"/>
      <c r="J163" s="98" t="str">
        <f>структура!$X$17</f>
        <v>июн</v>
      </c>
      <c r="K163" s="99"/>
      <c r="L163" s="22"/>
      <c r="M163" s="58"/>
      <c r="N163" s="22"/>
      <c r="O163" s="22"/>
      <c r="P163" s="101">
        <f t="shared" ref="P163:AA163" si="23">IF(P$1="",0,(P65+P144)*P$154)</f>
        <v>94.17053846153847</v>
      </c>
      <c r="Q163" s="101">
        <f t="shared" si="23"/>
        <v>98.970538461538467</v>
      </c>
      <c r="R163" s="101">
        <f t="shared" si="23"/>
        <v>84.936430769230782</v>
      </c>
      <c r="S163" s="101">
        <f t="shared" si="23"/>
        <v>66.582323076923075</v>
      </c>
      <c r="T163" s="101">
        <f t="shared" si="23"/>
        <v>70.902323076923082</v>
      </c>
      <c r="U163" s="101">
        <f t="shared" si="23"/>
        <v>70.292090769230768</v>
      </c>
      <c r="V163" s="101">
        <f t="shared" si="23"/>
        <v>73.485269230769234</v>
      </c>
      <c r="W163" s="101">
        <f t="shared" si="23"/>
        <v>0</v>
      </c>
      <c r="X163" s="101">
        <f t="shared" si="23"/>
        <v>0</v>
      </c>
      <c r="Y163" s="101">
        <f t="shared" si="23"/>
        <v>0</v>
      </c>
      <c r="Z163" s="101">
        <f t="shared" si="23"/>
        <v>0</v>
      </c>
      <c r="AA163" s="101">
        <f t="shared" si="23"/>
        <v>0</v>
      </c>
      <c r="AB163" s="22"/>
    </row>
    <row r="164" spans="1:28" s="23" customFormat="1" ht="10.199999999999999" x14ac:dyDescent="0.2">
      <c r="A164" s="22"/>
      <c r="B164" s="22"/>
      <c r="C164" s="22"/>
      <c r="D164" s="22"/>
      <c r="E164" s="22" t="str">
        <f>E157</f>
        <v>маркетинговые расходы (начисл/оплаты)</v>
      </c>
      <c r="F164" s="22"/>
      <c r="G164" s="22" t="str">
        <f>IF($E164="","",INDEX(KPI!$G:$G,SUMIFS(KPI!$B:$B,KPI!$E:$E,$E164)))</f>
        <v>тыс.руб.</v>
      </c>
      <c r="H164" s="100">
        <f>структура!$V$18</f>
        <v>7</v>
      </c>
      <c r="I164" s="31"/>
      <c r="J164" s="98" t="str">
        <f>структура!$X$18</f>
        <v>июл</v>
      </c>
      <c r="K164" s="99"/>
      <c r="L164" s="22"/>
      <c r="M164" s="58"/>
      <c r="N164" s="22"/>
      <c r="O164" s="22"/>
      <c r="P164" s="101">
        <f t="shared" ref="P164:AA164" si="24">IF(P$1="",0,(P66+P145)*P$154)</f>
        <v>89.370538461538473</v>
      </c>
      <c r="Q164" s="101">
        <f t="shared" si="24"/>
        <v>93.53053846153847</v>
      </c>
      <c r="R164" s="101">
        <f t="shared" si="24"/>
        <v>79.816430769230777</v>
      </c>
      <c r="S164" s="101">
        <f t="shared" si="24"/>
        <v>62.358323076923071</v>
      </c>
      <c r="T164" s="101">
        <f t="shared" si="24"/>
        <v>66.102323076923085</v>
      </c>
      <c r="U164" s="101">
        <f t="shared" si="24"/>
        <v>65.10809076923077</v>
      </c>
      <c r="V164" s="101">
        <f t="shared" si="24"/>
        <v>67.565269230769232</v>
      </c>
      <c r="W164" s="101">
        <f t="shared" si="24"/>
        <v>0</v>
      </c>
      <c r="X164" s="101">
        <f t="shared" si="24"/>
        <v>0</v>
      </c>
      <c r="Y164" s="101">
        <f t="shared" si="24"/>
        <v>0</v>
      </c>
      <c r="Z164" s="101">
        <f t="shared" si="24"/>
        <v>0</v>
      </c>
      <c r="AA164" s="101">
        <f t="shared" si="24"/>
        <v>0</v>
      </c>
      <c r="AB164" s="22"/>
    </row>
    <row r="165" spans="1:28" s="23" customFormat="1" ht="10.199999999999999" x14ac:dyDescent="0.2">
      <c r="A165" s="22"/>
      <c r="B165" s="22"/>
      <c r="C165" s="22"/>
      <c r="D165" s="22"/>
      <c r="E165" s="22" t="str">
        <f>E157</f>
        <v>маркетинговые расходы (начисл/оплаты)</v>
      </c>
      <c r="F165" s="22"/>
      <c r="G165" s="22" t="str">
        <f>IF($E165="","",INDEX(KPI!$G:$G,SUMIFS(KPI!$B:$B,KPI!$E:$E,$E165)))</f>
        <v>тыс.руб.</v>
      </c>
      <c r="H165" s="100">
        <f>структура!$V$19</f>
        <v>8</v>
      </c>
      <c r="I165" s="31"/>
      <c r="J165" s="98" t="str">
        <f>структура!$X$19</f>
        <v>авг</v>
      </c>
      <c r="K165" s="99"/>
      <c r="L165" s="22"/>
      <c r="M165" s="58"/>
      <c r="N165" s="22"/>
      <c r="O165" s="22"/>
      <c r="P165" s="101">
        <f t="shared" ref="P165:AA165" si="25">IF(P$1="",0,(P67+P146)*P$154)</f>
        <v>55.807596153846148</v>
      </c>
      <c r="Q165" s="101">
        <f t="shared" si="25"/>
        <v>57.370096153846148</v>
      </c>
      <c r="R165" s="101">
        <f t="shared" si="25"/>
        <v>47.771076923076919</v>
      </c>
      <c r="S165" s="101">
        <f t="shared" si="25"/>
        <v>36.765807692307689</v>
      </c>
      <c r="T165" s="101">
        <f t="shared" si="25"/>
        <v>38.172057692307689</v>
      </c>
      <c r="U165" s="101">
        <f t="shared" si="25"/>
        <v>36.464226923076922</v>
      </c>
      <c r="V165" s="101">
        <f t="shared" si="25"/>
        <v>36.497548076923074</v>
      </c>
      <c r="W165" s="101">
        <f t="shared" si="25"/>
        <v>0</v>
      </c>
      <c r="X165" s="101">
        <f t="shared" si="25"/>
        <v>0</v>
      </c>
      <c r="Y165" s="101">
        <f t="shared" si="25"/>
        <v>0</v>
      </c>
      <c r="Z165" s="101">
        <f t="shared" si="25"/>
        <v>0</v>
      </c>
      <c r="AA165" s="101">
        <f t="shared" si="25"/>
        <v>0</v>
      </c>
      <c r="AB165" s="22"/>
    </row>
    <row r="166" spans="1:28" s="23" customFormat="1" ht="10.199999999999999" x14ac:dyDescent="0.2">
      <c r="A166" s="22"/>
      <c r="B166" s="22"/>
      <c r="C166" s="22"/>
      <c r="D166" s="22"/>
      <c r="E166" s="22" t="str">
        <f>E157</f>
        <v>маркетинговые расходы (начисл/оплаты)</v>
      </c>
      <c r="F166" s="22"/>
      <c r="G166" s="22" t="str">
        <f>IF($E166="","",INDEX(KPI!$G:$G,SUMIFS(KPI!$B:$B,KPI!$E:$E,$E166)))</f>
        <v>тыс.руб.</v>
      </c>
      <c r="H166" s="100">
        <f>структура!$V$20</f>
        <v>9</v>
      </c>
      <c r="I166" s="31"/>
      <c r="J166" s="98" t="str">
        <f>структура!$X$20</f>
        <v>сен</v>
      </c>
      <c r="K166" s="99"/>
      <c r="L166" s="22"/>
      <c r="M166" s="58"/>
      <c r="N166" s="22"/>
      <c r="O166" s="22"/>
      <c r="P166" s="101">
        <f t="shared" ref="P166:AA166" si="26">IF(P$1="",0,(P68+P147)*P$154)</f>
        <v>52.714711538461543</v>
      </c>
      <c r="Q166" s="101">
        <f t="shared" si="26"/>
        <v>54.902211538461543</v>
      </c>
      <c r="R166" s="101">
        <f t="shared" si="26"/>
        <v>46.546769230769243</v>
      </c>
      <c r="S166" s="101">
        <f t="shared" si="26"/>
        <v>36.222576923076929</v>
      </c>
      <c r="T166" s="101">
        <f t="shared" si="26"/>
        <v>38.191326923076922</v>
      </c>
      <c r="U166" s="101">
        <f t="shared" si="26"/>
        <v>37.325319230769239</v>
      </c>
      <c r="V166" s="101">
        <f t="shared" si="26"/>
        <v>38.388605769230779</v>
      </c>
      <c r="W166" s="101">
        <f t="shared" si="26"/>
        <v>0</v>
      </c>
      <c r="X166" s="101">
        <f t="shared" si="26"/>
        <v>0</v>
      </c>
      <c r="Y166" s="101">
        <f t="shared" si="26"/>
        <v>0</v>
      </c>
      <c r="Z166" s="101">
        <f t="shared" si="26"/>
        <v>0</v>
      </c>
      <c r="AA166" s="101">
        <f t="shared" si="26"/>
        <v>0</v>
      </c>
      <c r="AB166" s="22"/>
    </row>
    <row r="167" spans="1:28" s="23" customFormat="1" ht="10.199999999999999" x14ac:dyDescent="0.2">
      <c r="A167" s="22"/>
      <c r="B167" s="22"/>
      <c r="C167" s="22"/>
      <c r="D167" s="22"/>
      <c r="E167" s="22" t="str">
        <f>E157</f>
        <v>маркетинговые расходы (начисл/оплаты)</v>
      </c>
      <c r="F167" s="22"/>
      <c r="G167" s="22" t="str">
        <f>IF($E167="","",INDEX(KPI!$G:$G,SUMIFS(KPI!$B:$B,KPI!$E:$E,$E167)))</f>
        <v>тыс.руб.</v>
      </c>
      <c r="H167" s="100">
        <f>структура!$V$21</f>
        <v>10</v>
      </c>
      <c r="I167" s="31"/>
      <c r="J167" s="98" t="str">
        <f>структура!$X$21</f>
        <v>окт</v>
      </c>
      <c r="K167" s="99"/>
      <c r="L167" s="22"/>
      <c r="M167" s="58"/>
      <c r="N167" s="22"/>
      <c r="O167" s="22"/>
      <c r="P167" s="101">
        <f t="shared" ref="P167:AA167" si="27">IF(P$1="",0,(P69+P148)*P$154)</f>
        <v>41.870346153846157</v>
      </c>
      <c r="Q167" s="101">
        <f t="shared" si="27"/>
        <v>43.420346153846154</v>
      </c>
      <c r="R167" s="101">
        <f t="shared" si="27"/>
        <v>36.596276923076921</v>
      </c>
      <c r="S167" s="101">
        <f t="shared" si="27"/>
        <v>28.377207692307689</v>
      </c>
      <c r="T167" s="101">
        <f t="shared" si="27"/>
        <v>29.772207692307688</v>
      </c>
      <c r="U167" s="101">
        <f t="shared" si="27"/>
        <v>28.887486923076921</v>
      </c>
      <c r="V167" s="101">
        <f t="shared" si="27"/>
        <v>29.460173076923077</v>
      </c>
      <c r="W167" s="101">
        <f t="shared" si="27"/>
        <v>0</v>
      </c>
      <c r="X167" s="101">
        <f t="shared" si="27"/>
        <v>0</v>
      </c>
      <c r="Y167" s="101">
        <f t="shared" si="27"/>
        <v>0</v>
      </c>
      <c r="Z167" s="101">
        <f t="shared" si="27"/>
        <v>0</v>
      </c>
      <c r="AA167" s="101">
        <f t="shared" si="27"/>
        <v>0</v>
      </c>
      <c r="AB167" s="22"/>
    </row>
    <row r="168" spans="1:28" s="23" customFormat="1" ht="10.199999999999999" x14ac:dyDescent="0.2">
      <c r="A168" s="22"/>
      <c r="B168" s="22"/>
      <c r="C168" s="22"/>
      <c r="D168" s="22"/>
      <c r="E168" s="22" t="str">
        <f>E157</f>
        <v>маркетинговые расходы (начисл/оплаты)</v>
      </c>
      <c r="F168" s="22"/>
      <c r="G168" s="22" t="str">
        <f>IF($E168="","",INDEX(KPI!$G:$G,SUMIFS(KPI!$B:$B,KPI!$E:$E,$E168)))</f>
        <v>тыс.руб.</v>
      </c>
      <c r="H168" s="100">
        <f>структура!$V$22</f>
        <v>11</v>
      </c>
      <c r="I168" s="31"/>
      <c r="J168" s="98" t="str">
        <f>структура!$X$22</f>
        <v>ноя</v>
      </c>
      <c r="K168" s="99"/>
      <c r="L168" s="22"/>
      <c r="M168" s="58"/>
      <c r="N168" s="22"/>
      <c r="O168" s="22"/>
      <c r="P168" s="101">
        <f t="shared" ref="P168:AA168" si="28">IF(P$1="",0,(P70+P149)*P$154)</f>
        <v>38.737115384615343</v>
      </c>
      <c r="Q168" s="101">
        <f t="shared" si="28"/>
        <v>40.312115384615339</v>
      </c>
      <c r="R168" s="101">
        <f t="shared" si="28"/>
        <v>34.139692307692265</v>
      </c>
      <c r="S168" s="101">
        <f t="shared" si="28"/>
        <v>26.549769230769193</v>
      </c>
      <c r="T168" s="101">
        <f t="shared" si="28"/>
        <v>27.967269230769187</v>
      </c>
      <c r="U168" s="101">
        <f t="shared" si="28"/>
        <v>27.296792307692261</v>
      </c>
      <c r="V168" s="101">
        <f t="shared" si="28"/>
        <v>28.031057692307641</v>
      </c>
      <c r="W168" s="101">
        <f t="shared" si="28"/>
        <v>0</v>
      </c>
      <c r="X168" s="101">
        <f t="shared" si="28"/>
        <v>0</v>
      </c>
      <c r="Y168" s="101">
        <f t="shared" si="28"/>
        <v>0</v>
      </c>
      <c r="Z168" s="101">
        <f t="shared" si="28"/>
        <v>0</v>
      </c>
      <c r="AA168" s="101">
        <f t="shared" si="28"/>
        <v>0</v>
      </c>
      <c r="AB168" s="22"/>
    </row>
    <row r="169" spans="1:28" s="23" customFormat="1" ht="10.199999999999999" x14ac:dyDescent="0.2">
      <c r="A169" s="22"/>
      <c r="B169" s="22"/>
      <c r="C169" s="22"/>
      <c r="D169" s="22"/>
      <c r="E169" s="22" t="str">
        <f>E157</f>
        <v>маркетинговые расходы (начисл/оплаты)</v>
      </c>
      <c r="F169" s="22"/>
      <c r="G169" s="22" t="str">
        <f>IF($E169="","",INDEX(KPI!$G:$G,SUMIFS(KPI!$B:$B,KPI!$E:$E,$E169)))</f>
        <v>тыс.руб.</v>
      </c>
      <c r="H169" s="100">
        <f>структура!$V$23</f>
        <v>12</v>
      </c>
      <c r="I169" s="31"/>
      <c r="J169" s="98" t="str">
        <f>структура!$X$23</f>
        <v>дек</v>
      </c>
      <c r="K169" s="99"/>
      <c r="L169" s="22"/>
      <c r="M169" s="58"/>
      <c r="N169" s="22"/>
      <c r="O169" s="22"/>
      <c r="P169" s="101">
        <f t="shared" ref="P169:AA169" si="29">IF(P$1="",0,(P59+P138)*P$154)</f>
        <v>32.965865384615384</v>
      </c>
      <c r="Q169" s="101">
        <f t="shared" si="29"/>
        <v>33.903365384615384</v>
      </c>
      <c r="R169" s="101">
        <f t="shared" si="29"/>
        <v>28.247692307692304</v>
      </c>
      <c r="S169" s="101">
        <f t="shared" si="29"/>
        <v>21.748269230769228</v>
      </c>
      <c r="T169" s="101">
        <f t="shared" si="29"/>
        <v>22.592019230769228</v>
      </c>
      <c r="U169" s="101">
        <f t="shared" si="29"/>
        <v>21.598442307692306</v>
      </c>
      <c r="V169" s="101">
        <f t="shared" si="29"/>
        <v>21.639182692307692</v>
      </c>
      <c r="W169" s="101">
        <f t="shared" si="29"/>
        <v>0</v>
      </c>
      <c r="X169" s="101">
        <f t="shared" si="29"/>
        <v>0</v>
      </c>
      <c r="Y169" s="101">
        <f t="shared" si="29"/>
        <v>0</v>
      </c>
      <c r="Z169" s="101">
        <f t="shared" si="29"/>
        <v>0</v>
      </c>
      <c r="AA169" s="101">
        <f t="shared" si="29"/>
        <v>0</v>
      </c>
      <c r="AB169" s="22"/>
    </row>
    <row r="170" spans="1:28" ht="3.9" customHeight="1" x14ac:dyDescent="0.25">
      <c r="A170" s="2"/>
      <c r="B170" s="2"/>
      <c r="C170" s="2"/>
      <c r="D170" s="2"/>
      <c r="E170" s="21"/>
      <c r="F170" s="2"/>
      <c r="G170" s="21"/>
      <c r="H170" s="2"/>
      <c r="I170" s="28"/>
      <c r="J170" s="21"/>
      <c r="K170" s="28"/>
      <c r="L170" s="2"/>
      <c r="M170" s="52"/>
      <c r="N170" s="2"/>
      <c r="O170" s="2"/>
      <c r="P170" s="36"/>
      <c r="Q170" s="36"/>
      <c r="R170" s="36"/>
      <c r="S170" s="36"/>
      <c r="T170" s="36"/>
      <c r="U170" s="36"/>
      <c r="V170" s="36"/>
      <c r="W170" s="36"/>
      <c r="X170" s="36"/>
      <c r="Y170" s="36"/>
      <c r="Z170" s="36"/>
      <c r="AA170" s="36"/>
      <c r="AB170" s="2"/>
    </row>
    <row r="171" spans="1:28" ht="8.1" customHeight="1" x14ac:dyDescent="0.25">
      <c r="A171" s="2"/>
      <c r="B171" s="2"/>
      <c r="C171" s="2"/>
      <c r="D171" s="2"/>
      <c r="E171" s="2"/>
      <c r="F171" s="2"/>
      <c r="G171" s="2"/>
      <c r="H171" s="2"/>
      <c r="I171" s="28"/>
      <c r="J171" s="2"/>
      <c r="K171" s="28"/>
      <c r="L171" s="2"/>
      <c r="M171" s="52"/>
      <c r="N171" s="2"/>
      <c r="O171" s="2"/>
      <c r="P171" s="36"/>
      <c r="Q171" s="36"/>
      <c r="R171" s="36"/>
      <c r="S171" s="36"/>
      <c r="T171" s="36"/>
      <c r="U171" s="36"/>
      <c r="V171" s="36"/>
      <c r="W171" s="36"/>
      <c r="X171" s="36"/>
      <c r="Y171" s="36"/>
      <c r="Z171" s="36"/>
      <c r="AA171" s="36"/>
      <c r="AB171" s="2"/>
    </row>
    <row r="172" spans="1:28" s="5" customFormat="1" x14ac:dyDescent="0.25">
      <c r="A172" s="3"/>
      <c r="B172" s="3"/>
      <c r="C172" s="3"/>
      <c r="D172" s="3"/>
      <c r="E172" s="3" t="str">
        <f>KPI!$E$45</f>
        <v>аренда земли в год</v>
      </c>
      <c r="F172" s="3"/>
      <c r="G172" s="3" t="str">
        <f>IF($E172="","",INDEX(KPI!$G:$G,SUMIFS(KPI!$B:$B,KPI!$E:$E,$E172)))</f>
        <v>тыс.руб.</v>
      </c>
      <c r="H172" s="3"/>
      <c r="I172" s="6"/>
      <c r="J172" s="204">
        <f>операции!J247</f>
        <v>2608.6498461975634</v>
      </c>
      <c r="K172" s="28"/>
      <c r="L172" s="2"/>
      <c r="M172" s="52"/>
      <c r="N172" s="3"/>
      <c r="O172" s="2"/>
      <c r="P172" s="36"/>
      <c r="Q172" s="36"/>
      <c r="R172" s="36"/>
      <c r="S172" s="36"/>
      <c r="T172" s="36"/>
      <c r="U172" s="36"/>
      <c r="V172" s="36"/>
      <c r="W172" s="36"/>
      <c r="X172" s="36"/>
      <c r="Y172" s="36"/>
      <c r="Z172" s="36"/>
      <c r="AA172" s="36"/>
      <c r="AB172" s="2"/>
    </row>
    <row r="173" spans="1:28" ht="3.9" customHeight="1" x14ac:dyDescent="0.25">
      <c r="A173" s="2"/>
      <c r="B173" s="2"/>
      <c r="C173" s="2"/>
      <c r="D173" s="2"/>
      <c r="E173" s="110"/>
      <c r="F173" s="2"/>
      <c r="G173" s="2"/>
      <c r="H173" s="2"/>
      <c r="I173" s="28"/>
      <c r="J173" s="2"/>
      <c r="K173" s="28"/>
      <c r="L173" s="2"/>
      <c r="M173" s="52"/>
      <c r="N173" s="2"/>
      <c r="O173" s="2"/>
      <c r="P173" s="36"/>
      <c r="Q173" s="36"/>
      <c r="R173" s="36"/>
      <c r="S173" s="36"/>
      <c r="T173" s="36"/>
      <c r="U173" s="36"/>
      <c r="V173" s="36"/>
      <c r="W173" s="36"/>
      <c r="X173" s="36"/>
      <c r="Y173" s="36"/>
      <c r="Z173" s="36"/>
      <c r="AA173" s="36"/>
      <c r="AB173" s="2"/>
    </row>
    <row r="174" spans="1:28" ht="8.1" customHeight="1" x14ac:dyDescent="0.25">
      <c r="A174" s="2"/>
      <c r="B174" s="2"/>
      <c r="C174" s="2"/>
      <c r="D174" s="2"/>
      <c r="E174" s="2"/>
      <c r="F174" s="2"/>
      <c r="G174" s="2"/>
      <c r="H174" s="2"/>
      <c r="I174" s="28"/>
      <c r="J174" s="2"/>
      <c r="K174" s="28"/>
      <c r="L174" s="2"/>
      <c r="M174" s="52"/>
      <c r="N174" s="2"/>
      <c r="O174" s="2"/>
      <c r="P174" s="36"/>
      <c r="Q174" s="36"/>
      <c r="R174" s="36"/>
      <c r="S174" s="36"/>
      <c r="T174" s="36"/>
      <c r="U174" s="36"/>
      <c r="V174" s="36"/>
      <c r="W174" s="36"/>
      <c r="X174" s="36"/>
      <c r="Y174" s="36"/>
      <c r="Z174" s="36"/>
      <c r="AA174" s="36"/>
      <c r="AB174" s="2"/>
    </row>
    <row r="175" spans="1:28" s="5" customFormat="1" x14ac:dyDescent="0.25">
      <c r="A175" s="3"/>
      <c r="B175" s="3"/>
      <c r="C175" s="3"/>
      <c r="D175" s="111"/>
      <c r="E175" s="3" t="str">
        <f>KPI!$E$46</f>
        <v>аренда земли - начисление</v>
      </c>
      <c r="F175" s="3"/>
      <c r="G175" s="3" t="str">
        <f>IF($E175="","",INDEX(KPI!$G:$G,SUMIFS(KPI!$B:$B,KPI!$E:$E,$E175)))</f>
        <v>тыс.руб.</v>
      </c>
      <c r="H175" s="103"/>
      <c r="I175" s="28"/>
      <c r="J175" s="44"/>
      <c r="K175" s="28"/>
      <c r="L175" s="3"/>
      <c r="M175" s="55">
        <f>SUM($O175:$AB175)</f>
        <v>18260.548923382947</v>
      </c>
      <c r="N175" s="3"/>
      <c r="O175" s="3"/>
      <c r="P175" s="46">
        <f>IF(P$1="",0,IF(P$1=0,SUMIFS(P176:P187,H176:H187,"&gt;="&amp;MONTH($J$13)),SUM(P176:P187)))</f>
        <v>2608.6498461975639</v>
      </c>
      <c r="Q175" s="46">
        <f t="shared" ref="Q175" si="30">IF(Q$1="",0,SUM(Q176:Q187))</f>
        <v>2608.6498461975639</v>
      </c>
      <c r="R175" s="46">
        <f t="shared" ref="R175:AA175" si="31">IF(R$1="",0,SUM(R176:R187))</f>
        <v>2608.6498461975639</v>
      </c>
      <c r="S175" s="46">
        <f t="shared" si="31"/>
        <v>2608.6498461975639</v>
      </c>
      <c r="T175" s="46">
        <f t="shared" si="31"/>
        <v>2608.6498461975639</v>
      </c>
      <c r="U175" s="46">
        <f t="shared" si="31"/>
        <v>2608.6498461975639</v>
      </c>
      <c r="V175" s="46">
        <f t="shared" si="31"/>
        <v>2608.6498461975639</v>
      </c>
      <c r="W175" s="46">
        <f t="shared" si="31"/>
        <v>0</v>
      </c>
      <c r="X175" s="46">
        <f t="shared" si="31"/>
        <v>0</v>
      </c>
      <c r="Y175" s="46">
        <f t="shared" si="31"/>
        <v>0</v>
      </c>
      <c r="Z175" s="46">
        <f t="shared" si="31"/>
        <v>0</v>
      </c>
      <c r="AA175" s="46">
        <f t="shared" si="31"/>
        <v>0</v>
      </c>
      <c r="AB175" s="3"/>
    </row>
    <row r="176" spans="1:28" s="23" customFormat="1" ht="10.199999999999999" x14ac:dyDescent="0.2">
      <c r="A176" s="22"/>
      <c r="B176" s="22"/>
      <c r="C176" s="22"/>
      <c r="D176" s="22"/>
      <c r="E176" s="22" t="str">
        <f>E175</f>
        <v>аренда земли - начисление</v>
      </c>
      <c r="F176" s="22"/>
      <c r="G176" s="22" t="str">
        <f>IF($E176="","",INDEX(KPI!$G:$G,SUMIFS(KPI!$B:$B,KPI!$E:$E,$E176)))</f>
        <v>тыс.руб.</v>
      </c>
      <c r="H176" s="100">
        <f>структура!$V$12</f>
        <v>1</v>
      </c>
      <c r="I176" s="31"/>
      <c r="J176" s="98" t="str">
        <f>структура!$X$12</f>
        <v>янв</v>
      </c>
      <c r="K176" s="99"/>
      <c r="L176" s="22"/>
      <c r="M176" s="58"/>
      <c r="N176" s="22"/>
      <c r="O176" s="22"/>
      <c r="P176" s="101">
        <f t="shared" ref="P176:AA187" si="32">IF(P$1="",0,$J$172/12)</f>
        <v>217.38748718313028</v>
      </c>
      <c r="Q176" s="101">
        <f t="shared" si="32"/>
        <v>217.38748718313028</v>
      </c>
      <c r="R176" s="101">
        <f t="shared" si="32"/>
        <v>217.38748718313028</v>
      </c>
      <c r="S176" s="101">
        <f t="shared" si="32"/>
        <v>217.38748718313028</v>
      </c>
      <c r="T176" s="101">
        <f t="shared" si="32"/>
        <v>217.38748718313028</v>
      </c>
      <c r="U176" s="101">
        <f t="shared" si="32"/>
        <v>217.38748718313028</v>
      </c>
      <c r="V176" s="101">
        <f t="shared" si="32"/>
        <v>217.38748718313028</v>
      </c>
      <c r="W176" s="101">
        <f t="shared" si="32"/>
        <v>0</v>
      </c>
      <c r="X176" s="101">
        <f t="shared" si="32"/>
        <v>0</v>
      </c>
      <c r="Y176" s="101">
        <f t="shared" si="32"/>
        <v>0</v>
      </c>
      <c r="Z176" s="101">
        <f t="shared" si="32"/>
        <v>0</v>
      </c>
      <c r="AA176" s="101">
        <f t="shared" si="32"/>
        <v>0</v>
      </c>
      <c r="AB176" s="22"/>
    </row>
    <row r="177" spans="1:28" s="23" customFormat="1" ht="10.199999999999999" x14ac:dyDescent="0.2">
      <c r="A177" s="22"/>
      <c r="B177" s="22"/>
      <c r="C177" s="22"/>
      <c r="D177" s="22"/>
      <c r="E177" s="22" t="str">
        <f>E175</f>
        <v>аренда земли - начисление</v>
      </c>
      <c r="F177" s="22"/>
      <c r="G177" s="22" t="str">
        <f>IF($E177="","",INDEX(KPI!$G:$G,SUMIFS(KPI!$B:$B,KPI!$E:$E,$E177)))</f>
        <v>тыс.руб.</v>
      </c>
      <c r="H177" s="100">
        <f>структура!$V$13</f>
        <v>2</v>
      </c>
      <c r="I177" s="31"/>
      <c r="J177" s="98" t="str">
        <f>структура!$X$13</f>
        <v>фев</v>
      </c>
      <c r="K177" s="99"/>
      <c r="L177" s="22"/>
      <c r="M177" s="58"/>
      <c r="N177" s="22"/>
      <c r="O177" s="22"/>
      <c r="P177" s="101">
        <f t="shared" si="32"/>
        <v>217.38748718313028</v>
      </c>
      <c r="Q177" s="101">
        <f t="shared" si="32"/>
        <v>217.38748718313028</v>
      </c>
      <c r="R177" s="101">
        <f t="shared" si="32"/>
        <v>217.38748718313028</v>
      </c>
      <c r="S177" s="101">
        <f t="shared" si="32"/>
        <v>217.38748718313028</v>
      </c>
      <c r="T177" s="101">
        <f t="shared" si="32"/>
        <v>217.38748718313028</v>
      </c>
      <c r="U177" s="101">
        <f t="shared" si="32"/>
        <v>217.38748718313028</v>
      </c>
      <c r="V177" s="101">
        <f t="shared" si="32"/>
        <v>217.38748718313028</v>
      </c>
      <c r="W177" s="101">
        <f t="shared" si="32"/>
        <v>0</v>
      </c>
      <c r="X177" s="101">
        <f t="shared" si="32"/>
        <v>0</v>
      </c>
      <c r="Y177" s="101">
        <f t="shared" si="32"/>
        <v>0</v>
      </c>
      <c r="Z177" s="101">
        <f t="shared" si="32"/>
        <v>0</v>
      </c>
      <c r="AA177" s="101">
        <f t="shared" si="32"/>
        <v>0</v>
      </c>
      <c r="AB177" s="22"/>
    </row>
    <row r="178" spans="1:28" s="23" customFormat="1" ht="10.199999999999999" x14ac:dyDescent="0.2">
      <c r="A178" s="22"/>
      <c r="B178" s="22"/>
      <c r="C178" s="22"/>
      <c r="D178" s="22"/>
      <c r="E178" s="22" t="str">
        <f>E175</f>
        <v>аренда земли - начисление</v>
      </c>
      <c r="F178" s="22"/>
      <c r="G178" s="22" t="str">
        <f>IF($E178="","",INDEX(KPI!$G:$G,SUMIFS(KPI!$B:$B,KPI!$E:$E,$E178)))</f>
        <v>тыс.руб.</v>
      </c>
      <c r="H178" s="100">
        <f>структура!$V$14</f>
        <v>3</v>
      </c>
      <c r="I178" s="31"/>
      <c r="J178" s="98" t="str">
        <f>структура!$X$14</f>
        <v>мар</v>
      </c>
      <c r="K178" s="99"/>
      <c r="L178" s="22"/>
      <c r="M178" s="58"/>
      <c r="N178" s="22"/>
      <c r="O178" s="22"/>
      <c r="P178" s="101">
        <f t="shared" si="32"/>
        <v>217.38748718313028</v>
      </c>
      <c r="Q178" s="101">
        <f t="shared" si="32"/>
        <v>217.38748718313028</v>
      </c>
      <c r="R178" s="101">
        <f t="shared" si="32"/>
        <v>217.38748718313028</v>
      </c>
      <c r="S178" s="101">
        <f t="shared" si="32"/>
        <v>217.38748718313028</v>
      </c>
      <c r="T178" s="101">
        <f t="shared" si="32"/>
        <v>217.38748718313028</v>
      </c>
      <c r="U178" s="101">
        <f t="shared" si="32"/>
        <v>217.38748718313028</v>
      </c>
      <c r="V178" s="101">
        <f t="shared" si="32"/>
        <v>217.38748718313028</v>
      </c>
      <c r="W178" s="101">
        <f t="shared" si="32"/>
        <v>0</v>
      </c>
      <c r="X178" s="101">
        <f t="shared" si="32"/>
        <v>0</v>
      </c>
      <c r="Y178" s="101">
        <f t="shared" si="32"/>
        <v>0</v>
      </c>
      <c r="Z178" s="101">
        <f t="shared" si="32"/>
        <v>0</v>
      </c>
      <c r="AA178" s="101">
        <f t="shared" si="32"/>
        <v>0</v>
      </c>
      <c r="AB178" s="22"/>
    </row>
    <row r="179" spans="1:28" s="23" customFormat="1" ht="10.199999999999999" x14ac:dyDescent="0.2">
      <c r="A179" s="22"/>
      <c r="B179" s="22"/>
      <c r="C179" s="22"/>
      <c r="D179" s="22"/>
      <c r="E179" s="22" t="str">
        <f>E175</f>
        <v>аренда земли - начисление</v>
      </c>
      <c r="F179" s="22"/>
      <c r="G179" s="22" t="str">
        <f>IF($E179="","",INDEX(KPI!$G:$G,SUMIFS(KPI!$B:$B,KPI!$E:$E,$E179)))</f>
        <v>тыс.руб.</v>
      </c>
      <c r="H179" s="100">
        <f>структура!$V$15</f>
        <v>4</v>
      </c>
      <c r="I179" s="31"/>
      <c r="J179" s="98" t="str">
        <f>структура!$X$15</f>
        <v>апр</v>
      </c>
      <c r="K179" s="99"/>
      <c r="L179" s="22"/>
      <c r="M179" s="58"/>
      <c r="N179" s="22"/>
      <c r="O179" s="22"/>
      <c r="P179" s="101">
        <f t="shared" si="32"/>
        <v>217.38748718313028</v>
      </c>
      <c r="Q179" s="101">
        <f t="shared" si="32"/>
        <v>217.38748718313028</v>
      </c>
      <c r="R179" s="101">
        <f t="shared" si="32"/>
        <v>217.38748718313028</v>
      </c>
      <c r="S179" s="101">
        <f t="shared" si="32"/>
        <v>217.38748718313028</v>
      </c>
      <c r="T179" s="101">
        <f t="shared" si="32"/>
        <v>217.38748718313028</v>
      </c>
      <c r="U179" s="101">
        <f t="shared" si="32"/>
        <v>217.38748718313028</v>
      </c>
      <c r="V179" s="101">
        <f t="shared" si="32"/>
        <v>217.38748718313028</v>
      </c>
      <c r="W179" s="101">
        <f t="shared" si="32"/>
        <v>0</v>
      </c>
      <c r="X179" s="101">
        <f t="shared" si="32"/>
        <v>0</v>
      </c>
      <c r="Y179" s="101">
        <f t="shared" si="32"/>
        <v>0</v>
      </c>
      <c r="Z179" s="101">
        <f t="shared" si="32"/>
        <v>0</v>
      </c>
      <c r="AA179" s="101">
        <f t="shared" si="32"/>
        <v>0</v>
      </c>
      <c r="AB179" s="22"/>
    </row>
    <row r="180" spans="1:28" s="23" customFormat="1" ht="10.199999999999999" x14ac:dyDescent="0.2">
      <c r="A180" s="22"/>
      <c r="B180" s="22"/>
      <c r="C180" s="22"/>
      <c r="D180" s="22"/>
      <c r="E180" s="22" t="str">
        <f>E175</f>
        <v>аренда земли - начисление</v>
      </c>
      <c r="F180" s="22"/>
      <c r="G180" s="22" t="str">
        <f>IF($E180="","",INDEX(KPI!$G:$G,SUMIFS(KPI!$B:$B,KPI!$E:$E,$E180)))</f>
        <v>тыс.руб.</v>
      </c>
      <c r="H180" s="100">
        <f>структура!$V$16</f>
        <v>5</v>
      </c>
      <c r="I180" s="31"/>
      <c r="J180" s="98" t="str">
        <f>структура!$X$16</f>
        <v>май</v>
      </c>
      <c r="K180" s="99"/>
      <c r="L180" s="22"/>
      <c r="M180" s="58"/>
      <c r="N180" s="22"/>
      <c r="O180" s="22"/>
      <c r="P180" s="101">
        <f t="shared" si="32"/>
        <v>217.38748718313028</v>
      </c>
      <c r="Q180" s="101">
        <f t="shared" si="32"/>
        <v>217.38748718313028</v>
      </c>
      <c r="R180" s="101">
        <f t="shared" si="32"/>
        <v>217.38748718313028</v>
      </c>
      <c r="S180" s="101">
        <f t="shared" si="32"/>
        <v>217.38748718313028</v>
      </c>
      <c r="T180" s="101">
        <f t="shared" si="32"/>
        <v>217.38748718313028</v>
      </c>
      <c r="U180" s="101">
        <f t="shared" si="32"/>
        <v>217.38748718313028</v>
      </c>
      <c r="V180" s="101">
        <f t="shared" si="32"/>
        <v>217.38748718313028</v>
      </c>
      <c r="W180" s="101">
        <f t="shared" si="32"/>
        <v>0</v>
      </c>
      <c r="X180" s="101">
        <f t="shared" si="32"/>
        <v>0</v>
      </c>
      <c r="Y180" s="101">
        <f t="shared" si="32"/>
        <v>0</v>
      </c>
      <c r="Z180" s="101">
        <f t="shared" si="32"/>
        <v>0</v>
      </c>
      <c r="AA180" s="101">
        <f t="shared" si="32"/>
        <v>0</v>
      </c>
      <c r="AB180" s="22"/>
    </row>
    <row r="181" spans="1:28" s="23" customFormat="1" ht="10.199999999999999" x14ac:dyDescent="0.2">
      <c r="A181" s="22"/>
      <c r="B181" s="22"/>
      <c r="C181" s="22"/>
      <c r="D181" s="22"/>
      <c r="E181" s="22" t="str">
        <f>E175</f>
        <v>аренда земли - начисление</v>
      </c>
      <c r="F181" s="22"/>
      <c r="G181" s="22" t="str">
        <f>IF($E181="","",INDEX(KPI!$G:$G,SUMIFS(KPI!$B:$B,KPI!$E:$E,$E181)))</f>
        <v>тыс.руб.</v>
      </c>
      <c r="H181" s="100">
        <f>структура!$V$17</f>
        <v>6</v>
      </c>
      <c r="I181" s="31"/>
      <c r="J181" s="98" t="str">
        <f>структура!$X$17</f>
        <v>июн</v>
      </c>
      <c r="K181" s="99"/>
      <c r="L181" s="22"/>
      <c r="M181" s="58"/>
      <c r="N181" s="22"/>
      <c r="O181" s="22"/>
      <c r="P181" s="101">
        <f t="shared" si="32"/>
        <v>217.38748718313028</v>
      </c>
      <c r="Q181" s="101">
        <f t="shared" si="32"/>
        <v>217.38748718313028</v>
      </c>
      <c r="R181" s="101">
        <f t="shared" si="32"/>
        <v>217.38748718313028</v>
      </c>
      <c r="S181" s="101">
        <f t="shared" si="32"/>
        <v>217.38748718313028</v>
      </c>
      <c r="T181" s="101">
        <f t="shared" si="32"/>
        <v>217.38748718313028</v>
      </c>
      <c r="U181" s="101">
        <f t="shared" si="32"/>
        <v>217.38748718313028</v>
      </c>
      <c r="V181" s="101">
        <f t="shared" si="32"/>
        <v>217.38748718313028</v>
      </c>
      <c r="W181" s="101">
        <f t="shared" si="32"/>
        <v>0</v>
      </c>
      <c r="X181" s="101">
        <f t="shared" si="32"/>
        <v>0</v>
      </c>
      <c r="Y181" s="101">
        <f t="shared" si="32"/>
        <v>0</v>
      </c>
      <c r="Z181" s="101">
        <f t="shared" si="32"/>
        <v>0</v>
      </c>
      <c r="AA181" s="101">
        <f t="shared" si="32"/>
        <v>0</v>
      </c>
      <c r="AB181" s="22"/>
    </row>
    <row r="182" spans="1:28" s="23" customFormat="1" ht="10.199999999999999" x14ac:dyDescent="0.2">
      <c r="A182" s="22"/>
      <c r="B182" s="22"/>
      <c r="C182" s="22"/>
      <c r="D182" s="22"/>
      <c r="E182" s="22" t="str">
        <f>E175</f>
        <v>аренда земли - начисление</v>
      </c>
      <c r="F182" s="22"/>
      <c r="G182" s="22" t="str">
        <f>IF($E182="","",INDEX(KPI!$G:$G,SUMIFS(KPI!$B:$B,KPI!$E:$E,$E182)))</f>
        <v>тыс.руб.</v>
      </c>
      <c r="H182" s="100">
        <f>структура!$V$18</f>
        <v>7</v>
      </c>
      <c r="I182" s="31"/>
      <c r="J182" s="98" t="str">
        <f>структура!$X$18</f>
        <v>июл</v>
      </c>
      <c r="K182" s="99"/>
      <c r="L182" s="22"/>
      <c r="M182" s="58"/>
      <c r="N182" s="22"/>
      <c r="O182" s="22"/>
      <c r="P182" s="101">
        <f t="shared" si="32"/>
        <v>217.38748718313028</v>
      </c>
      <c r="Q182" s="101">
        <f t="shared" si="32"/>
        <v>217.38748718313028</v>
      </c>
      <c r="R182" s="101">
        <f t="shared" si="32"/>
        <v>217.38748718313028</v>
      </c>
      <c r="S182" s="101">
        <f t="shared" si="32"/>
        <v>217.38748718313028</v>
      </c>
      <c r="T182" s="101">
        <f t="shared" si="32"/>
        <v>217.38748718313028</v>
      </c>
      <c r="U182" s="101">
        <f t="shared" si="32"/>
        <v>217.38748718313028</v>
      </c>
      <c r="V182" s="101">
        <f t="shared" si="32"/>
        <v>217.38748718313028</v>
      </c>
      <c r="W182" s="101">
        <f t="shared" si="32"/>
        <v>0</v>
      </c>
      <c r="X182" s="101">
        <f t="shared" si="32"/>
        <v>0</v>
      </c>
      <c r="Y182" s="101">
        <f t="shared" si="32"/>
        <v>0</v>
      </c>
      <c r="Z182" s="101">
        <f t="shared" si="32"/>
        <v>0</v>
      </c>
      <c r="AA182" s="101">
        <f t="shared" si="32"/>
        <v>0</v>
      </c>
      <c r="AB182" s="22"/>
    </row>
    <row r="183" spans="1:28" s="23" customFormat="1" ht="10.199999999999999" x14ac:dyDescent="0.2">
      <c r="A183" s="22"/>
      <c r="B183" s="22"/>
      <c r="C183" s="22"/>
      <c r="D183" s="22"/>
      <c r="E183" s="22" t="str">
        <f>E175</f>
        <v>аренда земли - начисление</v>
      </c>
      <c r="F183" s="22"/>
      <c r="G183" s="22" t="str">
        <f>IF($E183="","",INDEX(KPI!$G:$G,SUMIFS(KPI!$B:$B,KPI!$E:$E,$E183)))</f>
        <v>тыс.руб.</v>
      </c>
      <c r="H183" s="100">
        <f>структура!$V$19</f>
        <v>8</v>
      </c>
      <c r="I183" s="31"/>
      <c r="J183" s="98" t="str">
        <f>структура!$X$19</f>
        <v>авг</v>
      </c>
      <c r="K183" s="99"/>
      <c r="L183" s="22"/>
      <c r="M183" s="58"/>
      <c r="N183" s="22"/>
      <c r="O183" s="22"/>
      <c r="P183" s="101">
        <f t="shared" si="32"/>
        <v>217.38748718313028</v>
      </c>
      <c r="Q183" s="101">
        <f t="shared" si="32"/>
        <v>217.38748718313028</v>
      </c>
      <c r="R183" s="101">
        <f t="shared" si="32"/>
        <v>217.38748718313028</v>
      </c>
      <c r="S183" s="101">
        <f t="shared" si="32"/>
        <v>217.38748718313028</v>
      </c>
      <c r="T183" s="101">
        <f t="shared" si="32"/>
        <v>217.38748718313028</v>
      </c>
      <c r="U183" s="101">
        <f t="shared" si="32"/>
        <v>217.38748718313028</v>
      </c>
      <c r="V183" s="101">
        <f t="shared" si="32"/>
        <v>217.38748718313028</v>
      </c>
      <c r="W183" s="101">
        <f t="shared" si="32"/>
        <v>0</v>
      </c>
      <c r="X183" s="101">
        <f t="shared" si="32"/>
        <v>0</v>
      </c>
      <c r="Y183" s="101">
        <f t="shared" si="32"/>
        <v>0</v>
      </c>
      <c r="Z183" s="101">
        <f t="shared" si="32"/>
        <v>0</v>
      </c>
      <c r="AA183" s="101">
        <f t="shared" si="32"/>
        <v>0</v>
      </c>
      <c r="AB183" s="22"/>
    </row>
    <row r="184" spans="1:28" s="23" customFormat="1" ht="10.199999999999999" x14ac:dyDescent="0.2">
      <c r="A184" s="22"/>
      <c r="B184" s="22"/>
      <c r="C184" s="22"/>
      <c r="D184" s="22"/>
      <c r="E184" s="22" t="str">
        <f>E175</f>
        <v>аренда земли - начисление</v>
      </c>
      <c r="F184" s="22"/>
      <c r="G184" s="22" t="str">
        <f>IF($E184="","",INDEX(KPI!$G:$G,SUMIFS(KPI!$B:$B,KPI!$E:$E,$E184)))</f>
        <v>тыс.руб.</v>
      </c>
      <c r="H184" s="100">
        <f>структура!$V$20</f>
        <v>9</v>
      </c>
      <c r="I184" s="31"/>
      <c r="J184" s="98" t="str">
        <f>структура!$X$20</f>
        <v>сен</v>
      </c>
      <c r="K184" s="99"/>
      <c r="L184" s="22"/>
      <c r="M184" s="58"/>
      <c r="N184" s="22"/>
      <c r="O184" s="22"/>
      <c r="P184" s="101">
        <f t="shared" si="32"/>
        <v>217.38748718313028</v>
      </c>
      <c r="Q184" s="101">
        <f t="shared" si="32"/>
        <v>217.38748718313028</v>
      </c>
      <c r="R184" s="101">
        <f t="shared" si="32"/>
        <v>217.38748718313028</v>
      </c>
      <c r="S184" s="101">
        <f t="shared" si="32"/>
        <v>217.38748718313028</v>
      </c>
      <c r="T184" s="101">
        <f t="shared" si="32"/>
        <v>217.38748718313028</v>
      </c>
      <c r="U184" s="101">
        <f t="shared" si="32"/>
        <v>217.38748718313028</v>
      </c>
      <c r="V184" s="101">
        <f t="shared" si="32"/>
        <v>217.38748718313028</v>
      </c>
      <c r="W184" s="101">
        <f t="shared" si="32"/>
        <v>0</v>
      </c>
      <c r="X184" s="101">
        <f t="shared" si="32"/>
        <v>0</v>
      </c>
      <c r="Y184" s="101">
        <f t="shared" si="32"/>
        <v>0</v>
      </c>
      <c r="Z184" s="101">
        <f t="shared" si="32"/>
        <v>0</v>
      </c>
      <c r="AA184" s="101">
        <f t="shared" si="32"/>
        <v>0</v>
      </c>
      <c r="AB184" s="22"/>
    </row>
    <row r="185" spans="1:28" s="23" customFormat="1" ht="10.199999999999999" x14ac:dyDescent="0.2">
      <c r="A185" s="22"/>
      <c r="B185" s="22"/>
      <c r="C185" s="22"/>
      <c r="D185" s="22"/>
      <c r="E185" s="22" t="str">
        <f>E175</f>
        <v>аренда земли - начисление</v>
      </c>
      <c r="F185" s="22"/>
      <c r="G185" s="22" t="str">
        <f>IF($E185="","",INDEX(KPI!$G:$G,SUMIFS(KPI!$B:$B,KPI!$E:$E,$E185)))</f>
        <v>тыс.руб.</v>
      </c>
      <c r="H185" s="100">
        <f>структура!$V$21</f>
        <v>10</v>
      </c>
      <c r="I185" s="31"/>
      <c r="J185" s="98" t="str">
        <f>структура!$X$21</f>
        <v>окт</v>
      </c>
      <c r="K185" s="99"/>
      <c r="L185" s="22"/>
      <c r="M185" s="58"/>
      <c r="N185" s="22"/>
      <c r="O185" s="22"/>
      <c r="P185" s="101">
        <f t="shared" si="32"/>
        <v>217.38748718313028</v>
      </c>
      <c r="Q185" s="101">
        <f t="shared" si="32"/>
        <v>217.38748718313028</v>
      </c>
      <c r="R185" s="101">
        <f t="shared" si="32"/>
        <v>217.38748718313028</v>
      </c>
      <c r="S185" s="101">
        <f t="shared" si="32"/>
        <v>217.38748718313028</v>
      </c>
      <c r="T185" s="101">
        <f t="shared" si="32"/>
        <v>217.38748718313028</v>
      </c>
      <c r="U185" s="101">
        <f t="shared" si="32"/>
        <v>217.38748718313028</v>
      </c>
      <c r="V185" s="101">
        <f t="shared" si="32"/>
        <v>217.38748718313028</v>
      </c>
      <c r="W185" s="101">
        <f t="shared" si="32"/>
        <v>0</v>
      </c>
      <c r="X185" s="101">
        <f t="shared" si="32"/>
        <v>0</v>
      </c>
      <c r="Y185" s="101">
        <f t="shared" si="32"/>
        <v>0</v>
      </c>
      <c r="Z185" s="101">
        <f t="shared" si="32"/>
        <v>0</v>
      </c>
      <c r="AA185" s="101">
        <f t="shared" si="32"/>
        <v>0</v>
      </c>
      <c r="AB185" s="22"/>
    </row>
    <row r="186" spans="1:28" s="23" customFormat="1" ht="10.199999999999999" x14ac:dyDescent="0.2">
      <c r="A186" s="22"/>
      <c r="B186" s="22"/>
      <c r="C186" s="22"/>
      <c r="D186" s="22"/>
      <c r="E186" s="22" t="str">
        <f>E175</f>
        <v>аренда земли - начисление</v>
      </c>
      <c r="F186" s="22"/>
      <c r="G186" s="22" t="str">
        <f>IF($E186="","",INDEX(KPI!$G:$G,SUMIFS(KPI!$B:$B,KPI!$E:$E,$E186)))</f>
        <v>тыс.руб.</v>
      </c>
      <c r="H186" s="100">
        <f>структура!$V$22</f>
        <v>11</v>
      </c>
      <c r="I186" s="31"/>
      <c r="J186" s="98" t="str">
        <f>структура!$X$22</f>
        <v>ноя</v>
      </c>
      <c r="K186" s="99"/>
      <c r="L186" s="22"/>
      <c r="M186" s="58"/>
      <c r="N186" s="22"/>
      <c r="O186" s="22"/>
      <c r="P186" s="101">
        <f t="shared" si="32"/>
        <v>217.38748718313028</v>
      </c>
      <c r="Q186" s="101">
        <f t="shared" si="32"/>
        <v>217.38748718313028</v>
      </c>
      <c r="R186" s="101">
        <f t="shared" si="32"/>
        <v>217.38748718313028</v>
      </c>
      <c r="S186" s="101">
        <f t="shared" si="32"/>
        <v>217.38748718313028</v>
      </c>
      <c r="T186" s="101">
        <f t="shared" si="32"/>
        <v>217.38748718313028</v>
      </c>
      <c r="U186" s="101">
        <f t="shared" si="32"/>
        <v>217.38748718313028</v>
      </c>
      <c r="V186" s="101">
        <f t="shared" si="32"/>
        <v>217.38748718313028</v>
      </c>
      <c r="W186" s="101">
        <f t="shared" si="32"/>
        <v>0</v>
      </c>
      <c r="X186" s="101">
        <f t="shared" si="32"/>
        <v>0</v>
      </c>
      <c r="Y186" s="101">
        <f t="shared" si="32"/>
        <v>0</v>
      </c>
      <c r="Z186" s="101">
        <f t="shared" si="32"/>
        <v>0</v>
      </c>
      <c r="AA186" s="101">
        <f t="shared" si="32"/>
        <v>0</v>
      </c>
      <c r="AB186" s="22"/>
    </row>
    <row r="187" spans="1:28" s="23" customFormat="1" ht="10.199999999999999" x14ac:dyDescent="0.2">
      <c r="A187" s="22"/>
      <c r="B187" s="22"/>
      <c r="C187" s="22"/>
      <c r="D187" s="22"/>
      <c r="E187" s="22" t="str">
        <f>E175</f>
        <v>аренда земли - начисление</v>
      </c>
      <c r="F187" s="22"/>
      <c r="G187" s="22" t="str">
        <f>IF($E187="","",INDEX(KPI!$G:$G,SUMIFS(KPI!$B:$B,KPI!$E:$E,$E187)))</f>
        <v>тыс.руб.</v>
      </c>
      <c r="H187" s="100">
        <f>структура!$V$23</f>
        <v>12</v>
      </c>
      <c r="I187" s="31"/>
      <c r="J187" s="98" t="str">
        <f>структура!$X$23</f>
        <v>дек</v>
      </c>
      <c r="K187" s="99"/>
      <c r="L187" s="22"/>
      <c r="M187" s="58"/>
      <c r="N187" s="22"/>
      <c r="O187" s="22"/>
      <c r="P187" s="101">
        <f t="shared" si="32"/>
        <v>217.38748718313028</v>
      </c>
      <c r="Q187" s="101">
        <f t="shared" si="32"/>
        <v>217.38748718313028</v>
      </c>
      <c r="R187" s="101">
        <f t="shared" si="32"/>
        <v>217.38748718313028</v>
      </c>
      <c r="S187" s="101">
        <f t="shared" si="32"/>
        <v>217.38748718313028</v>
      </c>
      <c r="T187" s="101">
        <f t="shared" si="32"/>
        <v>217.38748718313028</v>
      </c>
      <c r="U187" s="101">
        <f t="shared" si="32"/>
        <v>217.38748718313028</v>
      </c>
      <c r="V187" s="101">
        <f t="shared" si="32"/>
        <v>217.38748718313028</v>
      </c>
      <c r="W187" s="101">
        <f t="shared" si="32"/>
        <v>0</v>
      </c>
      <c r="X187" s="101">
        <f t="shared" si="32"/>
        <v>0</v>
      </c>
      <c r="Y187" s="101">
        <f t="shared" si="32"/>
        <v>0</v>
      </c>
      <c r="Z187" s="101">
        <f t="shared" si="32"/>
        <v>0</v>
      </c>
      <c r="AA187" s="101">
        <f t="shared" si="32"/>
        <v>0</v>
      </c>
      <c r="AB187" s="22"/>
    </row>
    <row r="188" spans="1:28" ht="3.9" customHeight="1" x14ac:dyDescent="0.25">
      <c r="A188" s="2"/>
      <c r="B188" s="2"/>
      <c r="C188" s="2"/>
      <c r="D188" s="2"/>
      <c r="E188" s="21"/>
      <c r="F188" s="2"/>
      <c r="G188" s="21"/>
      <c r="H188" s="2"/>
      <c r="I188" s="28"/>
      <c r="J188" s="21"/>
      <c r="K188" s="28"/>
      <c r="L188" s="2"/>
      <c r="M188" s="52"/>
      <c r="N188" s="2"/>
      <c r="O188" s="2"/>
      <c r="P188" s="36"/>
      <c r="Q188" s="36"/>
      <c r="R188" s="36"/>
      <c r="S188" s="36"/>
      <c r="T188" s="36"/>
      <c r="U188" s="36"/>
      <c r="V188" s="36"/>
      <c r="W188" s="36"/>
      <c r="X188" s="36"/>
      <c r="Y188" s="36"/>
      <c r="Z188" s="36"/>
      <c r="AA188" s="36"/>
      <c r="AB188" s="2"/>
    </row>
    <row r="189" spans="1:28" ht="8.1" customHeight="1" x14ac:dyDescent="0.25">
      <c r="A189" s="2"/>
      <c r="B189" s="2"/>
      <c r="C189" s="2"/>
      <c r="D189" s="2"/>
      <c r="E189" s="2"/>
      <c r="F189" s="2"/>
      <c r="G189" s="2"/>
      <c r="H189" s="2"/>
      <c r="I189" s="28"/>
      <c r="J189" s="2"/>
      <c r="K189" s="28"/>
      <c r="L189" s="2"/>
      <c r="M189" s="52"/>
      <c r="N189" s="2"/>
      <c r="O189" s="2"/>
      <c r="P189" s="36"/>
      <c r="Q189" s="36"/>
      <c r="R189" s="36"/>
      <c r="S189" s="36"/>
      <c r="T189" s="36"/>
      <c r="U189" s="36"/>
      <c r="V189" s="36"/>
      <c r="W189" s="36"/>
      <c r="X189" s="36"/>
      <c r="Y189" s="36"/>
      <c r="Z189" s="36"/>
      <c r="AA189" s="36"/>
      <c r="AB189" s="2"/>
    </row>
    <row r="190" spans="1:28" s="5" customFormat="1" x14ac:dyDescent="0.25">
      <c r="A190" s="3"/>
      <c r="B190" s="3"/>
      <c r="C190" s="3"/>
      <c r="D190" s="111"/>
      <c r="E190" s="3" t="str">
        <f>KPI!$E$47</f>
        <v>аренда земли - оплата</v>
      </c>
      <c r="F190" s="3"/>
      <c r="G190" s="3" t="str">
        <f>IF($E190="","",INDEX(KPI!$G:$G,SUMIFS(KPI!$B:$B,KPI!$E:$E,$E190)))</f>
        <v>тыс.руб.</v>
      </c>
      <c r="H190" s="103"/>
      <c r="I190" s="28"/>
      <c r="J190" s="44"/>
      <c r="K190" s="28"/>
      <c r="L190" s="3"/>
      <c r="M190" s="55">
        <f>SUM($O190:$AB190)</f>
        <v>18260.548923382947</v>
      </c>
      <c r="N190" s="3"/>
      <c r="O190" s="3"/>
      <c r="P190" s="46">
        <f>IF(P$1="",0,IF(P$1=0,SUMIFS(P191:P202,H191:H202,"&gt;="&amp;MONTH($J$13)),SUM(P191:P202)))</f>
        <v>2608.6498461975634</v>
      </c>
      <c r="Q190" s="46">
        <f t="shared" ref="Q190" si="33">IF(Q$1="",0,SUM(Q191:Q202))</f>
        <v>2608.6498461975634</v>
      </c>
      <c r="R190" s="46">
        <f t="shared" ref="R190:AA190" si="34">IF(R$1="",0,SUM(R191:R202))</f>
        <v>2608.6498461975634</v>
      </c>
      <c r="S190" s="46">
        <f t="shared" si="34"/>
        <v>2608.6498461975634</v>
      </c>
      <c r="T190" s="46">
        <f t="shared" si="34"/>
        <v>2608.6498461975634</v>
      </c>
      <c r="U190" s="46">
        <f t="shared" si="34"/>
        <v>2608.6498461975634</v>
      </c>
      <c r="V190" s="46">
        <f t="shared" si="34"/>
        <v>2608.6498461975634</v>
      </c>
      <c r="W190" s="46">
        <f t="shared" si="34"/>
        <v>0</v>
      </c>
      <c r="X190" s="46">
        <f t="shared" si="34"/>
        <v>0</v>
      </c>
      <c r="Y190" s="46">
        <f t="shared" si="34"/>
        <v>0</v>
      </c>
      <c r="Z190" s="46">
        <f t="shared" si="34"/>
        <v>0</v>
      </c>
      <c r="AA190" s="46">
        <f t="shared" si="34"/>
        <v>0</v>
      </c>
      <c r="AB190" s="3"/>
    </row>
    <row r="191" spans="1:28" s="23" customFormat="1" ht="10.199999999999999" x14ac:dyDescent="0.2">
      <c r="A191" s="22"/>
      <c r="B191" s="22"/>
      <c r="C191" s="22"/>
      <c r="D191" s="22"/>
      <c r="E191" s="22" t="str">
        <f>E190</f>
        <v>аренда земли - оплата</v>
      </c>
      <c r="F191" s="22"/>
      <c r="G191" s="22" t="str">
        <f>IF($E191="","",INDEX(KPI!$G:$G,SUMIFS(KPI!$B:$B,KPI!$E:$E,$E191)))</f>
        <v>тыс.руб.</v>
      </c>
      <c r="H191" s="100">
        <f>структура!$V$12</f>
        <v>1</v>
      </c>
      <c r="I191" s="31"/>
      <c r="J191" s="98" t="str">
        <f>структура!$X$12</f>
        <v>янв</v>
      </c>
      <c r="K191" s="99"/>
      <c r="L191" s="22"/>
      <c r="M191" s="58"/>
      <c r="N191" s="22"/>
      <c r="O191" s="22"/>
      <c r="P191" s="101">
        <f t="shared" ref="P191:AA202" si="35">IF(P$1="",0,IF(P$1=0,$J$172/12,IF($H191=1,$J$172,0)))</f>
        <v>2608.6498461975634</v>
      </c>
      <c r="Q191" s="101">
        <f t="shared" si="35"/>
        <v>2608.6498461975634</v>
      </c>
      <c r="R191" s="101">
        <f t="shared" si="35"/>
        <v>2608.6498461975634</v>
      </c>
      <c r="S191" s="101">
        <f t="shared" si="35"/>
        <v>2608.6498461975634</v>
      </c>
      <c r="T191" s="101">
        <f t="shared" si="35"/>
        <v>2608.6498461975634</v>
      </c>
      <c r="U191" s="101">
        <f t="shared" si="35"/>
        <v>2608.6498461975634</v>
      </c>
      <c r="V191" s="101">
        <f t="shared" si="35"/>
        <v>2608.6498461975634</v>
      </c>
      <c r="W191" s="101">
        <f t="shared" si="35"/>
        <v>0</v>
      </c>
      <c r="X191" s="101">
        <f t="shared" si="35"/>
        <v>0</v>
      </c>
      <c r="Y191" s="101">
        <f t="shared" si="35"/>
        <v>0</v>
      </c>
      <c r="Z191" s="101">
        <f t="shared" si="35"/>
        <v>0</v>
      </c>
      <c r="AA191" s="101">
        <f t="shared" si="35"/>
        <v>0</v>
      </c>
      <c r="AB191" s="22"/>
    </row>
    <row r="192" spans="1:28" s="23" customFormat="1" ht="10.199999999999999" x14ac:dyDescent="0.2">
      <c r="A192" s="22"/>
      <c r="B192" s="22"/>
      <c r="C192" s="22"/>
      <c r="D192" s="22"/>
      <c r="E192" s="22" t="str">
        <f>E190</f>
        <v>аренда земли - оплата</v>
      </c>
      <c r="F192" s="22"/>
      <c r="G192" s="22" t="str">
        <f>IF($E192="","",INDEX(KPI!$G:$G,SUMIFS(KPI!$B:$B,KPI!$E:$E,$E192)))</f>
        <v>тыс.руб.</v>
      </c>
      <c r="H192" s="100">
        <f>структура!$V$13</f>
        <v>2</v>
      </c>
      <c r="I192" s="31"/>
      <c r="J192" s="98" t="str">
        <f>структура!$X$13</f>
        <v>фев</v>
      </c>
      <c r="K192" s="99"/>
      <c r="L192" s="22"/>
      <c r="M192" s="58"/>
      <c r="N192" s="22"/>
      <c r="O192" s="22"/>
      <c r="P192" s="101">
        <f t="shared" si="35"/>
        <v>0</v>
      </c>
      <c r="Q192" s="101">
        <f t="shared" si="35"/>
        <v>0</v>
      </c>
      <c r="R192" s="101">
        <f t="shared" si="35"/>
        <v>0</v>
      </c>
      <c r="S192" s="101">
        <f t="shared" si="35"/>
        <v>0</v>
      </c>
      <c r="T192" s="101">
        <f t="shared" si="35"/>
        <v>0</v>
      </c>
      <c r="U192" s="101">
        <f t="shared" si="35"/>
        <v>0</v>
      </c>
      <c r="V192" s="101">
        <f t="shared" si="35"/>
        <v>0</v>
      </c>
      <c r="W192" s="101">
        <f t="shared" si="35"/>
        <v>0</v>
      </c>
      <c r="X192" s="101">
        <f t="shared" si="35"/>
        <v>0</v>
      </c>
      <c r="Y192" s="101">
        <f t="shared" si="35"/>
        <v>0</v>
      </c>
      <c r="Z192" s="101">
        <f t="shared" si="35"/>
        <v>0</v>
      </c>
      <c r="AA192" s="101">
        <f t="shared" si="35"/>
        <v>0</v>
      </c>
      <c r="AB192" s="22"/>
    </row>
    <row r="193" spans="1:28" s="23" customFormat="1" ht="10.199999999999999" x14ac:dyDescent="0.2">
      <c r="A193" s="22"/>
      <c r="B193" s="22"/>
      <c r="C193" s="22"/>
      <c r="D193" s="22"/>
      <c r="E193" s="22" t="str">
        <f>E190</f>
        <v>аренда земли - оплата</v>
      </c>
      <c r="F193" s="22"/>
      <c r="G193" s="22" t="str">
        <f>IF($E193="","",INDEX(KPI!$G:$G,SUMIFS(KPI!$B:$B,KPI!$E:$E,$E193)))</f>
        <v>тыс.руб.</v>
      </c>
      <c r="H193" s="100">
        <f>структура!$V$14</f>
        <v>3</v>
      </c>
      <c r="I193" s="31"/>
      <c r="J193" s="98" t="str">
        <f>структура!$X$14</f>
        <v>мар</v>
      </c>
      <c r="K193" s="99"/>
      <c r="L193" s="22"/>
      <c r="M193" s="58"/>
      <c r="N193" s="22"/>
      <c r="O193" s="22"/>
      <c r="P193" s="101">
        <f t="shared" si="35"/>
        <v>0</v>
      </c>
      <c r="Q193" s="101">
        <f t="shared" si="35"/>
        <v>0</v>
      </c>
      <c r="R193" s="101">
        <f t="shared" si="35"/>
        <v>0</v>
      </c>
      <c r="S193" s="101">
        <f t="shared" si="35"/>
        <v>0</v>
      </c>
      <c r="T193" s="101">
        <f t="shared" si="35"/>
        <v>0</v>
      </c>
      <c r="U193" s="101">
        <f t="shared" si="35"/>
        <v>0</v>
      </c>
      <c r="V193" s="101">
        <f t="shared" si="35"/>
        <v>0</v>
      </c>
      <c r="W193" s="101">
        <f t="shared" si="35"/>
        <v>0</v>
      </c>
      <c r="X193" s="101">
        <f t="shared" si="35"/>
        <v>0</v>
      </c>
      <c r="Y193" s="101">
        <f t="shared" si="35"/>
        <v>0</v>
      </c>
      <c r="Z193" s="101">
        <f t="shared" si="35"/>
        <v>0</v>
      </c>
      <c r="AA193" s="101">
        <f t="shared" si="35"/>
        <v>0</v>
      </c>
      <c r="AB193" s="22"/>
    </row>
    <row r="194" spans="1:28" s="23" customFormat="1" ht="10.199999999999999" x14ac:dyDescent="0.2">
      <c r="A194" s="22"/>
      <c r="B194" s="22"/>
      <c r="C194" s="22"/>
      <c r="D194" s="22"/>
      <c r="E194" s="22" t="str">
        <f>E190</f>
        <v>аренда земли - оплата</v>
      </c>
      <c r="F194" s="22"/>
      <c r="G194" s="22" t="str">
        <f>IF($E194="","",INDEX(KPI!$G:$G,SUMIFS(KPI!$B:$B,KPI!$E:$E,$E194)))</f>
        <v>тыс.руб.</v>
      </c>
      <c r="H194" s="100">
        <f>структура!$V$15</f>
        <v>4</v>
      </c>
      <c r="I194" s="31"/>
      <c r="J194" s="98" t="str">
        <f>структура!$X$15</f>
        <v>апр</v>
      </c>
      <c r="K194" s="99"/>
      <c r="L194" s="22"/>
      <c r="M194" s="58"/>
      <c r="N194" s="22"/>
      <c r="O194" s="22"/>
      <c r="P194" s="101">
        <f t="shared" si="35"/>
        <v>0</v>
      </c>
      <c r="Q194" s="101">
        <f t="shared" si="35"/>
        <v>0</v>
      </c>
      <c r="R194" s="101">
        <f t="shared" si="35"/>
        <v>0</v>
      </c>
      <c r="S194" s="101">
        <f t="shared" si="35"/>
        <v>0</v>
      </c>
      <c r="T194" s="101">
        <f t="shared" si="35"/>
        <v>0</v>
      </c>
      <c r="U194" s="101">
        <f t="shared" si="35"/>
        <v>0</v>
      </c>
      <c r="V194" s="101">
        <f t="shared" si="35"/>
        <v>0</v>
      </c>
      <c r="W194" s="101">
        <f t="shared" si="35"/>
        <v>0</v>
      </c>
      <c r="X194" s="101">
        <f t="shared" si="35"/>
        <v>0</v>
      </c>
      <c r="Y194" s="101">
        <f t="shared" si="35"/>
        <v>0</v>
      </c>
      <c r="Z194" s="101">
        <f t="shared" si="35"/>
        <v>0</v>
      </c>
      <c r="AA194" s="101">
        <f t="shared" si="35"/>
        <v>0</v>
      </c>
      <c r="AB194" s="22"/>
    </row>
    <row r="195" spans="1:28" s="23" customFormat="1" ht="10.199999999999999" x14ac:dyDescent="0.2">
      <c r="A195" s="22"/>
      <c r="B195" s="22"/>
      <c r="C195" s="22"/>
      <c r="D195" s="22"/>
      <c r="E195" s="22" t="str">
        <f>E190</f>
        <v>аренда земли - оплата</v>
      </c>
      <c r="F195" s="22"/>
      <c r="G195" s="22" t="str">
        <f>IF($E195="","",INDEX(KPI!$G:$G,SUMIFS(KPI!$B:$B,KPI!$E:$E,$E195)))</f>
        <v>тыс.руб.</v>
      </c>
      <c r="H195" s="100">
        <f>структура!$V$16</f>
        <v>5</v>
      </c>
      <c r="I195" s="31"/>
      <c r="J195" s="98" t="str">
        <f>структура!$X$16</f>
        <v>май</v>
      </c>
      <c r="K195" s="99"/>
      <c r="L195" s="22"/>
      <c r="M195" s="58"/>
      <c r="N195" s="22"/>
      <c r="O195" s="22"/>
      <c r="P195" s="101">
        <f t="shared" si="35"/>
        <v>0</v>
      </c>
      <c r="Q195" s="101">
        <f t="shared" si="35"/>
        <v>0</v>
      </c>
      <c r="R195" s="101">
        <f t="shared" si="35"/>
        <v>0</v>
      </c>
      <c r="S195" s="101">
        <f t="shared" si="35"/>
        <v>0</v>
      </c>
      <c r="T195" s="101">
        <f t="shared" si="35"/>
        <v>0</v>
      </c>
      <c r="U195" s="101">
        <f t="shared" si="35"/>
        <v>0</v>
      </c>
      <c r="V195" s="101">
        <f t="shared" si="35"/>
        <v>0</v>
      </c>
      <c r="W195" s="101">
        <f t="shared" si="35"/>
        <v>0</v>
      </c>
      <c r="X195" s="101">
        <f t="shared" si="35"/>
        <v>0</v>
      </c>
      <c r="Y195" s="101">
        <f t="shared" si="35"/>
        <v>0</v>
      </c>
      <c r="Z195" s="101">
        <f t="shared" si="35"/>
        <v>0</v>
      </c>
      <c r="AA195" s="101">
        <f t="shared" si="35"/>
        <v>0</v>
      </c>
      <c r="AB195" s="22"/>
    </row>
    <row r="196" spans="1:28" s="23" customFormat="1" ht="10.199999999999999" x14ac:dyDescent="0.2">
      <c r="A196" s="22"/>
      <c r="B196" s="22"/>
      <c r="C196" s="22"/>
      <c r="D196" s="22"/>
      <c r="E196" s="22" t="str">
        <f>E190</f>
        <v>аренда земли - оплата</v>
      </c>
      <c r="F196" s="22"/>
      <c r="G196" s="22" t="str">
        <f>IF($E196="","",INDEX(KPI!$G:$G,SUMIFS(KPI!$B:$B,KPI!$E:$E,$E196)))</f>
        <v>тыс.руб.</v>
      </c>
      <c r="H196" s="100">
        <f>структура!$V$17</f>
        <v>6</v>
      </c>
      <c r="I196" s="31"/>
      <c r="J196" s="98" t="str">
        <f>структура!$X$17</f>
        <v>июн</v>
      </c>
      <c r="K196" s="99"/>
      <c r="L196" s="22"/>
      <c r="M196" s="58"/>
      <c r="N196" s="22"/>
      <c r="O196" s="22"/>
      <c r="P196" s="101">
        <f t="shared" si="35"/>
        <v>0</v>
      </c>
      <c r="Q196" s="101">
        <f t="shared" si="35"/>
        <v>0</v>
      </c>
      <c r="R196" s="101">
        <f t="shared" si="35"/>
        <v>0</v>
      </c>
      <c r="S196" s="101">
        <f t="shared" si="35"/>
        <v>0</v>
      </c>
      <c r="T196" s="101">
        <f t="shared" si="35"/>
        <v>0</v>
      </c>
      <c r="U196" s="101">
        <f t="shared" si="35"/>
        <v>0</v>
      </c>
      <c r="V196" s="101">
        <f t="shared" si="35"/>
        <v>0</v>
      </c>
      <c r="W196" s="101">
        <f t="shared" si="35"/>
        <v>0</v>
      </c>
      <c r="X196" s="101">
        <f t="shared" si="35"/>
        <v>0</v>
      </c>
      <c r="Y196" s="101">
        <f t="shared" si="35"/>
        <v>0</v>
      </c>
      <c r="Z196" s="101">
        <f t="shared" si="35"/>
        <v>0</v>
      </c>
      <c r="AA196" s="101">
        <f t="shared" si="35"/>
        <v>0</v>
      </c>
      <c r="AB196" s="22"/>
    </row>
    <row r="197" spans="1:28" s="23" customFormat="1" ht="10.199999999999999" x14ac:dyDescent="0.2">
      <c r="A197" s="22"/>
      <c r="B197" s="22"/>
      <c r="C197" s="22"/>
      <c r="D197" s="22"/>
      <c r="E197" s="22" t="str">
        <f>E190</f>
        <v>аренда земли - оплата</v>
      </c>
      <c r="F197" s="22"/>
      <c r="G197" s="22" t="str">
        <f>IF($E197="","",INDEX(KPI!$G:$G,SUMIFS(KPI!$B:$B,KPI!$E:$E,$E197)))</f>
        <v>тыс.руб.</v>
      </c>
      <c r="H197" s="100">
        <f>структура!$V$18</f>
        <v>7</v>
      </c>
      <c r="I197" s="31"/>
      <c r="J197" s="98" t="str">
        <f>структура!$X$18</f>
        <v>июл</v>
      </c>
      <c r="K197" s="99"/>
      <c r="L197" s="22"/>
      <c r="M197" s="58"/>
      <c r="N197" s="22"/>
      <c r="O197" s="22"/>
      <c r="P197" s="101">
        <f t="shared" si="35"/>
        <v>0</v>
      </c>
      <c r="Q197" s="101">
        <f t="shared" si="35"/>
        <v>0</v>
      </c>
      <c r="R197" s="101">
        <f t="shared" si="35"/>
        <v>0</v>
      </c>
      <c r="S197" s="101">
        <f t="shared" si="35"/>
        <v>0</v>
      </c>
      <c r="T197" s="101">
        <f t="shared" si="35"/>
        <v>0</v>
      </c>
      <c r="U197" s="101">
        <f t="shared" si="35"/>
        <v>0</v>
      </c>
      <c r="V197" s="101">
        <f t="shared" si="35"/>
        <v>0</v>
      </c>
      <c r="W197" s="101">
        <f t="shared" si="35"/>
        <v>0</v>
      </c>
      <c r="X197" s="101">
        <f t="shared" si="35"/>
        <v>0</v>
      </c>
      <c r="Y197" s="101">
        <f t="shared" si="35"/>
        <v>0</v>
      </c>
      <c r="Z197" s="101">
        <f t="shared" si="35"/>
        <v>0</v>
      </c>
      <c r="AA197" s="101">
        <f t="shared" si="35"/>
        <v>0</v>
      </c>
      <c r="AB197" s="22"/>
    </row>
    <row r="198" spans="1:28" s="23" customFormat="1" ht="10.199999999999999" x14ac:dyDescent="0.2">
      <c r="A198" s="22"/>
      <c r="B198" s="22"/>
      <c r="C198" s="22"/>
      <c r="D198" s="22"/>
      <c r="E198" s="22" t="str">
        <f>E190</f>
        <v>аренда земли - оплата</v>
      </c>
      <c r="F198" s="22"/>
      <c r="G198" s="22" t="str">
        <f>IF($E198="","",INDEX(KPI!$G:$G,SUMIFS(KPI!$B:$B,KPI!$E:$E,$E198)))</f>
        <v>тыс.руб.</v>
      </c>
      <c r="H198" s="100">
        <f>структура!$V$19</f>
        <v>8</v>
      </c>
      <c r="I198" s="31"/>
      <c r="J198" s="98" t="str">
        <f>структура!$X$19</f>
        <v>авг</v>
      </c>
      <c r="K198" s="99"/>
      <c r="L198" s="22"/>
      <c r="M198" s="58"/>
      <c r="N198" s="22"/>
      <c r="O198" s="22"/>
      <c r="P198" s="101">
        <f t="shared" si="35"/>
        <v>0</v>
      </c>
      <c r="Q198" s="101">
        <f t="shared" si="35"/>
        <v>0</v>
      </c>
      <c r="R198" s="101">
        <f t="shared" si="35"/>
        <v>0</v>
      </c>
      <c r="S198" s="101">
        <f t="shared" si="35"/>
        <v>0</v>
      </c>
      <c r="T198" s="101">
        <f t="shared" si="35"/>
        <v>0</v>
      </c>
      <c r="U198" s="101">
        <f t="shared" si="35"/>
        <v>0</v>
      </c>
      <c r="V198" s="101">
        <f t="shared" si="35"/>
        <v>0</v>
      </c>
      <c r="W198" s="101">
        <f t="shared" si="35"/>
        <v>0</v>
      </c>
      <c r="X198" s="101">
        <f t="shared" si="35"/>
        <v>0</v>
      </c>
      <c r="Y198" s="101">
        <f t="shared" si="35"/>
        <v>0</v>
      </c>
      <c r="Z198" s="101">
        <f t="shared" si="35"/>
        <v>0</v>
      </c>
      <c r="AA198" s="101">
        <f t="shared" si="35"/>
        <v>0</v>
      </c>
      <c r="AB198" s="22"/>
    </row>
    <row r="199" spans="1:28" s="23" customFormat="1" ht="10.199999999999999" x14ac:dyDescent="0.2">
      <c r="A199" s="22"/>
      <c r="B199" s="22"/>
      <c r="C199" s="22"/>
      <c r="D199" s="22"/>
      <c r="E199" s="22" t="str">
        <f>E190</f>
        <v>аренда земли - оплата</v>
      </c>
      <c r="F199" s="22"/>
      <c r="G199" s="22" t="str">
        <f>IF($E199="","",INDEX(KPI!$G:$G,SUMIFS(KPI!$B:$B,KPI!$E:$E,$E199)))</f>
        <v>тыс.руб.</v>
      </c>
      <c r="H199" s="100">
        <f>структура!$V$20</f>
        <v>9</v>
      </c>
      <c r="I199" s="31"/>
      <c r="J199" s="98" t="str">
        <f>структура!$X$20</f>
        <v>сен</v>
      </c>
      <c r="K199" s="99"/>
      <c r="L199" s="22"/>
      <c r="M199" s="58"/>
      <c r="N199" s="22"/>
      <c r="O199" s="22"/>
      <c r="P199" s="101">
        <f t="shared" si="35"/>
        <v>0</v>
      </c>
      <c r="Q199" s="101">
        <f t="shared" si="35"/>
        <v>0</v>
      </c>
      <c r="R199" s="101">
        <f t="shared" si="35"/>
        <v>0</v>
      </c>
      <c r="S199" s="101">
        <f t="shared" si="35"/>
        <v>0</v>
      </c>
      <c r="T199" s="101">
        <f t="shared" si="35"/>
        <v>0</v>
      </c>
      <c r="U199" s="101">
        <f t="shared" si="35"/>
        <v>0</v>
      </c>
      <c r="V199" s="101">
        <f t="shared" si="35"/>
        <v>0</v>
      </c>
      <c r="W199" s="101">
        <f t="shared" si="35"/>
        <v>0</v>
      </c>
      <c r="X199" s="101">
        <f t="shared" si="35"/>
        <v>0</v>
      </c>
      <c r="Y199" s="101">
        <f t="shared" si="35"/>
        <v>0</v>
      </c>
      <c r="Z199" s="101">
        <f t="shared" si="35"/>
        <v>0</v>
      </c>
      <c r="AA199" s="101">
        <f t="shared" si="35"/>
        <v>0</v>
      </c>
      <c r="AB199" s="22"/>
    </row>
    <row r="200" spans="1:28" s="23" customFormat="1" ht="10.199999999999999" x14ac:dyDescent="0.2">
      <c r="A200" s="22"/>
      <c r="B200" s="22"/>
      <c r="C200" s="22"/>
      <c r="D200" s="22"/>
      <c r="E200" s="22" t="str">
        <f>E190</f>
        <v>аренда земли - оплата</v>
      </c>
      <c r="F200" s="22"/>
      <c r="G200" s="22" t="str">
        <f>IF($E200="","",INDEX(KPI!$G:$G,SUMIFS(KPI!$B:$B,KPI!$E:$E,$E200)))</f>
        <v>тыс.руб.</v>
      </c>
      <c r="H200" s="100">
        <f>структура!$V$21</f>
        <v>10</v>
      </c>
      <c r="I200" s="31"/>
      <c r="J200" s="98" t="str">
        <f>структура!$X$21</f>
        <v>окт</v>
      </c>
      <c r="K200" s="99"/>
      <c r="L200" s="22"/>
      <c r="M200" s="58"/>
      <c r="N200" s="22"/>
      <c r="O200" s="22"/>
      <c r="P200" s="101">
        <f t="shared" si="35"/>
        <v>0</v>
      </c>
      <c r="Q200" s="101">
        <f t="shared" si="35"/>
        <v>0</v>
      </c>
      <c r="R200" s="101">
        <f t="shared" si="35"/>
        <v>0</v>
      </c>
      <c r="S200" s="101">
        <f t="shared" si="35"/>
        <v>0</v>
      </c>
      <c r="T200" s="101">
        <f t="shared" si="35"/>
        <v>0</v>
      </c>
      <c r="U200" s="101">
        <f t="shared" si="35"/>
        <v>0</v>
      </c>
      <c r="V200" s="101">
        <f t="shared" si="35"/>
        <v>0</v>
      </c>
      <c r="W200" s="101">
        <f t="shared" si="35"/>
        <v>0</v>
      </c>
      <c r="X200" s="101">
        <f t="shared" si="35"/>
        <v>0</v>
      </c>
      <c r="Y200" s="101">
        <f t="shared" si="35"/>
        <v>0</v>
      </c>
      <c r="Z200" s="101">
        <f t="shared" si="35"/>
        <v>0</v>
      </c>
      <c r="AA200" s="101">
        <f t="shared" si="35"/>
        <v>0</v>
      </c>
      <c r="AB200" s="22"/>
    </row>
    <row r="201" spans="1:28" s="23" customFormat="1" ht="10.199999999999999" x14ac:dyDescent="0.2">
      <c r="A201" s="22"/>
      <c r="B201" s="22"/>
      <c r="C201" s="22"/>
      <c r="D201" s="22"/>
      <c r="E201" s="22" t="str">
        <f>E190</f>
        <v>аренда земли - оплата</v>
      </c>
      <c r="F201" s="22"/>
      <c r="G201" s="22" t="str">
        <f>IF($E201="","",INDEX(KPI!$G:$G,SUMIFS(KPI!$B:$B,KPI!$E:$E,$E201)))</f>
        <v>тыс.руб.</v>
      </c>
      <c r="H201" s="100">
        <f>структура!$V$22</f>
        <v>11</v>
      </c>
      <c r="I201" s="31"/>
      <c r="J201" s="98" t="str">
        <f>структура!$X$22</f>
        <v>ноя</v>
      </c>
      <c r="K201" s="99"/>
      <c r="L201" s="22"/>
      <c r="M201" s="58"/>
      <c r="N201" s="22"/>
      <c r="O201" s="22"/>
      <c r="P201" s="101">
        <f t="shared" si="35"/>
        <v>0</v>
      </c>
      <c r="Q201" s="101">
        <f t="shared" si="35"/>
        <v>0</v>
      </c>
      <c r="R201" s="101">
        <f t="shared" si="35"/>
        <v>0</v>
      </c>
      <c r="S201" s="101">
        <f t="shared" si="35"/>
        <v>0</v>
      </c>
      <c r="T201" s="101">
        <f t="shared" si="35"/>
        <v>0</v>
      </c>
      <c r="U201" s="101">
        <f t="shared" si="35"/>
        <v>0</v>
      </c>
      <c r="V201" s="101">
        <f t="shared" si="35"/>
        <v>0</v>
      </c>
      <c r="W201" s="101">
        <f t="shared" si="35"/>
        <v>0</v>
      </c>
      <c r="X201" s="101">
        <f t="shared" si="35"/>
        <v>0</v>
      </c>
      <c r="Y201" s="101">
        <f t="shared" si="35"/>
        <v>0</v>
      </c>
      <c r="Z201" s="101">
        <f t="shared" si="35"/>
        <v>0</v>
      </c>
      <c r="AA201" s="101">
        <f t="shared" si="35"/>
        <v>0</v>
      </c>
      <c r="AB201" s="22"/>
    </row>
    <row r="202" spans="1:28" s="23" customFormat="1" ht="10.199999999999999" x14ac:dyDescent="0.2">
      <c r="A202" s="22"/>
      <c r="B202" s="22"/>
      <c r="C202" s="22"/>
      <c r="D202" s="22"/>
      <c r="E202" s="22" t="str">
        <f>E190</f>
        <v>аренда земли - оплата</v>
      </c>
      <c r="F202" s="22"/>
      <c r="G202" s="22" t="str">
        <f>IF($E202="","",INDEX(KPI!$G:$G,SUMIFS(KPI!$B:$B,KPI!$E:$E,$E202)))</f>
        <v>тыс.руб.</v>
      </c>
      <c r="H202" s="100">
        <f>структура!$V$23</f>
        <v>12</v>
      </c>
      <c r="I202" s="31"/>
      <c r="J202" s="98" t="str">
        <f>структура!$X$23</f>
        <v>дек</v>
      </c>
      <c r="K202" s="99"/>
      <c r="L202" s="22"/>
      <c r="M202" s="58"/>
      <c r="N202" s="22"/>
      <c r="O202" s="22"/>
      <c r="P202" s="101">
        <f t="shared" si="35"/>
        <v>0</v>
      </c>
      <c r="Q202" s="101">
        <f t="shared" si="35"/>
        <v>0</v>
      </c>
      <c r="R202" s="101">
        <f t="shared" si="35"/>
        <v>0</v>
      </c>
      <c r="S202" s="101">
        <f t="shared" si="35"/>
        <v>0</v>
      </c>
      <c r="T202" s="101">
        <f t="shared" si="35"/>
        <v>0</v>
      </c>
      <c r="U202" s="101">
        <f t="shared" si="35"/>
        <v>0</v>
      </c>
      <c r="V202" s="101">
        <f t="shared" si="35"/>
        <v>0</v>
      </c>
      <c r="W202" s="101">
        <f t="shared" si="35"/>
        <v>0</v>
      </c>
      <c r="X202" s="101">
        <f t="shared" si="35"/>
        <v>0</v>
      </c>
      <c r="Y202" s="101">
        <f t="shared" si="35"/>
        <v>0</v>
      </c>
      <c r="Z202" s="101">
        <f t="shared" si="35"/>
        <v>0</v>
      </c>
      <c r="AA202" s="101">
        <f t="shared" si="35"/>
        <v>0</v>
      </c>
      <c r="AB202" s="22"/>
    </row>
    <row r="203" spans="1:28" ht="3.9" customHeight="1" x14ac:dyDescent="0.25">
      <c r="A203" s="2"/>
      <c r="B203" s="2"/>
      <c r="C203" s="2"/>
      <c r="D203" s="2"/>
      <c r="E203" s="21"/>
      <c r="F203" s="2"/>
      <c r="G203" s="21"/>
      <c r="H203" s="2"/>
      <c r="I203" s="28"/>
      <c r="J203" s="21"/>
      <c r="K203" s="28"/>
      <c r="L203" s="2"/>
      <c r="M203" s="52"/>
      <c r="N203" s="2"/>
      <c r="O203" s="2"/>
      <c r="P203" s="36"/>
      <c r="Q203" s="36"/>
      <c r="R203" s="36"/>
      <c r="S203" s="36"/>
      <c r="T203" s="36"/>
      <c r="U203" s="36"/>
      <c r="V203" s="36"/>
      <c r="W203" s="36"/>
      <c r="X203" s="36"/>
      <c r="Y203" s="36"/>
      <c r="Z203" s="36"/>
      <c r="AA203" s="36"/>
      <c r="AB203" s="2"/>
    </row>
    <row r="204" spans="1:28" ht="8.1" customHeight="1" x14ac:dyDescent="0.25">
      <c r="A204" s="2"/>
      <c r="B204" s="2"/>
      <c r="C204" s="2"/>
      <c r="D204" s="2"/>
      <c r="E204" s="2"/>
      <c r="F204" s="2"/>
      <c r="G204" s="2"/>
      <c r="H204" s="2"/>
      <c r="I204" s="28"/>
      <c r="J204" s="2"/>
      <c r="K204" s="28"/>
      <c r="L204" s="2"/>
      <c r="M204" s="52"/>
      <c r="N204" s="2"/>
      <c r="O204" s="2"/>
      <c r="P204" s="36"/>
      <c r="Q204" s="36"/>
      <c r="R204" s="36"/>
      <c r="S204" s="36"/>
      <c r="T204" s="36"/>
      <c r="U204" s="36"/>
      <c r="V204" s="36"/>
      <c r="W204" s="36"/>
      <c r="X204" s="36"/>
      <c r="Y204" s="36"/>
      <c r="Z204" s="36"/>
      <c r="AA204" s="36"/>
      <c r="AB204" s="2"/>
    </row>
    <row r="205" spans="1:28" s="5" customFormat="1" x14ac:dyDescent="0.25">
      <c r="A205" s="3"/>
      <c r="B205" s="3"/>
      <c r="C205" s="3"/>
      <c r="D205" s="3"/>
      <c r="E205" s="3" t="str">
        <f>KPI!$E$49</f>
        <v>расход э/э в сутки - ЛЕТО</v>
      </c>
      <c r="F205" s="3"/>
      <c r="G205" s="3" t="str">
        <f>IF($E205="","",INDEX(KPI!$G:$G,SUMIFS(KPI!$B:$B,KPI!$E:$E,$E205)))</f>
        <v>кВт</v>
      </c>
      <c r="H205" s="3"/>
      <c r="I205" s="6"/>
      <c r="J205" s="204">
        <f>операции!J280</f>
        <v>103.4</v>
      </c>
      <c r="K205" s="28"/>
      <c r="L205" s="2"/>
      <c r="M205" s="52"/>
      <c r="N205" s="3"/>
      <c r="O205" s="2"/>
      <c r="P205" s="36"/>
      <c r="Q205" s="36"/>
      <c r="R205" s="36"/>
      <c r="S205" s="36"/>
      <c r="T205" s="36"/>
      <c r="U205" s="36"/>
      <c r="V205" s="36"/>
      <c r="W205" s="36"/>
      <c r="X205" s="36"/>
      <c r="Y205" s="36"/>
      <c r="Z205" s="36"/>
      <c r="AA205" s="36"/>
      <c r="AB205" s="2"/>
    </row>
    <row r="206" spans="1:28" s="5" customFormat="1" x14ac:dyDescent="0.25">
      <c r="A206" s="3"/>
      <c r="B206" s="3"/>
      <c r="C206" s="3"/>
      <c r="D206" s="3"/>
      <c r="E206" s="3" t="str">
        <f>KPI!$E$50</f>
        <v>стомость э/э за 1кВт</v>
      </c>
      <c r="F206" s="3"/>
      <c r="G206" s="3" t="str">
        <f>IF($E206="","",INDEX(KPI!$G:$G,SUMIFS(KPI!$B:$B,KPI!$E:$E,$E206)))</f>
        <v>руб.</v>
      </c>
      <c r="H206" s="3"/>
      <c r="I206" s="6"/>
      <c r="J206" s="204">
        <f>операции!J281</f>
        <v>6</v>
      </c>
      <c r="K206" s="28"/>
      <c r="L206" s="2"/>
      <c r="M206" s="52"/>
      <c r="N206" s="3"/>
      <c r="O206" s="2"/>
      <c r="P206" s="36"/>
      <c r="Q206" s="36"/>
      <c r="R206" s="36"/>
      <c r="S206" s="36"/>
      <c r="T206" s="36"/>
      <c r="U206" s="36"/>
      <c r="V206" s="36"/>
      <c r="W206" s="36"/>
      <c r="X206" s="36"/>
      <c r="Y206" s="36"/>
      <c r="Z206" s="36"/>
      <c r="AA206" s="36"/>
      <c r="AB206" s="2"/>
    </row>
    <row r="207" spans="1:28" s="5" customFormat="1" x14ac:dyDescent="0.25">
      <c r="A207" s="3"/>
      <c r="B207" s="3"/>
      <c r="C207" s="3"/>
      <c r="D207" s="3"/>
      <c r="E207" s="3" t="str">
        <f>KPI!$E$48</f>
        <v>коммунальные расходы (э/э) в сутки - ЛЕТО</v>
      </c>
      <c r="F207" s="3"/>
      <c r="G207" s="3" t="str">
        <f>IF($E207="","",INDEX(KPI!$G:$G,SUMIFS(KPI!$B:$B,KPI!$E:$E,$E207)))</f>
        <v>тыс.руб.</v>
      </c>
      <c r="H207" s="3"/>
      <c r="I207" s="6"/>
      <c r="J207" s="114">
        <f>J205*J206/1000</f>
        <v>0.62040000000000006</v>
      </c>
      <c r="K207" s="28"/>
      <c r="L207" s="2"/>
      <c r="M207" s="52"/>
      <c r="N207" s="3"/>
      <c r="O207" s="2"/>
      <c r="P207" s="36"/>
      <c r="Q207" s="36"/>
      <c r="R207" s="36"/>
      <c r="S207" s="36"/>
      <c r="T207" s="36"/>
      <c r="U207" s="36"/>
      <c r="V207" s="36"/>
      <c r="W207" s="36"/>
      <c r="X207" s="36"/>
      <c r="Y207" s="36"/>
      <c r="Z207" s="36"/>
      <c r="AA207" s="36"/>
      <c r="AB207" s="2"/>
    </row>
    <row r="208" spans="1:28" ht="3.9" customHeight="1" x14ac:dyDescent="0.25">
      <c r="A208" s="2"/>
      <c r="B208" s="2"/>
      <c r="C208" s="2"/>
      <c r="D208" s="2"/>
      <c r="E208" s="110"/>
      <c r="F208" s="2"/>
      <c r="G208" s="2"/>
      <c r="H208" s="2"/>
      <c r="I208" s="28"/>
      <c r="J208" s="2"/>
      <c r="K208" s="28"/>
      <c r="L208" s="2"/>
      <c r="M208" s="52"/>
      <c r="N208" s="2"/>
      <c r="O208" s="2"/>
      <c r="P208" s="36"/>
      <c r="Q208" s="36"/>
      <c r="R208" s="36"/>
      <c r="S208" s="36"/>
      <c r="T208" s="36"/>
      <c r="U208" s="36"/>
      <c r="V208" s="36"/>
      <c r="W208" s="36"/>
      <c r="X208" s="36"/>
      <c r="Y208" s="36"/>
      <c r="Z208" s="36"/>
      <c r="AA208" s="36"/>
      <c r="AB208" s="2"/>
    </row>
    <row r="209" spans="1:28" ht="8.1" customHeight="1" x14ac:dyDescent="0.25">
      <c r="A209" s="2"/>
      <c r="B209" s="2"/>
      <c r="C209" s="2"/>
      <c r="D209" s="2"/>
      <c r="E209" s="2"/>
      <c r="F209" s="2"/>
      <c r="G209" s="2"/>
      <c r="H209" s="2"/>
      <c r="I209" s="28"/>
      <c r="J209" s="2"/>
      <c r="K209" s="28"/>
      <c r="L209" s="2"/>
      <c r="M209" s="52"/>
      <c r="N209" s="2"/>
      <c r="O209" s="2"/>
      <c r="P209" s="36"/>
      <c r="Q209" s="36"/>
      <c r="R209" s="36"/>
      <c r="S209" s="36"/>
      <c r="T209" s="36"/>
      <c r="U209" s="36"/>
      <c r="V209" s="36"/>
      <c r="W209" s="36"/>
      <c r="X209" s="36"/>
      <c r="Y209" s="36"/>
      <c r="Z209" s="36"/>
      <c r="AA209" s="36"/>
      <c r="AB209" s="2"/>
    </row>
    <row r="210" spans="1:28" x14ac:dyDescent="0.25">
      <c r="A210" s="2"/>
      <c r="B210" s="2"/>
      <c r="C210" s="2"/>
      <c r="D210" s="2"/>
      <c r="E210" s="3" t="str">
        <f>KPI!$E$51</f>
        <v>сезонный коэффициент по коммуналке</v>
      </c>
      <c r="F210" s="3"/>
      <c r="G210" s="3" t="str">
        <f>IF($E210="","",INDEX(KPI!$G:$G,SUMIFS(KPI!$B:$B,KPI!$E:$E,$E210)))</f>
        <v>%</v>
      </c>
      <c r="H210" s="3"/>
      <c r="I210" s="28"/>
      <c r="J210" s="44"/>
      <c r="K210" s="28"/>
      <c r="L210" s="3"/>
      <c r="M210" s="55"/>
      <c r="N210" s="2"/>
      <c r="O210" s="2"/>
      <c r="P210" s="36"/>
      <c r="Q210" s="36"/>
      <c r="R210" s="36"/>
      <c r="S210" s="36"/>
      <c r="T210" s="36"/>
      <c r="U210" s="36"/>
      <c r="V210" s="36"/>
      <c r="W210" s="36"/>
      <c r="X210" s="36"/>
      <c r="Y210" s="36"/>
      <c r="Z210" s="36"/>
      <c r="AA210" s="36"/>
      <c r="AB210" s="2"/>
    </row>
    <row r="211" spans="1:28" s="23" customFormat="1" x14ac:dyDescent="0.25">
      <c r="A211" s="22"/>
      <c r="B211" s="22"/>
      <c r="C211" s="22"/>
      <c r="D211" s="22"/>
      <c r="E211" s="22" t="str">
        <f>E210</f>
        <v>сезонный коэффициент по коммуналке</v>
      </c>
      <c r="F211" s="22"/>
      <c r="G211" s="22" t="str">
        <f>IF($E211="","",INDEX(KPI!$G:$G,SUMIFS(KPI!$B:$B,KPI!$E:$E,$E211)))</f>
        <v>%</v>
      </c>
      <c r="H211" s="100">
        <f>структура!$V$12</f>
        <v>1</v>
      </c>
      <c r="I211" s="31"/>
      <c r="J211" s="98" t="str">
        <f>структура!$X$12</f>
        <v>янв</v>
      </c>
      <c r="K211" s="99"/>
      <c r="L211" s="31"/>
      <c r="M211" s="229">
        <f>операции!M286</f>
        <v>1.4</v>
      </c>
      <c r="N211" s="22"/>
      <c r="O211" s="22"/>
      <c r="P211" s="100"/>
      <c r="Q211" s="100"/>
      <c r="R211" s="100"/>
      <c r="S211" s="100"/>
      <c r="T211" s="100"/>
      <c r="U211" s="100"/>
      <c r="V211" s="100"/>
      <c r="W211" s="100"/>
      <c r="X211" s="100"/>
      <c r="Y211" s="100"/>
      <c r="Z211" s="100"/>
      <c r="AA211" s="100"/>
      <c r="AB211" s="22"/>
    </row>
    <row r="212" spans="1:28" s="23" customFormat="1" x14ac:dyDescent="0.25">
      <c r="A212" s="22"/>
      <c r="B212" s="22"/>
      <c r="C212" s="22"/>
      <c r="D212" s="22"/>
      <c r="E212" s="22" t="str">
        <f>E210</f>
        <v>сезонный коэффициент по коммуналке</v>
      </c>
      <c r="F212" s="22"/>
      <c r="G212" s="22" t="str">
        <f>IF($E212="","",INDEX(KPI!$G:$G,SUMIFS(KPI!$B:$B,KPI!$E:$E,$E212)))</f>
        <v>%</v>
      </c>
      <c r="H212" s="100">
        <f>структура!$V$13</f>
        <v>2</v>
      </c>
      <c r="I212" s="31"/>
      <c r="J212" s="98" t="str">
        <f>структура!$X$13</f>
        <v>фев</v>
      </c>
      <c r="K212" s="99"/>
      <c r="L212" s="31"/>
      <c r="M212" s="229">
        <f>операции!M287</f>
        <v>1.4</v>
      </c>
      <c r="N212" s="22"/>
      <c r="O212" s="22"/>
      <c r="P212" s="100"/>
      <c r="Q212" s="100"/>
      <c r="R212" s="100"/>
      <c r="S212" s="100"/>
      <c r="T212" s="100"/>
      <c r="U212" s="100"/>
      <c r="V212" s="100"/>
      <c r="W212" s="100"/>
      <c r="X212" s="100"/>
      <c r="Y212" s="100"/>
      <c r="Z212" s="100"/>
      <c r="AA212" s="100"/>
      <c r="AB212" s="22"/>
    </row>
    <row r="213" spans="1:28" s="23" customFormat="1" x14ac:dyDescent="0.25">
      <c r="A213" s="22"/>
      <c r="B213" s="22"/>
      <c r="C213" s="22"/>
      <c r="D213" s="22"/>
      <c r="E213" s="22" t="str">
        <f>E210</f>
        <v>сезонный коэффициент по коммуналке</v>
      </c>
      <c r="F213" s="22"/>
      <c r="G213" s="22" t="str">
        <f>IF($E213="","",INDEX(KPI!$G:$G,SUMIFS(KPI!$B:$B,KPI!$E:$E,$E213)))</f>
        <v>%</v>
      </c>
      <c r="H213" s="100">
        <f>структура!$V$14</f>
        <v>3</v>
      </c>
      <c r="I213" s="31"/>
      <c r="J213" s="98" t="str">
        <f>структура!$X$14</f>
        <v>мар</v>
      </c>
      <c r="K213" s="99"/>
      <c r="L213" s="31"/>
      <c r="M213" s="229">
        <f>операции!M288</f>
        <v>1.2</v>
      </c>
      <c r="N213" s="22"/>
      <c r="O213" s="22"/>
      <c r="P213" s="100"/>
      <c r="Q213" s="100"/>
      <c r="R213" s="100"/>
      <c r="S213" s="100"/>
      <c r="T213" s="100"/>
      <c r="U213" s="100"/>
      <c r="V213" s="100"/>
      <c r="W213" s="100"/>
      <c r="X213" s="100"/>
      <c r="Y213" s="100"/>
      <c r="Z213" s="100"/>
      <c r="AA213" s="100"/>
      <c r="AB213" s="22"/>
    </row>
    <row r="214" spans="1:28" s="23" customFormat="1" x14ac:dyDescent="0.25">
      <c r="A214" s="22"/>
      <c r="B214" s="22"/>
      <c r="C214" s="22"/>
      <c r="D214" s="22"/>
      <c r="E214" s="22" t="str">
        <f>E210</f>
        <v>сезонный коэффициент по коммуналке</v>
      </c>
      <c r="F214" s="22"/>
      <c r="G214" s="22" t="str">
        <f>IF($E214="","",INDEX(KPI!$G:$G,SUMIFS(KPI!$B:$B,KPI!$E:$E,$E214)))</f>
        <v>%</v>
      </c>
      <c r="H214" s="100">
        <f>структура!$V$15</f>
        <v>4</v>
      </c>
      <c r="I214" s="31"/>
      <c r="J214" s="98" t="str">
        <f>структура!$X$15</f>
        <v>апр</v>
      </c>
      <c r="K214" s="99"/>
      <c r="L214" s="31"/>
      <c r="M214" s="229">
        <f>операции!M289</f>
        <v>1.1499999999999999</v>
      </c>
      <c r="N214" s="22"/>
      <c r="O214" s="22"/>
      <c r="P214" s="100"/>
      <c r="Q214" s="100"/>
      <c r="R214" s="100"/>
      <c r="S214" s="100"/>
      <c r="T214" s="100"/>
      <c r="U214" s="100"/>
      <c r="V214" s="100"/>
      <c r="W214" s="100"/>
      <c r="X214" s="100"/>
      <c r="Y214" s="100"/>
      <c r="Z214" s="100"/>
      <c r="AA214" s="100"/>
      <c r="AB214" s="22"/>
    </row>
    <row r="215" spans="1:28" s="23" customFormat="1" x14ac:dyDescent="0.25">
      <c r="A215" s="22"/>
      <c r="B215" s="22"/>
      <c r="C215" s="22"/>
      <c r="D215" s="22"/>
      <c r="E215" s="22" t="str">
        <f>E210</f>
        <v>сезонный коэффициент по коммуналке</v>
      </c>
      <c r="F215" s="22"/>
      <c r="G215" s="22" t="str">
        <f>IF($E215="","",INDEX(KPI!$G:$G,SUMIFS(KPI!$B:$B,KPI!$E:$E,$E215)))</f>
        <v>%</v>
      </c>
      <c r="H215" s="100">
        <f>структура!$V$16</f>
        <v>5</v>
      </c>
      <c r="I215" s="31"/>
      <c r="J215" s="98" t="str">
        <f>структура!$X$16</f>
        <v>май</v>
      </c>
      <c r="K215" s="99"/>
      <c r="L215" s="31"/>
      <c r="M215" s="229">
        <f>операции!M290</f>
        <v>1.1000000000000001</v>
      </c>
      <c r="N215" s="22"/>
      <c r="O215" s="22"/>
      <c r="P215" s="100"/>
      <c r="Q215" s="100"/>
      <c r="R215" s="100"/>
      <c r="S215" s="100"/>
      <c r="T215" s="100"/>
      <c r="U215" s="100"/>
      <c r="V215" s="100"/>
      <c r="W215" s="100"/>
      <c r="X215" s="100"/>
      <c r="Y215" s="100"/>
      <c r="Z215" s="100"/>
      <c r="AA215" s="100"/>
      <c r="AB215" s="22"/>
    </row>
    <row r="216" spans="1:28" s="23" customFormat="1" x14ac:dyDescent="0.25">
      <c r="A216" s="22"/>
      <c r="B216" s="22"/>
      <c r="C216" s="22"/>
      <c r="D216" s="22"/>
      <c r="E216" s="22" t="str">
        <f>E210</f>
        <v>сезонный коэффициент по коммуналке</v>
      </c>
      <c r="F216" s="22"/>
      <c r="G216" s="22" t="str">
        <f>IF($E216="","",INDEX(KPI!$G:$G,SUMIFS(KPI!$B:$B,KPI!$E:$E,$E216)))</f>
        <v>%</v>
      </c>
      <c r="H216" s="100">
        <f>структура!$V$17</f>
        <v>6</v>
      </c>
      <c r="I216" s="31"/>
      <c r="J216" s="98" t="str">
        <f>структура!$X$17</f>
        <v>июн</v>
      </c>
      <c r="K216" s="99"/>
      <c r="L216" s="31"/>
      <c r="M216" s="229">
        <f>операции!M291</f>
        <v>1</v>
      </c>
      <c r="N216" s="22"/>
      <c r="O216" s="22"/>
      <c r="P216" s="100"/>
      <c r="Q216" s="100"/>
      <c r="R216" s="100"/>
      <c r="S216" s="100"/>
      <c r="T216" s="100"/>
      <c r="U216" s="100"/>
      <c r="V216" s="100"/>
      <c r="W216" s="100"/>
      <c r="X216" s="100"/>
      <c r="Y216" s="100"/>
      <c r="Z216" s="100"/>
      <c r="AA216" s="100"/>
      <c r="AB216" s="22"/>
    </row>
    <row r="217" spans="1:28" s="23" customFormat="1" x14ac:dyDescent="0.25">
      <c r="A217" s="22"/>
      <c r="B217" s="22"/>
      <c r="C217" s="22"/>
      <c r="D217" s="22"/>
      <c r="E217" s="22" t="str">
        <f>E210</f>
        <v>сезонный коэффициент по коммуналке</v>
      </c>
      <c r="F217" s="22"/>
      <c r="G217" s="22" t="str">
        <f>IF($E217="","",INDEX(KPI!$G:$G,SUMIFS(KPI!$B:$B,KPI!$E:$E,$E217)))</f>
        <v>%</v>
      </c>
      <c r="H217" s="100">
        <f>структура!$V$18</f>
        <v>7</v>
      </c>
      <c r="I217" s="31"/>
      <c r="J217" s="98" t="str">
        <f>структура!$X$18</f>
        <v>июл</v>
      </c>
      <c r="K217" s="99"/>
      <c r="L217" s="31"/>
      <c r="M217" s="229">
        <f>операции!M292</f>
        <v>1</v>
      </c>
      <c r="N217" s="22"/>
      <c r="O217" s="22"/>
      <c r="P217" s="100"/>
      <c r="Q217" s="100"/>
      <c r="R217" s="100"/>
      <c r="S217" s="100"/>
      <c r="T217" s="100"/>
      <c r="U217" s="100"/>
      <c r="V217" s="100"/>
      <c r="W217" s="100"/>
      <c r="X217" s="100"/>
      <c r="Y217" s="100"/>
      <c r="Z217" s="100"/>
      <c r="AA217" s="100"/>
      <c r="AB217" s="22"/>
    </row>
    <row r="218" spans="1:28" s="23" customFormat="1" x14ac:dyDescent="0.25">
      <c r="A218" s="22"/>
      <c r="B218" s="22"/>
      <c r="C218" s="22"/>
      <c r="D218" s="22"/>
      <c r="E218" s="22" t="str">
        <f>E210</f>
        <v>сезонный коэффициент по коммуналке</v>
      </c>
      <c r="F218" s="22"/>
      <c r="G218" s="22" t="str">
        <f>IF($E218="","",INDEX(KPI!$G:$G,SUMIFS(KPI!$B:$B,KPI!$E:$E,$E218)))</f>
        <v>%</v>
      </c>
      <c r="H218" s="100">
        <f>структура!$V$19</f>
        <v>8</v>
      </c>
      <c r="I218" s="31"/>
      <c r="J218" s="98" t="str">
        <f>структура!$X$19</f>
        <v>авг</v>
      </c>
      <c r="K218" s="99"/>
      <c r="L218" s="31"/>
      <c r="M218" s="229">
        <f>операции!M293</f>
        <v>1</v>
      </c>
      <c r="N218" s="22"/>
      <c r="O218" s="22"/>
      <c r="P218" s="100"/>
      <c r="Q218" s="100"/>
      <c r="R218" s="100"/>
      <c r="S218" s="100"/>
      <c r="T218" s="100"/>
      <c r="U218" s="100"/>
      <c r="V218" s="100"/>
      <c r="W218" s="100"/>
      <c r="X218" s="100"/>
      <c r="Y218" s="100"/>
      <c r="Z218" s="100"/>
      <c r="AA218" s="100"/>
      <c r="AB218" s="22"/>
    </row>
    <row r="219" spans="1:28" s="23" customFormat="1" x14ac:dyDescent="0.25">
      <c r="A219" s="22"/>
      <c r="B219" s="22"/>
      <c r="C219" s="22"/>
      <c r="D219" s="22"/>
      <c r="E219" s="22" t="str">
        <f>E210</f>
        <v>сезонный коэффициент по коммуналке</v>
      </c>
      <c r="F219" s="22"/>
      <c r="G219" s="22" t="str">
        <f>IF($E219="","",INDEX(KPI!$G:$G,SUMIFS(KPI!$B:$B,KPI!$E:$E,$E219)))</f>
        <v>%</v>
      </c>
      <c r="H219" s="100">
        <f>структура!$V$20</f>
        <v>9</v>
      </c>
      <c r="I219" s="31"/>
      <c r="J219" s="98" t="str">
        <f>структура!$X$20</f>
        <v>сен</v>
      </c>
      <c r="K219" s="99"/>
      <c r="L219" s="31"/>
      <c r="M219" s="229">
        <f>операции!M294</f>
        <v>1.1000000000000001</v>
      </c>
      <c r="N219" s="22"/>
      <c r="O219" s="22"/>
      <c r="P219" s="100"/>
      <c r="Q219" s="100"/>
      <c r="R219" s="100"/>
      <c r="S219" s="100"/>
      <c r="T219" s="100"/>
      <c r="U219" s="100"/>
      <c r="V219" s="100"/>
      <c r="W219" s="100"/>
      <c r="X219" s="100"/>
      <c r="Y219" s="100"/>
      <c r="Z219" s="100"/>
      <c r="AA219" s="100"/>
      <c r="AB219" s="22"/>
    </row>
    <row r="220" spans="1:28" s="23" customFormat="1" x14ac:dyDescent="0.25">
      <c r="A220" s="22"/>
      <c r="B220" s="22"/>
      <c r="C220" s="22"/>
      <c r="D220" s="22"/>
      <c r="E220" s="22" t="str">
        <f>E210</f>
        <v>сезонный коэффициент по коммуналке</v>
      </c>
      <c r="F220" s="22"/>
      <c r="G220" s="22" t="str">
        <f>IF($E220="","",INDEX(KPI!$G:$G,SUMIFS(KPI!$B:$B,KPI!$E:$E,$E220)))</f>
        <v>%</v>
      </c>
      <c r="H220" s="100">
        <f>структура!$V$21</f>
        <v>10</v>
      </c>
      <c r="I220" s="31"/>
      <c r="J220" s="98" t="str">
        <f>структура!$X$21</f>
        <v>окт</v>
      </c>
      <c r="K220" s="99"/>
      <c r="L220" s="31"/>
      <c r="M220" s="229">
        <f>операции!M295</f>
        <v>1.1499999999999999</v>
      </c>
      <c r="N220" s="22"/>
      <c r="O220" s="22"/>
      <c r="P220" s="100"/>
      <c r="Q220" s="100"/>
      <c r="R220" s="100"/>
      <c r="S220" s="100"/>
      <c r="T220" s="100"/>
      <c r="U220" s="100"/>
      <c r="V220" s="100"/>
      <c r="W220" s="100"/>
      <c r="X220" s="100"/>
      <c r="Y220" s="100"/>
      <c r="Z220" s="100"/>
      <c r="AA220" s="100"/>
      <c r="AB220" s="22"/>
    </row>
    <row r="221" spans="1:28" s="23" customFormat="1" x14ac:dyDescent="0.25">
      <c r="A221" s="22"/>
      <c r="B221" s="22"/>
      <c r="C221" s="22"/>
      <c r="D221" s="22"/>
      <c r="E221" s="22" t="str">
        <f>E210</f>
        <v>сезонный коэффициент по коммуналке</v>
      </c>
      <c r="F221" s="22"/>
      <c r="G221" s="22" t="str">
        <f>IF($E221="","",INDEX(KPI!$G:$G,SUMIFS(KPI!$B:$B,KPI!$E:$E,$E221)))</f>
        <v>%</v>
      </c>
      <c r="H221" s="100">
        <f>структура!$V$22</f>
        <v>11</v>
      </c>
      <c r="I221" s="31"/>
      <c r="J221" s="98" t="str">
        <f>структура!$X$22</f>
        <v>ноя</v>
      </c>
      <c r="K221" s="99"/>
      <c r="L221" s="31"/>
      <c r="M221" s="229">
        <f>операции!M296</f>
        <v>1.2</v>
      </c>
      <c r="N221" s="22"/>
      <c r="O221" s="22"/>
      <c r="P221" s="100"/>
      <c r="Q221" s="100"/>
      <c r="R221" s="100"/>
      <c r="S221" s="100"/>
      <c r="T221" s="100"/>
      <c r="U221" s="100"/>
      <c r="V221" s="100"/>
      <c r="W221" s="100"/>
      <c r="X221" s="100"/>
      <c r="Y221" s="100"/>
      <c r="Z221" s="100"/>
      <c r="AA221" s="100"/>
      <c r="AB221" s="22"/>
    </row>
    <row r="222" spans="1:28" s="23" customFormat="1" x14ac:dyDescent="0.25">
      <c r="A222" s="22"/>
      <c r="B222" s="22"/>
      <c r="C222" s="22"/>
      <c r="D222" s="22"/>
      <c r="E222" s="22" t="str">
        <f>E210</f>
        <v>сезонный коэффициент по коммуналке</v>
      </c>
      <c r="F222" s="22"/>
      <c r="G222" s="22" t="str">
        <f>IF($E222="","",INDEX(KPI!$G:$G,SUMIFS(KPI!$B:$B,KPI!$E:$E,$E222)))</f>
        <v>%</v>
      </c>
      <c r="H222" s="100">
        <f>структура!$V$23</f>
        <v>12</v>
      </c>
      <c r="I222" s="31"/>
      <c r="J222" s="98" t="str">
        <f>структура!$X$23</f>
        <v>дек</v>
      </c>
      <c r="K222" s="99"/>
      <c r="L222" s="31"/>
      <c r="M222" s="229">
        <f>операции!M297</f>
        <v>1.4</v>
      </c>
      <c r="N222" s="22"/>
      <c r="O222" s="22"/>
      <c r="P222" s="100"/>
      <c r="Q222" s="100"/>
      <c r="R222" s="100"/>
      <c r="S222" s="100"/>
      <c r="T222" s="100"/>
      <c r="U222" s="100"/>
      <c r="V222" s="100"/>
      <c r="W222" s="100"/>
      <c r="X222" s="100"/>
      <c r="Y222" s="100"/>
      <c r="Z222" s="100"/>
      <c r="AA222" s="100"/>
      <c r="AB222" s="22"/>
    </row>
    <row r="223" spans="1:28" ht="3.9" customHeight="1" x14ac:dyDescent="0.25">
      <c r="A223" s="2"/>
      <c r="B223" s="2"/>
      <c r="C223" s="2"/>
      <c r="D223" s="2"/>
      <c r="E223" s="21"/>
      <c r="F223" s="2"/>
      <c r="G223" s="21"/>
      <c r="H223" s="2"/>
      <c r="I223" s="28"/>
      <c r="J223" s="21"/>
      <c r="K223" s="28"/>
      <c r="L223" s="2"/>
      <c r="M223" s="52"/>
      <c r="N223" s="2"/>
      <c r="O223" s="2"/>
      <c r="P223" s="36"/>
      <c r="Q223" s="36"/>
      <c r="R223" s="36"/>
      <c r="S223" s="36"/>
      <c r="T223" s="36"/>
      <c r="U223" s="36"/>
      <c r="V223" s="36"/>
      <c r="W223" s="36"/>
      <c r="X223" s="36"/>
      <c r="Y223" s="36"/>
      <c r="Z223" s="36"/>
      <c r="AA223" s="36"/>
      <c r="AB223" s="2"/>
    </row>
    <row r="224" spans="1:28" ht="8.1" customHeight="1" x14ac:dyDescent="0.25">
      <c r="A224" s="2"/>
      <c r="B224" s="2"/>
      <c r="C224" s="2"/>
      <c r="D224" s="2"/>
      <c r="E224" s="2"/>
      <c r="F224" s="2"/>
      <c r="G224" s="2"/>
      <c r="H224" s="2"/>
      <c r="I224" s="28"/>
      <c r="J224" s="2"/>
      <c r="K224" s="28"/>
      <c r="L224" s="2"/>
      <c r="M224" s="52"/>
      <c r="N224" s="2"/>
      <c r="O224" s="2"/>
      <c r="P224" s="36"/>
      <c r="Q224" s="36"/>
      <c r="R224" s="36"/>
      <c r="S224" s="36"/>
      <c r="T224" s="36"/>
      <c r="U224" s="36"/>
      <c r="V224" s="36"/>
      <c r="W224" s="36"/>
      <c r="X224" s="36"/>
      <c r="Y224" s="36"/>
      <c r="Z224" s="36"/>
      <c r="AA224" s="36"/>
      <c r="AB224" s="2"/>
    </row>
    <row r="225" spans="1:28" s="5" customFormat="1" x14ac:dyDescent="0.25">
      <c r="A225" s="3"/>
      <c r="B225" s="3"/>
      <c r="C225" s="3"/>
      <c r="D225" s="111"/>
      <c r="E225" s="3" t="str">
        <f>KPI!$E$52</f>
        <v>коммунальные расходы - начисление</v>
      </c>
      <c r="F225" s="3"/>
      <c r="G225" s="3" t="str">
        <f>IF($E225="","",INDEX(KPI!$G:$G,SUMIFS(KPI!$B:$B,KPI!$E:$E,$E225)))</f>
        <v>тыс.руб.</v>
      </c>
      <c r="H225" s="103"/>
      <c r="I225" s="28"/>
      <c r="J225" s="44"/>
      <c r="K225" s="28"/>
      <c r="L225" s="3"/>
      <c r="M225" s="55">
        <f>SUM($O225:$AB225)</f>
        <v>1862.4097800000006</v>
      </c>
      <c r="N225" s="3"/>
      <c r="O225" s="3"/>
      <c r="P225" s="46">
        <f>IF(P$1="",0,IF(P$1=0,SUMIFS(P226:P237,H226:H237,"&gt;="&amp;MONTH($J$13)),SUM(P226:P237)))</f>
        <v>265.81038000000007</v>
      </c>
      <c r="Q225" s="46">
        <f t="shared" ref="Q225" si="36">IF(Q$1="",0,SUM(Q226:Q237))</f>
        <v>265.81038000000007</v>
      </c>
      <c r="R225" s="46">
        <f t="shared" ref="R225:AA225" si="37">IF(R$1="",0,SUM(R226:R237))</f>
        <v>266.67894000000007</v>
      </c>
      <c r="S225" s="46">
        <f t="shared" si="37"/>
        <v>265.81038000000007</v>
      </c>
      <c r="T225" s="46">
        <f t="shared" si="37"/>
        <v>265.81038000000007</v>
      </c>
      <c r="U225" s="46">
        <f t="shared" si="37"/>
        <v>265.81038000000007</v>
      </c>
      <c r="V225" s="46">
        <f t="shared" si="37"/>
        <v>266.67894000000007</v>
      </c>
      <c r="W225" s="46">
        <f t="shared" si="37"/>
        <v>0</v>
      </c>
      <c r="X225" s="46">
        <f t="shared" si="37"/>
        <v>0</v>
      </c>
      <c r="Y225" s="46">
        <f t="shared" si="37"/>
        <v>0</v>
      </c>
      <c r="Z225" s="46">
        <f t="shared" si="37"/>
        <v>0</v>
      </c>
      <c r="AA225" s="46">
        <f t="shared" si="37"/>
        <v>0</v>
      </c>
      <c r="AB225" s="3"/>
    </row>
    <row r="226" spans="1:28" s="23" customFormat="1" ht="10.199999999999999" x14ac:dyDescent="0.2">
      <c r="A226" s="22"/>
      <c r="B226" s="22"/>
      <c r="C226" s="22"/>
      <c r="D226" s="22"/>
      <c r="E226" s="22" t="str">
        <f>E225</f>
        <v>коммунальные расходы - начисление</v>
      </c>
      <c r="F226" s="22"/>
      <c r="G226" s="22" t="str">
        <f>IF($E226="","",INDEX(KPI!$G:$G,SUMIFS(KPI!$B:$B,KPI!$E:$E,$E226)))</f>
        <v>тыс.руб.</v>
      </c>
      <c r="H226" s="100">
        <f>структура!$V$12</f>
        <v>1</v>
      </c>
      <c r="I226" s="31"/>
      <c r="J226" s="98" t="str">
        <f>структура!$X$12</f>
        <v>янв</v>
      </c>
      <c r="K226" s="99"/>
      <c r="L226" s="22"/>
      <c r="M226" s="58"/>
      <c r="N226" s="22"/>
      <c r="O226" s="22"/>
      <c r="P226" s="101">
        <f t="shared" ref="P226:AA226" si="38">IF(P$1="",0,$J$207*$M211*DAY(EOMONTH(P$8,$H226-MONTH(P$8))))</f>
        <v>26.925360000000001</v>
      </c>
      <c r="Q226" s="101">
        <f t="shared" si="38"/>
        <v>26.925360000000001</v>
      </c>
      <c r="R226" s="101">
        <f t="shared" si="38"/>
        <v>26.925360000000001</v>
      </c>
      <c r="S226" s="101">
        <f t="shared" si="38"/>
        <v>26.925360000000001</v>
      </c>
      <c r="T226" s="101">
        <f t="shared" si="38"/>
        <v>26.925360000000001</v>
      </c>
      <c r="U226" s="101">
        <f t="shared" si="38"/>
        <v>26.925360000000001</v>
      </c>
      <c r="V226" s="101">
        <f t="shared" si="38"/>
        <v>26.925360000000001</v>
      </c>
      <c r="W226" s="101">
        <f t="shared" si="38"/>
        <v>0</v>
      </c>
      <c r="X226" s="101">
        <f t="shared" si="38"/>
        <v>0</v>
      </c>
      <c r="Y226" s="101">
        <f t="shared" si="38"/>
        <v>0</v>
      </c>
      <c r="Z226" s="101">
        <f t="shared" si="38"/>
        <v>0</v>
      </c>
      <c r="AA226" s="101">
        <f t="shared" si="38"/>
        <v>0</v>
      </c>
      <c r="AB226" s="22"/>
    </row>
    <row r="227" spans="1:28" s="23" customFormat="1" ht="10.199999999999999" x14ac:dyDescent="0.2">
      <c r="A227" s="22"/>
      <c r="B227" s="22"/>
      <c r="C227" s="22"/>
      <c r="D227" s="22"/>
      <c r="E227" s="22" t="str">
        <f>E225</f>
        <v>коммунальные расходы - начисление</v>
      </c>
      <c r="F227" s="22"/>
      <c r="G227" s="22" t="str">
        <f>IF($E227="","",INDEX(KPI!$G:$G,SUMIFS(KPI!$B:$B,KPI!$E:$E,$E227)))</f>
        <v>тыс.руб.</v>
      </c>
      <c r="H227" s="100">
        <f>структура!$V$13</f>
        <v>2</v>
      </c>
      <c r="I227" s="31"/>
      <c r="J227" s="98" t="str">
        <f>структура!$X$13</f>
        <v>фев</v>
      </c>
      <c r="K227" s="99"/>
      <c r="L227" s="22"/>
      <c r="M227" s="58"/>
      <c r="N227" s="22"/>
      <c r="O227" s="22"/>
      <c r="P227" s="101">
        <f t="shared" ref="P227:AA227" si="39">IF(P$1="",0,$J$207*$M212*DAY(EOMONTH(P$8,$H227-MONTH(P$8))))</f>
        <v>24.319679999999998</v>
      </c>
      <c r="Q227" s="101">
        <f t="shared" si="39"/>
        <v>24.319679999999998</v>
      </c>
      <c r="R227" s="101">
        <f t="shared" si="39"/>
        <v>25.18824</v>
      </c>
      <c r="S227" s="101">
        <f t="shared" si="39"/>
        <v>24.319679999999998</v>
      </c>
      <c r="T227" s="101">
        <f t="shared" si="39"/>
        <v>24.319679999999998</v>
      </c>
      <c r="U227" s="101">
        <f t="shared" si="39"/>
        <v>24.319679999999998</v>
      </c>
      <c r="V227" s="101">
        <f t="shared" si="39"/>
        <v>25.18824</v>
      </c>
      <c r="W227" s="101">
        <f t="shared" si="39"/>
        <v>0</v>
      </c>
      <c r="X227" s="101">
        <f t="shared" si="39"/>
        <v>0</v>
      </c>
      <c r="Y227" s="101">
        <f t="shared" si="39"/>
        <v>0</v>
      </c>
      <c r="Z227" s="101">
        <f t="shared" si="39"/>
        <v>0</v>
      </c>
      <c r="AA227" s="101">
        <f t="shared" si="39"/>
        <v>0</v>
      </c>
      <c r="AB227" s="22"/>
    </row>
    <row r="228" spans="1:28" s="23" customFormat="1" ht="10.199999999999999" x14ac:dyDescent="0.2">
      <c r="A228" s="22"/>
      <c r="B228" s="22"/>
      <c r="C228" s="22"/>
      <c r="D228" s="22"/>
      <c r="E228" s="22" t="str">
        <f>E225</f>
        <v>коммунальные расходы - начисление</v>
      </c>
      <c r="F228" s="22"/>
      <c r="G228" s="22" t="str">
        <f>IF($E228="","",INDEX(KPI!$G:$G,SUMIFS(KPI!$B:$B,KPI!$E:$E,$E228)))</f>
        <v>тыс.руб.</v>
      </c>
      <c r="H228" s="100">
        <f>структура!$V$14</f>
        <v>3</v>
      </c>
      <c r="I228" s="31"/>
      <c r="J228" s="98" t="str">
        <f>структура!$X$14</f>
        <v>мар</v>
      </c>
      <c r="K228" s="99"/>
      <c r="L228" s="22"/>
      <c r="M228" s="58"/>
      <c r="N228" s="22"/>
      <c r="O228" s="22"/>
      <c r="P228" s="101">
        <f t="shared" ref="P228:AA228" si="40">IF(P$1="",0,$J$207*$M213*DAY(EOMONTH(P$8,$H228-MONTH(P$8))))</f>
        <v>23.078880000000002</v>
      </c>
      <c r="Q228" s="101">
        <f t="shared" si="40"/>
        <v>23.078880000000002</v>
      </c>
      <c r="R228" s="101">
        <f t="shared" si="40"/>
        <v>23.078880000000002</v>
      </c>
      <c r="S228" s="101">
        <f t="shared" si="40"/>
        <v>23.078880000000002</v>
      </c>
      <c r="T228" s="101">
        <f t="shared" si="40"/>
        <v>23.078880000000002</v>
      </c>
      <c r="U228" s="101">
        <f t="shared" si="40"/>
        <v>23.078880000000002</v>
      </c>
      <c r="V228" s="101">
        <f t="shared" si="40"/>
        <v>23.078880000000002</v>
      </c>
      <c r="W228" s="101">
        <f t="shared" si="40"/>
        <v>0</v>
      </c>
      <c r="X228" s="101">
        <f t="shared" si="40"/>
        <v>0</v>
      </c>
      <c r="Y228" s="101">
        <f t="shared" si="40"/>
        <v>0</v>
      </c>
      <c r="Z228" s="101">
        <f t="shared" si="40"/>
        <v>0</v>
      </c>
      <c r="AA228" s="101">
        <f t="shared" si="40"/>
        <v>0</v>
      </c>
      <c r="AB228" s="22"/>
    </row>
    <row r="229" spans="1:28" s="23" customFormat="1" ht="10.199999999999999" x14ac:dyDescent="0.2">
      <c r="A229" s="22"/>
      <c r="B229" s="22"/>
      <c r="C229" s="22"/>
      <c r="D229" s="22"/>
      <c r="E229" s="22" t="str">
        <f>E225</f>
        <v>коммунальные расходы - начисление</v>
      </c>
      <c r="F229" s="22"/>
      <c r="G229" s="22" t="str">
        <f>IF($E229="","",INDEX(KPI!$G:$G,SUMIFS(KPI!$B:$B,KPI!$E:$E,$E229)))</f>
        <v>тыс.руб.</v>
      </c>
      <c r="H229" s="100">
        <f>структура!$V$15</f>
        <v>4</v>
      </c>
      <c r="I229" s="31"/>
      <c r="J229" s="98" t="str">
        <f>структура!$X$15</f>
        <v>апр</v>
      </c>
      <c r="K229" s="99"/>
      <c r="L229" s="22"/>
      <c r="M229" s="58"/>
      <c r="N229" s="22"/>
      <c r="O229" s="22"/>
      <c r="P229" s="101">
        <f t="shared" ref="P229:AA229" si="41">IF(P$1="",0,$J$207*$M214*DAY(EOMONTH(P$8,$H229-MONTH(P$8))))</f>
        <v>21.4038</v>
      </c>
      <c r="Q229" s="101">
        <f t="shared" si="41"/>
        <v>21.4038</v>
      </c>
      <c r="R229" s="101">
        <f t="shared" si="41"/>
        <v>21.4038</v>
      </c>
      <c r="S229" s="101">
        <f t="shared" si="41"/>
        <v>21.4038</v>
      </c>
      <c r="T229" s="101">
        <f t="shared" si="41"/>
        <v>21.4038</v>
      </c>
      <c r="U229" s="101">
        <f t="shared" si="41"/>
        <v>21.4038</v>
      </c>
      <c r="V229" s="101">
        <f t="shared" si="41"/>
        <v>21.4038</v>
      </c>
      <c r="W229" s="101">
        <f t="shared" si="41"/>
        <v>0</v>
      </c>
      <c r="X229" s="101">
        <f t="shared" si="41"/>
        <v>0</v>
      </c>
      <c r="Y229" s="101">
        <f t="shared" si="41"/>
        <v>0</v>
      </c>
      <c r="Z229" s="101">
        <f t="shared" si="41"/>
        <v>0</v>
      </c>
      <c r="AA229" s="101">
        <f t="shared" si="41"/>
        <v>0</v>
      </c>
      <c r="AB229" s="22"/>
    </row>
    <row r="230" spans="1:28" s="23" customFormat="1" ht="10.199999999999999" x14ac:dyDescent="0.2">
      <c r="A230" s="22"/>
      <c r="B230" s="22"/>
      <c r="C230" s="22"/>
      <c r="D230" s="22"/>
      <c r="E230" s="22" t="str">
        <f>E225</f>
        <v>коммунальные расходы - начисление</v>
      </c>
      <c r="F230" s="22"/>
      <c r="G230" s="22" t="str">
        <f>IF($E230="","",INDEX(KPI!$G:$G,SUMIFS(KPI!$B:$B,KPI!$E:$E,$E230)))</f>
        <v>тыс.руб.</v>
      </c>
      <c r="H230" s="100">
        <f>структура!$V$16</f>
        <v>5</v>
      </c>
      <c r="I230" s="31"/>
      <c r="J230" s="98" t="str">
        <f>структура!$X$16</f>
        <v>май</v>
      </c>
      <c r="K230" s="99"/>
      <c r="L230" s="22"/>
      <c r="M230" s="58"/>
      <c r="N230" s="22"/>
      <c r="O230" s="22"/>
      <c r="P230" s="101">
        <f t="shared" ref="P230:AA230" si="42">IF(P$1="",0,$J$207*$M215*DAY(EOMONTH(P$8,$H230-MONTH(P$8))))</f>
        <v>21.155640000000005</v>
      </c>
      <c r="Q230" s="101">
        <f t="shared" si="42"/>
        <v>21.155640000000005</v>
      </c>
      <c r="R230" s="101">
        <f t="shared" si="42"/>
        <v>21.155640000000005</v>
      </c>
      <c r="S230" s="101">
        <f t="shared" si="42"/>
        <v>21.155640000000005</v>
      </c>
      <c r="T230" s="101">
        <f t="shared" si="42"/>
        <v>21.155640000000005</v>
      </c>
      <c r="U230" s="101">
        <f t="shared" si="42"/>
        <v>21.155640000000005</v>
      </c>
      <c r="V230" s="101">
        <f t="shared" si="42"/>
        <v>21.155640000000005</v>
      </c>
      <c r="W230" s="101">
        <f t="shared" si="42"/>
        <v>0</v>
      </c>
      <c r="X230" s="101">
        <f t="shared" si="42"/>
        <v>0</v>
      </c>
      <c r="Y230" s="101">
        <f t="shared" si="42"/>
        <v>0</v>
      </c>
      <c r="Z230" s="101">
        <f t="shared" si="42"/>
        <v>0</v>
      </c>
      <c r="AA230" s="101">
        <f t="shared" si="42"/>
        <v>0</v>
      </c>
      <c r="AB230" s="22"/>
    </row>
    <row r="231" spans="1:28" s="23" customFormat="1" ht="10.199999999999999" x14ac:dyDescent="0.2">
      <c r="A231" s="22"/>
      <c r="B231" s="22"/>
      <c r="C231" s="22"/>
      <c r="D231" s="22"/>
      <c r="E231" s="22" t="str">
        <f>E225</f>
        <v>коммунальные расходы - начисление</v>
      </c>
      <c r="F231" s="22"/>
      <c r="G231" s="22" t="str">
        <f>IF($E231="","",INDEX(KPI!$G:$G,SUMIFS(KPI!$B:$B,KPI!$E:$E,$E231)))</f>
        <v>тыс.руб.</v>
      </c>
      <c r="H231" s="100">
        <f>структура!$V$17</f>
        <v>6</v>
      </c>
      <c r="I231" s="31"/>
      <c r="J231" s="98" t="str">
        <f>структура!$X$17</f>
        <v>июн</v>
      </c>
      <c r="K231" s="99"/>
      <c r="L231" s="22"/>
      <c r="M231" s="58"/>
      <c r="N231" s="22"/>
      <c r="O231" s="22"/>
      <c r="P231" s="101">
        <f t="shared" ref="P231:AA231" si="43">IF(P$1="",0,$J$207*$M216*DAY(EOMONTH(P$8,$H231-MONTH(P$8))))</f>
        <v>18.612000000000002</v>
      </c>
      <c r="Q231" s="101">
        <f t="shared" si="43"/>
        <v>18.612000000000002</v>
      </c>
      <c r="R231" s="101">
        <f t="shared" si="43"/>
        <v>18.612000000000002</v>
      </c>
      <c r="S231" s="101">
        <f t="shared" si="43"/>
        <v>18.612000000000002</v>
      </c>
      <c r="T231" s="101">
        <f t="shared" si="43"/>
        <v>18.612000000000002</v>
      </c>
      <c r="U231" s="101">
        <f t="shared" si="43"/>
        <v>18.612000000000002</v>
      </c>
      <c r="V231" s="101">
        <f t="shared" si="43"/>
        <v>18.612000000000002</v>
      </c>
      <c r="W231" s="101">
        <f t="shared" si="43"/>
        <v>0</v>
      </c>
      <c r="X231" s="101">
        <f t="shared" si="43"/>
        <v>0</v>
      </c>
      <c r="Y231" s="101">
        <f t="shared" si="43"/>
        <v>0</v>
      </c>
      <c r="Z231" s="101">
        <f t="shared" si="43"/>
        <v>0</v>
      </c>
      <c r="AA231" s="101">
        <f t="shared" si="43"/>
        <v>0</v>
      </c>
      <c r="AB231" s="22"/>
    </row>
    <row r="232" spans="1:28" s="23" customFormat="1" ht="10.199999999999999" x14ac:dyDescent="0.2">
      <c r="A232" s="22"/>
      <c r="B232" s="22"/>
      <c r="C232" s="22"/>
      <c r="D232" s="22"/>
      <c r="E232" s="22" t="str">
        <f>E225</f>
        <v>коммунальные расходы - начисление</v>
      </c>
      <c r="F232" s="22"/>
      <c r="G232" s="22" t="str">
        <f>IF($E232="","",INDEX(KPI!$G:$G,SUMIFS(KPI!$B:$B,KPI!$E:$E,$E232)))</f>
        <v>тыс.руб.</v>
      </c>
      <c r="H232" s="100">
        <f>структура!$V$18</f>
        <v>7</v>
      </c>
      <c r="I232" s="31"/>
      <c r="J232" s="98" t="str">
        <f>структура!$X$18</f>
        <v>июл</v>
      </c>
      <c r="K232" s="99"/>
      <c r="L232" s="22"/>
      <c r="M232" s="58"/>
      <c r="N232" s="22"/>
      <c r="O232" s="22"/>
      <c r="P232" s="101">
        <f t="shared" ref="P232:AA232" si="44">IF(P$1="",0,$J$207*$M217*DAY(EOMONTH(P$8,$H232-MONTH(P$8))))</f>
        <v>19.232400000000002</v>
      </c>
      <c r="Q232" s="101">
        <f t="shared" si="44"/>
        <v>19.232400000000002</v>
      </c>
      <c r="R232" s="101">
        <f t="shared" si="44"/>
        <v>19.232400000000002</v>
      </c>
      <c r="S232" s="101">
        <f t="shared" si="44"/>
        <v>19.232400000000002</v>
      </c>
      <c r="T232" s="101">
        <f t="shared" si="44"/>
        <v>19.232400000000002</v>
      </c>
      <c r="U232" s="101">
        <f t="shared" si="44"/>
        <v>19.232400000000002</v>
      </c>
      <c r="V232" s="101">
        <f t="shared" si="44"/>
        <v>19.232400000000002</v>
      </c>
      <c r="W232" s="101">
        <f t="shared" si="44"/>
        <v>0</v>
      </c>
      <c r="X232" s="101">
        <f t="shared" si="44"/>
        <v>0</v>
      </c>
      <c r="Y232" s="101">
        <f t="shared" si="44"/>
        <v>0</v>
      </c>
      <c r="Z232" s="101">
        <f t="shared" si="44"/>
        <v>0</v>
      </c>
      <c r="AA232" s="101">
        <f t="shared" si="44"/>
        <v>0</v>
      </c>
      <c r="AB232" s="22"/>
    </row>
    <row r="233" spans="1:28" s="23" customFormat="1" ht="10.199999999999999" x14ac:dyDescent="0.2">
      <c r="A233" s="22"/>
      <c r="B233" s="22"/>
      <c r="C233" s="22"/>
      <c r="D233" s="22"/>
      <c r="E233" s="22" t="str">
        <f>E225</f>
        <v>коммунальные расходы - начисление</v>
      </c>
      <c r="F233" s="22"/>
      <c r="G233" s="22" t="str">
        <f>IF($E233="","",INDEX(KPI!$G:$G,SUMIFS(KPI!$B:$B,KPI!$E:$E,$E233)))</f>
        <v>тыс.руб.</v>
      </c>
      <c r="H233" s="100">
        <f>структура!$V$19</f>
        <v>8</v>
      </c>
      <c r="I233" s="31"/>
      <c r="J233" s="98" t="str">
        <f>структура!$X$19</f>
        <v>авг</v>
      </c>
      <c r="K233" s="99"/>
      <c r="L233" s="22"/>
      <c r="M233" s="58"/>
      <c r="N233" s="22"/>
      <c r="O233" s="22"/>
      <c r="P233" s="101">
        <f t="shared" ref="P233:AA233" si="45">IF(P$1="",0,$J$207*$M218*DAY(EOMONTH(P$8,$H233-MONTH(P$8))))</f>
        <v>19.232400000000002</v>
      </c>
      <c r="Q233" s="101">
        <f t="shared" si="45"/>
        <v>19.232400000000002</v>
      </c>
      <c r="R233" s="101">
        <f t="shared" si="45"/>
        <v>19.232400000000002</v>
      </c>
      <c r="S233" s="101">
        <f t="shared" si="45"/>
        <v>19.232400000000002</v>
      </c>
      <c r="T233" s="101">
        <f t="shared" si="45"/>
        <v>19.232400000000002</v>
      </c>
      <c r="U233" s="101">
        <f t="shared" si="45"/>
        <v>19.232400000000002</v>
      </c>
      <c r="V233" s="101">
        <f t="shared" si="45"/>
        <v>19.232400000000002</v>
      </c>
      <c r="W233" s="101">
        <f t="shared" si="45"/>
        <v>0</v>
      </c>
      <c r="X233" s="101">
        <f t="shared" si="45"/>
        <v>0</v>
      </c>
      <c r="Y233" s="101">
        <f t="shared" si="45"/>
        <v>0</v>
      </c>
      <c r="Z233" s="101">
        <f t="shared" si="45"/>
        <v>0</v>
      </c>
      <c r="AA233" s="101">
        <f t="shared" si="45"/>
        <v>0</v>
      </c>
      <c r="AB233" s="22"/>
    </row>
    <row r="234" spans="1:28" s="23" customFormat="1" ht="10.199999999999999" x14ac:dyDescent="0.2">
      <c r="A234" s="22"/>
      <c r="B234" s="22"/>
      <c r="C234" s="22"/>
      <c r="D234" s="22"/>
      <c r="E234" s="22" t="str">
        <f>E225</f>
        <v>коммунальные расходы - начисление</v>
      </c>
      <c r="F234" s="22"/>
      <c r="G234" s="22" t="str">
        <f>IF($E234="","",INDEX(KPI!$G:$G,SUMIFS(KPI!$B:$B,KPI!$E:$E,$E234)))</f>
        <v>тыс.руб.</v>
      </c>
      <c r="H234" s="100">
        <f>структура!$V$20</f>
        <v>9</v>
      </c>
      <c r="I234" s="31"/>
      <c r="J234" s="98" t="str">
        <f>структура!$X$20</f>
        <v>сен</v>
      </c>
      <c r="K234" s="99"/>
      <c r="L234" s="22"/>
      <c r="M234" s="58"/>
      <c r="N234" s="22"/>
      <c r="O234" s="22"/>
      <c r="P234" s="101">
        <f t="shared" ref="P234:AA234" si="46">IF(P$1="",0,$J$207*$M219*DAY(EOMONTH(P$8,$H234-MONTH(P$8))))</f>
        <v>20.473200000000006</v>
      </c>
      <c r="Q234" s="101">
        <f t="shared" si="46"/>
        <v>20.473200000000006</v>
      </c>
      <c r="R234" s="101">
        <f t="shared" si="46"/>
        <v>20.473200000000006</v>
      </c>
      <c r="S234" s="101">
        <f t="shared" si="46"/>
        <v>20.473200000000006</v>
      </c>
      <c r="T234" s="101">
        <f t="shared" si="46"/>
        <v>20.473200000000006</v>
      </c>
      <c r="U234" s="101">
        <f t="shared" si="46"/>
        <v>20.473200000000006</v>
      </c>
      <c r="V234" s="101">
        <f t="shared" si="46"/>
        <v>20.473200000000006</v>
      </c>
      <c r="W234" s="101">
        <f t="shared" si="46"/>
        <v>0</v>
      </c>
      <c r="X234" s="101">
        <f t="shared" si="46"/>
        <v>0</v>
      </c>
      <c r="Y234" s="101">
        <f t="shared" si="46"/>
        <v>0</v>
      </c>
      <c r="Z234" s="101">
        <f t="shared" si="46"/>
        <v>0</v>
      </c>
      <c r="AA234" s="101">
        <f t="shared" si="46"/>
        <v>0</v>
      </c>
      <c r="AB234" s="22"/>
    </row>
    <row r="235" spans="1:28" s="23" customFormat="1" ht="10.199999999999999" x14ac:dyDescent="0.2">
      <c r="A235" s="22"/>
      <c r="B235" s="22"/>
      <c r="C235" s="22"/>
      <c r="D235" s="22"/>
      <c r="E235" s="22" t="str">
        <f>E225</f>
        <v>коммунальные расходы - начисление</v>
      </c>
      <c r="F235" s="22"/>
      <c r="G235" s="22" t="str">
        <f>IF($E235="","",INDEX(KPI!$G:$G,SUMIFS(KPI!$B:$B,KPI!$E:$E,$E235)))</f>
        <v>тыс.руб.</v>
      </c>
      <c r="H235" s="100">
        <f>структура!$V$21</f>
        <v>10</v>
      </c>
      <c r="I235" s="31"/>
      <c r="J235" s="98" t="str">
        <f>структура!$X$21</f>
        <v>окт</v>
      </c>
      <c r="K235" s="99"/>
      <c r="L235" s="22"/>
      <c r="M235" s="58"/>
      <c r="N235" s="22"/>
      <c r="O235" s="22"/>
      <c r="P235" s="101">
        <f t="shared" ref="P235:AA235" si="47">IF(P$1="",0,$J$207*$M220*DAY(EOMONTH(P$8,$H235-MONTH(P$8))))</f>
        <v>22.117259999999998</v>
      </c>
      <c r="Q235" s="101">
        <f t="shared" si="47"/>
        <v>22.117259999999998</v>
      </c>
      <c r="R235" s="101">
        <f t="shared" si="47"/>
        <v>22.117259999999998</v>
      </c>
      <c r="S235" s="101">
        <f t="shared" si="47"/>
        <v>22.117259999999998</v>
      </c>
      <c r="T235" s="101">
        <f t="shared" si="47"/>
        <v>22.117259999999998</v>
      </c>
      <c r="U235" s="101">
        <f t="shared" si="47"/>
        <v>22.117259999999998</v>
      </c>
      <c r="V235" s="101">
        <f t="shared" si="47"/>
        <v>22.117259999999998</v>
      </c>
      <c r="W235" s="101">
        <f t="shared" si="47"/>
        <v>0</v>
      </c>
      <c r="X235" s="101">
        <f t="shared" si="47"/>
        <v>0</v>
      </c>
      <c r="Y235" s="101">
        <f t="shared" si="47"/>
        <v>0</v>
      </c>
      <c r="Z235" s="101">
        <f t="shared" si="47"/>
        <v>0</v>
      </c>
      <c r="AA235" s="101">
        <f t="shared" si="47"/>
        <v>0</v>
      </c>
      <c r="AB235" s="22"/>
    </row>
    <row r="236" spans="1:28" s="23" customFormat="1" ht="10.199999999999999" x14ac:dyDescent="0.2">
      <c r="A236" s="22"/>
      <c r="B236" s="22"/>
      <c r="C236" s="22"/>
      <c r="D236" s="22"/>
      <c r="E236" s="22" t="str">
        <f>E225</f>
        <v>коммунальные расходы - начисление</v>
      </c>
      <c r="F236" s="22"/>
      <c r="G236" s="22" t="str">
        <f>IF($E236="","",INDEX(KPI!$G:$G,SUMIFS(KPI!$B:$B,KPI!$E:$E,$E236)))</f>
        <v>тыс.руб.</v>
      </c>
      <c r="H236" s="100">
        <f>структура!$V$22</f>
        <v>11</v>
      </c>
      <c r="I236" s="31"/>
      <c r="J236" s="98" t="str">
        <f>структура!$X$22</f>
        <v>ноя</v>
      </c>
      <c r="K236" s="99"/>
      <c r="L236" s="22"/>
      <c r="M236" s="58"/>
      <c r="N236" s="22"/>
      <c r="O236" s="22"/>
      <c r="P236" s="101">
        <f t="shared" ref="P236:AA236" si="48">IF(P$1="",0,$J$207*$M221*DAY(EOMONTH(P$8,$H236-MONTH(P$8))))</f>
        <v>22.334400000000002</v>
      </c>
      <c r="Q236" s="101">
        <f t="shared" si="48"/>
        <v>22.334400000000002</v>
      </c>
      <c r="R236" s="101">
        <f t="shared" si="48"/>
        <v>22.334400000000002</v>
      </c>
      <c r="S236" s="101">
        <f t="shared" si="48"/>
        <v>22.334400000000002</v>
      </c>
      <c r="T236" s="101">
        <f t="shared" si="48"/>
        <v>22.334400000000002</v>
      </c>
      <c r="U236" s="101">
        <f t="shared" si="48"/>
        <v>22.334400000000002</v>
      </c>
      <c r="V236" s="101">
        <f t="shared" si="48"/>
        <v>22.334400000000002</v>
      </c>
      <c r="W236" s="101">
        <f t="shared" si="48"/>
        <v>0</v>
      </c>
      <c r="X236" s="101">
        <f t="shared" si="48"/>
        <v>0</v>
      </c>
      <c r="Y236" s="101">
        <f t="shared" si="48"/>
        <v>0</v>
      </c>
      <c r="Z236" s="101">
        <f t="shared" si="48"/>
        <v>0</v>
      </c>
      <c r="AA236" s="101">
        <f t="shared" si="48"/>
        <v>0</v>
      </c>
      <c r="AB236" s="22"/>
    </row>
    <row r="237" spans="1:28" s="23" customFormat="1" ht="10.199999999999999" x14ac:dyDescent="0.2">
      <c r="A237" s="22"/>
      <c r="B237" s="22"/>
      <c r="C237" s="22"/>
      <c r="D237" s="22"/>
      <c r="E237" s="22" t="str">
        <f>E225</f>
        <v>коммунальные расходы - начисление</v>
      </c>
      <c r="F237" s="22"/>
      <c r="G237" s="22" t="str">
        <f>IF($E237="","",INDEX(KPI!$G:$G,SUMIFS(KPI!$B:$B,KPI!$E:$E,$E237)))</f>
        <v>тыс.руб.</v>
      </c>
      <c r="H237" s="100">
        <f>структура!$V$23</f>
        <v>12</v>
      </c>
      <c r="I237" s="31"/>
      <c r="J237" s="98" t="str">
        <f>структура!$X$23</f>
        <v>дек</v>
      </c>
      <c r="K237" s="99"/>
      <c r="L237" s="22"/>
      <c r="M237" s="58"/>
      <c r="N237" s="22"/>
      <c r="O237" s="22"/>
      <c r="P237" s="101">
        <f t="shared" ref="P237:AA237" si="49">IF(P$1="",0,$J$207*$M222*DAY(EOMONTH(P$8,$H237-MONTH(P$8))))</f>
        <v>26.925360000000001</v>
      </c>
      <c r="Q237" s="101">
        <f t="shared" si="49"/>
        <v>26.925360000000001</v>
      </c>
      <c r="R237" s="101">
        <f t="shared" si="49"/>
        <v>26.925360000000001</v>
      </c>
      <c r="S237" s="101">
        <f t="shared" si="49"/>
        <v>26.925360000000001</v>
      </c>
      <c r="T237" s="101">
        <f t="shared" si="49"/>
        <v>26.925360000000001</v>
      </c>
      <c r="U237" s="101">
        <f t="shared" si="49"/>
        <v>26.925360000000001</v>
      </c>
      <c r="V237" s="101">
        <f t="shared" si="49"/>
        <v>26.925360000000001</v>
      </c>
      <c r="W237" s="101">
        <f t="shared" si="49"/>
        <v>0</v>
      </c>
      <c r="X237" s="101">
        <f t="shared" si="49"/>
        <v>0</v>
      </c>
      <c r="Y237" s="101">
        <f t="shared" si="49"/>
        <v>0</v>
      </c>
      <c r="Z237" s="101">
        <f t="shared" si="49"/>
        <v>0</v>
      </c>
      <c r="AA237" s="101">
        <f t="shared" si="49"/>
        <v>0</v>
      </c>
      <c r="AB237" s="22"/>
    </row>
    <row r="238" spans="1:28" ht="3.9" customHeight="1" x14ac:dyDescent="0.25">
      <c r="A238" s="2"/>
      <c r="B238" s="2"/>
      <c r="C238" s="2"/>
      <c r="D238" s="2"/>
      <c r="E238" s="21"/>
      <c r="F238" s="2"/>
      <c r="G238" s="21"/>
      <c r="H238" s="2"/>
      <c r="I238" s="28"/>
      <c r="J238" s="21"/>
      <c r="K238" s="28"/>
      <c r="L238" s="2"/>
      <c r="M238" s="52"/>
      <c r="N238" s="2"/>
      <c r="O238" s="2"/>
      <c r="P238" s="36"/>
      <c r="Q238" s="36"/>
      <c r="R238" s="36"/>
      <c r="S238" s="36"/>
      <c r="T238" s="36"/>
      <c r="U238" s="36"/>
      <c r="V238" s="36"/>
      <c r="W238" s="36"/>
      <c r="X238" s="36"/>
      <c r="Y238" s="36"/>
      <c r="Z238" s="36"/>
      <c r="AA238" s="36"/>
      <c r="AB238" s="2"/>
    </row>
    <row r="239" spans="1:28" ht="8.1" customHeight="1" x14ac:dyDescent="0.25">
      <c r="A239" s="2"/>
      <c r="B239" s="2"/>
      <c r="C239" s="2"/>
      <c r="D239" s="2"/>
      <c r="E239" s="2"/>
      <c r="F239" s="2"/>
      <c r="G239" s="2"/>
      <c r="H239" s="2"/>
      <c r="I239" s="28"/>
      <c r="J239" s="2"/>
      <c r="K239" s="28"/>
      <c r="L239" s="2"/>
      <c r="M239" s="52"/>
      <c r="N239" s="2"/>
      <c r="O239" s="2"/>
      <c r="P239" s="36"/>
      <c r="Q239" s="36"/>
      <c r="R239" s="36"/>
      <c r="S239" s="36"/>
      <c r="T239" s="36"/>
      <c r="U239" s="36"/>
      <c r="V239" s="36"/>
      <c r="W239" s="36"/>
      <c r="X239" s="36"/>
      <c r="Y239" s="36"/>
      <c r="Z239" s="36"/>
      <c r="AA239" s="36"/>
      <c r="AB239" s="2"/>
    </row>
    <row r="240" spans="1:28" s="5" customFormat="1" x14ac:dyDescent="0.25">
      <c r="A240" s="3"/>
      <c r="B240" s="3"/>
      <c r="C240" s="3"/>
      <c r="D240" s="111"/>
      <c r="E240" s="3" t="str">
        <f>KPI!$E$53</f>
        <v>коммунальные расходы - оплата</v>
      </c>
      <c r="F240" s="3"/>
      <c r="G240" s="3" t="str">
        <f>IF($E240="","",INDEX(KPI!$G:$G,SUMIFS(KPI!$B:$B,KPI!$E:$E,$E240)))</f>
        <v>тыс.руб.</v>
      </c>
      <c r="H240" s="116" t="str">
        <f>структура!$AL$20</f>
        <v>Заложен сдвиг на один месяц!</v>
      </c>
      <c r="I240" s="28"/>
      <c r="J240" s="44"/>
      <c r="K240" s="28"/>
      <c r="L240" s="3"/>
      <c r="M240" s="55">
        <f>SUM($O240:$AB240)</f>
        <v>1835.48442</v>
      </c>
      <c r="N240" s="3"/>
      <c r="O240" s="3"/>
      <c r="P240" s="46">
        <f>IF(P$1="",0,IF(P$1=0,SUMIFS(P241:P252,H241:H252,"&gt;="&amp;MONTH($J$13)),SUM(P241:P252)))</f>
        <v>238.88502000000005</v>
      </c>
      <c r="Q240" s="46">
        <f t="shared" ref="Q240" si="50">IF(Q$1="",0,SUM(Q241:Q252))</f>
        <v>265.81038000000001</v>
      </c>
      <c r="R240" s="46">
        <f t="shared" ref="R240:AA240" si="51">IF(R$1="",0,SUM(R241:R252))</f>
        <v>266.67894000000001</v>
      </c>
      <c r="S240" s="46">
        <f t="shared" si="51"/>
        <v>265.81038000000001</v>
      </c>
      <c r="T240" s="46">
        <f t="shared" si="51"/>
        <v>265.81038000000001</v>
      </c>
      <c r="U240" s="46">
        <f t="shared" si="51"/>
        <v>265.81038000000001</v>
      </c>
      <c r="V240" s="46">
        <f t="shared" si="51"/>
        <v>266.67894000000001</v>
      </c>
      <c r="W240" s="46">
        <f t="shared" si="51"/>
        <v>0</v>
      </c>
      <c r="X240" s="46">
        <f t="shared" si="51"/>
        <v>0</v>
      </c>
      <c r="Y240" s="46">
        <f t="shared" si="51"/>
        <v>0</v>
      </c>
      <c r="Z240" s="46">
        <f t="shared" si="51"/>
        <v>0</v>
      </c>
      <c r="AA240" s="46">
        <f t="shared" si="51"/>
        <v>0</v>
      </c>
      <c r="AB240" s="3"/>
    </row>
    <row r="241" spans="1:28" s="23" customFormat="1" ht="10.199999999999999" x14ac:dyDescent="0.2">
      <c r="A241" s="22"/>
      <c r="B241" s="22"/>
      <c r="C241" s="22"/>
      <c r="D241" s="22"/>
      <c r="E241" s="22" t="str">
        <f>E240</f>
        <v>коммунальные расходы - оплата</v>
      </c>
      <c r="F241" s="22"/>
      <c r="G241" s="22" t="str">
        <f>IF($E241="","",INDEX(KPI!$G:$G,SUMIFS(KPI!$B:$B,KPI!$E:$E,$E241)))</f>
        <v>тыс.руб.</v>
      </c>
      <c r="H241" s="100">
        <f>структура!$V$12</f>
        <v>1</v>
      </c>
      <c r="I241" s="31"/>
      <c r="J241" s="98" t="str">
        <f>структура!$X$12</f>
        <v>янв</v>
      </c>
      <c r="K241" s="99"/>
      <c r="L241" s="22"/>
      <c r="M241" s="58"/>
      <c r="N241" s="22"/>
      <c r="O241" s="22"/>
      <c r="P241" s="101">
        <f t="shared" ref="P241" si="52">IF(P$1="",0,O237)</f>
        <v>0</v>
      </c>
      <c r="Q241" s="101">
        <f>IF(Q$1="",0,P237)</f>
        <v>26.925360000000001</v>
      </c>
      <c r="R241" s="101">
        <f t="shared" ref="R241:AA241" si="53">IF(R$1="",0,Q237)</f>
        <v>26.925360000000001</v>
      </c>
      <c r="S241" s="101">
        <f t="shared" si="53"/>
        <v>26.925360000000001</v>
      </c>
      <c r="T241" s="101">
        <f t="shared" si="53"/>
        <v>26.925360000000001</v>
      </c>
      <c r="U241" s="101">
        <f t="shared" si="53"/>
        <v>26.925360000000001</v>
      </c>
      <c r="V241" s="101">
        <f t="shared" si="53"/>
        <v>26.925360000000001</v>
      </c>
      <c r="W241" s="101">
        <f t="shared" si="53"/>
        <v>0</v>
      </c>
      <c r="X241" s="101">
        <f t="shared" si="53"/>
        <v>0</v>
      </c>
      <c r="Y241" s="101">
        <f t="shared" si="53"/>
        <v>0</v>
      </c>
      <c r="Z241" s="101">
        <f t="shared" si="53"/>
        <v>0</v>
      </c>
      <c r="AA241" s="101">
        <f t="shared" si="53"/>
        <v>0</v>
      </c>
      <c r="AB241" s="22"/>
    </row>
    <row r="242" spans="1:28" s="23" customFormat="1" ht="10.199999999999999" x14ac:dyDescent="0.2">
      <c r="A242" s="22"/>
      <c r="B242" s="22"/>
      <c r="C242" s="22"/>
      <c r="D242" s="22"/>
      <c r="E242" s="22" t="str">
        <f>E240</f>
        <v>коммунальные расходы - оплата</v>
      </c>
      <c r="F242" s="22"/>
      <c r="G242" s="22" t="str">
        <f>IF($E242="","",INDEX(KPI!$G:$G,SUMIFS(KPI!$B:$B,KPI!$E:$E,$E242)))</f>
        <v>тыс.руб.</v>
      </c>
      <c r="H242" s="100">
        <f>структура!$V$13</f>
        <v>2</v>
      </c>
      <c r="I242" s="31"/>
      <c r="J242" s="98" t="str">
        <f>структура!$X$13</f>
        <v>фев</v>
      </c>
      <c r="K242" s="99"/>
      <c r="L242" s="22"/>
      <c r="M242" s="58"/>
      <c r="N242" s="22"/>
      <c r="O242" s="22"/>
      <c r="P242" s="101">
        <f>IF(P$1="",0,P226)</f>
        <v>26.925360000000001</v>
      </c>
      <c r="Q242" s="101">
        <f t="shared" ref="Q242:AA242" si="54">IF(Q$1="",0,Q226)</f>
        <v>26.925360000000001</v>
      </c>
      <c r="R242" s="101">
        <f t="shared" si="54"/>
        <v>26.925360000000001</v>
      </c>
      <c r="S242" s="101">
        <f t="shared" si="54"/>
        <v>26.925360000000001</v>
      </c>
      <c r="T242" s="101">
        <f t="shared" si="54"/>
        <v>26.925360000000001</v>
      </c>
      <c r="U242" s="101">
        <f t="shared" si="54"/>
        <v>26.925360000000001</v>
      </c>
      <c r="V242" s="101">
        <f t="shared" si="54"/>
        <v>26.925360000000001</v>
      </c>
      <c r="W242" s="101">
        <f t="shared" si="54"/>
        <v>0</v>
      </c>
      <c r="X242" s="101">
        <f t="shared" si="54"/>
        <v>0</v>
      </c>
      <c r="Y242" s="101">
        <f t="shared" si="54"/>
        <v>0</v>
      </c>
      <c r="Z242" s="101">
        <f t="shared" si="54"/>
        <v>0</v>
      </c>
      <c r="AA242" s="101">
        <f t="shared" si="54"/>
        <v>0</v>
      </c>
      <c r="AB242" s="22"/>
    </row>
    <row r="243" spans="1:28" s="23" customFormat="1" ht="10.199999999999999" x14ac:dyDescent="0.2">
      <c r="A243" s="22"/>
      <c r="B243" s="22"/>
      <c r="C243" s="22"/>
      <c r="D243" s="22"/>
      <c r="E243" s="22" t="str">
        <f>E240</f>
        <v>коммунальные расходы - оплата</v>
      </c>
      <c r="F243" s="22"/>
      <c r="G243" s="22" t="str">
        <f>IF($E243="","",INDEX(KPI!$G:$G,SUMIFS(KPI!$B:$B,KPI!$E:$E,$E243)))</f>
        <v>тыс.руб.</v>
      </c>
      <c r="H243" s="100">
        <f>структура!$V$14</f>
        <v>3</v>
      </c>
      <c r="I243" s="31"/>
      <c r="J243" s="98" t="str">
        <f>структура!$X$14</f>
        <v>мар</v>
      </c>
      <c r="K243" s="99"/>
      <c r="L243" s="22"/>
      <c r="M243" s="58"/>
      <c r="N243" s="22"/>
      <c r="O243" s="22"/>
      <c r="P243" s="101">
        <f t="shared" ref="P243:AA252" si="55">IF(P$1="",0,P227)</f>
        <v>24.319679999999998</v>
      </c>
      <c r="Q243" s="101">
        <f t="shared" si="55"/>
        <v>24.319679999999998</v>
      </c>
      <c r="R243" s="101">
        <f t="shared" si="55"/>
        <v>25.18824</v>
      </c>
      <c r="S243" s="101">
        <f t="shared" si="55"/>
        <v>24.319679999999998</v>
      </c>
      <c r="T243" s="101">
        <f t="shared" si="55"/>
        <v>24.319679999999998</v>
      </c>
      <c r="U243" s="101">
        <f t="shared" si="55"/>
        <v>24.319679999999998</v>
      </c>
      <c r="V243" s="101">
        <f t="shared" si="55"/>
        <v>25.18824</v>
      </c>
      <c r="W243" s="101">
        <f t="shared" si="55"/>
        <v>0</v>
      </c>
      <c r="X243" s="101">
        <f t="shared" si="55"/>
        <v>0</v>
      </c>
      <c r="Y243" s="101">
        <f t="shared" si="55"/>
        <v>0</v>
      </c>
      <c r="Z243" s="101">
        <f t="shared" si="55"/>
        <v>0</v>
      </c>
      <c r="AA243" s="101">
        <f t="shared" si="55"/>
        <v>0</v>
      </c>
      <c r="AB243" s="22"/>
    </row>
    <row r="244" spans="1:28" s="23" customFormat="1" ht="10.199999999999999" x14ac:dyDescent="0.2">
      <c r="A244" s="22"/>
      <c r="B244" s="22"/>
      <c r="C244" s="22"/>
      <c r="D244" s="22"/>
      <c r="E244" s="22" t="str">
        <f>E240</f>
        <v>коммунальные расходы - оплата</v>
      </c>
      <c r="F244" s="22"/>
      <c r="G244" s="22" t="str">
        <f>IF($E244="","",INDEX(KPI!$G:$G,SUMIFS(KPI!$B:$B,KPI!$E:$E,$E244)))</f>
        <v>тыс.руб.</v>
      </c>
      <c r="H244" s="100">
        <f>структура!$V$15</f>
        <v>4</v>
      </c>
      <c r="I244" s="31"/>
      <c r="J244" s="98" t="str">
        <f>структура!$X$15</f>
        <v>апр</v>
      </c>
      <c r="K244" s="99"/>
      <c r="L244" s="22"/>
      <c r="M244" s="58"/>
      <c r="N244" s="22"/>
      <c r="O244" s="22"/>
      <c r="P244" s="101">
        <f t="shared" si="55"/>
        <v>23.078880000000002</v>
      </c>
      <c r="Q244" s="101">
        <f>IF(Q$1="",0,Q228)</f>
        <v>23.078880000000002</v>
      </c>
      <c r="R244" s="101">
        <f t="shared" si="55"/>
        <v>23.078880000000002</v>
      </c>
      <c r="S244" s="101">
        <f t="shared" si="55"/>
        <v>23.078880000000002</v>
      </c>
      <c r="T244" s="101">
        <f t="shared" si="55"/>
        <v>23.078880000000002</v>
      </c>
      <c r="U244" s="101">
        <f t="shared" si="55"/>
        <v>23.078880000000002</v>
      </c>
      <c r="V244" s="101">
        <f t="shared" si="55"/>
        <v>23.078880000000002</v>
      </c>
      <c r="W244" s="101">
        <f t="shared" si="55"/>
        <v>0</v>
      </c>
      <c r="X244" s="101">
        <f t="shared" si="55"/>
        <v>0</v>
      </c>
      <c r="Y244" s="101">
        <f t="shared" si="55"/>
        <v>0</v>
      </c>
      <c r="Z244" s="101">
        <f t="shared" si="55"/>
        <v>0</v>
      </c>
      <c r="AA244" s="101">
        <f t="shared" si="55"/>
        <v>0</v>
      </c>
      <c r="AB244" s="22"/>
    </row>
    <row r="245" spans="1:28" s="23" customFormat="1" ht="10.199999999999999" x14ac:dyDescent="0.2">
      <c r="A245" s="22"/>
      <c r="B245" s="22"/>
      <c r="C245" s="22"/>
      <c r="D245" s="22"/>
      <c r="E245" s="22" t="str">
        <f>E240</f>
        <v>коммунальные расходы - оплата</v>
      </c>
      <c r="F245" s="22"/>
      <c r="G245" s="22" t="str">
        <f>IF($E245="","",INDEX(KPI!$G:$G,SUMIFS(KPI!$B:$B,KPI!$E:$E,$E245)))</f>
        <v>тыс.руб.</v>
      </c>
      <c r="H245" s="100">
        <f>структура!$V$16</f>
        <v>5</v>
      </c>
      <c r="I245" s="31"/>
      <c r="J245" s="98" t="str">
        <f>структура!$X$16</f>
        <v>май</v>
      </c>
      <c r="K245" s="99"/>
      <c r="L245" s="22"/>
      <c r="M245" s="58"/>
      <c r="N245" s="22"/>
      <c r="O245" s="22"/>
      <c r="P245" s="101">
        <f t="shared" si="55"/>
        <v>21.4038</v>
      </c>
      <c r="Q245" s="101">
        <f t="shared" si="55"/>
        <v>21.4038</v>
      </c>
      <c r="R245" s="101">
        <f t="shared" si="55"/>
        <v>21.4038</v>
      </c>
      <c r="S245" s="101">
        <f t="shared" si="55"/>
        <v>21.4038</v>
      </c>
      <c r="T245" s="101">
        <f t="shared" si="55"/>
        <v>21.4038</v>
      </c>
      <c r="U245" s="101">
        <f t="shared" si="55"/>
        <v>21.4038</v>
      </c>
      <c r="V245" s="101">
        <f t="shared" si="55"/>
        <v>21.4038</v>
      </c>
      <c r="W245" s="101">
        <f t="shared" si="55"/>
        <v>0</v>
      </c>
      <c r="X245" s="101">
        <f t="shared" si="55"/>
        <v>0</v>
      </c>
      <c r="Y245" s="101">
        <f t="shared" si="55"/>
        <v>0</v>
      </c>
      <c r="Z245" s="101">
        <f t="shared" si="55"/>
        <v>0</v>
      </c>
      <c r="AA245" s="101">
        <f t="shared" si="55"/>
        <v>0</v>
      </c>
      <c r="AB245" s="22"/>
    </row>
    <row r="246" spans="1:28" s="23" customFormat="1" ht="10.199999999999999" x14ac:dyDescent="0.2">
      <c r="A246" s="22"/>
      <c r="B246" s="22"/>
      <c r="C246" s="22"/>
      <c r="D246" s="22"/>
      <c r="E246" s="22" t="str">
        <f>E240</f>
        <v>коммунальные расходы - оплата</v>
      </c>
      <c r="F246" s="22"/>
      <c r="G246" s="22" t="str">
        <f>IF($E246="","",INDEX(KPI!$G:$G,SUMIFS(KPI!$B:$B,KPI!$E:$E,$E246)))</f>
        <v>тыс.руб.</v>
      </c>
      <c r="H246" s="100">
        <f>структура!$V$17</f>
        <v>6</v>
      </c>
      <c r="I246" s="31"/>
      <c r="J246" s="98" t="str">
        <f>структура!$X$17</f>
        <v>июн</v>
      </c>
      <c r="K246" s="99"/>
      <c r="L246" s="22"/>
      <c r="M246" s="58"/>
      <c r="N246" s="22"/>
      <c r="O246" s="22"/>
      <c r="P246" s="101">
        <f t="shared" si="55"/>
        <v>21.155640000000005</v>
      </c>
      <c r="Q246" s="101">
        <f t="shared" si="55"/>
        <v>21.155640000000005</v>
      </c>
      <c r="R246" s="101">
        <f t="shared" si="55"/>
        <v>21.155640000000005</v>
      </c>
      <c r="S246" s="101">
        <f t="shared" si="55"/>
        <v>21.155640000000005</v>
      </c>
      <c r="T246" s="101">
        <f t="shared" si="55"/>
        <v>21.155640000000005</v>
      </c>
      <c r="U246" s="101">
        <f t="shared" si="55"/>
        <v>21.155640000000005</v>
      </c>
      <c r="V246" s="101">
        <f t="shared" si="55"/>
        <v>21.155640000000005</v>
      </c>
      <c r="W246" s="101">
        <f t="shared" si="55"/>
        <v>0</v>
      </c>
      <c r="X246" s="101">
        <f t="shared" si="55"/>
        <v>0</v>
      </c>
      <c r="Y246" s="101">
        <f t="shared" si="55"/>
        <v>0</v>
      </c>
      <c r="Z246" s="101">
        <f t="shared" si="55"/>
        <v>0</v>
      </c>
      <c r="AA246" s="101">
        <f t="shared" si="55"/>
        <v>0</v>
      </c>
      <c r="AB246" s="22"/>
    </row>
    <row r="247" spans="1:28" s="23" customFormat="1" ht="10.199999999999999" x14ac:dyDescent="0.2">
      <c r="A247" s="22"/>
      <c r="B247" s="22"/>
      <c r="C247" s="22"/>
      <c r="D247" s="22"/>
      <c r="E247" s="22" t="str">
        <f>E240</f>
        <v>коммунальные расходы - оплата</v>
      </c>
      <c r="F247" s="22"/>
      <c r="G247" s="22" t="str">
        <f>IF($E247="","",INDEX(KPI!$G:$G,SUMIFS(KPI!$B:$B,KPI!$E:$E,$E247)))</f>
        <v>тыс.руб.</v>
      </c>
      <c r="H247" s="100">
        <f>структура!$V$18</f>
        <v>7</v>
      </c>
      <c r="I247" s="31"/>
      <c r="J247" s="98" t="str">
        <f>структура!$X$18</f>
        <v>июл</v>
      </c>
      <c r="K247" s="99"/>
      <c r="L247" s="22"/>
      <c r="M247" s="58"/>
      <c r="N247" s="22"/>
      <c r="O247" s="22"/>
      <c r="P247" s="101">
        <f t="shared" si="55"/>
        <v>18.612000000000002</v>
      </c>
      <c r="Q247" s="101">
        <f t="shared" si="55"/>
        <v>18.612000000000002</v>
      </c>
      <c r="R247" s="101">
        <f t="shared" si="55"/>
        <v>18.612000000000002</v>
      </c>
      <c r="S247" s="101">
        <f t="shared" si="55"/>
        <v>18.612000000000002</v>
      </c>
      <c r="T247" s="101">
        <f t="shared" si="55"/>
        <v>18.612000000000002</v>
      </c>
      <c r="U247" s="101">
        <f t="shared" si="55"/>
        <v>18.612000000000002</v>
      </c>
      <c r="V247" s="101">
        <f t="shared" si="55"/>
        <v>18.612000000000002</v>
      </c>
      <c r="W247" s="101">
        <f t="shared" si="55"/>
        <v>0</v>
      </c>
      <c r="X247" s="101">
        <f t="shared" si="55"/>
        <v>0</v>
      </c>
      <c r="Y247" s="101">
        <f t="shared" si="55"/>
        <v>0</v>
      </c>
      <c r="Z247" s="101">
        <f t="shared" si="55"/>
        <v>0</v>
      </c>
      <c r="AA247" s="101">
        <f t="shared" si="55"/>
        <v>0</v>
      </c>
      <c r="AB247" s="22"/>
    </row>
    <row r="248" spans="1:28" s="23" customFormat="1" ht="10.199999999999999" x14ac:dyDescent="0.2">
      <c r="A248" s="22"/>
      <c r="B248" s="22"/>
      <c r="C248" s="22"/>
      <c r="D248" s="22"/>
      <c r="E248" s="22" t="str">
        <f>E240</f>
        <v>коммунальные расходы - оплата</v>
      </c>
      <c r="F248" s="22"/>
      <c r="G248" s="22" t="str">
        <f>IF($E248="","",INDEX(KPI!$G:$G,SUMIFS(KPI!$B:$B,KPI!$E:$E,$E248)))</f>
        <v>тыс.руб.</v>
      </c>
      <c r="H248" s="100">
        <f>структура!$V$19</f>
        <v>8</v>
      </c>
      <c r="I248" s="31"/>
      <c r="J248" s="98" t="str">
        <f>структура!$X$19</f>
        <v>авг</v>
      </c>
      <c r="K248" s="99"/>
      <c r="L248" s="22"/>
      <c r="M248" s="58"/>
      <c r="N248" s="22"/>
      <c r="O248" s="22"/>
      <c r="P248" s="101">
        <f t="shared" si="55"/>
        <v>19.232400000000002</v>
      </c>
      <c r="Q248" s="101">
        <f t="shared" si="55"/>
        <v>19.232400000000002</v>
      </c>
      <c r="R248" s="101">
        <f t="shared" si="55"/>
        <v>19.232400000000002</v>
      </c>
      <c r="S248" s="101">
        <f t="shared" si="55"/>
        <v>19.232400000000002</v>
      </c>
      <c r="T248" s="101">
        <f t="shared" si="55"/>
        <v>19.232400000000002</v>
      </c>
      <c r="U248" s="101">
        <f t="shared" si="55"/>
        <v>19.232400000000002</v>
      </c>
      <c r="V248" s="101">
        <f t="shared" si="55"/>
        <v>19.232400000000002</v>
      </c>
      <c r="W248" s="101">
        <f t="shared" si="55"/>
        <v>0</v>
      </c>
      <c r="X248" s="101">
        <f t="shared" si="55"/>
        <v>0</v>
      </c>
      <c r="Y248" s="101">
        <f t="shared" si="55"/>
        <v>0</v>
      </c>
      <c r="Z248" s="101">
        <f t="shared" si="55"/>
        <v>0</v>
      </c>
      <c r="AA248" s="101">
        <f t="shared" si="55"/>
        <v>0</v>
      </c>
      <c r="AB248" s="22"/>
    </row>
    <row r="249" spans="1:28" s="23" customFormat="1" ht="10.199999999999999" x14ac:dyDescent="0.2">
      <c r="A249" s="22"/>
      <c r="B249" s="22"/>
      <c r="C249" s="22"/>
      <c r="D249" s="22"/>
      <c r="E249" s="22" t="str">
        <f>E240</f>
        <v>коммунальные расходы - оплата</v>
      </c>
      <c r="F249" s="22"/>
      <c r="G249" s="22" t="str">
        <f>IF($E249="","",INDEX(KPI!$G:$G,SUMIFS(KPI!$B:$B,KPI!$E:$E,$E249)))</f>
        <v>тыс.руб.</v>
      </c>
      <c r="H249" s="100">
        <f>структура!$V$20</f>
        <v>9</v>
      </c>
      <c r="I249" s="31"/>
      <c r="J249" s="98" t="str">
        <f>структура!$X$20</f>
        <v>сен</v>
      </c>
      <c r="K249" s="99"/>
      <c r="L249" s="22"/>
      <c r="M249" s="58"/>
      <c r="N249" s="22"/>
      <c r="O249" s="22"/>
      <c r="P249" s="101">
        <f t="shared" si="55"/>
        <v>19.232400000000002</v>
      </c>
      <c r="Q249" s="101">
        <f t="shared" si="55"/>
        <v>19.232400000000002</v>
      </c>
      <c r="R249" s="101">
        <f t="shared" si="55"/>
        <v>19.232400000000002</v>
      </c>
      <c r="S249" s="101">
        <f t="shared" si="55"/>
        <v>19.232400000000002</v>
      </c>
      <c r="T249" s="101">
        <f t="shared" si="55"/>
        <v>19.232400000000002</v>
      </c>
      <c r="U249" s="101">
        <f t="shared" si="55"/>
        <v>19.232400000000002</v>
      </c>
      <c r="V249" s="101">
        <f t="shared" si="55"/>
        <v>19.232400000000002</v>
      </c>
      <c r="W249" s="101">
        <f t="shared" si="55"/>
        <v>0</v>
      </c>
      <c r="X249" s="101">
        <f t="shared" si="55"/>
        <v>0</v>
      </c>
      <c r="Y249" s="101">
        <f t="shared" si="55"/>
        <v>0</v>
      </c>
      <c r="Z249" s="101">
        <f t="shared" si="55"/>
        <v>0</v>
      </c>
      <c r="AA249" s="101">
        <f t="shared" si="55"/>
        <v>0</v>
      </c>
      <c r="AB249" s="22"/>
    </row>
    <row r="250" spans="1:28" s="23" customFormat="1" ht="10.199999999999999" x14ac:dyDescent="0.2">
      <c r="A250" s="22"/>
      <c r="B250" s="22"/>
      <c r="C250" s="22"/>
      <c r="D250" s="22"/>
      <c r="E250" s="22" t="str">
        <f>E240</f>
        <v>коммунальные расходы - оплата</v>
      </c>
      <c r="F250" s="22"/>
      <c r="G250" s="22" t="str">
        <f>IF($E250="","",INDEX(KPI!$G:$G,SUMIFS(KPI!$B:$B,KPI!$E:$E,$E250)))</f>
        <v>тыс.руб.</v>
      </c>
      <c r="H250" s="100">
        <f>структура!$V$21</f>
        <v>10</v>
      </c>
      <c r="I250" s="31"/>
      <c r="J250" s="98" t="str">
        <f>структура!$X$21</f>
        <v>окт</v>
      </c>
      <c r="K250" s="99"/>
      <c r="L250" s="22"/>
      <c r="M250" s="58"/>
      <c r="N250" s="22"/>
      <c r="O250" s="22"/>
      <c r="P250" s="101">
        <f t="shared" si="55"/>
        <v>20.473200000000006</v>
      </c>
      <c r="Q250" s="101">
        <f t="shared" si="55"/>
        <v>20.473200000000006</v>
      </c>
      <c r="R250" s="101">
        <f t="shared" si="55"/>
        <v>20.473200000000006</v>
      </c>
      <c r="S250" s="101">
        <f t="shared" si="55"/>
        <v>20.473200000000006</v>
      </c>
      <c r="T250" s="101">
        <f t="shared" si="55"/>
        <v>20.473200000000006</v>
      </c>
      <c r="U250" s="101">
        <f t="shared" si="55"/>
        <v>20.473200000000006</v>
      </c>
      <c r="V250" s="101">
        <f t="shared" si="55"/>
        <v>20.473200000000006</v>
      </c>
      <c r="W250" s="101">
        <f t="shared" si="55"/>
        <v>0</v>
      </c>
      <c r="X250" s="101">
        <f t="shared" si="55"/>
        <v>0</v>
      </c>
      <c r="Y250" s="101">
        <f t="shared" si="55"/>
        <v>0</v>
      </c>
      <c r="Z250" s="101">
        <f t="shared" si="55"/>
        <v>0</v>
      </c>
      <c r="AA250" s="101">
        <f t="shared" si="55"/>
        <v>0</v>
      </c>
      <c r="AB250" s="22"/>
    </row>
    <row r="251" spans="1:28" s="23" customFormat="1" ht="10.199999999999999" x14ac:dyDescent="0.2">
      <c r="A251" s="22"/>
      <c r="B251" s="22"/>
      <c r="C251" s="22"/>
      <c r="D251" s="22"/>
      <c r="E251" s="22" t="str">
        <f>E240</f>
        <v>коммунальные расходы - оплата</v>
      </c>
      <c r="F251" s="22"/>
      <c r="G251" s="22" t="str">
        <f>IF($E251="","",INDEX(KPI!$G:$G,SUMIFS(KPI!$B:$B,KPI!$E:$E,$E251)))</f>
        <v>тыс.руб.</v>
      </c>
      <c r="H251" s="100">
        <f>структура!$V$22</f>
        <v>11</v>
      </c>
      <c r="I251" s="31"/>
      <c r="J251" s="98" t="str">
        <f>структура!$X$22</f>
        <v>ноя</v>
      </c>
      <c r="K251" s="99"/>
      <c r="L251" s="22"/>
      <c r="M251" s="58"/>
      <c r="N251" s="22"/>
      <c r="O251" s="22"/>
      <c r="P251" s="101">
        <f t="shared" si="55"/>
        <v>22.117259999999998</v>
      </c>
      <c r="Q251" s="101">
        <f>IF(Q$1="",0,Q235)</f>
        <v>22.117259999999998</v>
      </c>
      <c r="R251" s="101">
        <f t="shared" si="55"/>
        <v>22.117259999999998</v>
      </c>
      <c r="S251" s="101">
        <f t="shared" si="55"/>
        <v>22.117259999999998</v>
      </c>
      <c r="T251" s="101">
        <f t="shared" si="55"/>
        <v>22.117259999999998</v>
      </c>
      <c r="U251" s="101">
        <f t="shared" si="55"/>
        <v>22.117259999999998</v>
      </c>
      <c r="V251" s="101">
        <f t="shared" si="55"/>
        <v>22.117259999999998</v>
      </c>
      <c r="W251" s="101">
        <f t="shared" si="55"/>
        <v>0</v>
      </c>
      <c r="X251" s="101">
        <f t="shared" si="55"/>
        <v>0</v>
      </c>
      <c r="Y251" s="101">
        <f t="shared" si="55"/>
        <v>0</v>
      </c>
      <c r="Z251" s="101">
        <f t="shared" si="55"/>
        <v>0</v>
      </c>
      <c r="AA251" s="101">
        <f t="shared" si="55"/>
        <v>0</v>
      </c>
      <c r="AB251" s="22"/>
    </row>
    <row r="252" spans="1:28" s="23" customFormat="1" ht="10.199999999999999" x14ac:dyDescent="0.2">
      <c r="A252" s="22"/>
      <c r="B252" s="22"/>
      <c r="C252" s="22"/>
      <c r="D252" s="22"/>
      <c r="E252" s="22" t="str">
        <f>E240</f>
        <v>коммунальные расходы - оплата</v>
      </c>
      <c r="F252" s="22"/>
      <c r="G252" s="22" t="str">
        <f>IF($E252="","",INDEX(KPI!$G:$G,SUMIFS(KPI!$B:$B,KPI!$E:$E,$E252)))</f>
        <v>тыс.руб.</v>
      </c>
      <c r="H252" s="100">
        <f>структура!$V$23</f>
        <v>12</v>
      </c>
      <c r="I252" s="31"/>
      <c r="J252" s="98" t="str">
        <f>структура!$X$23</f>
        <v>дек</v>
      </c>
      <c r="K252" s="99"/>
      <c r="L252" s="22"/>
      <c r="M252" s="58"/>
      <c r="N252" s="22"/>
      <c r="O252" s="22"/>
      <c r="P252" s="101">
        <f t="shared" si="55"/>
        <v>22.334400000000002</v>
      </c>
      <c r="Q252" s="101">
        <f>IF(Q$1="",0,Q236)</f>
        <v>22.334400000000002</v>
      </c>
      <c r="R252" s="101">
        <f t="shared" si="55"/>
        <v>22.334400000000002</v>
      </c>
      <c r="S252" s="101">
        <f t="shared" si="55"/>
        <v>22.334400000000002</v>
      </c>
      <c r="T252" s="101">
        <f t="shared" si="55"/>
        <v>22.334400000000002</v>
      </c>
      <c r="U252" s="101">
        <f t="shared" si="55"/>
        <v>22.334400000000002</v>
      </c>
      <c r="V252" s="101">
        <f t="shared" si="55"/>
        <v>22.334400000000002</v>
      </c>
      <c r="W252" s="101">
        <f t="shared" si="55"/>
        <v>0</v>
      </c>
      <c r="X252" s="101">
        <f t="shared" si="55"/>
        <v>0</v>
      </c>
      <c r="Y252" s="101">
        <f t="shared" si="55"/>
        <v>0</v>
      </c>
      <c r="Z252" s="101">
        <f t="shared" si="55"/>
        <v>0</v>
      </c>
      <c r="AA252" s="101">
        <f t="shared" si="55"/>
        <v>0</v>
      </c>
      <c r="AB252" s="22"/>
    </row>
    <row r="253" spans="1:28" ht="3.9" customHeight="1" x14ac:dyDescent="0.25">
      <c r="A253" s="2"/>
      <c r="B253" s="2"/>
      <c r="C253" s="2"/>
      <c r="D253" s="2"/>
      <c r="E253" s="21"/>
      <c r="F253" s="2"/>
      <c r="G253" s="21"/>
      <c r="H253" s="2"/>
      <c r="I253" s="28"/>
      <c r="J253" s="21"/>
      <c r="K253" s="28"/>
      <c r="L253" s="2"/>
      <c r="M253" s="52"/>
      <c r="N253" s="2"/>
      <c r="O253" s="2"/>
      <c r="P253" s="36"/>
      <c r="Q253" s="36"/>
      <c r="R253" s="36"/>
      <c r="S253" s="36"/>
      <c r="T253" s="36"/>
      <c r="U253" s="36"/>
      <c r="V253" s="36"/>
      <c r="W253" s="36"/>
      <c r="X253" s="36"/>
      <c r="Y253" s="36"/>
      <c r="Z253" s="36"/>
      <c r="AA253" s="36"/>
      <c r="AB253" s="2"/>
    </row>
    <row r="254" spans="1:28" ht="8.1" customHeight="1" x14ac:dyDescent="0.25">
      <c r="A254" s="2"/>
      <c r="B254" s="2"/>
      <c r="C254" s="2"/>
      <c r="D254" s="2"/>
      <c r="E254" s="2"/>
      <c r="F254" s="2"/>
      <c r="G254" s="2"/>
      <c r="H254" s="2"/>
      <c r="I254" s="28"/>
      <c r="J254" s="2"/>
      <c r="K254" s="28"/>
      <c r="L254" s="2"/>
      <c r="M254" s="52"/>
      <c r="N254" s="2"/>
      <c r="O254" s="2"/>
      <c r="P254" s="36"/>
      <c r="Q254" s="36"/>
      <c r="R254" s="36"/>
      <c r="S254" s="36"/>
      <c r="T254" s="36"/>
      <c r="U254" s="36"/>
      <c r="V254" s="36"/>
      <c r="W254" s="36"/>
      <c r="X254" s="36"/>
      <c r="Y254" s="36"/>
      <c r="Z254" s="36"/>
      <c r="AA254" s="36"/>
      <c r="AB254" s="2"/>
    </row>
    <row r="255" spans="1:28" s="5" customFormat="1" x14ac:dyDescent="0.25">
      <c r="A255" s="3"/>
      <c r="B255" s="3"/>
      <c r="C255" s="3"/>
      <c r="D255" s="3"/>
      <c r="E255" s="3" t="str">
        <f>KPI!$E$54</f>
        <v>количество персонала</v>
      </c>
      <c r="F255" s="3"/>
      <c r="G255" s="3" t="str">
        <f>IF($E255="","",INDEX(KPI!$G:$G,SUMIFS(KPI!$B:$B,KPI!$E:$E,$E255)))</f>
        <v>чел</v>
      </c>
      <c r="H255" s="3"/>
      <c r="I255" s="6"/>
      <c r="J255" s="204">
        <f>операции!J330</f>
        <v>0</v>
      </c>
      <c r="K255" s="28"/>
      <c r="L255" s="2"/>
      <c r="M255" s="52"/>
      <c r="N255" s="3"/>
      <c r="O255" s="2"/>
      <c r="P255" s="36"/>
      <c r="Q255" s="36"/>
      <c r="R255" s="36"/>
      <c r="S255" s="36"/>
      <c r="T255" s="36"/>
      <c r="U255" s="36"/>
      <c r="V255" s="36"/>
      <c r="W255" s="36"/>
      <c r="X255" s="36"/>
      <c r="Y255" s="36"/>
      <c r="Z255" s="36"/>
      <c r="AA255" s="36"/>
      <c r="AB255" s="2"/>
    </row>
    <row r="256" spans="1:28" s="5" customFormat="1" x14ac:dyDescent="0.25">
      <c r="A256" s="3"/>
      <c r="B256" s="3"/>
      <c r="C256" s="3"/>
      <c r="D256" s="3"/>
      <c r="E256" s="3" t="str">
        <f>KPI!$E$55</f>
        <v>средний оклад одного сотрудника</v>
      </c>
      <c r="F256" s="3"/>
      <c r="G256" s="3" t="str">
        <f>IF($E256="","",INDEX(KPI!$G:$G,SUMIFS(KPI!$B:$B,KPI!$E:$E,$E256)))</f>
        <v>тыс.руб.</v>
      </c>
      <c r="H256" s="3"/>
      <c r="I256" s="6"/>
      <c r="J256" s="204">
        <f>операции!J331</f>
        <v>0</v>
      </c>
      <c r="K256" s="28"/>
      <c r="L256" s="2"/>
      <c r="M256" s="52"/>
      <c r="N256" s="3"/>
      <c r="O256" s="2"/>
      <c r="P256" s="36"/>
      <c r="Q256" s="36"/>
      <c r="R256" s="36"/>
      <c r="S256" s="36"/>
      <c r="T256" s="36"/>
      <c r="U256" s="36"/>
      <c r="V256" s="36"/>
      <c r="W256" s="36"/>
      <c r="X256" s="36"/>
      <c r="Y256" s="36"/>
      <c r="Z256" s="36"/>
      <c r="AA256" s="36"/>
      <c r="AB256" s="2"/>
    </row>
    <row r="257" spans="1:28" s="5" customFormat="1" x14ac:dyDescent="0.25">
      <c r="A257" s="3"/>
      <c r="B257" s="3"/>
      <c r="C257" s="3"/>
      <c r="D257" s="3"/>
      <c r="E257" s="3" t="str">
        <f>KPI!$E$56</f>
        <v>ФОТ в месяц</v>
      </c>
      <c r="F257" s="3"/>
      <c r="G257" s="3" t="str">
        <f>IF($E257="","",INDEX(KPI!$G:$G,SUMIFS(KPI!$B:$B,KPI!$E:$E,$E257)))</f>
        <v>тыс.руб.</v>
      </c>
      <c r="H257" s="3"/>
      <c r="I257" s="6"/>
      <c r="J257" s="115">
        <f>J255*J256</f>
        <v>0</v>
      </c>
      <c r="K257" s="28"/>
      <c r="L257" s="2"/>
      <c r="M257" s="52"/>
      <c r="N257" s="3"/>
      <c r="O257" s="2"/>
      <c r="P257" s="36"/>
      <c r="Q257" s="36"/>
      <c r="R257" s="36"/>
      <c r="S257" s="36"/>
      <c r="T257" s="36"/>
      <c r="U257" s="36"/>
      <c r="V257" s="36"/>
      <c r="W257" s="36"/>
      <c r="X257" s="36"/>
      <c r="Y257" s="36"/>
      <c r="Z257" s="36"/>
      <c r="AA257" s="36"/>
      <c r="AB257" s="2"/>
    </row>
    <row r="258" spans="1:28" ht="3.9" customHeight="1" x14ac:dyDescent="0.25">
      <c r="A258" s="2"/>
      <c r="B258" s="2"/>
      <c r="C258" s="2"/>
      <c r="D258" s="2"/>
      <c r="E258" s="110"/>
      <c r="F258" s="2"/>
      <c r="G258" s="2"/>
      <c r="H258" s="2"/>
      <c r="I258" s="28"/>
      <c r="J258" s="2"/>
      <c r="K258" s="28"/>
      <c r="L258" s="2"/>
      <c r="M258" s="52"/>
      <c r="N258" s="2"/>
      <c r="O258" s="2"/>
      <c r="P258" s="36"/>
      <c r="Q258" s="36"/>
      <c r="R258" s="36"/>
      <c r="S258" s="36"/>
      <c r="T258" s="36"/>
      <c r="U258" s="36"/>
      <c r="V258" s="36"/>
      <c r="W258" s="36"/>
      <c r="X258" s="36"/>
      <c r="Y258" s="36"/>
      <c r="Z258" s="36"/>
      <c r="AA258" s="36"/>
      <c r="AB258" s="2"/>
    </row>
    <row r="259" spans="1:28" ht="8.1" customHeight="1" x14ac:dyDescent="0.25">
      <c r="A259" s="2"/>
      <c r="B259" s="2"/>
      <c r="C259" s="2"/>
      <c r="D259" s="2"/>
      <c r="E259" s="2"/>
      <c r="F259" s="2"/>
      <c r="G259" s="2"/>
      <c r="H259" s="2"/>
      <c r="I259" s="28"/>
      <c r="J259" s="2"/>
      <c r="K259" s="28"/>
      <c r="L259" s="2"/>
      <c r="M259" s="52"/>
      <c r="N259" s="2"/>
      <c r="O259" s="2"/>
      <c r="P259" s="36"/>
      <c r="Q259" s="36"/>
      <c r="R259" s="36"/>
      <c r="S259" s="36"/>
      <c r="T259" s="36"/>
      <c r="U259" s="36"/>
      <c r="V259" s="36"/>
      <c r="W259" s="36"/>
      <c r="X259" s="36"/>
      <c r="Y259" s="36"/>
      <c r="Z259" s="36"/>
      <c r="AA259" s="36"/>
      <c r="AB259" s="2"/>
    </row>
    <row r="260" spans="1:28" s="5" customFormat="1" x14ac:dyDescent="0.25">
      <c r="A260" s="3"/>
      <c r="B260" s="3"/>
      <c r="C260" s="3"/>
      <c r="D260" s="111"/>
      <c r="E260" s="3" t="str">
        <f>KPI!$E$57</f>
        <v>ФОТ - начисления/оплаты</v>
      </c>
      <c r="F260" s="3"/>
      <c r="G260" s="3" t="str">
        <f>IF($E260="","",INDEX(KPI!$G:$G,SUMIFS(KPI!$B:$B,KPI!$E:$E,$E260)))</f>
        <v>тыс.руб.</v>
      </c>
      <c r="H260" s="103"/>
      <c r="I260" s="28"/>
      <c r="J260" s="44"/>
      <c r="K260" s="28"/>
      <c r="L260" s="3"/>
      <c r="M260" s="55">
        <f>SUM($O260:$AB260)</f>
        <v>15540</v>
      </c>
      <c r="N260" s="3"/>
      <c r="O260" s="3"/>
      <c r="P260" s="46">
        <f>IF(P$1="",0,IF(P$1=0,SUMIFS(P261:P272,H261:H272,"&gt;="&amp;MONTH($J$13)),SUM(P261:P272)))</f>
        <v>2220</v>
      </c>
      <c r="Q260" s="46">
        <f t="shared" ref="Q260" si="56">IF(Q$1="",0,SUM(Q261:Q272))</f>
        <v>2220</v>
      </c>
      <c r="R260" s="46">
        <f t="shared" ref="R260:AA260" si="57">IF(R$1="",0,SUM(R261:R272))</f>
        <v>2220</v>
      </c>
      <c r="S260" s="46">
        <f t="shared" si="57"/>
        <v>2220</v>
      </c>
      <c r="T260" s="46">
        <f t="shared" si="57"/>
        <v>2220</v>
      </c>
      <c r="U260" s="46">
        <f t="shared" si="57"/>
        <v>2220</v>
      </c>
      <c r="V260" s="46">
        <f t="shared" si="57"/>
        <v>2220</v>
      </c>
      <c r="W260" s="46">
        <f t="shared" si="57"/>
        <v>0</v>
      </c>
      <c r="X260" s="46">
        <f t="shared" si="57"/>
        <v>0</v>
      </c>
      <c r="Y260" s="46">
        <f t="shared" si="57"/>
        <v>0</v>
      </c>
      <c r="Z260" s="46">
        <f t="shared" si="57"/>
        <v>0</v>
      </c>
      <c r="AA260" s="46">
        <f t="shared" si="57"/>
        <v>0</v>
      </c>
      <c r="AB260" s="3"/>
    </row>
    <row r="261" spans="1:28" s="23" customFormat="1" ht="10.199999999999999" x14ac:dyDescent="0.2">
      <c r="A261" s="22"/>
      <c r="B261" s="22"/>
      <c r="C261" s="22"/>
      <c r="D261" s="22"/>
      <c r="E261" s="22" t="str">
        <f>E260</f>
        <v>ФОТ - начисления/оплаты</v>
      </c>
      <c r="F261" s="22"/>
      <c r="G261" s="22" t="str">
        <f>IF($E261="","",INDEX(KPI!$G:$G,SUMIFS(KPI!$B:$B,KPI!$E:$E,$E261)))</f>
        <v>тыс.руб.</v>
      </c>
      <c r="H261" s="100">
        <f>структура!$V$12</f>
        <v>1</v>
      </c>
      <c r="I261" s="31"/>
      <c r="J261" s="98" t="str">
        <f>структура!$X$12</f>
        <v>янв</v>
      </c>
      <c r="K261" s="99"/>
      <c r="L261" s="22"/>
      <c r="M261" s="58"/>
      <c r="N261" s="22"/>
      <c r="O261" s="22"/>
      <c r="P261" s="101">
        <f>IF(P$1="",0,операции!P336)</f>
        <v>185</v>
      </c>
      <c r="Q261" s="101">
        <f>IF(Q$1="",0,операции!Q336)</f>
        <v>185</v>
      </c>
      <c r="R261" s="101">
        <f>IF(R$1="",0,операции!R336)</f>
        <v>185</v>
      </c>
      <c r="S261" s="101">
        <f>IF(S$1="",0,операции!S336)</f>
        <v>185</v>
      </c>
      <c r="T261" s="101">
        <f>IF(T$1="",0,операции!T336)</f>
        <v>185</v>
      </c>
      <c r="U261" s="101">
        <f>IF(U$1="",0,операции!U336)</f>
        <v>185</v>
      </c>
      <c r="V261" s="101">
        <f>IF(V$1="",0,операции!V336)</f>
        <v>185</v>
      </c>
      <c r="W261" s="101">
        <f>IF(W$1="",0,операции!W336)</f>
        <v>0</v>
      </c>
      <c r="X261" s="101">
        <f>IF(X$1="",0,операции!X336)</f>
        <v>0</v>
      </c>
      <c r="Y261" s="101">
        <f>IF(Y$1="",0,операции!Y336)</f>
        <v>0</v>
      </c>
      <c r="Z261" s="101">
        <f>IF(Z$1="",0,операции!Z336)</f>
        <v>0</v>
      </c>
      <c r="AA261" s="101">
        <f>IF(AA$1="",0,операции!AA336)</f>
        <v>0</v>
      </c>
      <c r="AB261" s="22"/>
    </row>
    <row r="262" spans="1:28" s="23" customFormat="1" ht="10.199999999999999" x14ac:dyDescent="0.2">
      <c r="A262" s="22"/>
      <c r="B262" s="22"/>
      <c r="C262" s="22"/>
      <c r="D262" s="22"/>
      <c r="E262" s="22" t="str">
        <f>E260</f>
        <v>ФОТ - начисления/оплаты</v>
      </c>
      <c r="F262" s="22"/>
      <c r="G262" s="22" t="str">
        <f>IF($E262="","",INDEX(KPI!$G:$G,SUMIFS(KPI!$B:$B,KPI!$E:$E,$E262)))</f>
        <v>тыс.руб.</v>
      </c>
      <c r="H262" s="100">
        <f>структура!$V$13</f>
        <v>2</v>
      </c>
      <c r="I262" s="31"/>
      <c r="J262" s="98" t="str">
        <f>структура!$X$13</f>
        <v>фев</v>
      </c>
      <c r="K262" s="99"/>
      <c r="L262" s="22"/>
      <c r="M262" s="58"/>
      <c r="N262" s="22"/>
      <c r="O262" s="22"/>
      <c r="P262" s="101">
        <f>IF(P$1="",0,операции!P337)</f>
        <v>185</v>
      </c>
      <c r="Q262" s="101">
        <f>IF(Q$1="",0,операции!Q337)</f>
        <v>185</v>
      </c>
      <c r="R262" s="101">
        <f>IF(R$1="",0,операции!R337)</f>
        <v>185</v>
      </c>
      <c r="S262" s="101">
        <f>IF(S$1="",0,операции!S337)</f>
        <v>185</v>
      </c>
      <c r="T262" s="101">
        <f>IF(T$1="",0,операции!T337)</f>
        <v>185</v>
      </c>
      <c r="U262" s="101">
        <f>IF(U$1="",0,операции!U337)</f>
        <v>185</v>
      </c>
      <c r="V262" s="101">
        <f>IF(V$1="",0,операции!V337)</f>
        <v>185</v>
      </c>
      <c r="W262" s="101">
        <f>IF(W$1="",0,операции!W337)</f>
        <v>0</v>
      </c>
      <c r="X262" s="101">
        <f>IF(X$1="",0,операции!X337)</f>
        <v>0</v>
      </c>
      <c r="Y262" s="101">
        <f>IF(Y$1="",0,операции!Y337)</f>
        <v>0</v>
      </c>
      <c r="Z262" s="101">
        <f>IF(Z$1="",0,операции!Z337)</f>
        <v>0</v>
      </c>
      <c r="AA262" s="101">
        <f>IF(AA$1="",0,операции!AA337)</f>
        <v>0</v>
      </c>
      <c r="AB262" s="22"/>
    </row>
    <row r="263" spans="1:28" s="23" customFormat="1" ht="10.199999999999999" x14ac:dyDescent="0.2">
      <c r="A263" s="22"/>
      <c r="B263" s="22"/>
      <c r="C263" s="22"/>
      <c r="D263" s="22"/>
      <c r="E263" s="22" t="str">
        <f>E260</f>
        <v>ФОТ - начисления/оплаты</v>
      </c>
      <c r="F263" s="22"/>
      <c r="G263" s="22" t="str">
        <f>IF($E263="","",INDEX(KPI!$G:$G,SUMIFS(KPI!$B:$B,KPI!$E:$E,$E263)))</f>
        <v>тыс.руб.</v>
      </c>
      <c r="H263" s="100">
        <f>структура!$V$14</f>
        <v>3</v>
      </c>
      <c r="I263" s="31"/>
      <c r="J263" s="98" t="str">
        <f>структура!$X$14</f>
        <v>мар</v>
      </c>
      <c r="K263" s="99"/>
      <c r="L263" s="22"/>
      <c r="M263" s="58"/>
      <c r="N263" s="22"/>
      <c r="O263" s="22"/>
      <c r="P263" s="101">
        <f>IF(P$1="",0,операции!P338)</f>
        <v>185</v>
      </c>
      <c r="Q263" s="101">
        <f>IF(Q$1="",0,операции!Q338)</f>
        <v>185</v>
      </c>
      <c r="R263" s="101">
        <f>IF(R$1="",0,операции!R338)</f>
        <v>185</v>
      </c>
      <c r="S263" s="101">
        <f>IF(S$1="",0,операции!S338)</f>
        <v>185</v>
      </c>
      <c r="T263" s="101">
        <f>IF(T$1="",0,операции!T338)</f>
        <v>185</v>
      </c>
      <c r="U263" s="101">
        <f>IF(U$1="",0,операции!U338)</f>
        <v>185</v>
      </c>
      <c r="V263" s="101">
        <f>IF(V$1="",0,операции!V338)</f>
        <v>185</v>
      </c>
      <c r="W263" s="101">
        <f>IF(W$1="",0,операции!W338)</f>
        <v>0</v>
      </c>
      <c r="X263" s="101">
        <f>IF(X$1="",0,операции!X338)</f>
        <v>0</v>
      </c>
      <c r="Y263" s="101">
        <f>IF(Y$1="",0,операции!Y338)</f>
        <v>0</v>
      </c>
      <c r="Z263" s="101">
        <f>IF(Z$1="",0,операции!Z338)</f>
        <v>0</v>
      </c>
      <c r="AA263" s="101">
        <f>IF(AA$1="",0,операции!AA338)</f>
        <v>0</v>
      </c>
      <c r="AB263" s="22"/>
    </row>
    <row r="264" spans="1:28" s="23" customFormat="1" ht="10.199999999999999" x14ac:dyDescent="0.2">
      <c r="A264" s="22"/>
      <c r="B264" s="22"/>
      <c r="C264" s="22"/>
      <c r="D264" s="22"/>
      <c r="E264" s="22" t="str">
        <f>E260</f>
        <v>ФОТ - начисления/оплаты</v>
      </c>
      <c r="F264" s="22"/>
      <c r="G264" s="22" t="str">
        <f>IF($E264="","",INDEX(KPI!$G:$G,SUMIFS(KPI!$B:$B,KPI!$E:$E,$E264)))</f>
        <v>тыс.руб.</v>
      </c>
      <c r="H264" s="100">
        <f>структура!$V$15</f>
        <v>4</v>
      </c>
      <c r="I264" s="31"/>
      <c r="J264" s="98" t="str">
        <f>структура!$X$15</f>
        <v>апр</v>
      </c>
      <c r="K264" s="99"/>
      <c r="L264" s="22"/>
      <c r="M264" s="58"/>
      <c r="N264" s="22"/>
      <c r="O264" s="22"/>
      <c r="P264" s="101">
        <f>IF(P$1="",0,операции!P339)</f>
        <v>185</v>
      </c>
      <c r="Q264" s="101">
        <f>IF(Q$1="",0,операции!Q339)</f>
        <v>185</v>
      </c>
      <c r="R264" s="101">
        <f>IF(R$1="",0,операции!R339)</f>
        <v>185</v>
      </c>
      <c r="S264" s="101">
        <f>IF(S$1="",0,операции!S339)</f>
        <v>185</v>
      </c>
      <c r="T264" s="101">
        <f>IF(T$1="",0,операции!T339)</f>
        <v>185</v>
      </c>
      <c r="U264" s="101">
        <f>IF(U$1="",0,операции!U339)</f>
        <v>185</v>
      </c>
      <c r="V264" s="101">
        <f>IF(V$1="",0,операции!V339)</f>
        <v>185</v>
      </c>
      <c r="W264" s="101">
        <f>IF(W$1="",0,операции!W339)</f>
        <v>0</v>
      </c>
      <c r="X264" s="101">
        <f>IF(X$1="",0,операции!X339)</f>
        <v>0</v>
      </c>
      <c r="Y264" s="101">
        <f>IF(Y$1="",0,операции!Y339)</f>
        <v>0</v>
      </c>
      <c r="Z264" s="101">
        <f>IF(Z$1="",0,операции!Z339)</f>
        <v>0</v>
      </c>
      <c r="AA264" s="101">
        <f>IF(AA$1="",0,операции!AA339)</f>
        <v>0</v>
      </c>
      <c r="AB264" s="22"/>
    </row>
    <row r="265" spans="1:28" s="23" customFormat="1" ht="10.199999999999999" x14ac:dyDescent="0.2">
      <c r="A265" s="22"/>
      <c r="B265" s="22"/>
      <c r="C265" s="22"/>
      <c r="D265" s="22"/>
      <c r="E265" s="22" t="str">
        <f>E260</f>
        <v>ФОТ - начисления/оплаты</v>
      </c>
      <c r="F265" s="22"/>
      <c r="G265" s="22" t="str">
        <f>IF($E265="","",INDEX(KPI!$G:$G,SUMIFS(KPI!$B:$B,KPI!$E:$E,$E265)))</f>
        <v>тыс.руб.</v>
      </c>
      <c r="H265" s="100">
        <f>структура!$V$16</f>
        <v>5</v>
      </c>
      <c r="I265" s="31"/>
      <c r="J265" s="98" t="str">
        <f>структура!$X$16</f>
        <v>май</v>
      </c>
      <c r="K265" s="99"/>
      <c r="L265" s="22"/>
      <c r="M265" s="58"/>
      <c r="N265" s="22"/>
      <c r="O265" s="22"/>
      <c r="P265" s="101">
        <f>IF(P$1="",0,операции!P340)</f>
        <v>185</v>
      </c>
      <c r="Q265" s="101">
        <f>IF(Q$1="",0,операции!Q340)</f>
        <v>185</v>
      </c>
      <c r="R265" s="101">
        <f>IF(R$1="",0,операции!R340)</f>
        <v>185</v>
      </c>
      <c r="S265" s="101">
        <f>IF(S$1="",0,операции!S340)</f>
        <v>185</v>
      </c>
      <c r="T265" s="101">
        <f>IF(T$1="",0,операции!T340)</f>
        <v>185</v>
      </c>
      <c r="U265" s="101">
        <f>IF(U$1="",0,операции!U340)</f>
        <v>185</v>
      </c>
      <c r="V265" s="101">
        <f>IF(V$1="",0,операции!V340)</f>
        <v>185</v>
      </c>
      <c r="W265" s="101">
        <f>IF(W$1="",0,операции!W340)</f>
        <v>0</v>
      </c>
      <c r="X265" s="101">
        <f>IF(X$1="",0,операции!X340)</f>
        <v>0</v>
      </c>
      <c r="Y265" s="101">
        <f>IF(Y$1="",0,операции!Y340)</f>
        <v>0</v>
      </c>
      <c r="Z265" s="101">
        <f>IF(Z$1="",0,операции!Z340)</f>
        <v>0</v>
      </c>
      <c r="AA265" s="101">
        <f>IF(AA$1="",0,операции!AA340)</f>
        <v>0</v>
      </c>
      <c r="AB265" s="22"/>
    </row>
    <row r="266" spans="1:28" s="23" customFormat="1" ht="10.199999999999999" x14ac:dyDescent="0.2">
      <c r="A266" s="22"/>
      <c r="B266" s="22"/>
      <c r="C266" s="22"/>
      <c r="D266" s="22"/>
      <c r="E266" s="22" t="str">
        <f>E260</f>
        <v>ФОТ - начисления/оплаты</v>
      </c>
      <c r="F266" s="22"/>
      <c r="G266" s="22" t="str">
        <f>IF($E266="","",INDEX(KPI!$G:$G,SUMIFS(KPI!$B:$B,KPI!$E:$E,$E266)))</f>
        <v>тыс.руб.</v>
      </c>
      <c r="H266" s="100">
        <f>структура!$V$17</f>
        <v>6</v>
      </c>
      <c r="I266" s="31"/>
      <c r="J266" s="98" t="str">
        <f>структура!$X$17</f>
        <v>июн</v>
      </c>
      <c r="K266" s="99"/>
      <c r="L266" s="22"/>
      <c r="M266" s="58"/>
      <c r="N266" s="22"/>
      <c r="O266" s="22"/>
      <c r="P266" s="101">
        <f>IF(P$1="",0,операции!P341)</f>
        <v>185</v>
      </c>
      <c r="Q266" s="101">
        <f>IF(Q$1="",0,операции!Q341)</f>
        <v>185</v>
      </c>
      <c r="R266" s="101">
        <f>IF(R$1="",0,операции!R341)</f>
        <v>185</v>
      </c>
      <c r="S266" s="101">
        <f>IF(S$1="",0,операции!S341)</f>
        <v>185</v>
      </c>
      <c r="T266" s="101">
        <f>IF(T$1="",0,операции!T341)</f>
        <v>185</v>
      </c>
      <c r="U266" s="101">
        <f>IF(U$1="",0,операции!U341)</f>
        <v>185</v>
      </c>
      <c r="V266" s="101">
        <f>IF(V$1="",0,операции!V341)</f>
        <v>185</v>
      </c>
      <c r="W266" s="101">
        <f>IF(W$1="",0,операции!W341)</f>
        <v>0</v>
      </c>
      <c r="X266" s="101">
        <f>IF(X$1="",0,операции!X341)</f>
        <v>0</v>
      </c>
      <c r="Y266" s="101">
        <f>IF(Y$1="",0,операции!Y341)</f>
        <v>0</v>
      </c>
      <c r="Z266" s="101">
        <f>IF(Z$1="",0,операции!Z341)</f>
        <v>0</v>
      </c>
      <c r="AA266" s="101">
        <f>IF(AA$1="",0,операции!AA341)</f>
        <v>0</v>
      </c>
      <c r="AB266" s="22"/>
    </row>
    <row r="267" spans="1:28" s="23" customFormat="1" ht="10.199999999999999" x14ac:dyDescent="0.2">
      <c r="A267" s="22"/>
      <c r="B267" s="22"/>
      <c r="C267" s="22"/>
      <c r="D267" s="22"/>
      <c r="E267" s="22" t="str">
        <f>E260</f>
        <v>ФОТ - начисления/оплаты</v>
      </c>
      <c r="F267" s="22"/>
      <c r="G267" s="22" t="str">
        <f>IF($E267="","",INDEX(KPI!$G:$G,SUMIFS(KPI!$B:$B,KPI!$E:$E,$E267)))</f>
        <v>тыс.руб.</v>
      </c>
      <c r="H267" s="100">
        <f>структура!$V$18</f>
        <v>7</v>
      </c>
      <c r="I267" s="31"/>
      <c r="J267" s="98" t="str">
        <f>структура!$X$18</f>
        <v>июл</v>
      </c>
      <c r="K267" s="99"/>
      <c r="L267" s="22"/>
      <c r="M267" s="58"/>
      <c r="N267" s="22"/>
      <c r="O267" s="22"/>
      <c r="P267" s="101">
        <f>IF(P$1="",0,операции!P342)</f>
        <v>185</v>
      </c>
      <c r="Q267" s="101">
        <f>IF(Q$1="",0,операции!Q342)</f>
        <v>185</v>
      </c>
      <c r="R267" s="101">
        <f>IF(R$1="",0,операции!R342)</f>
        <v>185</v>
      </c>
      <c r="S267" s="101">
        <f>IF(S$1="",0,операции!S342)</f>
        <v>185</v>
      </c>
      <c r="T267" s="101">
        <f>IF(T$1="",0,операции!T342)</f>
        <v>185</v>
      </c>
      <c r="U267" s="101">
        <f>IF(U$1="",0,операции!U342)</f>
        <v>185</v>
      </c>
      <c r="V267" s="101">
        <f>IF(V$1="",0,операции!V342)</f>
        <v>185</v>
      </c>
      <c r="W267" s="101">
        <f>IF(W$1="",0,операции!W342)</f>
        <v>0</v>
      </c>
      <c r="X267" s="101">
        <f>IF(X$1="",0,операции!X342)</f>
        <v>0</v>
      </c>
      <c r="Y267" s="101">
        <f>IF(Y$1="",0,операции!Y342)</f>
        <v>0</v>
      </c>
      <c r="Z267" s="101">
        <f>IF(Z$1="",0,операции!Z342)</f>
        <v>0</v>
      </c>
      <c r="AA267" s="101">
        <f>IF(AA$1="",0,операции!AA342)</f>
        <v>0</v>
      </c>
      <c r="AB267" s="22"/>
    </row>
    <row r="268" spans="1:28" s="23" customFormat="1" ht="10.199999999999999" x14ac:dyDescent="0.2">
      <c r="A268" s="22"/>
      <c r="B268" s="22"/>
      <c r="C268" s="22"/>
      <c r="D268" s="22"/>
      <c r="E268" s="22" t="str">
        <f>E260</f>
        <v>ФОТ - начисления/оплаты</v>
      </c>
      <c r="F268" s="22"/>
      <c r="G268" s="22" t="str">
        <f>IF($E268="","",INDEX(KPI!$G:$G,SUMIFS(KPI!$B:$B,KPI!$E:$E,$E268)))</f>
        <v>тыс.руб.</v>
      </c>
      <c r="H268" s="100">
        <f>структура!$V$19</f>
        <v>8</v>
      </c>
      <c r="I268" s="31"/>
      <c r="J268" s="98" t="str">
        <f>структура!$X$19</f>
        <v>авг</v>
      </c>
      <c r="K268" s="99"/>
      <c r="L268" s="22"/>
      <c r="M268" s="58"/>
      <c r="N268" s="22"/>
      <c r="O268" s="22"/>
      <c r="P268" s="101">
        <f>IF(P$1="",0,операции!P343)</f>
        <v>185</v>
      </c>
      <c r="Q268" s="101">
        <f>IF(Q$1="",0,операции!Q343)</f>
        <v>185</v>
      </c>
      <c r="R268" s="101">
        <f>IF(R$1="",0,операции!R343)</f>
        <v>185</v>
      </c>
      <c r="S268" s="101">
        <f>IF(S$1="",0,операции!S343)</f>
        <v>185</v>
      </c>
      <c r="T268" s="101">
        <f>IF(T$1="",0,операции!T343)</f>
        <v>185</v>
      </c>
      <c r="U268" s="101">
        <f>IF(U$1="",0,операции!U343)</f>
        <v>185</v>
      </c>
      <c r="V268" s="101">
        <f>IF(V$1="",0,операции!V343)</f>
        <v>185</v>
      </c>
      <c r="W268" s="101">
        <f>IF(W$1="",0,операции!W343)</f>
        <v>0</v>
      </c>
      <c r="X268" s="101">
        <f>IF(X$1="",0,операции!X343)</f>
        <v>0</v>
      </c>
      <c r="Y268" s="101">
        <f>IF(Y$1="",0,операции!Y343)</f>
        <v>0</v>
      </c>
      <c r="Z268" s="101">
        <f>IF(Z$1="",0,операции!Z343)</f>
        <v>0</v>
      </c>
      <c r="AA268" s="101">
        <f>IF(AA$1="",0,операции!AA343)</f>
        <v>0</v>
      </c>
      <c r="AB268" s="22"/>
    </row>
    <row r="269" spans="1:28" s="23" customFormat="1" ht="10.199999999999999" x14ac:dyDescent="0.2">
      <c r="A269" s="22"/>
      <c r="B269" s="22"/>
      <c r="C269" s="22"/>
      <c r="D269" s="22"/>
      <c r="E269" s="22" t="str">
        <f>E260</f>
        <v>ФОТ - начисления/оплаты</v>
      </c>
      <c r="F269" s="22"/>
      <c r="G269" s="22" t="str">
        <f>IF($E269="","",INDEX(KPI!$G:$G,SUMIFS(KPI!$B:$B,KPI!$E:$E,$E269)))</f>
        <v>тыс.руб.</v>
      </c>
      <c r="H269" s="100">
        <f>структура!$V$20</f>
        <v>9</v>
      </c>
      <c r="I269" s="31"/>
      <c r="J269" s="98" t="str">
        <f>структура!$X$20</f>
        <v>сен</v>
      </c>
      <c r="K269" s="99"/>
      <c r="L269" s="22"/>
      <c r="M269" s="58"/>
      <c r="N269" s="22"/>
      <c r="O269" s="22"/>
      <c r="P269" s="101">
        <f>IF(P$1="",0,операции!P344)</f>
        <v>185</v>
      </c>
      <c r="Q269" s="101">
        <f>IF(Q$1="",0,операции!Q344)</f>
        <v>185</v>
      </c>
      <c r="R269" s="101">
        <f>IF(R$1="",0,операции!R344)</f>
        <v>185</v>
      </c>
      <c r="S269" s="101">
        <f>IF(S$1="",0,операции!S344)</f>
        <v>185</v>
      </c>
      <c r="T269" s="101">
        <f>IF(T$1="",0,операции!T344)</f>
        <v>185</v>
      </c>
      <c r="U269" s="101">
        <f>IF(U$1="",0,операции!U344)</f>
        <v>185</v>
      </c>
      <c r="V269" s="101">
        <f>IF(V$1="",0,операции!V344)</f>
        <v>185</v>
      </c>
      <c r="W269" s="101">
        <f>IF(W$1="",0,операции!W344)</f>
        <v>0</v>
      </c>
      <c r="X269" s="101">
        <f>IF(X$1="",0,операции!X344)</f>
        <v>0</v>
      </c>
      <c r="Y269" s="101">
        <f>IF(Y$1="",0,операции!Y344)</f>
        <v>0</v>
      </c>
      <c r="Z269" s="101">
        <f>IF(Z$1="",0,операции!Z344)</f>
        <v>0</v>
      </c>
      <c r="AA269" s="101">
        <f>IF(AA$1="",0,операции!AA344)</f>
        <v>0</v>
      </c>
      <c r="AB269" s="22"/>
    </row>
    <row r="270" spans="1:28" s="23" customFormat="1" ht="10.199999999999999" x14ac:dyDescent="0.2">
      <c r="A270" s="22"/>
      <c r="B270" s="22"/>
      <c r="C270" s="22"/>
      <c r="D270" s="22"/>
      <c r="E270" s="22" t="str">
        <f>E260</f>
        <v>ФОТ - начисления/оплаты</v>
      </c>
      <c r="F270" s="22"/>
      <c r="G270" s="22" t="str">
        <f>IF($E270="","",INDEX(KPI!$G:$G,SUMIFS(KPI!$B:$B,KPI!$E:$E,$E270)))</f>
        <v>тыс.руб.</v>
      </c>
      <c r="H270" s="100">
        <f>структура!$V$21</f>
        <v>10</v>
      </c>
      <c r="I270" s="31"/>
      <c r="J270" s="98" t="str">
        <f>структура!$X$21</f>
        <v>окт</v>
      </c>
      <c r="K270" s="99"/>
      <c r="L270" s="22"/>
      <c r="M270" s="58"/>
      <c r="N270" s="22"/>
      <c r="O270" s="22"/>
      <c r="P270" s="101">
        <f>IF(P$1="",0,операции!P345)</f>
        <v>185</v>
      </c>
      <c r="Q270" s="101">
        <f>IF(Q$1="",0,операции!Q345)</f>
        <v>185</v>
      </c>
      <c r="R270" s="101">
        <f>IF(R$1="",0,операции!R345)</f>
        <v>185</v>
      </c>
      <c r="S270" s="101">
        <f>IF(S$1="",0,операции!S345)</f>
        <v>185</v>
      </c>
      <c r="T270" s="101">
        <f>IF(T$1="",0,операции!T345)</f>
        <v>185</v>
      </c>
      <c r="U270" s="101">
        <f>IF(U$1="",0,операции!U345)</f>
        <v>185</v>
      </c>
      <c r="V270" s="101">
        <f>IF(V$1="",0,операции!V345)</f>
        <v>185</v>
      </c>
      <c r="W270" s="101">
        <f>IF(W$1="",0,операции!W345)</f>
        <v>0</v>
      </c>
      <c r="X270" s="101">
        <f>IF(X$1="",0,операции!X345)</f>
        <v>0</v>
      </c>
      <c r="Y270" s="101">
        <f>IF(Y$1="",0,операции!Y345)</f>
        <v>0</v>
      </c>
      <c r="Z270" s="101">
        <f>IF(Z$1="",0,операции!Z345)</f>
        <v>0</v>
      </c>
      <c r="AA270" s="101">
        <f>IF(AA$1="",0,операции!AA345)</f>
        <v>0</v>
      </c>
      <c r="AB270" s="22"/>
    </row>
    <row r="271" spans="1:28" s="23" customFormat="1" ht="10.199999999999999" x14ac:dyDescent="0.2">
      <c r="A271" s="22"/>
      <c r="B271" s="22"/>
      <c r="C271" s="22"/>
      <c r="D271" s="22"/>
      <c r="E271" s="22" t="str">
        <f>E260</f>
        <v>ФОТ - начисления/оплаты</v>
      </c>
      <c r="F271" s="22"/>
      <c r="G271" s="22" t="str">
        <f>IF($E271="","",INDEX(KPI!$G:$G,SUMIFS(KPI!$B:$B,KPI!$E:$E,$E271)))</f>
        <v>тыс.руб.</v>
      </c>
      <c r="H271" s="100">
        <f>структура!$V$22</f>
        <v>11</v>
      </c>
      <c r="I271" s="31"/>
      <c r="J271" s="98" t="str">
        <f>структура!$X$22</f>
        <v>ноя</v>
      </c>
      <c r="K271" s="99"/>
      <c r="L271" s="22"/>
      <c r="M271" s="58"/>
      <c r="N271" s="22"/>
      <c r="O271" s="22"/>
      <c r="P271" s="101">
        <f>IF(P$1="",0,операции!P346)</f>
        <v>185</v>
      </c>
      <c r="Q271" s="101">
        <f>IF(Q$1="",0,операции!Q346)</f>
        <v>185</v>
      </c>
      <c r="R271" s="101">
        <f>IF(R$1="",0,операции!R346)</f>
        <v>185</v>
      </c>
      <c r="S271" s="101">
        <f>IF(S$1="",0,операции!S346)</f>
        <v>185</v>
      </c>
      <c r="T271" s="101">
        <f>IF(T$1="",0,операции!T346)</f>
        <v>185</v>
      </c>
      <c r="U271" s="101">
        <f>IF(U$1="",0,операции!U346)</f>
        <v>185</v>
      </c>
      <c r="V271" s="101">
        <f>IF(V$1="",0,операции!V346)</f>
        <v>185</v>
      </c>
      <c r="W271" s="101">
        <f>IF(W$1="",0,операции!W346)</f>
        <v>0</v>
      </c>
      <c r="X271" s="101">
        <f>IF(X$1="",0,операции!X346)</f>
        <v>0</v>
      </c>
      <c r="Y271" s="101">
        <f>IF(Y$1="",0,операции!Y346)</f>
        <v>0</v>
      </c>
      <c r="Z271" s="101">
        <f>IF(Z$1="",0,операции!Z346)</f>
        <v>0</v>
      </c>
      <c r="AA271" s="101">
        <f>IF(AA$1="",0,операции!AA346)</f>
        <v>0</v>
      </c>
      <c r="AB271" s="22"/>
    </row>
    <row r="272" spans="1:28" s="23" customFormat="1" ht="10.199999999999999" x14ac:dyDescent="0.2">
      <c r="A272" s="22"/>
      <c r="B272" s="22"/>
      <c r="C272" s="22"/>
      <c r="D272" s="22"/>
      <c r="E272" s="22" t="str">
        <f>E260</f>
        <v>ФОТ - начисления/оплаты</v>
      </c>
      <c r="F272" s="22"/>
      <c r="G272" s="22" t="str">
        <f>IF($E272="","",INDEX(KPI!$G:$G,SUMIFS(KPI!$B:$B,KPI!$E:$E,$E272)))</f>
        <v>тыс.руб.</v>
      </c>
      <c r="H272" s="100">
        <f>структура!$V$23</f>
        <v>12</v>
      </c>
      <c r="I272" s="31"/>
      <c r="J272" s="98" t="str">
        <f>структура!$X$23</f>
        <v>дек</v>
      </c>
      <c r="K272" s="99"/>
      <c r="L272" s="22"/>
      <c r="M272" s="58"/>
      <c r="N272" s="22"/>
      <c r="O272" s="22"/>
      <c r="P272" s="101">
        <f>IF(P$1="",0,операции!P347)</f>
        <v>185</v>
      </c>
      <c r="Q272" s="101">
        <f>IF(Q$1="",0,операции!Q347)</f>
        <v>185</v>
      </c>
      <c r="R272" s="101">
        <f>IF(R$1="",0,операции!R347)</f>
        <v>185</v>
      </c>
      <c r="S272" s="101">
        <f>IF(S$1="",0,операции!S347)</f>
        <v>185</v>
      </c>
      <c r="T272" s="101">
        <f>IF(T$1="",0,операции!T347)</f>
        <v>185</v>
      </c>
      <c r="U272" s="101">
        <f>IF(U$1="",0,операции!U347)</f>
        <v>185</v>
      </c>
      <c r="V272" s="101">
        <f>IF(V$1="",0,операции!V347)</f>
        <v>185</v>
      </c>
      <c r="W272" s="101">
        <f>IF(W$1="",0,операции!W347)</f>
        <v>0</v>
      </c>
      <c r="X272" s="101">
        <f>IF(X$1="",0,операции!X347)</f>
        <v>0</v>
      </c>
      <c r="Y272" s="101">
        <f>IF(Y$1="",0,операции!Y347)</f>
        <v>0</v>
      </c>
      <c r="Z272" s="101">
        <f>IF(Z$1="",0,операции!Z347)</f>
        <v>0</v>
      </c>
      <c r="AA272" s="101">
        <f>IF(AA$1="",0,операции!AA347)</f>
        <v>0</v>
      </c>
      <c r="AB272" s="22"/>
    </row>
    <row r="273" spans="1:28" ht="3.9" customHeight="1" x14ac:dyDescent="0.25">
      <c r="A273" s="2"/>
      <c r="B273" s="2"/>
      <c r="C273" s="2"/>
      <c r="D273" s="2"/>
      <c r="E273" s="21"/>
      <c r="F273" s="2"/>
      <c r="G273" s="21"/>
      <c r="H273" s="2"/>
      <c r="I273" s="28"/>
      <c r="J273" s="21"/>
      <c r="K273" s="28"/>
      <c r="L273" s="2"/>
      <c r="M273" s="52"/>
      <c r="N273" s="2"/>
      <c r="O273" s="2"/>
      <c r="P273" s="36"/>
      <c r="Q273" s="36"/>
      <c r="R273" s="36"/>
      <c r="S273" s="36"/>
      <c r="T273" s="36"/>
      <c r="U273" s="36"/>
      <c r="V273" s="36"/>
      <c r="W273" s="36"/>
      <c r="X273" s="36"/>
      <c r="Y273" s="36"/>
      <c r="Z273" s="36"/>
      <c r="AA273" s="36"/>
      <c r="AB273" s="2"/>
    </row>
    <row r="274" spans="1:28" ht="8.1" customHeight="1" x14ac:dyDescent="0.25">
      <c r="A274" s="2"/>
      <c r="B274" s="2"/>
      <c r="C274" s="2"/>
      <c r="D274" s="2"/>
      <c r="E274" s="2"/>
      <c r="F274" s="2"/>
      <c r="G274" s="2"/>
      <c r="H274" s="2"/>
      <c r="I274" s="28"/>
      <c r="J274" s="2"/>
      <c r="K274" s="28"/>
      <c r="L274" s="2"/>
      <c r="M274" s="52"/>
      <c r="N274" s="2"/>
      <c r="O274" s="2"/>
      <c r="P274" s="36"/>
      <c r="Q274" s="36"/>
      <c r="R274" s="36"/>
      <c r="S274" s="36"/>
      <c r="T274" s="36"/>
      <c r="U274" s="36"/>
      <c r="V274" s="36"/>
      <c r="W274" s="36"/>
      <c r="X274" s="36"/>
      <c r="Y274" s="36"/>
      <c r="Z274" s="36"/>
      <c r="AA274" s="36"/>
      <c r="AB274" s="2"/>
    </row>
    <row r="275" spans="1:28" s="5" customFormat="1" x14ac:dyDescent="0.25">
      <c r="A275" s="3"/>
      <c r="B275" s="3"/>
      <c r="C275" s="3"/>
      <c r="D275" s="3"/>
      <c r="E275" s="3" t="str">
        <f>KPI!$E$58</f>
        <v>ставка отчислений в соцфонды+страхНС</v>
      </c>
      <c r="F275" s="3"/>
      <c r="G275" s="3" t="str">
        <f>IF($E275="","",INDEX(KPI!$G:$G,SUMIFS(KPI!$B:$B,KPI!$E:$E,$E275)))</f>
        <v>%</v>
      </c>
      <c r="H275" s="3"/>
      <c r="I275" s="6"/>
      <c r="J275" s="229">
        <f>операции!J350</f>
        <v>0.30199999999999999</v>
      </c>
      <c r="K275" s="28"/>
      <c r="L275" s="2"/>
      <c r="M275" s="52"/>
      <c r="N275" s="3"/>
      <c r="O275" s="2"/>
      <c r="P275" s="36"/>
      <c r="Q275" s="36"/>
      <c r="R275" s="36"/>
      <c r="S275" s="36"/>
      <c r="T275" s="36"/>
      <c r="U275" s="36"/>
      <c r="V275" s="36"/>
      <c r="W275" s="36"/>
      <c r="X275" s="36"/>
      <c r="Y275" s="36"/>
      <c r="Z275" s="36"/>
      <c r="AA275" s="36"/>
      <c r="AB275" s="2"/>
    </row>
    <row r="276" spans="1:28" ht="3.9" customHeight="1" x14ac:dyDescent="0.25">
      <c r="A276" s="2"/>
      <c r="B276" s="2"/>
      <c r="C276" s="2"/>
      <c r="D276" s="2"/>
      <c r="E276" s="110"/>
      <c r="F276" s="2"/>
      <c r="G276" s="2"/>
      <c r="H276" s="2"/>
      <c r="I276" s="28"/>
      <c r="J276" s="2"/>
      <c r="K276" s="28"/>
      <c r="L276" s="2"/>
      <c r="M276" s="52"/>
      <c r="N276" s="2"/>
      <c r="O276" s="2"/>
      <c r="P276" s="36"/>
      <c r="Q276" s="36"/>
      <c r="R276" s="36"/>
      <c r="S276" s="36"/>
      <c r="T276" s="36"/>
      <c r="U276" s="36"/>
      <c r="V276" s="36"/>
      <c r="W276" s="36"/>
      <c r="X276" s="36"/>
      <c r="Y276" s="36"/>
      <c r="Z276" s="36"/>
      <c r="AA276" s="36"/>
      <c r="AB276" s="2"/>
    </row>
    <row r="277" spans="1:28" ht="8.1" customHeight="1" x14ac:dyDescent="0.25">
      <c r="A277" s="2"/>
      <c r="B277" s="2"/>
      <c r="C277" s="2"/>
      <c r="D277" s="2"/>
      <c r="E277" s="2"/>
      <c r="F277" s="2"/>
      <c r="G277" s="2"/>
      <c r="H277" s="2"/>
      <c r="I277" s="28"/>
      <c r="J277" s="2"/>
      <c r="K277" s="28"/>
      <c r="L277" s="2"/>
      <c r="M277" s="52"/>
      <c r="N277" s="2"/>
      <c r="O277" s="2"/>
      <c r="P277" s="36"/>
      <c r="Q277" s="36"/>
      <c r="R277" s="36"/>
      <c r="S277" s="36"/>
      <c r="T277" s="36"/>
      <c r="U277" s="36"/>
      <c r="V277" s="36"/>
      <c r="W277" s="36"/>
      <c r="X277" s="36"/>
      <c r="Y277" s="36"/>
      <c r="Z277" s="36"/>
      <c r="AA277" s="36"/>
      <c r="AB277" s="2"/>
    </row>
    <row r="278" spans="1:28" s="5" customFormat="1" x14ac:dyDescent="0.25">
      <c r="A278" s="3"/>
      <c r="B278" s="3"/>
      <c r="C278" s="3"/>
      <c r="D278" s="111"/>
      <c r="E278" s="3" t="str">
        <f>KPI!$E$59</f>
        <v>начисления в соцфонды</v>
      </c>
      <c r="F278" s="3"/>
      <c r="G278" s="3" t="str">
        <f>IF($E278="","",INDEX(KPI!$G:$G,SUMIFS(KPI!$B:$B,KPI!$E:$E,$E278)))</f>
        <v>тыс.руб.</v>
      </c>
      <c r="H278" s="103"/>
      <c r="I278" s="28"/>
      <c r="J278" s="44"/>
      <c r="K278" s="28"/>
      <c r="L278" s="3"/>
      <c r="M278" s="55">
        <f>SUM($O278:$AB278)</f>
        <v>4693.08</v>
      </c>
      <c r="N278" s="3"/>
      <c r="O278" s="3"/>
      <c r="P278" s="46">
        <f>IF(P$1="",0,IF(P$1=0,SUMIFS(P279:P290,H279:H290,"&gt;="&amp;MONTH($J$13)),SUM(P279:P290)))</f>
        <v>670.43999999999994</v>
      </c>
      <c r="Q278" s="46">
        <f t="shared" ref="Q278" si="58">IF(Q$1="",0,SUM(Q279:Q290))</f>
        <v>670.43999999999994</v>
      </c>
      <c r="R278" s="46">
        <f t="shared" ref="R278:AA278" si="59">IF(R$1="",0,SUM(R279:R290))</f>
        <v>670.43999999999994</v>
      </c>
      <c r="S278" s="46">
        <f t="shared" si="59"/>
        <v>670.43999999999994</v>
      </c>
      <c r="T278" s="46">
        <f t="shared" si="59"/>
        <v>670.43999999999994</v>
      </c>
      <c r="U278" s="46">
        <f t="shared" si="59"/>
        <v>670.43999999999994</v>
      </c>
      <c r="V278" s="46">
        <f t="shared" si="59"/>
        <v>670.43999999999994</v>
      </c>
      <c r="W278" s="46">
        <f t="shared" si="59"/>
        <v>0</v>
      </c>
      <c r="X278" s="46">
        <f t="shared" si="59"/>
        <v>0</v>
      </c>
      <c r="Y278" s="46">
        <f t="shared" si="59"/>
        <v>0</v>
      </c>
      <c r="Z278" s="46">
        <f t="shared" si="59"/>
        <v>0</v>
      </c>
      <c r="AA278" s="46">
        <f t="shared" si="59"/>
        <v>0</v>
      </c>
      <c r="AB278" s="3"/>
    </row>
    <row r="279" spans="1:28" s="23" customFormat="1" ht="10.199999999999999" x14ac:dyDescent="0.2">
      <c r="A279" s="22"/>
      <c r="B279" s="22"/>
      <c r="C279" s="22"/>
      <c r="D279" s="22"/>
      <c r="E279" s="22" t="str">
        <f>E278</f>
        <v>начисления в соцфонды</v>
      </c>
      <c r="F279" s="22"/>
      <c r="G279" s="22" t="str">
        <f>IF($E279="","",INDEX(KPI!$G:$G,SUMIFS(KPI!$B:$B,KPI!$E:$E,$E279)))</f>
        <v>тыс.руб.</v>
      </c>
      <c r="H279" s="100">
        <f>структура!$V$12</f>
        <v>1</v>
      </c>
      <c r="I279" s="31"/>
      <c r="J279" s="98" t="str">
        <f>структура!$X$12</f>
        <v>янв</v>
      </c>
      <c r="K279" s="99"/>
      <c r="L279" s="22"/>
      <c r="M279" s="58"/>
      <c r="N279" s="22"/>
      <c r="O279" s="22"/>
      <c r="P279" s="101">
        <f>IF(P$1="",0,операции!P354)</f>
        <v>55.87</v>
      </c>
      <c r="Q279" s="101">
        <f>IF(Q$1="",0,операции!Q354)</f>
        <v>55.87</v>
      </c>
      <c r="R279" s="101">
        <f>IF(R$1="",0,операции!R354)</f>
        <v>55.87</v>
      </c>
      <c r="S279" s="101">
        <f>IF(S$1="",0,операции!S354)</f>
        <v>55.87</v>
      </c>
      <c r="T279" s="101">
        <f>IF(T$1="",0,операции!T354)</f>
        <v>55.87</v>
      </c>
      <c r="U279" s="101">
        <f>IF(U$1="",0,операции!U354)</f>
        <v>55.87</v>
      </c>
      <c r="V279" s="101">
        <f>IF(V$1="",0,операции!V354)</f>
        <v>55.87</v>
      </c>
      <c r="W279" s="101">
        <f>IF(W$1="",0,операции!W354)</f>
        <v>0</v>
      </c>
      <c r="X279" s="101">
        <f>IF(X$1="",0,операции!X354)</f>
        <v>0</v>
      </c>
      <c r="Y279" s="101">
        <f>IF(Y$1="",0,операции!Y354)</f>
        <v>0</v>
      </c>
      <c r="Z279" s="101">
        <f>IF(Z$1="",0,операции!Z354)</f>
        <v>0</v>
      </c>
      <c r="AA279" s="101">
        <f>IF(AA$1="",0,операции!AA354)</f>
        <v>0</v>
      </c>
      <c r="AB279" s="22"/>
    </row>
    <row r="280" spans="1:28" s="23" customFormat="1" ht="10.199999999999999" x14ac:dyDescent="0.2">
      <c r="A280" s="22"/>
      <c r="B280" s="22"/>
      <c r="C280" s="22"/>
      <c r="D280" s="22"/>
      <c r="E280" s="22" t="str">
        <f>E278</f>
        <v>начисления в соцфонды</v>
      </c>
      <c r="F280" s="22"/>
      <c r="G280" s="22" t="str">
        <f>IF($E280="","",INDEX(KPI!$G:$G,SUMIFS(KPI!$B:$B,KPI!$E:$E,$E280)))</f>
        <v>тыс.руб.</v>
      </c>
      <c r="H280" s="100">
        <f>структура!$V$13</f>
        <v>2</v>
      </c>
      <c r="I280" s="31"/>
      <c r="J280" s="98" t="str">
        <f>структура!$X$13</f>
        <v>фев</v>
      </c>
      <c r="K280" s="99"/>
      <c r="L280" s="22"/>
      <c r="M280" s="58"/>
      <c r="N280" s="22"/>
      <c r="O280" s="22"/>
      <c r="P280" s="101">
        <f>IF(P$1="",0,операции!P355)</f>
        <v>55.87</v>
      </c>
      <c r="Q280" s="101">
        <f>IF(Q$1="",0,операции!Q355)</f>
        <v>55.87</v>
      </c>
      <c r="R280" s="101">
        <f>IF(R$1="",0,операции!R355)</f>
        <v>55.87</v>
      </c>
      <c r="S280" s="101">
        <f>IF(S$1="",0,операции!S355)</f>
        <v>55.87</v>
      </c>
      <c r="T280" s="101">
        <f>IF(T$1="",0,операции!T355)</f>
        <v>55.87</v>
      </c>
      <c r="U280" s="101">
        <f>IF(U$1="",0,операции!U355)</f>
        <v>55.87</v>
      </c>
      <c r="V280" s="101">
        <f>IF(V$1="",0,операции!V355)</f>
        <v>55.87</v>
      </c>
      <c r="W280" s="101">
        <f>IF(W$1="",0,операции!W355)</f>
        <v>0</v>
      </c>
      <c r="X280" s="101">
        <f>IF(X$1="",0,операции!X355)</f>
        <v>0</v>
      </c>
      <c r="Y280" s="101">
        <f>IF(Y$1="",0,операции!Y355)</f>
        <v>0</v>
      </c>
      <c r="Z280" s="101">
        <f>IF(Z$1="",0,операции!Z355)</f>
        <v>0</v>
      </c>
      <c r="AA280" s="101">
        <f>IF(AA$1="",0,операции!AA355)</f>
        <v>0</v>
      </c>
      <c r="AB280" s="22"/>
    </row>
    <row r="281" spans="1:28" s="23" customFormat="1" ht="10.199999999999999" x14ac:dyDescent="0.2">
      <c r="A281" s="22"/>
      <c r="B281" s="22"/>
      <c r="C281" s="22"/>
      <c r="D281" s="22"/>
      <c r="E281" s="22" t="str">
        <f>E278</f>
        <v>начисления в соцфонды</v>
      </c>
      <c r="F281" s="22"/>
      <c r="G281" s="22" t="str">
        <f>IF($E281="","",INDEX(KPI!$G:$G,SUMIFS(KPI!$B:$B,KPI!$E:$E,$E281)))</f>
        <v>тыс.руб.</v>
      </c>
      <c r="H281" s="100">
        <f>структура!$V$14</f>
        <v>3</v>
      </c>
      <c r="I281" s="31"/>
      <c r="J281" s="98" t="str">
        <f>структура!$X$14</f>
        <v>мар</v>
      </c>
      <c r="K281" s="99"/>
      <c r="L281" s="22"/>
      <c r="M281" s="58"/>
      <c r="N281" s="22"/>
      <c r="O281" s="22"/>
      <c r="P281" s="101">
        <f>IF(P$1="",0,операции!P356)</f>
        <v>55.87</v>
      </c>
      <c r="Q281" s="101">
        <f>IF(Q$1="",0,операции!Q356)</f>
        <v>55.87</v>
      </c>
      <c r="R281" s="101">
        <f>IF(R$1="",0,операции!R356)</f>
        <v>55.87</v>
      </c>
      <c r="S281" s="101">
        <f>IF(S$1="",0,операции!S356)</f>
        <v>55.87</v>
      </c>
      <c r="T281" s="101">
        <f>IF(T$1="",0,операции!T356)</f>
        <v>55.87</v>
      </c>
      <c r="U281" s="101">
        <f>IF(U$1="",0,операции!U356)</f>
        <v>55.87</v>
      </c>
      <c r="V281" s="101">
        <f>IF(V$1="",0,операции!V356)</f>
        <v>55.87</v>
      </c>
      <c r="W281" s="101">
        <f>IF(W$1="",0,операции!W356)</f>
        <v>0</v>
      </c>
      <c r="X281" s="101">
        <f>IF(X$1="",0,операции!X356)</f>
        <v>0</v>
      </c>
      <c r="Y281" s="101">
        <f>IF(Y$1="",0,операции!Y356)</f>
        <v>0</v>
      </c>
      <c r="Z281" s="101">
        <f>IF(Z$1="",0,операции!Z356)</f>
        <v>0</v>
      </c>
      <c r="AA281" s="101">
        <f>IF(AA$1="",0,операции!AA356)</f>
        <v>0</v>
      </c>
      <c r="AB281" s="22"/>
    </row>
    <row r="282" spans="1:28" s="23" customFormat="1" ht="10.199999999999999" x14ac:dyDescent="0.2">
      <c r="A282" s="22"/>
      <c r="B282" s="22"/>
      <c r="C282" s="22"/>
      <c r="D282" s="22"/>
      <c r="E282" s="22" t="str">
        <f>E278</f>
        <v>начисления в соцфонды</v>
      </c>
      <c r="F282" s="22"/>
      <c r="G282" s="22" t="str">
        <f>IF($E282="","",INDEX(KPI!$G:$G,SUMIFS(KPI!$B:$B,KPI!$E:$E,$E282)))</f>
        <v>тыс.руб.</v>
      </c>
      <c r="H282" s="100">
        <f>структура!$V$15</f>
        <v>4</v>
      </c>
      <c r="I282" s="31"/>
      <c r="J282" s="98" t="str">
        <f>структура!$X$15</f>
        <v>апр</v>
      </c>
      <c r="K282" s="99"/>
      <c r="L282" s="22"/>
      <c r="M282" s="58"/>
      <c r="N282" s="22"/>
      <c r="O282" s="22"/>
      <c r="P282" s="101">
        <f>IF(P$1="",0,операции!P357)</f>
        <v>55.87</v>
      </c>
      <c r="Q282" s="101">
        <f>IF(Q$1="",0,операции!Q357)</f>
        <v>55.87</v>
      </c>
      <c r="R282" s="101">
        <f>IF(R$1="",0,операции!R357)</f>
        <v>55.87</v>
      </c>
      <c r="S282" s="101">
        <f>IF(S$1="",0,операции!S357)</f>
        <v>55.87</v>
      </c>
      <c r="T282" s="101">
        <f>IF(T$1="",0,операции!T357)</f>
        <v>55.87</v>
      </c>
      <c r="U282" s="101">
        <f>IF(U$1="",0,операции!U357)</f>
        <v>55.87</v>
      </c>
      <c r="V282" s="101">
        <f>IF(V$1="",0,операции!V357)</f>
        <v>55.87</v>
      </c>
      <c r="W282" s="101">
        <f>IF(W$1="",0,операции!W357)</f>
        <v>0</v>
      </c>
      <c r="X282" s="101">
        <f>IF(X$1="",0,операции!X357)</f>
        <v>0</v>
      </c>
      <c r="Y282" s="101">
        <f>IF(Y$1="",0,операции!Y357)</f>
        <v>0</v>
      </c>
      <c r="Z282" s="101">
        <f>IF(Z$1="",0,операции!Z357)</f>
        <v>0</v>
      </c>
      <c r="AA282" s="101">
        <f>IF(AA$1="",0,операции!AA357)</f>
        <v>0</v>
      </c>
      <c r="AB282" s="22"/>
    </row>
    <row r="283" spans="1:28" s="23" customFormat="1" ht="10.199999999999999" x14ac:dyDescent="0.2">
      <c r="A283" s="22"/>
      <c r="B283" s="22"/>
      <c r="C283" s="22"/>
      <c r="D283" s="22"/>
      <c r="E283" s="22" t="str">
        <f>E278</f>
        <v>начисления в соцфонды</v>
      </c>
      <c r="F283" s="22"/>
      <c r="G283" s="22" t="str">
        <f>IF($E283="","",INDEX(KPI!$G:$G,SUMIFS(KPI!$B:$B,KPI!$E:$E,$E283)))</f>
        <v>тыс.руб.</v>
      </c>
      <c r="H283" s="100">
        <f>структура!$V$16</f>
        <v>5</v>
      </c>
      <c r="I283" s="31"/>
      <c r="J283" s="98" t="str">
        <f>структура!$X$16</f>
        <v>май</v>
      </c>
      <c r="K283" s="99"/>
      <c r="L283" s="22"/>
      <c r="M283" s="58"/>
      <c r="N283" s="22"/>
      <c r="O283" s="22"/>
      <c r="P283" s="101">
        <f>IF(P$1="",0,операции!P358)</f>
        <v>55.87</v>
      </c>
      <c r="Q283" s="101">
        <f>IF(Q$1="",0,операции!Q358)</f>
        <v>55.87</v>
      </c>
      <c r="R283" s="101">
        <f>IF(R$1="",0,операции!R358)</f>
        <v>55.87</v>
      </c>
      <c r="S283" s="101">
        <f>IF(S$1="",0,операции!S358)</f>
        <v>55.87</v>
      </c>
      <c r="T283" s="101">
        <f>IF(T$1="",0,операции!T358)</f>
        <v>55.87</v>
      </c>
      <c r="U283" s="101">
        <f>IF(U$1="",0,операции!U358)</f>
        <v>55.87</v>
      </c>
      <c r="V283" s="101">
        <f>IF(V$1="",0,операции!V358)</f>
        <v>55.87</v>
      </c>
      <c r="W283" s="101">
        <f>IF(W$1="",0,операции!W358)</f>
        <v>0</v>
      </c>
      <c r="X283" s="101">
        <f>IF(X$1="",0,операции!X358)</f>
        <v>0</v>
      </c>
      <c r="Y283" s="101">
        <f>IF(Y$1="",0,операции!Y358)</f>
        <v>0</v>
      </c>
      <c r="Z283" s="101">
        <f>IF(Z$1="",0,операции!Z358)</f>
        <v>0</v>
      </c>
      <c r="AA283" s="101">
        <f>IF(AA$1="",0,операции!AA358)</f>
        <v>0</v>
      </c>
      <c r="AB283" s="22"/>
    </row>
    <row r="284" spans="1:28" s="23" customFormat="1" ht="10.199999999999999" x14ac:dyDescent="0.2">
      <c r="A284" s="22"/>
      <c r="B284" s="22"/>
      <c r="C284" s="22"/>
      <c r="D284" s="22"/>
      <c r="E284" s="22" t="str">
        <f>E278</f>
        <v>начисления в соцфонды</v>
      </c>
      <c r="F284" s="22"/>
      <c r="G284" s="22" t="str">
        <f>IF($E284="","",INDEX(KPI!$G:$G,SUMIFS(KPI!$B:$B,KPI!$E:$E,$E284)))</f>
        <v>тыс.руб.</v>
      </c>
      <c r="H284" s="100">
        <f>структура!$V$17</f>
        <v>6</v>
      </c>
      <c r="I284" s="31"/>
      <c r="J284" s="98" t="str">
        <f>структура!$X$17</f>
        <v>июн</v>
      </c>
      <c r="K284" s="99"/>
      <c r="L284" s="22"/>
      <c r="M284" s="58"/>
      <c r="N284" s="22"/>
      <c r="O284" s="22"/>
      <c r="P284" s="101">
        <f>IF(P$1="",0,операции!P359)</f>
        <v>55.87</v>
      </c>
      <c r="Q284" s="101">
        <f>IF(Q$1="",0,операции!Q359)</f>
        <v>55.87</v>
      </c>
      <c r="R284" s="101">
        <f>IF(R$1="",0,операции!R359)</f>
        <v>55.87</v>
      </c>
      <c r="S284" s="101">
        <f>IF(S$1="",0,операции!S359)</f>
        <v>55.87</v>
      </c>
      <c r="T284" s="101">
        <f>IF(T$1="",0,операции!T359)</f>
        <v>55.87</v>
      </c>
      <c r="U284" s="101">
        <f>IF(U$1="",0,операции!U359)</f>
        <v>55.87</v>
      </c>
      <c r="V284" s="101">
        <f>IF(V$1="",0,операции!V359)</f>
        <v>55.87</v>
      </c>
      <c r="W284" s="101">
        <f>IF(W$1="",0,операции!W359)</f>
        <v>0</v>
      </c>
      <c r="X284" s="101">
        <f>IF(X$1="",0,операции!X359)</f>
        <v>0</v>
      </c>
      <c r="Y284" s="101">
        <f>IF(Y$1="",0,операции!Y359)</f>
        <v>0</v>
      </c>
      <c r="Z284" s="101">
        <f>IF(Z$1="",0,операции!Z359)</f>
        <v>0</v>
      </c>
      <c r="AA284" s="101">
        <f>IF(AA$1="",0,операции!AA359)</f>
        <v>0</v>
      </c>
      <c r="AB284" s="22"/>
    </row>
    <row r="285" spans="1:28" s="23" customFormat="1" ht="10.199999999999999" x14ac:dyDescent="0.2">
      <c r="A285" s="22"/>
      <c r="B285" s="22"/>
      <c r="C285" s="22"/>
      <c r="D285" s="22"/>
      <c r="E285" s="22" t="str">
        <f>E278</f>
        <v>начисления в соцфонды</v>
      </c>
      <c r="F285" s="22"/>
      <c r="G285" s="22" t="str">
        <f>IF($E285="","",INDEX(KPI!$G:$G,SUMIFS(KPI!$B:$B,KPI!$E:$E,$E285)))</f>
        <v>тыс.руб.</v>
      </c>
      <c r="H285" s="100">
        <f>структура!$V$18</f>
        <v>7</v>
      </c>
      <c r="I285" s="31"/>
      <c r="J285" s="98" t="str">
        <f>структура!$X$18</f>
        <v>июл</v>
      </c>
      <c r="K285" s="99"/>
      <c r="L285" s="22"/>
      <c r="M285" s="58"/>
      <c r="N285" s="22"/>
      <c r="O285" s="22"/>
      <c r="P285" s="101">
        <f>IF(P$1="",0,операции!P360)</f>
        <v>55.87</v>
      </c>
      <c r="Q285" s="101">
        <f>IF(Q$1="",0,операции!Q360)</f>
        <v>55.87</v>
      </c>
      <c r="R285" s="101">
        <f>IF(R$1="",0,операции!R360)</f>
        <v>55.87</v>
      </c>
      <c r="S285" s="101">
        <f>IF(S$1="",0,операции!S360)</f>
        <v>55.87</v>
      </c>
      <c r="T285" s="101">
        <f>IF(T$1="",0,операции!T360)</f>
        <v>55.87</v>
      </c>
      <c r="U285" s="101">
        <f>IF(U$1="",0,операции!U360)</f>
        <v>55.87</v>
      </c>
      <c r="V285" s="101">
        <f>IF(V$1="",0,операции!V360)</f>
        <v>55.87</v>
      </c>
      <c r="W285" s="101">
        <f>IF(W$1="",0,операции!W360)</f>
        <v>0</v>
      </c>
      <c r="X285" s="101">
        <f>IF(X$1="",0,операции!X360)</f>
        <v>0</v>
      </c>
      <c r="Y285" s="101">
        <f>IF(Y$1="",0,операции!Y360)</f>
        <v>0</v>
      </c>
      <c r="Z285" s="101">
        <f>IF(Z$1="",0,операции!Z360)</f>
        <v>0</v>
      </c>
      <c r="AA285" s="101">
        <f>IF(AA$1="",0,операции!AA360)</f>
        <v>0</v>
      </c>
      <c r="AB285" s="22"/>
    </row>
    <row r="286" spans="1:28" s="23" customFormat="1" ht="10.199999999999999" x14ac:dyDescent="0.2">
      <c r="A286" s="22"/>
      <c r="B286" s="22"/>
      <c r="C286" s="22"/>
      <c r="D286" s="22"/>
      <c r="E286" s="22" t="str">
        <f>E278</f>
        <v>начисления в соцфонды</v>
      </c>
      <c r="F286" s="22"/>
      <c r="G286" s="22" t="str">
        <f>IF($E286="","",INDEX(KPI!$G:$G,SUMIFS(KPI!$B:$B,KPI!$E:$E,$E286)))</f>
        <v>тыс.руб.</v>
      </c>
      <c r="H286" s="100">
        <f>структура!$V$19</f>
        <v>8</v>
      </c>
      <c r="I286" s="31"/>
      <c r="J286" s="98" t="str">
        <f>структура!$X$19</f>
        <v>авг</v>
      </c>
      <c r="K286" s="99"/>
      <c r="L286" s="22"/>
      <c r="M286" s="58"/>
      <c r="N286" s="22"/>
      <c r="O286" s="22"/>
      <c r="P286" s="101">
        <f>IF(P$1="",0,операции!P361)</f>
        <v>55.87</v>
      </c>
      <c r="Q286" s="101">
        <f>IF(Q$1="",0,операции!Q361)</f>
        <v>55.87</v>
      </c>
      <c r="R286" s="101">
        <f>IF(R$1="",0,операции!R361)</f>
        <v>55.87</v>
      </c>
      <c r="S286" s="101">
        <f>IF(S$1="",0,операции!S361)</f>
        <v>55.87</v>
      </c>
      <c r="T286" s="101">
        <f>IF(T$1="",0,операции!T361)</f>
        <v>55.87</v>
      </c>
      <c r="U286" s="101">
        <f>IF(U$1="",0,операции!U361)</f>
        <v>55.87</v>
      </c>
      <c r="V286" s="101">
        <f>IF(V$1="",0,операции!V361)</f>
        <v>55.87</v>
      </c>
      <c r="W286" s="101">
        <f>IF(W$1="",0,операции!W361)</f>
        <v>0</v>
      </c>
      <c r="X286" s="101">
        <f>IF(X$1="",0,операции!X361)</f>
        <v>0</v>
      </c>
      <c r="Y286" s="101">
        <f>IF(Y$1="",0,операции!Y361)</f>
        <v>0</v>
      </c>
      <c r="Z286" s="101">
        <f>IF(Z$1="",0,операции!Z361)</f>
        <v>0</v>
      </c>
      <c r="AA286" s="101">
        <f>IF(AA$1="",0,операции!AA361)</f>
        <v>0</v>
      </c>
      <c r="AB286" s="22"/>
    </row>
    <row r="287" spans="1:28" s="23" customFormat="1" ht="10.199999999999999" x14ac:dyDescent="0.2">
      <c r="A287" s="22"/>
      <c r="B287" s="22"/>
      <c r="C287" s="22"/>
      <c r="D287" s="22"/>
      <c r="E287" s="22" t="str">
        <f>E278</f>
        <v>начисления в соцфонды</v>
      </c>
      <c r="F287" s="22"/>
      <c r="G287" s="22" t="str">
        <f>IF($E287="","",INDEX(KPI!$G:$G,SUMIFS(KPI!$B:$B,KPI!$E:$E,$E287)))</f>
        <v>тыс.руб.</v>
      </c>
      <c r="H287" s="100">
        <f>структура!$V$20</f>
        <v>9</v>
      </c>
      <c r="I287" s="31"/>
      <c r="J287" s="98" t="str">
        <f>структура!$X$20</f>
        <v>сен</v>
      </c>
      <c r="K287" s="99"/>
      <c r="L287" s="22"/>
      <c r="M287" s="58"/>
      <c r="N287" s="22"/>
      <c r="O287" s="22"/>
      <c r="P287" s="101">
        <f>IF(P$1="",0,операции!P362)</f>
        <v>55.87</v>
      </c>
      <c r="Q287" s="101">
        <f>IF(Q$1="",0,операции!Q362)</f>
        <v>55.87</v>
      </c>
      <c r="R287" s="101">
        <f>IF(R$1="",0,операции!R362)</f>
        <v>55.87</v>
      </c>
      <c r="S287" s="101">
        <f>IF(S$1="",0,операции!S362)</f>
        <v>55.87</v>
      </c>
      <c r="T287" s="101">
        <f>IF(T$1="",0,операции!T362)</f>
        <v>55.87</v>
      </c>
      <c r="U287" s="101">
        <f>IF(U$1="",0,операции!U362)</f>
        <v>55.87</v>
      </c>
      <c r="V287" s="101">
        <f>IF(V$1="",0,операции!V362)</f>
        <v>55.87</v>
      </c>
      <c r="W287" s="101">
        <f>IF(W$1="",0,операции!W362)</f>
        <v>0</v>
      </c>
      <c r="X287" s="101">
        <f>IF(X$1="",0,операции!X362)</f>
        <v>0</v>
      </c>
      <c r="Y287" s="101">
        <f>IF(Y$1="",0,операции!Y362)</f>
        <v>0</v>
      </c>
      <c r="Z287" s="101">
        <f>IF(Z$1="",0,операции!Z362)</f>
        <v>0</v>
      </c>
      <c r="AA287" s="101">
        <f>IF(AA$1="",0,операции!AA362)</f>
        <v>0</v>
      </c>
      <c r="AB287" s="22"/>
    </row>
    <row r="288" spans="1:28" s="23" customFormat="1" ht="10.199999999999999" x14ac:dyDescent="0.2">
      <c r="A288" s="22"/>
      <c r="B288" s="22"/>
      <c r="C288" s="22"/>
      <c r="D288" s="22"/>
      <c r="E288" s="22" t="str">
        <f>E278</f>
        <v>начисления в соцфонды</v>
      </c>
      <c r="F288" s="22"/>
      <c r="G288" s="22" t="str">
        <f>IF($E288="","",INDEX(KPI!$G:$G,SUMIFS(KPI!$B:$B,KPI!$E:$E,$E288)))</f>
        <v>тыс.руб.</v>
      </c>
      <c r="H288" s="100">
        <f>структура!$V$21</f>
        <v>10</v>
      </c>
      <c r="I288" s="31"/>
      <c r="J288" s="98" t="str">
        <f>структура!$X$21</f>
        <v>окт</v>
      </c>
      <c r="K288" s="99"/>
      <c r="L288" s="22"/>
      <c r="M288" s="58"/>
      <c r="N288" s="22"/>
      <c r="O288" s="22"/>
      <c r="P288" s="101">
        <f>IF(P$1="",0,операции!P363)</f>
        <v>55.87</v>
      </c>
      <c r="Q288" s="101">
        <f>IF(Q$1="",0,операции!Q363)</f>
        <v>55.87</v>
      </c>
      <c r="R288" s="101">
        <f>IF(R$1="",0,операции!R363)</f>
        <v>55.87</v>
      </c>
      <c r="S288" s="101">
        <f>IF(S$1="",0,операции!S363)</f>
        <v>55.87</v>
      </c>
      <c r="T288" s="101">
        <f>IF(T$1="",0,операции!T363)</f>
        <v>55.87</v>
      </c>
      <c r="U288" s="101">
        <f>IF(U$1="",0,операции!U363)</f>
        <v>55.87</v>
      </c>
      <c r="V288" s="101">
        <f>IF(V$1="",0,операции!V363)</f>
        <v>55.87</v>
      </c>
      <c r="W288" s="101">
        <f>IF(W$1="",0,операции!W363)</f>
        <v>0</v>
      </c>
      <c r="X288" s="101">
        <f>IF(X$1="",0,операции!X363)</f>
        <v>0</v>
      </c>
      <c r="Y288" s="101">
        <f>IF(Y$1="",0,операции!Y363)</f>
        <v>0</v>
      </c>
      <c r="Z288" s="101">
        <f>IF(Z$1="",0,операции!Z363)</f>
        <v>0</v>
      </c>
      <c r="AA288" s="101">
        <f>IF(AA$1="",0,операции!AA363)</f>
        <v>0</v>
      </c>
      <c r="AB288" s="22"/>
    </row>
    <row r="289" spans="1:28" s="23" customFormat="1" ht="10.199999999999999" x14ac:dyDescent="0.2">
      <c r="A289" s="22"/>
      <c r="B289" s="22"/>
      <c r="C289" s="22"/>
      <c r="D289" s="22"/>
      <c r="E289" s="22" t="str">
        <f>E278</f>
        <v>начисления в соцфонды</v>
      </c>
      <c r="F289" s="22"/>
      <c r="G289" s="22" t="str">
        <f>IF($E289="","",INDEX(KPI!$G:$G,SUMIFS(KPI!$B:$B,KPI!$E:$E,$E289)))</f>
        <v>тыс.руб.</v>
      </c>
      <c r="H289" s="100">
        <f>структура!$V$22</f>
        <v>11</v>
      </c>
      <c r="I289" s="31"/>
      <c r="J289" s="98" t="str">
        <f>структура!$X$22</f>
        <v>ноя</v>
      </c>
      <c r="K289" s="99"/>
      <c r="L289" s="22"/>
      <c r="M289" s="58"/>
      <c r="N289" s="22"/>
      <c r="O289" s="22"/>
      <c r="P289" s="101">
        <f>IF(P$1="",0,операции!P364)</f>
        <v>55.87</v>
      </c>
      <c r="Q289" s="101">
        <f>IF(Q$1="",0,операции!Q364)</f>
        <v>55.87</v>
      </c>
      <c r="R289" s="101">
        <f>IF(R$1="",0,операции!R364)</f>
        <v>55.87</v>
      </c>
      <c r="S289" s="101">
        <f>IF(S$1="",0,операции!S364)</f>
        <v>55.87</v>
      </c>
      <c r="T289" s="101">
        <f>IF(T$1="",0,операции!T364)</f>
        <v>55.87</v>
      </c>
      <c r="U289" s="101">
        <f>IF(U$1="",0,операции!U364)</f>
        <v>55.87</v>
      </c>
      <c r="V289" s="101">
        <f>IF(V$1="",0,операции!V364)</f>
        <v>55.87</v>
      </c>
      <c r="W289" s="101">
        <f>IF(W$1="",0,операции!W364)</f>
        <v>0</v>
      </c>
      <c r="X289" s="101">
        <f>IF(X$1="",0,операции!X364)</f>
        <v>0</v>
      </c>
      <c r="Y289" s="101">
        <f>IF(Y$1="",0,операции!Y364)</f>
        <v>0</v>
      </c>
      <c r="Z289" s="101">
        <f>IF(Z$1="",0,операции!Z364)</f>
        <v>0</v>
      </c>
      <c r="AA289" s="101">
        <f>IF(AA$1="",0,операции!AA364)</f>
        <v>0</v>
      </c>
      <c r="AB289" s="22"/>
    </row>
    <row r="290" spans="1:28" s="23" customFormat="1" ht="10.199999999999999" x14ac:dyDescent="0.2">
      <c r="A290" s="22"/>
      <c r="B290" s="22"/>
      <c r="C290" s="22"/>
      <c r="D290" s="22"/>
      <c r="E290" s="22" t="str">
        <f>E278</f>
        <v>начисления в соцфонды</v>
      </c>
      <c r="F290" s="22"/>
      <c r="G290" s="22" t="str">
        <f>IF($E290="","",INDEX(KPI!$G:$G,SUMIFS(KPI!$B:$B,KPI!$E:$E,$E290)))</f>
        <v>тыс.руб.</v>
      </c>
      <c r="H290" s="100">
        <f>структура!$V$23</f>
        <v>12</v>
      </c>
      <c r="I290" s="31"/>
      <c r="J290" s="98" t="str">
        <f>структура!$X$23</f>
        <v>дек</v>
      </c>
      <c r="K290" s="99"/>
      <c r="L290" s="22"/>
      <c r="M290" s="58"/>
      <c r="N290" s="22"/>
      <c r="O290" s="22"/>
      <c r="P290" s="101">
        <f>IF(P$1="",0,операции!P365)</f>
        <v>55.87</v>
      </c>
      <c r="Q290" s="101">
        <f>IF(Q$1="",0,операции!Q365)</f>
        <v>55.87</v>
      </c>
      <c r="R290" s="101">
        <f>IF(R$1="",0,операции!R365)</f>
        <v>55.87</v>
      </c>
      <c r="S290" s="101">
        <f>IF(S$1="",0,операции!S365)</f>
        <v>55.87</v>
      </c>
      <c r="T290" s="101">
        <f>IF(T$1="",0,операции!T365)</f>
        <v>55.87</v>
      </c>
      <c r="U290" s="101">
        <f>IF(U$1="",0,операции!U365)</f>
        <v>55.87</v>
      </c>
      <c r="V290" s="101">
        <f>IF(V$1="",0,операции!V365)</f>
        <v>55.87</v>
      </c>
      <c r="W290" s="101">
        <f>IF(W$1="",0,операции!W365)</f>
        <v>0</v>
      </c>
      <c r="X290" s="101">
        <f>IF(X$1="",0,операции!X365)</f>
        <v>0</v>
      </c>
      <c r="Y290" s="101">
        <f>IF(Y$1="",0,операции!Y365)</f>
        <v>0</v>
      </c>
      <c r="Z290" s="101">
        <f>IF(Z$1="",0,операции!Z365)</f>
        <v>0</v>
      </c>
      <c r="AA290" s="101">
        <f>IF(AA$1="",0,операции!AA365)</f>
        <v>0</v>
      </c>
      <c r="AB290" s="22"/>
    </row>
    <row r="291" spans="1:28" ht="3.9" customHeight="1" x14ac:dyDescent="0.25">
      <c r="A291" s="2"/>
      <c r="B291" s="2"/>
      <c r="C291" s="2"/>
      <c r="D291" s="2"/>
      <c r="E291" s="21"/>
      <c r="F291" s="2"/>
      <c r="G291" s="21"/>
      <c r="H291" s="2"/>
      <c r="I291" s="28"/>
      <c r="J291" s="21"/>
      <c r="K291" s="28"/>
      <c r="L291" s="2"/>
      <c r="M291" s="52"/>
      <c r="N291" s="2"/>
      <c r="O291" s="2"/>
      <c r="P291" s="36"/>
      <c r="Q291" s="36"/>
      <c r="R291" s="36"/>
      <c r="S291" s="36"/>
      <c r="T291" s="36"/>
      <c r="U291" s="36"/>
      <c r="V291" s="36"/>
      <c r="W291" s="36"/>
      <c r="X291" s="36"/>
      <c r="Y291" s="36"/>
      <c r="Z291" s="36"/>
      <c r="AA291" s="36"/>
      <c r="AB291" s="2"/>
    </row>
    <row r="292" spans="1:28" ht="8.1" customHeight="1" x14ac:dyDescent="0.25">
      <c r="A292" s="2"/>
      <c r="B292" s="2"/>
      <c r="C292" s="2"/>
      <c r="D292" s="2"/>
      <c r="E292" s="2"/>
      <c r="F292" s="2"/>
      <c r="G292" s="2"/>
      <c r="H292" s="2"/>
      <c r="I292" s="28"/>
      <c r="J292" s="2"/>
      <c r="K292" s="28"/>
      <c r="L292" s="2"/>
      <c r="M292" s="52"/>
      <c r="N292" s="2"/>
      <c r="O292" s="2"/>
      <c r="P292" s="36"/>
      <c r="Q292" s="36"/>
      <c r="R292" s="36"/>
      <c r="S292" s="36"/>
      <c r="T292" s="36"/>
      <c r="U292" s="36"/>
      <c r="V292" s="36"/>
      <c r="W292" s="36"/>
      <c r="X292" s="36"/>
      <c r="Y292" s="36"/>
      <c r="Z292" s="36"/>
      <c r="AA292" s="36"/>
      <c r="AB292" s="2"/>
    </row>
    <row r="293" spans="1:28" s="5" customFormat="1" x14ac:dyDescent="0.25">
      <c r="A293" s="3"/>
      <c r="B293" s="3"/>
      <c r="C293" s="3"/>
      <c r="D293" s="111"/>
      <c r="E293" s="3" t="str">
        <f>KPI!$E$60</f>
        <v>оплаты в соцфонды</v>
      </c>
      <c r="F293" s="3"/>
      <c r="G293" s="3" t="str">
        <f>IF($E293="","",INDEX(KPI!$G:$G,SUMIFS(KPI!$B:$B,KPI!$E:$E,$E293)))</f>
        <v>тыс.руб.</v>
      </c>
      <c r="H293" s="116" t="str">
        <f>структура!$AL$20</f>
        <v>Заложен сдвиг на один месяц!</v>
      </c>
      <c r="I293" s="28"/>
      <c r="J293" s="44"/>
      <c r="K293" s="28"/>
      <c r="L293" s="3"/>
      <c r="M293" s="55">
        <f>SUM($O293:$AB293)</f>
        <v>4637.21</v>
      </c>
      <c r="N293" s="3"/>
      <c r="O293" s="3"/>
      <c r="P293" s="46">
        <f>IF(P$1="",0,IF(P$1=0,SUMIFS(P294:P305,H294:H305,"&gt;="&amp;MONTH($J$13)),SUM(P294:P305)))</f>
        <v>614.56999999999994</v>
      </c>
      <c r="Q293" s="46">
        <f t="shared" ref="Q293" si="60">IF(Q$1="",0,SUM(Q294:Q305))</f>
        <v>670.43999999999994</v>
      </c>
      <c r="R293" s="46">
        <f t="shared" ref="R293:AA293" si="61">IF(R$1="",0,SUM(R294:R305))</f>
        <v>670.43999999999994</v>
      </c>
      <c r="S293" s="46">
        <f t="shared" si="61"/>
        <v>670.43999999999994</v>
      </c>
      <c r="T293" s="46">
        <f t="shared" si="61"/>
        <v>670.43999999999994</v>
      </c>
      <c r="U293" s="46">
        <f t="shared" si="61"/>
        <v>670.43999999999994</v>
      </c>
      <c r="V293" s="46">
        <f t="shared" si="61"/>
        <v>670.43999999999994</v>
      </c>
      <c r="W293" s="46">
        <f t="shared" si="61"/>
        <v>0</v>
      </c>
      <c r="X293" s="46">
        <f t="shared" si="61"/>
        <v>0</v>
      </c>
      <c r="Y293" s="46">
        <f t="shared" si="61"/>
        <v>0</v>
      </c>
      <c r="Z293" s="46">
        <f t="shared" si="61"/>
        <v>0</v>
      </c>
      <c r="AA293" s="46">
        <f t="shared" si="61"/>
        <v>0</v>
      </c>
      <c r="AB293" s="3"/>
    </row>
    <row r="294" spans="1:28" s="23" customFormat="1" ht="10.199999999999999" x14ac:dyDescent="0.2">
      <c r="A294" s="22"/>
      <c r="B294" s="22"/>
      <c r="C294" s="22"/>
      <c r="D294" s="22"/>
      <c r="E294" s="22" t="str">
        <f>E293</f>
        <v>оплаты в соцфонды</v>
      </c>
      <c r="F294" s="22"/>
      <c r="G294" s="22" t="str">
        <f>IF($E294="","",INDEX(KPI!$G:$G,SUMIFS(KPI!$B:$B,KPI!$E:$E,$E294)))</f>
        <v>тыс.руб.</v>
      </c>
      <c r="H294" s="100">
        <f>структура!$V$12</f>
        <v>1</v>
      </c>
      <c r="I294" s="31"/>
      <c r="J294" s="98" t="str">
        <f>структура!$X$12</f>
        <v>янв</v>
      </c>
      <c r="K294" s="99"/>
      <c r="L294" s="22"/>
      <c r="M294" s="58"/>
      <c r="N294" s="22"/>
      <c r="O294" s="22"/>
      <c r="P294" s="101">
        <f>IF(P$1="",0,операции!P369)</f>
        <v>0</v>
      </c>
      <c r="Q294" s="101">
        <f>IF(Q$1="",0,операции!Q369)</f>
        <v>55.87</v>
      </c>
      <c r="R294" s="101">
        <f>IF(R$1="",0,операции!R369)</f>
        <v>55.87</v>
      </c>
      <c r="S294" s="101">
        <f>IF(S$1="",0,операции!S369)</f>
        <v>55.87</v>
      </c>
      <c r="T294" s="101">
        <f>IF(T$1="",0,операции!T369)</f>
        <v>55.87</v>
      </c>
      <c r="U294" s="101">
        <f>IF(U$1="",0,операции!U369)</f>
        <v>55.87</v>
      </c>
      <c r="V294" s="101">
        <f>IF(V$1="",0,операции!V369)</f>
        <v>55.87</v>
      </c>
      <c r="W294" s="101">
        <f>IF(W$1="",0,операции!W369)</f>
        <v>0</v>
      </c>
      <c r="X294" s="101">
        <f>IF(X$1="",0,операции!X369)</f>
        <v>0</v>
      </c>
      <c r="Y294" s="101">
        <f>IF(Y$1="",0,операции!Y369)</f>
        <v>0</v>
      </c>
      <c r="Z294" s="101">
        <f>IF(Z$1="",0,операции!Z369)</f>
        <v>0</v>
      </c>
      <c r="AA294" s="101">
        <f>IF(AA$1="",0,операции!AA369)</f>
        <v>0</v>
      </c>
      <c r="AB294" s="22"/>
    </row>
    <row r="295" spans="1:28" s="23" customFormat="1" ht="10.199999999999999" x14ac:dyDescent="0.2">
      <c r="A295" s="22"/>
      <c r="B295" s="22"/>
      <c r="C295" s="22"/>
      <c r="D295" s="22"/>
      <c r="E295" s="22" t="str">
        <f>E293</f>
        <v>оплаты в соцфонды</v>
      </c>
      <c r="F295" s="22"/>
      <c r="G295" s="22" t="str">
        <f>IF($E295="","",INDEX(KPI!$G:$G,SUMIFS(KPI!$B:$B,KPI!$E:$E,$E295)))</f>
        <v>тыс.руб.</v>
      </c>
      <c r="H295" s="100">
        <f>структура!$V$13</f>
        <v>2</v>
      </c>
      <c r="I295" s="31"/>
      <c r="J295" s="98" t="str">
        <f>структура!$X$13</f>
        <v>фев</v>
      </c>
      <c r="K295" s="99"/>
      <c r="L295" s="22"/>
      <c r="M295" s="58"/>
      <c r="N295" s="22"/>
      <c r="O295" s="22"/>
      <c r="P295" s="101">
        <f>IF(P$1="",0,операции!P370)</f>
        <v>55.87</v>
      </c>
      <c r="Q295" s="101">
        <f>IF(Q$1="",0,операции!Q370)</f>
        <v>55.87</v>
      </c>
      <c r="R295" s="101">
        <f>IF(R$1="",0,операции!R370)</f>
        <v>55.87</v>
      </c>
      <c r="S295" s="101">
        <f>IF(S$1="",0,операции!S370)</f>
        <v>55.87</v>
      </c>
      <c r="T295" s="101">
        <f>IF(T$1="",0,операции!T370)</f>
        <v>55.87</v>
      </c>
      <c r="U295" s="101">
        <f>IF(U$1="",0,операции!U370)</f>
        <v>55.87</v>
      </c>
      <c r="V295" s="101">
        <f>IF(V$1="",0,операции!V370)</f>
        <v>55.87</v>
      </c>
      <c r="W295" s="101">
        <f>IF(W$1="",0,операции!W370)</f>
        <v>0</v>
      </c>
      <c r="X295" s="101">
        <f>IF(X$1="",0,операции!X370)</f>
        <v>0</v>
      </c>
      <c r="Y295" s="101">
        <f>IF(Y$1="",0,операции!Y370)</f>
        <v>0</v>
      </c>
      <c r="Z295" s="101">
        <f>IF(Z$1="",0,операции!Z370)</f>
        <v>0</v>
      </c>
      <c r="AA295" s="101">
        <f>IF(AA$1="",0,операции!AA370)</f>
        <v>0</v>
      </c>
      <c r="AB295" s="22"/>
    </row>
    <row r="296" spans="1:28" s="23" customFormat="1" ht="10.199999999999999" x14ac:dyDescent="0.2">
      <c r="A296" s="22"/>
      <c r="B296" s="22"/>
      <c r="C296" s="22"/>
      <c r="D296" s="22"/>
      <c r="E296" s="22" t="str">
        <f>E293</f>
        <v>оплаты в соцфонды</v>
      </c>
      <c r="F296" s="22"/>
      <c r="G296" s="22" t="str">
        <f>IF($E296="","",INDEX(KPI!$G:$G,SUMIFS(KPI!$B:$B,KPI!$E:$E,$E296)))</f>
        <v>тыс.руб.</v>
      </c>
      <c r="H296" s="100">
        <f>структура!$V$14</f>
        <v>3</v>
      </c>
      <c r="I296" s="31"/>
      <c r="J296" s="98" t="str">
        <f>структура!$X$14</f>
        <v>мар</v>
      </c>
      <c r="K296" s="99"/>
      <c r="L296" s="22"/>
      <c r="M296" s="58"/>
      <c r="N296" s="22"/>
      <c r="O296" s="22"/>
      <c r="P296" s="101">
        <f>IF(P$1="",0,операции!P371)</f>
        <v>55.87</v>
      </c>
      <c r="Q296" s="101">
        <f>IF(Q$1="",0,операции!Q371)</f>
        <v>55.87</v>
      </c>
      <c r="R296" s="101">
        <f>IF(R$1="",0,операции!R371)</f>
        <v>55.87</v>
      </c>
      <c r="S296" s="101">
        <f>IF(S$1="",0,операции!S371)</f>
        <v>55.87</v>
      </c>
      <c r="T296" s="101">
        <f>IF(T$1="",0,операции!T371)</f>
        <v>55.87</v>
      </c>
      <c r="U296" s="101">
        <f>IF(U$1="",0,операции!U371)</f>
        <v>55.87</v>
      </c>
      <c r="V296" s="101">
        <f>IF(V$1="",0,операции!V371)</f>
        <v>55.87</v>
      </c>
      <c r="W296" s="101">
        <f>IF(W$1="",0,операции!W371)</f>
        <v>0</v>
      </c>
      <c r="X296" s="101">
        <f>IF(X$1="",0,операции!X371)</f>
        <v>0</v>
      </c>
      <c r="Y296" s="101">
        <f>IF(Y$1="",0,операции!Y371)</f>
        <v>0</v>
      </c>
      <c r="Z296" s="101">
        <f>IF(Z$1="",0,операции!Z371)</f>
        <v>0</v>
      </c>
      <c r="AA296" s="101">
        <f>IF(AA$1="",0,операции!AA371)</f>
        <v>0</v>
      </c>
      <c r="AB296" s="22"/>
    </row>
    <row r="297" spans="1:28" s="23" customFormat="1" ht="10.199999999999999" x14ac:dyDescent="0.2">
      <c r="A297" s="22"/>
      <c r="B297" s="22"/>
      <c r="C297" s="22"/>
      <c r="D297" s="22"/>
      <c r="E297" s="22" t="str">
        <f>E293</f>
        <v>оплаты в соцфонды</v>
      </c>
      <c r="F297" s="22"/>
      <c r="G297" s="22" t="str">
        <f>IF($E297="","",INDEX(KPI!$G:$G,SUMIFS(KPI!$B:$B,KPI!$E:$E,$E297)))</f>
        <v>тыс.руб.</v>
      </c>
      <c r="H297" s="100">
        <f>структура!$V$15</f>
        <v>4</v>
      </c>
      <c r="I297" s="31"/>
      <c r="J297" s="98" t="str">
        <f>структура!$X$15</f>
        <v>апр</v>
      </c>
      <c r="K297" s="99"/>
      <c r="L297" s="22"/>
      <c r="M297" s="58"/>
      <c r="N297" s="22"/>
      <c r="O297" s="22"/>
      <c r="P297" s="101">
        <f>IF(P$1="",0,операции!P372)</f>
        <v>55.87</v>
      </c>
      <c r="Q297" s="101">
        <f>IF(Q$1="",0,операции!Q372)</f>
        <v>55.87</v>
      </c>
      <c r="R297" s="101">
        <f>IF(R$1="",0,операции!R372)</f>
        <v>55.87</v>
      </c>
      <c r="S297" s="101">
        <f>IF(S$1="",0,операции!S372)</f>
        <v>55.87</v>
      </c>
      <c r="T297" s="101">
        <f>IF(T$1="",0,операции!T372)</f>
        <v>55.87</v>
      </c>
      <c r="U297" s="101">
        <f>IF(U$1="",0,операции!U372)</f>
        <v>55.87</v>
      </c>
      <c r="V297" s="101">
        <f>IF(V$1="",0,операции!V372)</f>
        <v>55.87</v>
      </c>
      <c r="W297" s="101">
        <f>IF(W$1="",0,операции!W372)</f>
        <v>0</v>
      </c>
      <c r="X297" s="101">
        <f>IF(X$1="",0,операции!X372)</f>
        <v>0</v>
      </c>
      <c r="Y297" s="101">
        <f>IF(Y$1="",0,операции!Y372)</f>
        <v>0</v>
      </c>
      <c r="Z297" s="101">
        <f>IF(Z$1="",0,операции!Z372)</f>
        <v>0</v>
      </c>
      <c r="AA297" s="101">
        <f>IF(AA$1="",0,операции!AA372)</f>
        <v>0</v>
      </c>
      <c r="AB297" s="22"/>
    </row>
    <row r="298" spans="1:28" s="23" customFormat="1" ht="10.199999999999999" x14ac:dyDescent="0.2">
      <c r="A298" s="22"/>
      <c r="B298" s="22"/>
      <c r="C298" s="22"/>
      <c r="D298" s="22"/>
      <c r="E298" s="22" t="str">
        <f>E293</f>
        <v>оплаты в соцфонды</v>
      </c>
      <c r="F298" s="22"/>
      <c r="G298" s="22" t="str">
        <f>IF($E298="","",INDEX(KPI!$G:$G,SUMIFS(KPI!$B:$B,KPI!$E:$E,$E298)))</f>
        <v>тыс.руб.</v>
      </c>
      <c r="H298" s="100">
        <f>структура!$V$16</f>
        <v>5</v>
      </c>
      <c r="I298" s="31"/>
      <c r="J298" s="98" t="str">
        <f>структура!$X$16</f>
        <v>май</v>
      </c>
      <c r="K298" s="99"/>
      <c r="L298" s="22"/>
      <c r="M298" s="58"/>
      <c r="N298" s="22"/>
      <c r="O298" s="22"/>
      <c r="P298" s="101">
        <f>IF(P$1="",0,операции!P373)</f>
        <v>55.87</v>
      </c>
      <c r="Q298" s="101">
        <f>IF(Q$1="",0,операции!Q373)</f>
        <v>55.87</v>
      </c>
      <c r="R298" s="101">
        <f>IF(R$1="",0,операции!R373)</f>
        <v>55.87</v>
      </c>
      <c r="S298" s="101">
        <f>IF(S$1="",0,операции!S373)</f>
        <v>55.87</v>
      </c>
      <c r="T298" s="101">
        <f>IF(T$1="",0,операции!T373)</f>
        <v>55.87</v>
      </c>
      <c r="U298" s="101">
        <f>IF(U$1="",0,операции!U373)</f>
        <v>55.87</v>
      </c>
      <c r="V298" s="101">
        <f>IF(V$1="",0,операции!V373)</f>
        <v>55.87</v>
      </c>
      <c r="W298" s="101">
        <f>IF(W$1="",0,операции!W373)</f>
        <v>0</v>
      </c>
      <c r="X298" s="101">
        <f>IF(X$1="",0,операции!X373)</f>
        <v>0</v>
      </c>
      <c r="Y298" s="101">
        <f>IF(Y$1="",0,операции!Y373)</f>
        <v>0</v>
      </c>
      <c r="Z298" s="101">
        <f>IF(Z$1="",0,операции!Z373)</f>
        <v>0</v>
      </c>
      <c r="AA298" s="101">
        <f>IF(AA$1="",0,операции!AA373)</f>
        <v>0</v>
      </c>
      <c r="AB298" s="22"/>
    </row>
    <row r="299" spans="1:28" s="23" customFormat="1" ht="10.199999999999999" x14ac:dyDescent="0.2">
      <c r="A299" s="22"/>
      <c r="B299" s="22"/>
      <c r="C299" s="22"/>
      <c r="D299" s="22"/>
      <c r="E299" s="22" t="str">
        <f>E293</f>
        <v>оплаты в соцфонды</v>
      </c>
      <c r="F299" s="22"/>
      <c r="G299" s="22" t="str">
        <f>IF($E299="","",INDEX(KPI!$G:$G,SUMIFS(KPI!$B:$B,KPI!$E:$E,$E299)))</f>
        <v>тыс.руб.</v>
      </c>
      <c r="H299" s="100">
        <f>структура!$V$17</f>
        <v>6</v>
      </c>
      <c r="I299" s="31"/>
      <c r="J299" s="98" t="str">
        <f>структура!$X$17</f>
        <v>июн</v>
      </c>
      <c r="K299" s="99"/>
      <c r="L299" s="22"/>
      <c r="M299" s="58"/>
      <c r="N299" s="22"/>
      <c r="O299" s="22"/>
      <c r="P299" s="101">
        <f>IF(P$1="",0,операции!P374)</f>
        <v>55.87</v>
      </c>
      <c r="Q299" s="101">
        <f>IF(Q$1="",0,операции!Q374)</f>
        <v>55.87</v>
      </c>
      <c r="R299" s="101">
        <f>IF(R$1="",0,операции!R374)</f>
        <v>55.87</v>
      </c>
      <c r="S299" s="101">
        <f>IF(S$1="",0,операции!S374)</f>
        <v>55.87</v>
      </c>
      <c r="T299" s="101">
        <f>IF(T$1="",0,операции!T374)</f>
        <v>55.87</v>
      </c>
      <c r="U299" s="101">
        <f>IF(U$1="",0,операции!U374)</f>
        <v>55.87</v>
      </c>
      <c r="V299" s="101">
        <f>IF(V$1="",0,операции!V374)</f>
        <v>55.87</v>
      </c>
      <c r="W299" s="101">
        <f>IF(W$1="",0,операции!W374)</f>
        <v>0</v>
      </c>
      <c r="X299" s="101">
        <f>IF(X$1="",0,операции!X374)</f>
        <v>0</v>
      </c>
      <c r="Y299" s="101">
        <f>IF(Y$1="",0,операции!Y374)</f>
        <v>0</v>
      </c>
      <c r="Z299" s="101">
        <f>IF(Z$1="",0,операции!Z374)</f>
        <v>0</v>
      </c>
      <c r="AA299" s="101">
        <f>IF(AA$1="",0,операции!AA374)</f>
        <v>0</v>
      </c>
      <c r="AB299" s="22"/>
    </row>
    <row r="300" spans="1:28" s="23" customFormat="1" ht="10.199999999999999" x14ac:dyDescent="0.2">
      <c r="A300" s="22"/>
      <c r="B300" s="22"/>
      <c r="C300" s="22"/>
      <c r="D300" s="22"/>
      <c r="E300" s="22" t="str">
        <f>E293</f>
        <v>оплаты в соцфонды</v>
      </c>
      <c r="F300" s="22"/>
      <c r="G300" s="22" t="str">
        <f>IF($E300="","",INDEX(KPI!$G:$G,SUMIFS(KPI!$B:$B,KPI!$E:$E,$E300)))</f>
        <v>тыс.руб.</v>
      </c>
      <c r="H300" s="100">
        <f>структура!$V$18</f>
        <v>7</v>
      </c>
      <c r="I300" s="31"/>
      <c r="J300" s="98" t="str">
        <f>структура!$X$18</f>
        <v>июл</v>
      </c>
      <c r="K300" s="99"/>
      <c r="L300" s="22"/>
      <c r="M300" s="58"/>
      <c r="N300" s="22"/>
      <c r="O300" s="22"/>
      <c r="P300" s="101">
        <f>IF(P$1="",0,операции!P375)</f>
        <v>55.87</v>
      </c>
      <c r="Q300" s="101">
        <f>IF(Q$1="",0,операции!Q375)</f>
        <v>55.87</v>
      </c>
      <c r="R300" s="101">
        <f>IF(R$1="",0,операции!R375)</f>
        <v>55.87</v>
      </c>
      <c r="S300" s="101">
        <f>IF(S$1="",0,операции!S375)</f>
        <v>55.87</v>
      </c>
      <c r="T300" s="101">
        <f>IF(T$1="",0,операции!T375)</f>
        <v>55.87</v>
      </c>
      <c r="U300" s="101">
        <f>IF(U$1="",0,операции!U375)</f>
        <v>55.87</v>
      </c>
      <c r="V300" s="101">
        <f>IF(V$1="",0,операции!V375)</f>
        <v>55.87</v>
      </c>
      <c r="W300" s="101">
        <f>IF(W$1="",0,операции!W375)</f>
        <v>0</v>
      </c>
      <c r="X300" s="101">
        <f>IF(X$1="",0,операции!X375)</f>
        <v>0</v>
      </c>
      <c r="Y300" s="101">
        <f>IF(Y$1="",0,операции!Y375)</f>
        <v>0</v>
      </c>
      <c r="Z300" s="101">
        <f>IF(Z$1="",0,операции!Z375)</f>
        <v>0</v>
      </c>
      <c r="AA300" s="101">
        <f>IF(AA$1="",0,операции!AA375)</f>
        <v>0</v>
      </c>
      <c r="AB300" s="22"/>
    </row>
    <row r="301" spans="1:28" s="23" customFormat="1" ht="10.199999999999999" x14ac:dyDescent="0.2">
      <c r="A301" s="22"/>
      <c r="B301" s="22"/>
      <c r="C301" s="22"/>
      <c r="D301" s="22"/>
      <c r="E301" s="22" t="str">
        <f>E293</f>
        <v>оплаты в соцфонды</v>
      </c>
      <c r="F301" s="22"/>
      <c r="G301" s="22" t="str">
        <f>IF($E301="","",INDEX(KPI!$G:$G,SUMIFS(KPI!$B:$B,KPI!$E:$E,$E301)))</f>
        <v>тыс.руб.</v>
      </c>
      <c r="H301" s="100">
        <f>структура!$V$19</f>
        <v>8</v>
      </c>
      <c r="I301" s="31"/>
      <c r="J301" s="98" t="str">
        <f>структура!$X$19</f>
        <v>авг</v>
      </c>
      <c r="K301" s="99"/>
      <c r="L301" s="22"/>
      <c r="M301" s="58"/>
      <c r="N301" s="22"/>
      <c r="O301" s="22"/>
      <c r="P301" s="101">
        <f>IF(P$1="",0,операции!P376)</f>
        <v>55.87</v>
      </c>
      <c r="Q301" s="101">
        <f>IF(Q$1="",0,операции!Q376)</f>
        <v>55.87</v>
      </c>
      <c r="R301" s="101">
        <f>IF(R$1="",0,операции!R376)</f>
        <v>55.87</v>
      </c>
      <c r="S301" s="101">
        <f>IF(S$1="",0,операции!S376)</f>
        <v>55.87</v>
      </c>
      <c r="T301" s="101">
        <f>IF(T$1="",0,операции!T376)</f>
        <v>55.87</v>
      </c>
      <c r="U301" s="101">
        <f>IF(U$1="",0,операции!U376)</f>
        <v>55.87</v>
      </c>
      <c r="V301" s="101">
        <f>IF(V$1="",0,операции!V376)</f>
        <v>55.87</v>
      </c>
      <c r="W301" s="101">
        <f>IF(W$1="",0,операции!W376)</f>
        <v>0</v>
      </c>
      <c r="X301" s="101">
        <f>IF(X$1="",0,операции!X376)</f>
        <v>0</v>
      </c>
      <c r="Y301" s="101">
        <f>IF(Y$1="",0,операции!Y376)</f>
        <v>0</v>
      </c>
      <c r="Z301" s="101">
        <f>IF(Z$1="",0,операции!Z376)</f>
        <v>0</v>
      </c>
      <c r="AA301" s="101">
        <f>IF(AA$1="",0,операции!AA376)</f>
        <v>0</v>
      </c>
      <c r="AB301" s="22"/>
    </row>
    <row r="302" spans="1:28" s="23" customFormat="1" ht="10.199999999999999" x14ac:dyDescent="0.2">
      <c r="A302" s="22"/>
      <c r="B302" s="22"/>
      <c r="C302" s="22"/>
      <c r="D302" s="22"/>
      <c r="E302" s="22" t="str">
        <f>E293</f>
        <v>оплаты в соцфонды</v>
      </c>
      <c r="F302" s="22"/>
      <c r="G302" s="22" t="str">
        <f>IF($E302="","",INDEX(KPI!$G:$G,SUMIFS(KPI!$B:$B,KPI!$E:$E,$E302)))</f>
        <v>тыс.руб.</v>
      </c>
      <c r="H302" s="100">
        <f>структура!$V$20</f>
        <v>9</v>
      </c>
      <c r="I302" s="31"/>
      <c r="J302" s="98" t="str">
        <f>структура!$X$20</f>
        <v>сен</v>
      </c>
      <c r="K302" s="99"/>
      <c r="L302" s="22"/>
      <c r="M302" s="58"/>
      <c r="N302" s="22"/>
      <c r="O302" s="22"/>
      <c r="P302" s="101">
        <f>IF(P$1="",0,операции!P377)</f>
        <v>55.87</v>
      </c>
      <c r="Q302" s="101">
        <f>IF(Q$1="",0,операции!Q377)</f>
        <v>55.87</v>
      </c>
      <c r="R302" s="101">
        <f>IF(R$1="",0,операции!R377)</f>
        <v>55.87</v>
      </c>
      <c r="S302" s="101">
        <f>IF(S$1="",0,операции!S377)</f>
        <v>55.87</v>
      </c>
      <c r="T302" s="101">
        <f>IF(T$1="",0,операции!T377)</f>
        <v>55.87</v>
      </c>
      <c r="U302" s="101">
        <f>IF(U$1="",0,операции!U377)</f>
        <v>55.87</v>
      </c>
      <c r="V302" s="101">
        <f>IF(V$1="",0,операции!V377)</f>
        <v>55.87</v>
      </c>
      <c r="W302" s="101">
        <f>IF(W$1="",0,операции!W377)</f>
        <v>0</v>
      </c>
      <c r="X302" s="101">
        <f>IF(X$1="",0,операции!X377)</f>
        <v>0</v>
      </c>
      <c r="Y302" s="101">
        <f>IF(Y$1="",0,операции!Y377)</f>
        <v>0</v>
      </c>
      <c r="Z302" s="101">
        <f>IF(Z$1="",0,операции!Z377)</f>
        <v>0</v>
      </c>
      <c r="AA302" s="101">
        <f>IF(AA$1="",0,операции!AA377)</f>
        <v>0</v>
      </c>
      <c r="AB302" s="22"/>
    </row>
    <row r="303" spans="1:28" s="23" customFormat="1" ht="10.199999999999999" x14ac:dyDescent="0.2">
      <c r="A303" s="22"/>
      <c r="B303" s="22"/>
      <c r="C303" s="22"/>
      <c r="D303" s="22"/>
      <c r="E303" s="22" t="str">
        <f>E293</f>
        <v>оплаты в соцфонды</v>
      </c>
      <c r="F303" s="22"/>
      <c r="G303" s="22" t="str">
        <f>IF($E303="","",INDEX(KPI!$G:$G,SUMIFS(KPI!$B:$B,KPI!$E:$E,$E303)))</f>
        <v>тыс.руб.</v>
      </c>
      <c r="H303" s="100">
        <f>структура!$V$21</f>
        <v>10</v>
      </c>
      <c r="I303" s="31"/>
      <c r="J303" s="98" t="str">
        <f>структура!$X$21</f>
        <v>окт</v>
      </c>
      <c r="K303" s="99"/>
      <c r="L303" s="22"/>
      <c r="M303" s="58"/>
      <c r="N303" s="22"/>
      <c r="O303" s="22"/>
      <c r="P303" s="101">
        <f>IF(P$1="",0,операции!P378)</f>
        <v>55.87</v>
      </c>
      <c r="Q303" s="101">
        <f>IF(Q$1="",0,операции!Q378)</f>
        <v>55.87</v>
      </c>
      <c r="R303" s="101">
        <f>IF(R$1="",0,операции!R378)</f>
        <v>55.87</v>
      </c>
      <c r="S303" s="101">
        <f>IF(S$1="",0,операции!S378)</f>
        <v>55.87</v>
      </c>
      <c r="T303" s="101">
        <f>IF(T$1="",0,операции!T378)</f>
        <v>55.87</v>
      </c>
      <c r="U303" s="101">
        <f>IF(U$1="",0,операции!U378)</f>
        <v>55.87</v>
      </c>
      <c r="V303" s="101">
        <f>IF(V$1="",0,операции!V378)</f>
        <v>55.87</v>
      </c>
      <c r="W303" s="101">
        <f>IF(W$1="",0,операции!W378)</f>
        <v>0</v>
      </c>
      <c r="X303" s="101">
        <f>IF(X$1="",0,операции!X378)</f>
        <v>0</v>
      </c>
      <c r="Y303" s="101">
        <f>IF(Y$1="",0,операции!Y378)</f>
        <v>0</v>
      </c>
      <c r="Z303" s="101">
        <f>IF(Z$1="",0,операции!Z378)</f>
        <v>0</v>
      </c>
      <c r="AA303" s="101">
        <f>IF(AA$1="",0,операции!AA378)</f>
        <v>0</v>
      </c>
      <c r="AB303" s="22"/>
    </row>
    <row r="304" spans="1:28" s="23" customFormat="1" ht="10.199999999999999" x14ac:dyDescent="0.2">
      <c r="A304" s="22"/>
      <c r="B304" s="22"/>
      <c r="C304" s="22"/>
      <c r="D304" s="22"/>
      <c r="E304" s="22" t="str">
        <f>E293</f>
        <v>оплаты в соцфонды</v>
      </c>
      <c r="F304" s="22"/>
      <c r="G304" s="22" t="str">
        <f>IF($E304="","",INDEX(KPI!$G:$G,SUMIFS(KPI!$B:$B,KPI!$E:$E,$E304)))</f>
        <v>тыс.руб.</v>
      </c>
      <c r="H304" s="100">
        <f>структура!$V$22</f>
        <v>11</v>
      </c>
      <c r="I304" s="31"/>
      <c r="J304" s="98" t="str">
        <f>структура!$X$22</f>
        <v>ноя</v>
      </c>
      <c r="K304" s="99"/>
      <c r="L304" s="22"/>
      <c r="M304" s="58"/>
      <c r="N304" s="22"/>
      <c r="O304" s="22"/>
      <c r="P304" s="101">
        <f>IF(P$1="",0,операции!P379)</f>
        <v>55.87</v>
      </c>
      <c r="Q304" s="101">
        <f>IF(Q$1="",0,операции!Q379)</f>
        <v>55.87</v>
      </c>
      <c r="R304" s="101">
        <f>IF(R$1="",0,операции!R379)</f>
        <v>55.87</v>
      </c>
      <c r="S304" s="101">
        <f>IF(S$1="",0,операции!S379)</f>
        <v>55.87</v>
      </c>
      <c r="T304" s="101">
        <f>IF(T$1="",0,операции!T379)</f>
        <v>55.87</v>
      </c>
      <c r="U304" s="101">
        <f>IF(U$1="",0,операции!U379)</f>
        <v>55.87</v>
      </c>
      <c r="V304" s="101">
        <f>IF(V$1="",0,операции!V379)</f>
        <v>55.87</v>
      </c>
      <c r="W304" s="101">
        <f>IF(W$1="",0,операции!W379)</f>
        <v>0</v>
      </c>
      <c r="X304" s="101">
        <f>IF(X$1="",0,операции!X379)</f>
        <v>0</v>
      </c>
      <c r="Y304" s="101">
        <f>IF(Y$1="",0,операции!Y379)</f>
        <v>0</v>
      </c>
      <c r="Z304" s="101">
        <f>IF(Z$1="",0,операции!Z379)</f>
        <v>0</v>
      </c>
      <c r="AA304" s="101">
        <f>IF(AA$1="",0,операции!AA379)</f>
        <v>0</v>
      </c>
      <c r="AB304" s="22"/>
    </row>
    <row r="305" spans="1:28" s="23" customFormat="1" ht="10.199999999999999" x14ac:dyDescent="0.2">
      <c r="A305" s="22"/>
      <c r="B305" s="22"/>
      <c r="C305" s="22"/>
      <c r="D305" s="22"/>
      <c r="E305" s="22" t="str">
        <f>E293</f>
        <v>оплаты в соцфонды</v>
      </c>
      <c r="F305" s="22"/>
      <c r="G305" s="22" t="str">
        <f>IF($E305="","",INDEX(KPI!$G:$G,SUMIFS(KPI!$B:$B,KPI!$E:$E,$E305)))</f>
        <v>тыс.руб.</v>
      </c>
      <c r="H305" s="100">
        <f>структура!$V$23</f>
        <v>12</v>
      </c>
      <c r="I305" s="31"/>
      <c r="J305" s="98" t="str">
        <f>структура!$X$23</f>
        <v>дек</v>
      </c>
      <c r="K305" s="99"/>
      <c r="L305" s="22"/>
      <c r="M305" s="58"/>
      <c r="N305" s="22"/>
      <c r="O305" s="22"/>
      <c r="P305" s="101">
        <f>IF(P$1="",0,операции!P380)</f>
        <v>55.87</v>
      </c>
      <c r="Q305" s="101">
        <f>IF(Q$1="",0,операции!Q380)</f>
        <v>55.87</v>
      </c>
      <c r="R305" s="101">
        <f>IF(R$1="",0,операции!R380)</f>
        <v>55.87</v>
      </c>
      <c r="S305" s="101">
        <f>IF(S$1="",0,операции!S380)</f>
        <v>55.87</v>
      </c>
      <c r="T305" s="101">
        <f>IF(T$1="",0,операции!T380)</f>
        <v>55.87</v>
      </c>
      <c r="U305" s="101">
        <f>IF(U$1="",0,операции!U380)</f>
        <v>55.87</v>
      </c>
      <c r="V305" s="101">
        <f>IF(V$1="",0,операции!V380)</f>
        <v>55.87</v>
      </c>
      <c r="W305" s="101">
        <f>IF(W$1="",0,операции!W380)</f>
        <v>0</v>
      </c>
      <c r="X305" s="101">
        <f>IF(X$1="",0,операции!X380)</f>
        <v>0</v>
      </c>
      <c r="Y305" s="101">
        <f>IF(Y$1="",0,операции!Y380)</f>
        <v>0</v>
      </c>
      <c r="Z305" s="101">
        <f>IF(Z$1="",0,операции!Z380)</f>
        <v>0</v>
      </c>
      <c r="AA305" s="101">
        <f>IF(AA$1="",0,операции!AA380)</f>
        <v>0</v>
      </c>
      <c r="AB305" s="22"/>
    </row>
    <row r="306" spans="1:28" ht="3.9" customHeight="1" x14ac:dyDescent="0.25">
      <c r="A306" s="2"/>
      <c r="B306" s="2"/>
      <c r="C306" s="2"/>
      <c r="D306" s="2"/>
      <c r="E306" s="21"/>
      <c r="F306" s="2"/>
      <c r="G306" s="21"/>
      <c r="H306" s="2"/>
      <c r="I306" s="28"/>
      <c r="J306" s="21"/>
      <c r="K306" s="28"/>
      <c r="L306" s="2"/>
      <c r="M306" s="52"/>
      <c r="N306" s="2"/>
      <c r="O306" s="2"/>
      <c r="P306" s="36"/>
      <c r="Q306" s="36"/>
      <c r="R306" s="36"/>
      <c r="S306" s="36"/>
      <c r="T306" s="36"/>
      <c r="U306" s="36"/>
      <c r="V306" s="36"/>
      <c r="W306" s="36"/>
      <c r="X306" s="36"/>
      <c r="Y306" s="36"/>
      <c r="Z306" s="36"/>
      <c r="AA306" s="36"/>
      <c r="AB306" s="2"/>
    </row>
    <row r="307" spans="1:28" ht="8.1" customHeight="1" x14ac:dyDescent="0.25">
      <c r="A307" s="2"/>
      <c r="B307" s="2"/>
      <c r="C307" s="2"/>
      <c r="D307" s="2"/>
      <c r="E307" s="2"/>
      <c r="F307" s="2"/>
      <c r="G307" s="2"/>
      <c r="H307" s="2"/>
      <c r="I307" s="28"/>
      <c r="J307" s="2"/>
      <c r="K307" s="28"/>
      <c r="L307" s="2"/>
      <c r="M307" s="52"/>
      <c r="N307" s="2"/>
      <c r="O307" s="2"/>
      <c r="P307" s="36"/>
      <c r="Q307" s="36"/>
      <c r="R307" s="36"/>
      <c r="S307" s="36"/>
      <c r="T307" s="36"/>
      <c r="U307" s="36"/>
      <c r="V307" s="36"/>
      <c r="W307" s="36"/>
      <c r="X307" s="36"/>
      <c r="Y307" s="36"/>
      <c r="Z307" s="36"/>
      <c r="AA307" s="36"/>
      <c r="AB307" s="2"/>
    </row>
    <row r="308" spans="1:28" s="5" customFormat="1" x14ac:dyDescent="0.25">
      <c r="A308" s="3"/>
      <c r="B308" s="3"/>
      <c r="C308" s="3"/>
      <c r="D308" s="3"/>
      <c r="E308" s="3" t="str">
        <f>KPI!$E$61</f>
        <v>доля общехоз. расходов в доходах</v>
      </c>
      <c r="F308" s="3"/>
      <c r="G308" s="3" t="str">
        <f>IF($E308="","",INDEX(KPI!$G:$G,SUMIFS(KPI!$B:$B,KPI!$E:$E,$E308)))</f>
        <v>%</v>
      </c>
      <c r="H308" s="3"/>
      <c r="I308" s="6"/>
      <c r="J308" s="229">
        <f>операции!J383</f>
        <v>7.0000000000000007E-2</v>
      </c>
      <c r="K308" s="28"/>
      <c r="L308" s="2"/>
      <c r="M308" s="52"/>
      <c r="N308" s="3"/>
      <c r="O308" s="2"/>
      <c r="P308" s="36"/>
      <c r="Q308" s="36"/>
      <c r="R308" s="36"/>
      <c r="S308" s="36"/>
      <c r="T308" s="36"/>
      <c r="U308" s="36"/>
      <c r="V308" s="36"/>
      <c r="W308" s="36"/>
      <c r="X308" s="36"/>
      <c r="Y308" s="36"/>
      <c r="Z308" s="36"/>
      <c r="AA308" s="36"/>
      <c r="AB308" s="2"/>
    </row>
    <row r="309" spans="1:28" ht="3.9" customHeight="1" x14ac:dyDescent="0.25">
      <c r="A309" s="2"/>
      <c r="B309" s="2"/>
      <c r="C309" s="2"/>
      <c r="D309" s="2"/>
      <c r="E309" s="110"/>
      <c r="F309" s="2"/>
      <c r="G309" s="2"/>
      <c r="H309" s="2"/>
      <c r="I309" s="28"/>
      <c r="J309" s="2"/>
      <c r="K309" s="28"/>
      <c r="L309" s="2"/>
      <c r="M309" s="52"/>
      <c r="N309" s="2"/>
      <c r="O309" s="2"/>
      <c r="P309" s="36"/>
      <c r="Q309" s="36"/>
      <c r="R309" s="36"/>
      <c r="S309" s="36"/>
      <c r="T309" s="36"/>
      <c r="U309" s="36"/>
      <c r="V309" s="36"/>
      <c r="W309" s="36"/>
      <c r="X309" s="36"/>
      <c r="Y309" s="36"/>
      <c r="Z309" s="36"/>
      <c r="AA309" s="36"/>
      <c r="AB309" s="2"/>
    </row>
    <row r="310" spans="1:28" ht="8.1" customHeight="1" x14ac:dyDescent="0.25">
      <c r="A310" s="2"/>
      <c r="B310" s="2"/>
      <c r="C310" s="2"/>
      <c r="D310" s="2"/>
      <c r="E310" s="2"/>
      <c r="F310" s="2"/>
      <c r="G310" s="2"/>
      <c r="H310" s="2"/>
      <c r="I310" s="28"/>
      <c r="J310" s="2"/>
      <c r="K310" s="28"/>
      <c r="L310" s="2"/>
      <c r="M310" s="52"/>
      <c r="N310" s="2"/>
      <c r="O310" s="2"/>
      <c r="P310" s="36"/>
      <c r="Q310" s="36"/>
      <c r="R310" s="36"/>
      <c r="S310" s="36"/>
      <c r="T310" s="36"/>
      <c r="U310" s="36"/>
      <c r="V310" s="36"/>
      <c r="W310" s="36"/>
      <c r="X310" s="36"/>
      <c r="Y310" s="36"/>
      <c r="Z310" s="36"/>
      <c r="AA310" s="36"/>
      <c r="AB310" s="2"/>
    </row>
    <row r="311" spans="1:28" s="5" customFormat="1" x14ac:dyDescent="0.25">
      <c r="A311" s="3"/>
      <c r="B311" s="3"/>
      <c r="C311" s="3"/>
      <c r="D311" s="111"/>
      <c r="E311" s="3" t="str">
        <f>KPI!$E$62</f>
        <v>общехоз. расходы - начисление/оплата</v>
      </c>
      <c r="F311" s="3"/>
      <c r="G311" s="3" t="str">
        <f>IF($E311="","",INDEX(KPI!$G:$G,SUMIFS(KPI!$B:$B,KPI!$E:$E,$E311)))</f>
        <v>тыс.руб.</v>
      </c>
      <c r="H311" s="103"/>
      <c r="I311" s="28"/>
      <c r="J311" s="44"/>
      <c r="K311" s="28"/>
      <c r="L311" s="3"/>
      <c r="M311" s="55">
        <f>SUM($O311:$AB311)</f>
        <v>8285.7915000000012</v>
      </c>
      <c r="N311" s="3"/>
      <c r="O311" s="3"/>
      <c r="P311" s="46">
        <f>IF(P$1="",0,IF(P$1=0,SUMIFS(P312:P323,H312:H323,"&gt;="&amp;MONTH($J$13)),SUM(P312:P323)))</f>
        <v>990.10808076923081</v>
      </c>
      <c r="Q311" s="46">
        <f t="shared" ref="Q311" si="62">IF(Q$1="",0,SUM(Q312:Q323))</f>
        <v>1034.4495807692308</v>
      </c>
      <c r="R311" s="46">
        <f t="shared" ref="R311:AA311" si="63">IF(R$1="",0,SUM(R312:R323))</f>
        <v>1102.2714230769234</v>
      </c>
      <c r="S311" s="46">
        <f t="shared" si="63"/>
        <v>1145.3033307692308</v>
      </c>
      <c r="T311" s="46">
        <f t="shared" si="63"/>
        <v>1211.8155807692306</v>
      </c>
      <c r="U311" s="46">
        <f t="shared" si="63"/>
        <v>1322.6693307692308</v>
      </c>
      <c r="V311" s="46">
        <f t="shared" si="63"/>
        <v>1479.1741730769231</v>
      </c>
      <c r="W311" s="46">
        <f t="shared" si="63"/>
        <v>0</v>
      </c>
      <c r="X311" s="46">
        <f t="shared" si="63"/>
        <v>0</v>
      </c>
      <c r="Y311" s="46">
        <f t="shared" si="63"/>
        <v>0</v>
      </c>
      <c r="Z311" s="46">
        <f t="shared" si="63"/>
        <v>0</v>
      </c>
      <c r="AA311" s="46">
        <f t="shared" si="63"/>
        <v>0</v>
      </c>
      <c r="AB311" s="3"/>
    </row>
    <row r="312" spans="1:28" s="23" customFormat="1" ht="10.199999999999999" x14ac:dyDescent="0.2">
      <c r="A312" s="22"/>
      <c r="B312" s="22"/>
      <c r="C312" s="22"/>
      <c r="D312" s="22"/>
      <c r="E312" s="22" t="str">
        <f>E311</f>
        <v>общехоз. расходы - начисление/оплата</v>
      </c>
      <c r="F312" s="22"/>
      <c r="G312" s="22" t="str">
        <f>IF($E312="","",INDEX(KPI!$G:$G,SUMIFS(KPI!$B:$B,KPI!$E:$E,$E312)))</f>
        <v>тыс.руб.</v>
      </c>
      <c r="H312" s="100">
        <f>структура!$V$12</f>
        <v>1</v>
      </c>
      <c r="I312" s="31"/>
      <c r="J312" s="98" t="str">
        <f>структура!$X$12</f>
        <v>янв</v>
      </c>
      <c r="K312" s="99"/>
      <c r="L312" s="22"/>
      <c r="M312" s="58"/>
      <c r="N312" s="22"/>
      <c r="O312" s="22"/>
      <c r="P312" s="101">
        <f t="shared" ref="P312:AA312" si="64">IF(P$1="",0,(P59+P138)*$J$308)</f>
        <v>46.152211538461536</v>
      </c>
      <c r="Q312" s="101">
        <f t="shared" si="64"/>
        <v>47.464711538461536</v>
      </c>
      <c r="R312" s="101">
        <f t="shared" si="64"/>
        <v>49.433461538461536</v>
      </c>
      <c r="S312" s="101">
        <f t="shared" si="64"/>
        <v>50.745961538461536</v>
      </c>
      <c r="T312" s="101">
        <f t="shared" si="64"/>
        <v>52.714711538461536</v>
      </c>
      <c r="U312" s="101">
        <f t="shared" si="64"/>
        <v>55.995961538461536</v>
      </c>
      <c r="V312" s="101">
        <f t="shared" si="64"/>
        <v>60.589711538461536</v>
      </c>
      <c r="W312" s="101">
        <f t="shared" si="64"/>
        <v>0</v>
      </c>
      <c r="X312" s="101">
        <f t="shared" si="64"/>
        <v>0</v>
      </c>
      <c r="Y312" s="101">
        <f t="shared" si="64"/>
        <v>0</v>
      </c>
      <c r="Z312" s="101">
        <f t="shared" si="64"/>
        <v>0</v>
      </c>
      <c r="AA312" s="101">
        <f t="shared" si="64"/>
        <v>0</v>
      </c>
      <c r="AB312" s="22"/>
    </row>
    <row r="313" spans="1:28" s="23" customFormat="1" ht="10.199999999999999" x14ac:dyDescent="0.2">
      <c r="A313" s="22"/>
      <c r="B313" s="22"/>
      <c r="C313" s="22"/>
      <c r="D313" s="22"/>
      <c r="E313" s="22" t="str">
        <f>E311</f>
        <v>общехоз. расходы - начисление/оплата</v>
      </c>
      <c r="F313" s="22"/>
      <c r="G313" s="22" t="str">
        <f>IF($E313="","",INDEX(KPI!$G:$G,SUMIFS(KPI!$B:$B,KPI!$E:$E,$E313)))</f>
        <v>тыс.руб.</v>
      </c>
      <c r="H313" s="100">
        <f>структура!$V$13</f>
        <v>2</v>
      </c>
      <c r="I313" s="31"/>
      <c r="J313" s="98" t="str">
        <f>структура!$X$13</f>
        <v>фев</v>
      </c>
      <c r="K313" s="99"/>
      <c r="L313" s="22"/>
      <c r="M313" s="58"/>
      <c r="N313" s="22"/>
      <c r="O313" s="22"/>
      <c r="P313" s="101">
        <f t="shared" ref="P313:AA313" si="65">IF(P$1="",0,(P60+P139)*$J$308)</f>
        <v>44.450215384615383</v>
      </c>
      <c r="Q313" s="101">
        <f t="shared" si="65"/>
        <v>46.186215384615387</v>
      </c>
      <c r="R313" s="101">
        <f t="shared" si="65"/>
        <v>50.099807692307699</v>
      </c>
      <c r="S313" s="101">
        <f t="shared" si="65"/>
        <v>50.526215384615391</v>
      </c>
      <c r="T313" s="101">
        <f t="shared" si="65"/>
        <v>53.130215384615383</v>
      </c>
      <c r="U313" s="101">
        <f t="shared" si="65"/>
        <v>57.470215384615386</v>
      </c>
      <c r="V313" s="101">
        <f t="shared" si="65"/>
        <v>64.855807692307692</v>
      </c>
      <c r="W313" s="101">
        <f t="shared" si="65"/>
        <v>0</v>
      </c>
      <c r="X313" s="101">
        <f t="shared" si="65"/>
        <v>0</v>
      </c>
      <c r="Y313" s="101">
        <f t="shared" si="65"/>
        <v>0</v>
      </c>
      <c r="Z313" s="101">
        <f t="shared" si="65"/>
        <v>0</v>
      </c>
      <c r="AA313" s="101">
        <f t="shared" si="65"/>
        <v>0</v>
      </c>
      <c r="AB313" s="22"/>
    </row>
    <row r="314" spans="1:28" s="23" customFormat="1" ht="10.199999999999999" x14ac:dyDescent="0.2">
      <c r="A314" s="22"/>
      <c r="B314" s="22"/>
      <c r="C314" s="22"/>
      <c r="D314" s="22"/>
      <c r="E314" s="22" t="str">
        <f>E311</f>
        <v>общехоз. расходы - начисление/оплата</v>
      </c>
      <c r="F314" s="22"/>
      <c r="G314" s="22" t="str">
        <f>IF($E314="","",INDEX(KPI!$G:$G,SUMIFS(KPI!$B:$B,KPI!$E:$E,$E314)))</f>
        <v>тыс.руб.</v>
      </c>
      <c r="H314" s="100">
        <f>структура!$V$14</f>
        <v>3</v>
      </c>
      <c r="I314" s="31"/>
      <c r="J314" s="98" t="str">
        <f>структура!$X$14</f>
        <v>мар</v>
      </c>
      <c r="K314" s="99"/>
      <c r="L314" s="22"/>
      <c r="M314" s="58"/>
      <c r="N314" s="22"/>
      <c r="O314" s="22"/>
      <c r="P314" s="101">
        <f t="shared" ref="P314:AA314" si="66">IF(P$1="",0,(P61+P140)*$J$308)</f>
        <v>59.928076923076929</v>
      </c>
      <c r="Q314" s="101">
        <f t="shared" si="66"/>
        <v>62.098076923076931</v>
      </c>
      <c r="R314" s="101">
        <f t="shared" si="66"/>
        <v>65.353076923076927</v>
      </c>
      <c r="S314" s="101">
        <f t="shared" si="66"/>
        <v>67.523076923076928</v>
      </c>
      <c r="T314" s="101">
        <f t="shared" si="66"/>
        <v>70.778076923076938</v>
      </c>
      <c r="U314" s="101">
        <f t="shared" si="66"/>
        <v>76.203076923076935</v>
      </c>
      <c r="V314" s="101">
        <f t="shared" si="66"/>
        <v>83.798076923076934</v>
      </c>
      <c r="W314" s="101">
        <f t="shared" si="66"/>
        <v>0</v>
      </c>
      <c r="X314" s="101">
        <f t="shared" si="66"/>
        <v>0</v>
      </c>
      <c r="Y314" s="101">
        <f t="shared" si="66"/>
        <v>0</v>
      </c>
      <c r="Z314" s="101">
        <f t="shared" si="66"/>
        <v>0</v>
      </c>
      <c r="AA314" s="101">
        <f t="shared" si="66"/>
        <v>0</v>
      </c>
      <c r="AB314" s="22"/>
    </row>
    <row r="315" spans="1:28" s="23" customFormat="1" ht="10.199999999999999" x14ac:dyDescent="0.2">
      <c r="A315" s="22"/>
      <c r="B315" s="22"/>
      <c r="C315" s="22"/>
      <c r="D315" s="22"/>
      <c r="E315" s="22" t="str">
        <f>E311</f>
        <v>общехоз. расходы - начисление/оплата</v>
      </c>
      <c r="F315" s="22"/>
      <c r="G315" s="22" t="str">
        <f>IF($E315="","",INDEX(KPI!$G:$G,SUMIFS(KPI!$B:$B,KPI!$E:$E,$E315)))</f>
        <v>тыс.руб.</v>
      </c>
      <c r="H315" s="100">
        <f>структура!$V$15</f>
        <v>4</v>
      </c>
      <c r="I315" s="31"/>
      <c r="J315" s="98" t="str">
        <f>структура!$X$15</f>
        <v>апр</v>
      </c>
      <c r="K315" s="99"/>
      <c r="L315" s="22"/>
      <c r="M315" s="58"/>
      <c r="N315" s="22"/>
      <c r="O315" s="22"/>
      <c r="P315" s="101">
        <f t="shared" ref="P315:AA315" si="67">IF(P$1="",0,(P62+P141)*$J$308)</f>
        <v>67.349100000000007</v>
      </c>
      <c r="Q315" s="101">
        <f t="shared" si="67"/>
        <v>69.519100000000009</v>
      </c>
      <c r="R315" s="101">
        <f t="shared" si="67"/>
        <v>72.774100000000018</v>
      </c>
      <c r="S315" s="101">
        <f t="shared" si="67"/>
        <v>74.94410000000002</v>
      </c>
      <c r="T315" s="101">
        <f t="shared" si="67"/>
        <v>78.199100000000016</v>
      </c>
      <c r="U315" s="101">
        <f t="shared" si="67"/>
        <v>83.624100000000013</v>
      </c>
      <c r="V315" s="101">
        <f t="shared" si="67"/>
        <v>91.219100000000012</v>
      </c>
      <c r="W315" s="101">
        <f t="shared" si="67"/>
        <v>0</v>
      </c>
      <c r="X315" s="101">
        <f t="shared" si="67"/>
        <v>0</v>
      </c>
      <c r="Y315" s="101">
        <f t="shared" si="67"/>
        <v>0</v>
      </c>
      <c r="Z315" s="101">
        <f t="shared" si="67"/>
        <v>0</v>
      </c>
      <c r="AA315" s="101">
        <f t="shared" si="67"/>
        <v>0</v>
      </c>
      <c r="AB315" s="22"/>
    </row>
    <row r="316" spans="1:28" s="23" customFormat="1" ht="10.199999999999999" x14ac:dyDescent="0.2">
      <c r="A316" s="22"/>
      <c r="B316" s="22"/>
      <c r="C316" s="22"/>
      <c r="D316" s="22"/>
      <c r="E316" s="22" t="str">
        <f>E311</f>
        <v>общехоз. расходы - начисление/оплата</v>
      </c>
      <c r="F316" s="22"/>
      <c r="G316" s="22" t="str">
        <f>IF($E316="","",INDEX(KPI!$G:$G,SUMIFS(KPI!$B:$B,KPI!$E:$E,$E316)))</f>
        <v>тыс.руб.</v>
      </c>
      <c r="H316" s="100">
        <f>структура!$V$16</f>
        <v>5</v>
      </c>
      <c r="I316" s="31"/>
      <c r="J316" s="98" t="str">
        <f>структура!$X$16</f>
        <v>май</v>
      </c>
      <c r="K316" s="99"/>
      <c r="L316" s="22"/>
      <c r="M316" s="58"/>
      <c r="N316" s="22"/>
      <c r="O316" s="22"/>
      <c r="P316" s="101">
        <f t="shared" ref="P316:AA316" si="68">IF(P$1="",0,(P63+P142)*$J$308)</f>
        <v>104.37969230769232</v>
      </c>
      <c r="Q316" s="101">
        <f t="shared" si="68"/>
        <v>110.20369230769232</v>
      </c>
      <c r="R316" s="101">
        <f t="shared" si="68"/>
        <v>118.93969230769231</v>
      </c>
      <c r="S316" s="101">
        <f t="shared" si="68"/>
        <v>124.76369230769232</v>
      </c>
      <c r="T316" s="101">
        <f t="shared" si="68"/>
        <v>133.4996923076923</v>
      </c>
      <c r="U316" s="101">
        <f t="shared" si="68"/>
        <v>148.0596923076923</v>
      </c>
      <c r="V316" s="101">
        <f t="shared" si="68"/>
        <v>168.44369230769232</v>
      </c>
      <c r="W316" s="101">
        <f t="shared" si="68"/>
        <v>0</v>
      </c>
      <c r="X316" s="101">
        <f t="shared" si="68"/>
        <v>0</v>
      </c>
      <c r="Y316" s="101">
        <f t="shared" si="68"/>
        <v>0</v>
      </c>
      <c r="Z316" s="101">
        <f t="shared" si="68"/>
        <v>0</v>
      </c>
      <c r="AA316" s="101">
        <f t="shared" si="68"/>
        <v>0</v>
      </c>
      <c r="AB316" s="22"/>
    </row>
    <row r="317" spans="1:28" s="23" customFormat="1" ht="10.199999999999999" x14ac:dyDescent="0.2">
      <c r="A317" s="22"/>
      <c r="B317" s="22"/>
      <c r="C317" s="22"/>
      <c r="D317" s="22"/>
      <c r="E317" s="22" t="str">
        <f>E311</f>
        <v>общехоз. расходы - начисление/оплата</v>
      </c>
      <c r="F317" s="22"/>
      <c r="G317" s="22" t="str">
        <f>IF($E317="","",INDEX(KPI!$G:$G,SUMIFS(KPI!$B:$B,KPI!$E:$E,$E317)))</f>
        <v>тыс.руб.</v>
      </c>
      <c r="H317" s="100">
        <f>структура!$V$17</f>
        <v>6</v>
      </c>
      <c r="I317" s="31"/>
      <c r="J317" s="98" t="str">
        <f>структура!$X$17</f>
        <v>июн</v>
      </c>
      <c r="K317" s="99"/>
      <c r="L317" s="22"/>
      <c r="M317" s="58"/>
      <c r="N317" s="22"/>
      <c r="O317" s="22"/>
      <c r="P317" s="101">
        <f t="shared" ref="P317:AA317" si="69">IF(P$1="",0,(P64+P143)*$J$308)</f>
        <v>146.1096</v>
      </c>
      <c r="Q317" s="101">
        <f t="shared" si="69"/>
        <v>155.06960000000001</v>
      </c>
      <c r="R317" s="101">
        <f t="shared" si="69"/>
        <v>168.50960000000001</v>
      </c>
      <c r="S317" s="101">
        <f t="shared" si="69"/>
        <v>177.46959999999999</v>
      </c>
      <c r="T317" s="101">
        <f t="shared" si="69"/>
        <v>190.90960000000001</v>
      </c>
      <c r="U317" s="101">
        <f t="shared" si="69"/>
        <v>213.30959999999999</v>
      </c>
      <c r="V317" s="101">
        <f t="shared" si="69"/>
        <v>244.6696</v>
      </c>
      <c r="W317" s="101">
        <f t="shared" si="69"/>
        <v>0</v>
      </c>
      <c r="X317" s="101">
        <f t="shared" si="69"/>
        <v>0</v>
      </c>
      <c r="Y317" s="101">
        <f t="shared" si="69"/>
        <v>0</v>
      </c>
      <c r="Z317" s="101">
        <f t="shared" si="69"/>
        <v>0</v>
      </c>
      <c r="AA317" s="101">
        <f t="shared" si="69"/>
        <v>0</v>
      </c>
      <c r="AB317" s="22"/>
    </row>
    <row r="318" spans="1:28" s="23" customFormat="1" ht="10.199999999999999" x14ac:dyDescent="0.2">
      <c r="A318" s="22"/>
      <c r="B318" s="22"/>
      <c r="C318" s="22"/>
      <c r="D318" s="22"/>
      <c r="E318" s="22" t="str">
        <f>E311</f>
        <v>общехоз. расходы - начисление/оплата</v>
      </c>
      <c r="F318" s="22"/>
      <c r="G318" s="22" t="str">
        <f>IF($E318="","",INDEX(KPI!$G:$G,SUMIFS(KPI!$B:$B,KPI!$E:$E,$E318)))</f>
        <v>тыс.руб.</v>
      </c>
      <c r="H318" s="100">
        <f>структура!$V$18</f>
        <v>7</v>
      </c>
      <c r="I318" s="31"/>
      <c r="J318" s="98" t="str">
        <f>структура!$X$18</f>
        <v>июл</v>
      </c>
      <c r="K318" s="99"/>
      <c r="L318" s="22"/>
      <c r="M318" s="58"/>
      <c r="N318" s="22"/>
      <c r="O318" s="22"/>
      <c r="P318" s="101">
        <f t="shared" ref="P318:AA318" si="70">IF(P$1="",0,(P65+P144)*$J$308)</f>
        <v>131.83875384615388</v>
      </c>
      <c r="Q318" s="101">
        <f t="shared" si="70"/>
        <v>138.55875384615388</v>
      </c>
      <c r="R318" s="101">
        <f t="shared" si="70"/>
        <v>148.63875384615386</v>
      </c>
      <c r="S318" s="101">
        <f t="shared" si="70"/>
        <v>155.35875384615386</v>
      </c>
      <c r="T318" s="101">
        <f t="shared" si="70"/>
        <v>165.43875384615387</v>
      </c>
      <c r="U318" s="101">
        <f t="shared" si="70"/>
        <v>182.23875384615388</v>
      </c>
      <c r="V318" s="101">
        <f t="shared" si="70"/>
        <v>205.75875384615387</v>
      </c>
      <c r="W318" s="101">
        <f t="shared" si="70"/>
        <v>0</v>
      </c>
      <c r="X318" s="101">
        <f t="shared" si="70"/>
        <v>0</v>
      </c>
      <c r="Y318" s="101">
        <f t="shared" si="70"/>
        <v>0</v>
      </c>
      <c r="Z318" s="101">
        <f t="shared" si="70"/>
        <v>0</v>
      </c>
      <c r="AA318" s="101">
        <f t="shared" si="70"/>
        <v>0</v>
      </c>
      <c r="AB318" s="22"/>
    </row>
    <row r="319" spans="1:28" s="23" customFormat="1" ht="10.199999999999999" x14ac:dyDescent="0.2">
      <c r="A319" s="22"/>
      <c r="B319" s="22"/>
      <c r="C319" s="22"/>
      <c r="D319" s="22"/>
      <c r="E319" s="22" t="str">
        <f>E311</f>
        <v>общехоз. расходы - начисление/оплата</v>
      </c>
      <c r="F319" s="22"/>
      <c r="G319" s="22" t="str">
        <f>IF($E319="","",INDEX(KPI!$G:$G,SUMIFS(KPI!$B:$B,KPI!$E:$E,$E319)))</f>
        <v>тыс.руб.</v>
      </c>
      <c r="H319" s="100">
        <f>структура!$V$19</f>
        <v>8</v>
      </c>
      <c r="I319" s="31"/>
      <c r="J319" s="98" t="str">
        <f>структура!$X$19</f>
        <v>авг</v>
      </c>
      <c r="K319" s="99"/>
      <c r="L319" s="22"/>
      <c r="M319" s="58"/>
      <c r="N319" s="22"/>
      <c r="O319" s="22"/>
      <c r="P319" s="101">
        <f t="shared" ref="P319:AA319" si="71">IF(P$1="",0,(P66+P145)*$J$308)</f>
        <v>125.11875384615387</v>
      </c>
      <c r="Q319" s="101">
        <f t="shared" si="71"/>
        <v>130.94275384615386</v>
      </c>
      <c r="R319" s="101">
        <f t="shared" si="71"/>
        <v>139.67875384615388</v>
      </c>
      <c r="S319" s="101">
        <f t="shared" si="71"/>
        <v>145.50275384615387</v>
      </c>
      <c r="T319" s="101">
        <f t="shared" si="71"/>
        <v>154.23875384615386</v>
      </c>
      <c r="U319" s="101">
        <f t="shared" si="71"/>
        <v>168.79875384615386</v>
      </c>
      <c r="V319" s="101">
        <f t="shared" si="71"/>
        <v>189.18275384615387</v>
      </c>
      <c r="W319" s="101">
        <f t="shared" si="71"/>
        <v>0</v>
      </c>
      <c r="X319" s="101">
        <f t="shared" si="71"/>
        <v>0</v>
      </c>
      <c r="Y319" s="101">
        <f t="shared" si="71"/>
        <v>0</v>
      </c>
      <c r="Z319" s="101">
        <f t="shared" si="71"/>
        <v>0</v>
      </c>
      <c r="AA319" s="101">
        <f t="shared" si="71"/>
        <v>0</v>
      </c>
      <c r="AB319" s="22"/>
    </row>
    <row r="320" spans="1:28" s="23" customFormat="1" ht="10.199999999999999" x14ac:dyDescent="0.2">
      <c r="A320" s="22"/>
      <c r="B320" s="22"/>
      <c r="C320" s="22"/>
      <c r="D320" s="22"/>
      <c r="E320" s="22" t="str">
        <f>E311</f>
        <v>общехоз. расходы - начисление/оплата</v>
      </c>
      <c r="F320" s="22"/>
      <c r="G320" s="22" t="str">
        <f>IF($E320="","",INDEX(KPI!$G:$G,SUMIFS(KPI!$B:$B,KPI!$E:$E,$E320)))</f>
        <v>тыс.руб.</v>
      </c>
      <c r="H320" s="100">
        <f>структура!$V$20</f>
        <v>9</v>
      </c>
      <c r="I320" s="31"/>
      <c r="J320" s="98" t="str">
        <f>структура!$X$20</f>
        <v>сен</v>
      </c>
      <c r="K320" s="99"/>
      <c r="L320" s="22"/>
      <c r="M320" s="58"/>
      <c r="N320" s="22"/>
      <c r="O320" s="22"/>
      <c r="P320" s="101">
        <f t="shared" ref="P320:AA320" si="72">IF(P$1="",0,(P67+P146)*$J$308)</f>
        <v>78.130634615384608</v>
      </c>
      <c r="Q320" s="101">
        <f t="shared" si="72"/>
        <v>80.318134615384608</v>
      </c>
      <c r="R320" s="101">
        <f t="shared" si="72"/>
        <v>83.599384615384608</v>
      </c>
      <c r="S320" s="101">
        <f t="shared" si="72"/>
        <v>85.786884615384608</v>
      </c>
      <c r="T320" s="101">
        <f t="shared" si="72"/>
        <v>89.068134615384608</v>
      </c>
      <c r="U320" s="101">
        <f t="shared" si="72"/>
        <v>94.536884615384608</v>
      </c>
      <c r="V320" s="101">
        <f t="shared" si="72"/>
        <v>102.19313461538461</v>
      </c>
      <c r="W320" s="101">
        <f t="shared" si="72"/>
        <v>0</v>
      </c>
      <c r="X320" s="101">
        <f t="shared" si="72"/>
        <v>0</v>
      </c>
      <c r="Y320" s="101">
        <f t="shared" si="72"/>
        <v>0</v>
      </c>
      <c r="Z320" s="101">
        <f t="shared" si="72"/>
        <v>0</v>
      </c>
      <c r="AA320" s="101">
        <f t="shared" si="72"/>
        <v>0</v>
      </c>
      <c r="AB320" s="22"/>
    </row>
    <row r="321" spans="1:28" s="23" customFormat="1" ht="10.199999999999999" x14ac:dyDescent="0.2">
      <c r="A321" s="22"/>
      <c r="B321" s="22"/>
      <c r="C321" s="22"/>
      <c r="D321" s="22"/>
      <c r="E321" s="22" t="str">
        <f>E311</f>
        <v>общехоз. расходы - начисление/оплата</v>
      </c>
      <c r="F321" s="22"/>
      <c r="G321" s="22" t="str">
        <f>IF($E321="","",INDEX(KPI!$G:$G,SUMIFS(KPI!$B:$B,KPI!$E:$E,$E321)))</f>
        <v>тыс.руб.</v>
      </c>
      <c r="H321" s="100">
        <f>структура!$V$21</f>
        <v>10</v>
      </c>
      <c r="I321" s="31"/>
      <c r="J321" s="98" t="str">
        <f>структура!$X$21</f>
        <v>окт</v>
      </c>
      <c r="K321" s="99"/>
      <c r="L321" s="22"/>
      <c r="M321" s="58"/>
      <c r="N321" s="22"/>
      <c r="O321" s="22"/>
      <c r="P321" s="101">
        <f t="shared" ref="P321:AA321" si="73">IF(P$1="",0,(P68+P147)*$J$308)</f>
        <v>73.800596153846158</v>
      </c>
      <c r="Q321" s="101">
        <f t="shared" si="73"/>
        <v>76.863096153846158</v>
      </c>
      <c r="R321" s="101">
        <f t="shared" si="73"/>
        <v>81.456846153846186</v>
      </c>
      <c r="S321" s="101">
        <f t="shared" si="73"/>
        <v>84.519346153846186</v>
      </c>
      <c r="T321" s="101">
        <f t="shared" si="73"/>
        <v>89.113096153846172</v>
      </c>
      <c r="U321" s="101">
        <f t="shared" si="73"/>
        <v>96.769346153846186</v>
      </c>
      <c r="V321" s="101">
        <f t="shared" si="73"/>
        <v>107.48809615384619</v>
      </c>
      <c r="W321" s="101">
        <f t="shared" si="73"/>
        <v>0</v>
      </c>
      <c r="X321" s="101">
        <f t="shared" si="73"/>
        <v>0</v>
      </c>
      <c r="Y321" s="101">
        <f t="shared" si="73"/>
        <v>0</v>
      </c>
      <c r="Z321" s="101">
        <f t="shared" si="73"/>
        <v>0</v>
      </c>
      <c r="AA321" s="101">
        <f t="shared" si="73"/>
        <v>0</v>
      </c>
      <c r="AB321" s="22"/>
    </row>
    <row r="322" spans="1:28" s="23" customFormat="1" ht="10.199999999999999" x14ac:dyDescent="0.2">
      <c r="A322" s="22"/>
      <c r="B322" s="22"/>
      <c r="C322" s="22"/>
      <c r="D322" s="22"/>
      <c r="E322" s="22" t="str">
        <f>E311</f>
        <v>общехоз. расходы - начисление/оплата</v>
      </c>
      <c r="F322" s="22"/>
      <c r="G322" s="22" t="str">
        <f>IF($E322="","",INDEX(KPI!$G:$G,SUMIFS(KPI!$B:$B,KPI!$E:$E,$E322)))</f>
        <v>тыс.руб.</v>
      </c>
      <c r="H322" s="100">
        <f>структура!$V$22</f>
        <v>11</v>
      </c>
      <c r="I322" s="31"/>
      <c r="J322" s="98" t="str">
        <f>структура!$X$22</f>
        <v>ноя</v>
      </c>
      <c r="K322" s="99"/>
      <c r="L322" s="22"/>
      <c r="M322" s="58"/>
      <c r="N322" s="22"/>
      <c r="O322" s="22"/>
      <c r="P322" s="101">
        <f t="shared" ref="P322:AA322" si="74">IF(P$1="",0,(P69+P148)*$J$308)</f>
        <v>58.618484615384617</v>
      </c>
      <c r="Q322" s="101">
        <f t="shared" si="74"/>
        <v>60.788484615384618</v>
      </c>
      <c r="R322" s="101">
        <f t="shared" si="74"/>
        <v>64.043484615384614</v>
      </c>
      <c r="S322" s="101">
        <f t="shared" si="74"/>
        <v>66.213484615384615</v>
      </c>
      <c r="T322" s="101">
        <f t="shared" si="74"/>
        <v>69.468484615384625</v>
      </c>
      <c r="U322" s="101">
        <f t="shared" si="74"/>
        <v>74.893484615384622</v>
      </c>
      <c r="V322" s="101">
        <f t="shared" si="74"/>
        <v>82.488484615384621</v>
      </c>
      <c r="W322" s="101">
        <f t="shared" si="74"/>
        <v>0</v>
      </c>
      <c r="X322" s="101">
        <f t="shared" si="74"/>
        <v>0</v>
      </c>
      <c r="Y322" s="101">
        <f t="shared" si="74"/>
        <v>0</v>
      </c>
      <c r="Z322" s="101">
        <f t="shared" si="74"/>
        <v>0</v>
      </c>
      <c r="AA322" s="101">
        <f t="shared" si="74"/>
        <v>0</v>
      </c>
      <c r="AB322" s="22"/>
    </row>
    <row r="323" spans="1:28" s="23" customFormat="1" ht="10.199999999999999" x14ac:dyDescent="0.2">
      <c r="A323" s="22"/>
      <c r="B323" s="22"/>
      <c r="C323" s="22"/>
      <c r="D323" s="22"/>
      <c r="E323" s="22" t="str">
        <f>E311</f>
        <v>общехоз. расходы - начисление/оплата</v>
      </c>
      <c r="F323" s="22"/>
      <c r="G323" s="22" t="str">
        <f>IF($E323="","",INDEX(KPI!$G:$G,SUMIFS(KPI!$B:$B,KPI!$E:$E,$E323)))</f>
        <v>тыс.руб.</v>
      </c>
      <c r="H323" s="100">
        <f>структура!$V$23</f>
        <v>12</v>
      </c>
      <c r="I323" s="31"/>
      <c r="J323" s="98" t="str">
        <f>структура!$X$23</f>
        <v>дек</v>
      </c>
      <c r="K323" s="99"/>
      <c r="L323" s="22"/>
      <c r="M323" s="58"/>
      <c r="N323" s="22"/>
      <c r="O323" s="22"/>
      <c r="P323" s="101">
        <f t="shared" ref="P323:AA323" si="75">IF(P$1="",0,(P70+P149)*$J$308)</f>
        <v>54.231961538461476</v>
      </c>
      <c r="Q323" s="101">
        <f t="shared" si="75"/>
        <v>56.436961538461475</v>
      </c>
      <c r="R323" s="101">
        <f t="shared" si="75"/>
        <v>59.744461538461465</v>
      </c>
      <c r="S323" s="101">
        <f t="shared" si="75"/>
        <v>61.949461538461456</v>
      </c>
      <c r="T323" s="101">
        <f t="shared" si="75"/>
        <v>65.256961538461439</v>
      </c>
      <c r="U323" s="101">
        <f t="shared" si="75"/>
        <v>70.769461538461428</v>
      </c>
      <c r="V323" s="101">
        <f t="shared" si="75"/>
        <v>78.486961538461401</v>
      </c>
      <c r="W323" s="101">
        <f t="shared" si="75"/>
        <v>0</v>
      </c>
      <c r="X323" s="101">
        <f t="shared" si="75"/>
        <v>0</v>
      </c>
      <c r="Y323" s="101">
        <f t="shared" si="75"/>
        <v>0</v>
      </c>
      <c r="Z323" s="101">
        <f t="shared" si="75"/>
        <v>0</v>
      </c>
      <c r="AA323" s="101">
        <f t="shared" si="75"/>
        <v>0</v>
      </c>
      <c r="AB323" s="22"/>
    </row>
    <row r="324" spans="1:28" ht="3.9" customHeight="1" x14ac:dyDescent="0.25">
      <c r="A324" s="2"/>
      <c r="B324" s="2"/>
      <c r="C324" s="2"/>
      <c r="D324" s="2"/>
      <c r="E324" s="21"/>
      <c r="F324" s="2"/>
      <c r="G324" s="21"/>
      <c r="H324" s="2"/>
      <c r="I324" s="28"/>
      <c r="J324" s="21"/>
      <c r="K324" s="28"/>
      <c r="L324" s="2"/>
      <c r="M324" s="52"/>
      <c r="N324" s="2"/>
      <c r="O324" s="2"/>
      <c r="P324" s="36"/>
      <c r="Q324" s="36"/>
      <c r="R324" s="36"/>
      <c r="S324" s="36"/>
      <c r="T324" s="36"/>
      <c r="U324" s="36"/>
      <c r="V324" s="36"/>
      <c r="W324" s="36"/>
      <c r="X324" s="36"/>
      <c r="Y324" s="36"/>
      <c r="Z324" s="36"/>
      <c r="AA324" s="36"/>
      <c r="AB324" s="2"/>
    </row>
    <row r="325" spans="1:28" ht="8.1" customHeight="1" x14ac:dyDescent="0.25">
      <c r="A325" s="2"/>
      <c r="B325" s="2"/>
      <c r="C325" s="2"/>
      <c r="D325" s="2"/>
      <c r="E325" s="2"/>
      <c r="F325" s="2"/>
      <c r="G325" s="2"/>
      <c r="H325" s="2"/>
      <c r="I325" s="28"/>
      <c r="J325" s="2"/>
      <c r="K325" s="28"/>
      <c r="L325" s="2"/>
      <c r="M325" s="52"/>
      <c r="N325" s="2"/>
      <c r="O325" s="2"/>
      <c r="P325" s="36"/>
      <c r="Q325" s="36"/>
      <c r="R325" s="36"/>
      <c r="S325" s="36"/>
      <c r="T325" s="36"/>
      <c r="U325" s="36"/>
      <c r="V325" s="36"/>
      <c r="W325" s="36"/>
      <c r="X325" s="36"/>
      <c r="Y325" s="36"/>
      <c r="Z325" s="36"/>
      <c r="AA325" s="36"/>
      <c r="AB325" s="2"/>
    </row>
    <row r="326" spans="1:28" s="5" customFormat="1" x14ac:dyDescent="0.25">
      <c r="A326" s="3"/>
      <c r="B326" s="3"/>
      <c r="C326" s="3"/>
      <c r="D326" s="3"/>
      <c r="E326" s="3" t="str">
        <f>KPI!$E$63</f>
        <v>доля непредв. расходов в доходах</v>
      </c>
      <c r="F326" s="3"/>
      <c r="G326" s="3" t="str">
        <f>IF($E326="","",INDEX(KPI!$G:$G,SUMIFS(KPI!$B:$B,KPI!$E:$E,$E326)))</f>
        <v>%</v>
      </c>
      <c r="H326" s="3"/>
      <c r="I326" s="6"/>
      <c r="J326" s="229">
        <f>операции!J401</f>
        <v>0.03</v>
      </c>
      <c r="K326" s="28"/>
      <c r="L326" s="2"/>
      <c r="M326" s="52"/>
      <c r="N326" s="3"/>
      <c r="O326" s="2"/>
      <c r="P326" s="36"/>
      <c r="Q326" s="36"/>
      <c r="R326" s="36"/>
      <c r="S326" s="36"/>
      <c r="T326" s="36"/>
      <c r="U326" s="36"/>
      <c r="V326" s="36"/>
      <c r="W326" s="36"/>
      <c r="X326" s="36"/>
      <c r="Y326" s="36"/>
      <c r="Z326" s="36"/>
      <c r="AA326" s="36"/>
      <c r="AB326" s="2"/>
    </row>
    <row r="327" spans="1:28" ht="3.9" customHeight="1" x14ac:dyDescent="0.25">
      <c r="A327" s="2"/>
      <c r="B327" s="2"/>
      <c r="C327" s="2"/>
      <c r="D327" s="2"/>
      <c r="E327" s="110"/>
      <c r="F327" s="2"/>
      <c r="G327" s="2"/>
      <c r="H327" s="2"/>
      <c r="I327" s="28"/>
      <c r="J327" s="2"/>
      <c r="K327" s="28"/>
      <c r="L327" s="2"/>
      <c r="M327" s="52"/>
      <c r="N327" s="2"/>
      <c r="O327" s="2"/>
      <c r="P327" s="36"/>
      <c r="Q327" s="36"/>
      <c r="R327" s="36"/>
      <c r="S327" s="36"/>
      <c r="T327" s="36"/>
      <c r="U327" s="36"/>
      <c r="V327" s="36"/>
      <c r="W327" s="36"/>
      <c r="X327" s="36"/>
      <c r="Y327" s="36"/>
      <c r="Z327" s="36"/>
      <c r="AA327" s="36"/>
      <c r="AB327" s="2"/>
    </row>
    <row r="328" spans="1:28" ht="8.1" customHeight="1" x14ac:dyDescent="0.25">
      <c r="A328" s="2"/>
      <c r="B328" s="2"/>
      <c r="C328" s="2"/>
      <c r="D328" s="2"/>
      <c r="E328" s="2"/>
      <c r="F328" s="2"/>
      <c r="G328" s="2"/>
      <c r="H328" s="2"/>
      <c r="I328" s="28"/>
      <c r="J328" s="2"/>
      <c r="K328" s="28"/>
      <c r="L328" s="2"/>
      <c r="M328" s="52"/>
      <c r="N328" s="2"/>
      <c r="O328" s="2"/>
      <c r="P328" s="36"/>
      <c r="Q328" s="36"/>
      <c r="R328" s="36"/>
      <c r="S328" s="36"/>
      <c r="T328" s="36"/>
      <c r="U328" s="36"/>
      <c r="V328" s="36"/>
      <c r="W328" s="36"/>
      <c r="X328" s="36"/>
      <c r="Y328" s="36"/>
      <c r="Z328" s="36"/>
      <c r="AA328" s="36"/>
      <c r="AB328" s="2"/>
    </row>
    <row r="329" spans="1:28" s="5" customFormat="1" x14ac:dyDescent="0.25">
      <c r="A329" s="3"/>
      <c r="B329" s="3"/>
      <c r="C329" s="3"/>
      <c r="D329" s="111"/>
      <c r="E329" s="3" t="str">
        <f>KPI!$E$64</f>
        <v>непредв. расходы - начисление/оплата</v>
      </c>
      <c r="F329" s="3"/>
      <c r="G329" s="3" t="str">
        <f>IF($E329="","",INDEX(KPI!$G:$G,SUMIFS(KPI!$B:$B,KPI!$E:$E,$E329)))</f>
        <v>тыс.руб.</v>
      </c>
      <c r="H329" s="103"/>
      <c r="I329" s="28"/>
      <c r="J329" s="44"/>
      <c r="K329" s="28"/>
      <c r="L329" s="3"/>
      <c r="M329" s="55">
        <f>SUM($O329:$AB329)</f>
        <v>3551.0534999999995</v>
      </c>
      <c r="N329" s="3"/>
      <c r="O329" s="3"/>
      <c r="P329" s="46">
        <f>IF(P$1="",0,IF(P$1=0,SUMIFS(P330:P341,H330:H341,"&gt;="&amp;MONTH($J$13)),SUM(P330:P341)))</f>
        <v>424.3320346153846</v>
      </c>
      <c r="Q329" s="46">
        <f t="shared" ref="Q329" si="76">IF(Q$1="",0,SUM(Q330:Q341))</f>
        <v>443.33553461538452</v>
      </c>
      <c r="R329" s="46">
        <f t="shared" ref="R329:AA329" si="77">IF(R$1="",0,SUM(R330:R341))</f>
        <v>472.40203846153838</v>
      </c>
      <c r="S329" s="46">
        <f t="shared" si="77"/>
        <v>490.84428461538459</v>
      </c>
      <c r="T329" s="46">
        <f t="shared" si="77"/>
        <v>519.34953461538453</v>
      </c>
      <c r="U329" s="46">
        <f t="shared" si="77"/>
        <v>566.8582846153846</v>
      </c>
      <c r="V329" s="46">
        <f t="shared" si="77"/>
        <v>633.93178846153842</v>
      </c>
      <c r="W329" s="46">
        <f t="shared" si="77"/>
        <v>0</v>
      </c>
      <c r="X329" s="46">
        <f t="shared" si="77"/>
        <v>0</v>
      </c>
      <c r="Y329" s="46">
        <f t="shared" si="77"/>
        <v>0</v>
      </c>
      <c r="Z329" s="46">
        <f t="shared" si="77"/>
        <v>0</v>
      </c>
      <c r="AA329" s="46">
        <f t="shared" si="77"/>
        <v>0</v>
      </c>
      <c r="AB329" s="3"/>
    </row>
    <row r="330" spans="1:28" s="23" customFormat="1" ht="10.199999999999999" x14ac:dyDescent="0.2">
      <c r="A330" s="22"/>
      <c r="B330" s="22"/>
      <c r="C330" s="22"/>
      <c r="D330" s="22"/>
      <c r="E330" s="22" t="str">
        <f>E329</f>
        <v>непредв. расходы - начисление/оплата</v>
      </c>
      <c r="F330" s="22"/>
      <c r="G330" s="22" t="str">
        <f>IF($E330="","",INDEX(KPI!$G:$G,SUMIFS(KPI!$B:$B,KPI!$E:$E,$E330)))</f>
        <v>тыс.руб.</v>
      </c>
      <c r="H330" s="100">
        <f>структура!$V$12</f>
        <v>1</v>
      </c>
      <c r="I330" s="31"/>
      <c r="J330" s="98" t="str">
        <f>структура!$X$12</f>
        <v>янв</v>
      </c>
      <c r="K330" s="99"/>
      <c r="L330" s="22"/>
      <c r="M330" s="58"/>
      <c r="N330" s="22"/>
      <c r="O330" s="22"/>
      <c r="P330" s="101">
        <f t="shared" ref="P330:AA330" si="78">IF(P$1="",0,(P59+P138)*$J$326)</f>
        <v>19.779519230769228</v>
      </c>
      <c r="Q330" s="101">
        <f t="shared" si="78"/>
        <v>20.342019230769228</v>
      </c>
      <c r="R330" s="101">
        <f t="shared" si="78"/>
        <v>21.185769230769228</v>
      </c>
      <c r="S330" s="101">
        <f t="shared" si="78"/>
        <v>21.748269230769228</v>
      </c>
      <c r="T330" s="101">
        <f t="shared" si="78"/>
        <v>22.592019230769228</v>
      </c>
      <c r="U330" s="101">
        <f t="shared" si="78"/>
        <v>23.998269230769228</v>
      </c>
      <c r="V330" s="101">
        <f t="shared" si="78"/>
        <v>25.967019230769228</v>
      </c>
      <c r="W330" s="101">
        <f t="shared" si="78"/>
        <v>0</v>
      </c>
      <c r="X330" s="101">
        <f t="shared" si="78"/>
        <v>0</v>
      </c>
      <c r="Y330" s="101">
        <f t="shared" si="78"/>
        <v>0</v>
      </c>
      <c r="Z330" s="101">
        <f t="shared" si="78"/>
        <v>0</v>
      </c>
      <c r="AA330" s="101">
        <f t="shared" si="78"/>
        <v>0</v>
      </c>
      <c r="AB330" s="22"/>
    </row>
    <row r="331" spans="1:28" s="23" customFormat="1" ht="10.199999999999999" x14ac:dyDescent="0.2">
      <c r="A331" s="22"/>
      <c r="B331" s="22"/>
      <c r="C331" s="22"/>
      <c r="D331" s="22"/>
      <c r="E331" s="22" t="str">
        <f>E329</f>
        <v>непредв. расходы - начисление/оплата</v>
      </c>
      <c r="F331" s="22"/>
      <c r="G331" s="22" t="str">
        <f>IF($E331="","",INDEX(KPI!$G:$G,SUMIFS(KPI!$B:$B,KPI!$E:$E,$E331)))</f>
        <v>тыс.руб.</v>
      </c>
      <c r="H331" s="100">
        <f>структура!$V$13</f>
        <v>2</v>
      </c>
      <c r="I331" s="31"/>
      <c r="J331" s="98" t="str">
        <f>структура!$X$13</f>
        <v>фев</v>
      </c>
      <c r="K331" s="99"/>
      <c r="L331" s="22"/>
      <c r="M331" s="58"/>
      <c r="N331" s="22"/>
      <c r="O331" s="22"/>
      <c r="P331" s="101">
        <f t="shared" ref="P331:AA331" si="79">IF(P$1="",0,(P60+P139)*$J$326)</f>
        <v>19.050092307692303</v>
      </c>
      <c r="Q331" s="101">
        <f t="shared" si="79"/>
        <v>19.794092307692306</v>
      </c>
      <c r="R331" s="101">
        <f t="shared" si="79"/>
        <v>21.471346153846152</v>
      </c>
      <c r="S331" s="101">
        <f t="shared" si="79"/>
        <v>21.654092307692306</v>
      </c>
      <c r="T331" s="101">
        <f t="shared" si="79"/>
        <v>22.770092307692305</v>
      </c>
      <c r="U331" s="101">
        <f t="shared" si="79"/>
        <v>24.630092307692305</v>
      </c>
      <c r="V331" s="101">
        <f t="shared" si="79"/>
        <v>27.79534615384615</v>
      </c>
      <c r="W331" s="101">
        <f t="shared" si="79"/>
        <v>0</v>
      </c>
      <c r="X331" s="101">
        <f t="shared" si="79"/>
        <v>0</v>
      </c>
      <c r="Y331" s="101">
        <f t="shared" si="79"/>
        <v>0</v>
      </c>
      <c r="Z331" s="101">
        <f t="shared" si="79"/>
        <v>0</v>
      </c>
      <c r="AA331" s="101">
        <f t="shared" si="79"/>
        <v>0</v>
      </c>
      <c r="AB331" s="22"/>
    </row>
    <row r="332" spans="1:28" s="23" customFormat="1" ht="10.199999999999999" x14ac:dyDescent="0.2">
      <c r="A332" s="22"/>
      <c r="B332" s="22"/>
      <c r="C332" s="22"/>
      <c r="D332" s="22"/>
      <c r="E332" s="22" t="str">
        <f>E329</f>
        <v>непредв. расходы - начисление/оплата</v>
      </c>
      <c r="F332" s="22"/>
      <c r="G332" s="22" t="str">
        <f>IF($E332="","",INDEX(KPI!$G:$G,SUMIFS(KPI!$B:$B,KPI!$E:$E,$E332)))</f>
        <v>тыс.руб.</v>
      </c>
      <c r="H332" s="100">
        <f>структура!$V$14</f>
        <v>3</v>
      </c>
      <c r="I332" s="31"/>
      <c r="J332" s="98" t="str">
        <f>структура!$X$14</f>
        <v>мар</v>
      </c>
      <c r="K332" s="99"/>
      <c r="L332" s="22"/>
      <c r="M332" s="58"/>
      <c r="N332" s="22"/>
      <c r="O332" s="22"/>
      <c r="P332" s="101">
        <f t="shared" ref="P332:AA332" si="80">IF(P$1="",0,(P61+P140)*$J$326)</f>
        <v>25.68346153846154</v>
      </c>
      <c r="Q332" s="101">
        <f t="shared" si="80"/>
        <v>26.613461538461539</v>
      </c>
      <c r="R332" s="101">
        <f t="shared" si="80"/>
        <v>28.008461538461539</v>
      </c>
      <c r="S332" s="101">
        <f t="shared" si="80"/>
        <v>28.938461538461539</v>
      </c>
      <c r="T332" s="101">
        <f t="shared" si="80"/>
        <v>30.333461538461538</v>
      </c>
      <c r="U332" s="101">
        <f t="shared" si="80"/>
        <v>32.658461538461545</v>
      </c>
      <c r="V332" s="101">
        <f t="shared" si="80"/>
        <v>35.91346153846154</v>
      </c>
      <c r="W332" s="101">
        <f t="shared" si="80"/>
        <v>0</v>
      </c>
      <c r="X332" s="101">
        <f t="shared" si="80"/>
        <v>0</v>
      </c>
      <c r="Y332" s="101">
        <f t="shared" si="80"/>
        <v>0</v>
      </c>
      <c r="Z332" s="101">
        <f t="shared" si="80"/>
        <v>0</v>
      </c>
      <c r="AA332" s="101">
        <f t="shared" si="80"/>
        <v>0</v>
      </c>
      <c r="AB332" s="22"/>
    </row>
    <row r="333" spans="1:28" s="23" customFormat="1" ht="10.199999999999999" x14ac:dyDescent="0.2">
      <c r="A333" s="22"/>
      <c r="B333" s="22"/>
      <c r="C333" s="22"/>
      <c r="D333" s="22"/>
      <c r="E333" s="22" t="str">
        <f>E329</f>
        <v>непредв. расходы - начисление/оплата</v>
      </c>
      <c r="F333" s="22"/>
      <c r="G333" s="22" t="str">
        <f>IF($E333="","",INDEX(KPI!$G:$G,SUMIFS(KPI!$B:$B,KPI!$E:$E,$E333)))</f>
        <v>тыс.руб.</v>
      </c>
      <c r="H333" s="100">
        <f>структура!$V$15</f>
        <v>4</v>
      </c>
      <c r="I333" s="31"/>
      <c r="J333" s="98" t="str">
        <f>структура!$X$15</f>
        <v>апр</v>
      </c>
      <c r="K333" s="99"/>
      <c r="L333" s="22"/>
      <c r="M333" s="58"/>
      <c r="N333" s="22"/>
      <c r="O333" s="22"/>
      <c r="P333" s="101">
        <f t="shared" ref="P333:AA333" si="81">IF(P$1="",0,(P62+P141)*$J$326)</f>
        <v>28.863899999999997</v>
      </c>
      <c r="Q333" s="101">
        <f t="shared" si="81"/>
        <v>29.793899999999997</v>
      </c>
      <c r="R333" s="101">
        <f t="shared" si="81"/>
        <v>31.188900000000004</v>
      </c>
      <c r="S333" s="101">
        <f t="shared" si="81"/>
        <v>32.118900000000004</v>
      </c>
      <c r="T333" s="101">
        <f t="shared" si="81"/>
        <v>33.5139</v>
      </c>
      <c r="U333" s="101">
        <f t="shared" si="81"/>
        <v>35.838900000000002</v>
      </c>
      <c r="V333" s="101">
        <f t="shared" si="81"/>
        <v>39.093900000000005</v>
      </c>
      <c r="W333" s="101">
        <f t="shared" si="81"/>
        <v>0</v>
      </c>
      <c r="X333" s="101">
        <f t="shared" si="81"/>
        <v>0</v>
      </c>
      <c r="Y333" s="101">
        <f t="shared" si="81"/>
        <v>0</v>
      </c>
      <c r="Z333" s="101">
        <f t="shared" si="81"/>
        <v>0</v>
      </c>
      <c r="AA333" s="101">
        <f t="shared" si="81"/>
        <v>0</v>
      </c>
      <c r="AB333" s="22"/>
    </row>
    <row r="334" spans="1:28" s="23" customFormat="1" ht="10.199999999999999" x14ac:dyDescent="0.2">
      <c r="A334" s="22"/>
      <c r="B334" s="22"/>
      <c r="C334" s="22"/>
      <c r="D334" s="22"/>
      <c r="E334" s="22" t="str">
        <f>E329</f>
        <v>непредв. расходы - начисление/оплата</v>
      </c>
      <c r="F334" s="22"/>
      <c r="G334" s="22" t="str">
        <f>IF($E334="","",INDEX(KPI!$G:$G,SUMIFS(KPI!$B:$B,KPI!$E:$E,$E334)))</f>
        <v>тыс.руб.</v>
      </c>
      <c r="H334" s="100">
        <f>структура!$V$16</f>
        <v>5</v>
      </c>
      <c r="I334" s="31"/>
      <c r="J334" s="98" t="str">
        <f>структура!$X$16</f>
        <v>май</v>
      </c>
      <c r="K334" s="99"/>
      <c r="L334" s="22"/>
      <c r="M334" s="58"/>
      <c r="N334" s="22"/>
      <c r="O334" s="22"/>
      <c r="P334" s="101">
        <f t="shared" ref="P334:AA334" si="82">IF(P$1="",0,(P63+P142)*$J$326)</f>
        <v>44.734153846153845</v>
      </c>
      <c r="Q334" s="101">
        <f t="shared" si="82"/>
        <v>47.230153846153847</v>
      </c>
      <c r="R334" s="101">
        <f t="shared" si="82"/>
        <v>50.97415384615384</v>
      </c>
      <c r="S334" s="101">
        <f t="shared" si="82"/>
        <v>53.470153846153849</v>
      </c>
      <c r="T334" s="101">
        <f t="shared" si="82"/>
        <v>57.214153846153842</v>
      </c>
      <c r="U334" s="101">
        <f t="shared" si="82"/>
        <v>63.454153846153837</v>
      </c>
      <c r="V334" s="101">
        <f t="shared" si="82"/>
        <v>72.190153846153848</v>
      </c>
      <c r="W334" s="101">
        <f t="shared" si="82"/>
        <v>0</v>
      </c>
      <c r="X334" s="101">
        <f t="shared" si="82"/>
        <v>0</v>
      </c>
      <c r="Y334" s="101">
        <f t="shared" si="82"/>
        <v>0</v>
      </c>
      <c r="Z334" s="101">
        <f t="shared" si="82"/>
        <v>0</v>
      </c>
      <c r="AA334" s="101">
        <f t="shared" si="82"/>
        <v>0</v>
      </c>
      <c r="AB334" s="22"/>
    </row>
    <row r="335" spans="1:28" s="23" customFormat="1" ht="10.199999999999999" x14ac:dyDescent="0.2">
      <c r="A335" s="22"/>
      <c r="B335" s="22"/>
      <c r="C335" s="22"/>
      <c r="D335" s="22"/>
      <c r="E335" s="22" t="str">
        <f>E329</f>
        <v>непредв. расходы - начисление/оплата</v>
      </c>
      <c r="F335" s="22"/>
      <c r="G335" s="22" t="str">
        <f>IF($E335="","",INDEX(KPI!$G:$G,SUMIFS(KPI!$B:$B,KPI!$E:$E,$E335)))</f>
        <v>тыс.руб.</v>
      </c>
      <c r="H335" s="100">
        <f>структура!$V$17</f>
        <v>6</v>
      </c>
      <c r="I335" s="31"/>
      <c r="J335" s="98" t="str">
        <f>структура!$X$17</f>
        <v>июн</v>
      </c>
      <c r="K335" s="99"/>
      <c r="L335" s="22"/>
      <c r="M335" s="58"/>
      <c r="N335" s="22"/>
      <c r="O335" s="22"/>
      <c r="P335" s="101">
        <f t="shared" ref="P335:AA335" si="83">IF(P$1="",0,(P64+P143)*$J$326)</f>
        <v>62.618399999999987</v>
      </c>
      <c r="Q335" s="101">
        <f t="shared" si="83"/>
        <v>66.458399999999983</v>
      </c>
      <c r="R335" s="101">
        <f t="shared" si="83"/>
        <v>72.218399999999988</v>
      </c>
      <c r="S335" s="101">
        <f t="shared" si="83"/>
        <v>76.058399999999992</v>
      </c>
      <c r="T335" s="101">
        <f t="shared" si="83"/>
        <v>81.818399999999983</v>
      </c>
      <c r="U335" s="101">
        <f t="shared" si="83"/>
        <v>91.418399999999991</v>
      </c>
      <c r="V335" s="101">
        <f t="shared" si="83"/>
        <v>104.85839999999999</v>
      </c>
      <c r="W335" s="101">
        <f t="shared" si="83"/>
        <v>0</v>
      </c>
      <c r="X335" s="101">
        <f t="shared" si="83"/>
        <v>0</v>
      </c>
      <c r="Y335" s="101">
        <f t="shared" si="83"/>
        <v>0</v>
      </c>
      <c r="Z335" s="101">
        <f t="shared" si="83"/>
        <v>0</v>
      </c>
      <c r="AA335" s="101">
        <f t="shared" si="83"/>
        <v>0</v>
      </c>
      <c r="AB335" s="22"/>
    </row>
    <row r="336" spans="1:28" s="23" customFormat="1" ht="10.199999999999999" x14ac:dyDescent="0.2">
      <c r="A336" s="22"/>
      <c r="B336" s="22"/>
      <c r="C336" s="22"/>
      <c r="D336" s="22"/>
      <c r="E336" s="22" t="str">
        <f>E329</f>
        <v>непредв. расходы - начисление/оплата</v>
      </c>
      <c r="F336" s="22"/>
      <c r="G336" s="22" t="str">
        <f>IF($E336="","",INDEX(KPI!$G:$G,SUMIFS(KPI!$B:$B,KPI!$E:$E,$E336)))</f>
        <v>тыс.руб.</v>
      </c>
      <c r="H336" s="100">
        <f>структура!$V$18</f>
        <v>7</v>
      </c>
      <c r="I336" s="31"/>
      <c r="J336" s="98" t="str">
        <f>структура!$X$18</f>
        <v>июл</v>
      </c>
      <c r="K336" s="99"/>
      <c r="L336" s="22"/>
      <c r="M336" s="58"/>
      <c r="N336" s="22"/>
      <c r="O336" s="22"/>
      <c r="P336" s="101">
        <f t="shared" ref="P336:AA336" si="84">IF(P$1="",0,(P65+P144)*$J$326)</f>
        <v>56.502323076923076</v>
      </c>
      <c r="Q336" s="101">
        <f t="shared" si="84"/>
        <v>59.382323076923079</v>
      </c>
      <c r="R336" s="101">
        <f t="shared" si="84"/>
        <v>63.702323076923079</v>
      </c>
      <c r="S336" s="101">
        <f t="shared" si="84"/>
        <v>66.582323076923075</v>
      </c>
      <c r="T336" s="101">
        <f t="shared" si="84"/>
        <v>70.902323076923082</v>
      </c>
      <c r="U336" s="101">
        <f t="shared" si="84"/>
        <v>78.102323076923071</v>
      </c>
      <c r="V336" s="101">
        <f t="shared" si="84"/>
        <v>88.182323076923083</v>
      </c>
      <c r="W336" s="101">
        <f t="shared" si="84"/>
        <v>0</v>
      </c>
      <c r="X336" s="101">
        <f t="shared" si="84"/>
        <v>0</v>
      </c>
      <c r="Y336" s="101">
        <f t="shared" si="84"/>
        <v>0</v>
      </c>
      <c r="Z336" s="101">
        <f t="shared" si="84"/>
        <v>0</v>
      </c>
      <c r="AA336" s="101">
        <f t="shared" si="84"/>
        <v>0</v>
      </c>
      <c r="AB336" s="22"/>
    </row>
    <row r="337" spans="1:28" s="23" customFormat="1" ht="10.199999999999999" x14ac:dyDescent="0.2">
      <c r="A337" s="22"/>
      <c r="B337" s="22"/>
      <c r="C337" s="22"/>
      <c r="D337" s="22"/>
      <c r="E337" s="22" t="str">
        <f>E329</f>
        <v>непредв. расходы - начисление/оплата</v>
      </c>
      <c r="F337" s="22"/>
      <c r="G337" s="22" t="str">
        <f>IF($E337="","",INDEX(KPI!$G:$G,SUMIFS(KPI!$B:$B,KPI!$E:$E,$E337)))</f>
        <v>тыс.руб.</v>
      </c>
      <c r="H337" s="100">
        <f>структура!$V$19</f>
        <v>8</v>
      </c>
      <c r="I337" s="31"/>
      <c r="J337" s="98" t="str">
        <f>структура!$X$19</f>
        <v>авг</v>
      </c>
      <c r="K337" s="99"/>
      <c r="L337" s="22"/>
      <c r="M337" s="58"/>
      <c r="N337" s="22"/>
      <c r="O337" s="22"/>
      <c r="P337" s="101">
        <f t="shared" ref="P337:AA337" si="85">IF(P$1="",0,(P66+P145)*$J$326)</f>
        <v>53.622323076923081</v>
      </c>
      <c r="Q337" s="101">
        <f t="shared" si="85"/>
        <v>56.118323076923076</v>
      </c>
      <c r="R337" s="101">
        <f t="shared" si="85"/>
        <v>59.862323076923076</v>
      </c>
      <c r="S337" s="101">
        <f t="shared" si="85"/>
        <v>62.358323076923071</v>
      </c>
      <c r="T337" s="101">
        <f t="shared" si="85"/>
        <v>66.102323076923085</v>
      </c>
      <c r="U337" s="101">
        <f t="shared" si="85"/>
        <v>72.34232307692308</v>
      </c>
      <c r="V337" s="101">
        <f t="shared" si="85"/>
        <v>81.07832307692307</v>
      </c>
      <c r="W337" s="101">
        <f t="shared" si="85"/>
        <v>0</v>
      </c>
      <c r="X337" s="101">
        <f t="shared" si="85"/>
        <v>0</v>
      </c>
      <c r="Y337" s="101">
        <f t="shared" si="85"/>
        <v>0</v>
      </c>
      <c r="Z337" s="101">
        <f t="shared" si="85"/>
        <v>0</v>
      </c>
      <c r="AA337" s="101">
        <f t="shared" si="85"/>
        <v>0</v>
      </c>
      <c r="AB337" s="22"/>
    </row>
    <row r="338" spans="1:28" s="23" customFormat="1" ht="10.199999999999999" x14ac:dyDescent="0.2">
      <c r="A338" s="22"/>
      <c r="B338" s="22"/>
      <c r="C338" s="22"/>
      <c r="D338" s="22"/>
      <c r="E338" s="22" t="str">
        <f>E329</f>
        <v>непредв. расходы - начисление/оплата</v>
      </c>
      <c r="F338" s="22"/>
      <c r="G338" s="22" t="str">
        <f>IF($E338="","",INDEX(KPI!$G:$G,SUMIFS(KPI!$B:$B,KPI!$E:$E,$E338)))</f>
        <v>тыс.руб.</v>
      </c>
      <c r="H338" s="100">
        <f>структура!$V$20</f>
        <v>9</v>
      </c>
      <c r="I338" s="31"/>
      <c r="J338" s="98" t="str">
        <f>структура!$X$20</f>
        <v>сен</v>
      </c>
      <c r="K338" s="99"/>
      <c r="L338" s="22"/>
      <c r="M338" s="58"/>
      <c r="N338" s="22"/>
      <c r="O338" s="22"/>
      <c r="P338" s="101">
        <f t="shared" ref="P338:AA338" si="86">IF(P$1="",0,(P67+P146)*$J$326)</f>
        <v>33.484557692307689</v>
      </c>
      <c r="Q338" s="101">
        <f t="shared" si="86"/>
        <v>34.422057692307689</v>
      </c>
      <c r="R338" s="101">
        <f t="shared" si="86"/>
        <v>35.828307692307689</v>
      </c>
      <c r="S338" s="101">
        <f t="shared" si="86"/>
        <v>36.765807692307689</v>
      </c>
      <c r="T338" s="101">
        <f t="shared" si="86"/>
        <v>38.172057692307689</v>
      </c>
      <c r="U338" s="101">
        <f t="shared" si="86"/>
        <v>40.515807692307689</v>
      </c>
      <c r="V338" s="101">
        <f t="shared" si="86"/>
        <v>43.797057692307689</v>
      </c>
      <c r="W338" s="101">
        <f t="shared" si="86"/>
        <v>0</v>
      </c>
      <c r="X338" s="101">
        <f t="shared" si="86"/>
        <v>0</v>
      </c>
      <c r="Y338" s="101">
        <f t="shared" si="86"/>
        <v>0</v>
      </c>
      <c r="Z338" s="101">
        <f t="shared" si="86"/>
        <v>0</v>
      </c>
      <c r="AA338" s="101">
        <f t="shared" si="86"/>
        <v>0</v>
      </c>
      <c r="AB338" s="22"/>
    </row>
    <row r="339" spans="1:28" s="23" customFormat="1" ht="10.199999999999999" x14ac:dyDescent="0.2">
      <c r="A339" s="22"/>
      <c r="B339" s="22"/>
      <c r="C339" s="22"/>
      <c r="D339" s="22"/>
      <c r="E339" s="22" t="str">
        <f>E329</f>
        <v>непредв. расходы - начисление/оплата</v>
      </c>
      <c r="F339" s="22"/>
      <c r="G339" s="22" t="str">
        <f>IF($E339="","",INDEX(KPI!$G:$G,SUMIFS(KPI!$B:$B,KPI!$E:$E,$E339)))</f>
        <v>тыс.руб.</v>
      </c>
      <c r="H339" s="100">
        <f>структура!$V$21</f>
        <v>10</v>
      </c>
      <c r="I339" s="31"/>
      <c r="J339" s="98" t="str">
        <f>структура!$X$21</f>
        <v>окт</v>
      </c>
      <c r="K339" s="99"/>
      <c r="L339" s="22"/>
      <c r="M339" s="58"/>
      <c r="N339" s="22"/>
      <c r="O339" s="22"/>
      <c r="P339" s="101">
        <f t="shared" ref="P339:AA339" si="87">IF(P$1="",0,(P68+P147)*$J$326)</f>
        <v>31.628826923076922</v>
      </c>
      <c r="Q339" s="101">
        <f t="shared" si="87"/>
        <v>32.941326923076922</v>
      </c>
      <c r="R339" s="101">
        <f t="shared" si="87"/>
        <v>34.910076923076929</v>
      </c>
      <c r="S339" s="101">
        <f t="shared" si="87"/>
        <v>36.222576923076929</v>
      </c>
      <c r="T339" s="101">
        <f t="shared" si="87"/>
        <v>38.191326923076922</v>
      </c>
      <c r="U339" s="101">
        <f t="shared" si="87"/>
        <v>41.472576923076929</v>
      </c>
      <c r="V339" s="101">
        <f t="shared" si="87"/>
        <v>46.066326923076929</v>
      </c>
      <c r="W339" s="101">
        <f t="shared" si="87"/>
        <v>0</v>
      </c>
      <c r="X339" s="101">
        <f t="shared" si="87"/>
        <v>0</v>
      </c>
      <c r="Y339" s="101">
        <f t="shared" si="87"/>
        <v>0</v>
      </c>
      <c r="Z339" s="101">
        <f t="shared" si="87"/>
        <v>0</v>
      </c>
      <c r="AA339" s="101">
        <f t="shared" si="87"/>
        <v>0</v>
      </c>
      <c r="AB339" s="22"/>
    </row>
    <row r="340" spans="1:28" s="23" customFormat="1" ht="10.199999999999999" x14ac:dyDescent="0.2">
      <c r="A340" s="22"/>
      <c r="B340" s="22"/>
      <c r="C340" s="22"/>
      <c r="D340" s="22"/>
      <c r="E340" s="22" t="str">
        <f>E329</f>
        <v>непредв. расходы - начисление/оплата</v>
      </c>
      <c r="F340" s="22"/>
      <c r="G340" s="22" t="str">
        <f>IF($E340="","",INDEX(KPI!$G:$G,SUMIFS(KPI!$B:$B,KPI!$E:$E,$E340)))</f>
        <v>тыс.руб.</v>
      </c>
      <c r="H340" s="100">
        <f>структура!$V$22</f>
        <v>11</v>
      </c>
      <c r="I340" s="31"/>
      <c r="J340" s="98" t="str">
        <f>структура!$X$22</f>
        <v>ноя</v>
      </c>
      <c r="K340" s="99"/>
      <c r="L340" s="22"/>
      <c r="M340" s="58"/>
      <c r="N340" s="22"/>
      <c r="O340" s="22"/>
      <c r="P340" s="101">
        <f t="shared" ref="P340:AA340" si="88">IF(P$1="",0,(P69+P148)*$J$326)</f>
        <v>25.12220769230769</v>
      </c>
      <c r="Q340" s="101">
        <f t="shared" si="88"/>
        <v>26.05220769230769</v>
      </c>
      <c r="R340" s="101">
        <f t="shared" si="88"/>
        <v>27.447207692307689</v>
      </c>
      <c r="S340" s="101">
        <f t="shared" si="88"/>
        <v>28.377207692307689</v>
      </c>
      <c r="T340" s="101">
        <f t="shared" si="88"/>
        <v>29.772207692307688</v>
      </c>
      <c r="U340" s="101">
        <f t="shared" si="88"/>
        <v>32.097207692307691</v>
      </c>
      <c r="V340" s="101">
        <f t="shared" si="88"/>
        <v>35.352207692307687</v>
      </c>
      <c r="W340" s="101">
        <f t="shared" si="88"/>
        <v>0</v>
      </c>
      <c r="X340" s="101">
        <f t="shared" si="88"/>
        <v>0</v>
      </c>
      <c r="Y340" s="101">
        <f t="shared" si="88"/>
        <v>0</v>
      </c>
      <c r="Z340" s="101">
        <f t="shared" si="88"/>
        <v>0</v>
      </c>
      <c r="AA340" s="101">
        <f t="shared" si="88"/>
        <v>0</v>
      </c>
      <c r="AB340" s="22"/>
    </row>
    <row r="341" spans="1:28" s="23" customFormat="1" ht="10.199999999999999" x14ac:dyDescent="0.2">
      <c r="A341" s="22"/>
      <c r="B341" s="22"/>
      <c r="C341" s="22"/>
      <c r="D341" s="22"/>
      <c r="E341" s="22" t="str">
        <f>E329</f>
        <v>непредв. расходы - начисление/оплата</v>
      </c>
      <c r="F341" s="22"/>
      <c r="G341" s="22" t="str">
        <f>IF($E341="","",INDEX(KPI!$G:$G,SUMIFS(KPI!$B:$B,KPI!$E:$E,$E341)))</f>
        <v>тыс.руб.</v>
      </c>
      <c r="H341" s="100">
        <f>структура!$V$23</f>
        <v>12</v>
      </c>
      <c r="I341" s="31"/>
      <c r="J341" s="98" t="str">
        <f>структура!$X$23</f>
        <v>дек</v>
      </c>
      <c r="K341" s="99"/>
      <c r="L341" s="22"/>
      <c r="M341" s="58"/>
      <c r="N341" s="22"/>
      <c r="O341" s="22"/>
      <c r="P341" s="101">
        <f t="shared" ref="P341:AA341" si="89">IF(P$1="",0,(P70+P149)*$J$326)</f>
        <v>23.242269230769203</v>
      </c>
      <c r="Q341" s="101">
        <f t="shared" si="89"/>
        <v>24.1872692307692</v>
      </c>
      <c r="R341" s="101">
        <f t="shared" si="89"/>
        <v>25.604769230769197</v>
      </c>
      <c r="S341" s="101">
        <f t="shared" si="89"/>
        <v>26.549769230769193</v>
      </c>
      <c r="T341" s="101">
        <f t="shared" si="89"/>
        <v>27.967269230769187</v>
      </c>
      <c r="U341" s="101">
        <f t="shared" si="89"/>
        <v>30.329769230769177</v>
      </c>
      <c r="V341" s="101">
        <f t="shared" si="89"/>
        <v>33.637269230769164</v>
      </c>
      <c r="W341" s="101">
        <f t="shared" si="89"/>
        <v>0</v>
      </c>
      <c r="X341" s="101">
        <f t="shared" si="89"/>
        <v>0</v>
      </c>
      <c r="Y341" s="101">
        <f t="shared" si="89"/>
        <v>0</v>
      </c>
      <c r="Z341" s="101">
        <f t="shared" si="89"/>
        <v>0</v>
      </c>
      <c r="AA341" s="101">
        <f t="shared" si="89"/>
        <v>0</v>
      </c>
      <c r="AB341" s="22"/>
    </row>
    <row r="342" spans="1:28" ht="3.9" customHeight="1" x14ac:dyDescent="0.25">
      <c r="A342" s="2"/>
      <c r="B342" s="2"/>
      <c r="C342" s="2"/>
      <c r="D342" s="119"/>
      <c r="E342" s="119"/>
      <c r="F342" s="2"/>
      <c r="G342" s="119"/>
      <c r="H342" s="2"/>
      <c r="I342" s="28"/>
      <c r="J342" s="119"/>
      <c r="K342" s="28"/>
      <c r="L342" s="2"/>
      <c r="M342" s="52"/>
      <c r="N342" s="2"/>
      <c r="O342" s="2"/>
      <c r="P342" s="36"/>
      <c r="Q342" s="36"/>
      <c r="R342" s="36"/>
      <c r="S342" s="36"/>
      <c r="T342" s="36"/>
      <c r="U342" s="36"/>
      <c r="V342" s="36"/>
      <c r="W342" s="36"/>
      <c r="X342" s="36"/>
      <c r="Y342" s="36"/>
      <c r="Z342" s="36"/>
      <c r="AA342" s="36"/>
      <c r="AB342" s="2"/>
    </row>
    <row r="343" spans="1:28" ht="8.1" customHeight="1" x14ac:dyDescent="0.25">
      <c r="A343" s="2"/>
      <c r="B343" s="2"/>
      <c r="C343" s="2"/>
      <c r="D343" s="2"/>
      <c r="E343" s="2"/>
      <c r="F343" s="2"/>
      <c r="G343" s="2"/>
      <c r="H343" s="2"/>
      <c r="I343" s="28"/>
      <c r="J343" s="2"/>
      <c r="K343" s="28"/>
      <c r="L343" s="2"/>
      <c r="M343" s="52"/>
      <c r="N343" s="2"/>
      <c r="O343" s="2"/>
      <c r="P343" s="36"/>
      <c r="Q343" s="36"/>
      <c r="R343" s="36"/>
      <c r="S343" s="36"/>
      <c r="T343" s="36"/>
      <c r="U343" s="36"/>
      <c r="V343" s="36"/>
      <c r="W343" s="36"/>
      <c r="X343" s="36"/>
      <c r="Y343" s="36"/>
      <c r="Z343" s="36"/>
      <c r="AA343" s="36"/>
      <c r="AB343" s="2"/>
    </row>
    <row r="344" spans="1:28" x14ac:dyDescent="0.25">
      <c r="A344" s="2"/>
      <c r="B344" s="2"/>
      <c r="C344" s="2"/>
      <c r="D344" s="2"/>
      <c r="E344" s="121" t="s">
        <v>244</v>
      </c>
      <c r="F344" s="2"/>
      <c r="G344" s="2"/>
      <c r="H344" s="2"/>
      <c r="I344" s="28"/>
      <c r="J344" s="2"/>
      <c r="K344" s="28"/>
      <c r="L344" s="2"/>
      <c r="M344" s="52"/>
      <c r="N344" s="2"/>
      <c r="O344" s="2"/>
      <c r="P344" s="36"/>
      <c r="Q344" s="36"/>
      <c r="R344" s="36"/>
      <c r="S344" s="36"/>
      <c r="T344" s="36"/>
      <c r="U344" s="36"/>
      <c r="V344" s="36"/>
      <c r="W344" s="36"/>
      <c r="X344" s="36"/>
      <c r="Y344" s="36"/>
      <c r="Z344" s="36"/>
      <c r="AA344" s="36"/>
      <c r="AB344" s="2"/>
    </row>
    <row r="345" spans="1:28" ht="8.1" customHeight="1" x14ac:dyDescent="0.25">
      <c r="A345" s="2"/>
      <c r="B345" s="2"/>
      <c r="C345" s="2"/>
      <c r="D345" s="2"/>
      <c r="E345" s="2"/>
      <c r="F345" s="2"/>
      <c r="G345" s="2"/>
      <c r="H345" s="2"/>
      <c r="I345" s="28"/>
      <c r="J345" s="2"/>
      <c r="K345" s="28"/>
      <c r="L345" s="2"/>
      <c r="M345" s="52"/>
      <c r="N345" s="2"/>
      <c r="O345" s="2"/>
      <c r="P345" s="36"/>
      <c r="Q345" s="36"/>
      <c r="R345" s="36"/>
      <c r="S345" s="36"/>
      <c r="T345" s="36"/>
      <c r="U345" s="36"/>
      <c r="V345" s="36"/>
      <c r="W345" s="36"/>
      <c r="X345" s="36"/>
      <c r="Y345" s="36"/>
      <c r="Z345" s="36"/>
      <c r="AA345" s="36"/>
      <c r="AB345" s="2"/>
    </row>
    <row r="346" spans="1:28" s="5" customFormat="1" x14ac:dyDescent="0.25">
      <c r="A346" s="3"/>
      <c r="B346" s="3"/>
      <c r="C346" s="3"/>
      <c r="D346" s="3"/>
      <c r="E346" s="3" t="str">
        <f>KPI!$E$65</f>
        <v>ставка НДС</v>
      </c>
      <c r="F346" s="3"/>
      <c r="G346" s="3" t="str">
        <f>IF($E346="","",INDEX(KPI!$G:$G,SUMIFS(KPI!$B:$B,KPI!$E:$E,$E346)))</f>
        <v>%</v>
      </c>
      <c r="H346" s="3"/>
      <c r="I346" s="28"/>
      <c r="J346" s="2"/>
      <c r="K346" s="28"/>
      <c r="L346" s="2"/>
      <c r="M346" s="52"/>
      <c r="N346" s="3"/>
      <c r="O346" s="6"/>
      <c r="P346" s="229">
        <f>операции!P421</f>
        <v>0.2</v>
      </c>
      <c r="Q346" s="229">
        <f>операции!Q421</f>
        <v>0.2</v>
      </c>
      <c r="R346" s="229">
        <f>операции!R421</f>
        <v>0.2</v>
      </c>
      <c r="S346" s="229">
        <f>операции!S421</f>
        <v>0.2</v>
      </c>
      <c r="T346" s="229">
        <f>операции!T421</f>
        <v>0.2</v>
      </c>
      <c r="U346" s="229">
        <f>операции!U421</f>
        <v>0.2</v>
      </c>
      <c r="V346" s="229">
        <f>операции!V421</f>
        <v>0.2</v>
      </c>
      <c r="W346" s="229">
        <f>операции!W421</f>
        <v>0.2</v>
      </c>
      <c r="X346" s="229">
        <f>операции!X421</f>
        <v>0.2</v>
      </c>
      <c r="Y346" s="229">
        <f>операции!Y421</f>
        <v>0.2</v>
      </c>
      <c r="Z346" s="229">
        <f>операции!Z421</f>
        <v>0.2</v>
      </c>
      <c r="AA346" s="229">
        <f>операции!AA421</f>
        <v>0.2</v>
      </c>
      <c r="AB346" s="3"/>
    </row>
    <row r="347" spans="1:28" ht="3.9" customHeight="1" x14ac:dyDescent="0.25">
      <c r="A347" s="2"/>
      <c r="B347" s="2"/>
      <c r="C347" s="2"/>
      <c r="D347" s="2"/>
      <c r="E347" s="122"/>
      <c r="F347" s="2"/>
      <c r="G347" s="2"/>
      <c r="H347" s="2"/>
      <c r="I347" s="28"/>
      <c r="J347" s="2"/>
      <c r="K347" s="28"/>
      <c r="L347" s="2"/>
      <c r="M347" s="52"/>
      <c r="N347" s="2"/>
      <c r="O347" s="2"/>
      <c r="P347" s="36"/>
      <c r="Q347" s="36"/>
      <c r="R347" s="36"/>
      <c r="S347" s="36"/>
      <c r="T347" s="36"/>
      <c r="U347" s="36"/>
      <c r="V347" s="36"/>
      <c r="W347" s="36"/>
      <c r="X347" s="36"/>
      <c r="Y347" s="36"/>
      <c r="Z347" s="36"/>
      <c r="AA347" s="36"/>
      <c r="AB347" s="2"/>
    </row>
    <row r="348" spans="1:28" ht="3.9" customHeight="1" x14ac:dyDescent="0.25">
      <c r="A348" s="2"/>
      <c r="B348" s="2"/>
      <c r="C348" s="2"/>
      <c r="D348" s="2"/>
      <c r="E348" s="2"/>
      <c r="F348" s="2"/>
      <c r="G348" s="2"/>
      <c r="H348" s="2"/>
      <c r="I348" s="28"/>
      <c r="J348" s="2"/>
      <c r="K348" s="28"/>
      <c r="L348" s="2"/>
      <c r="M348" s="52"/>
      <c r="N348" s="2"/>
      <c r="O348" s="2"/>
      <c r="P348" s="36"/>
      <c r="Q348" s="36"/>
      <c r="R348" s="36"/>
      <c r="S348" s="36"/>
      <c r="T348" s="36"/>
      <c r="U348" s="36"/>
      <c r="V348" s="36"/>
      <c r="W348" s="36"/>
      <c r="X348" s="36"/>
      <c r="Y348" s="36"/>
      <c r="Z348" s="36"/>
      <c r="AA348" s="36"/>
      <c r="AB348" s="2"/>
    </row>
    <row r="349" spans="1:28" s="5" customFormat="1" x14ac:dyDescent="0.25">
      <c r="A349" s="3"/>
      <c r="B349" s="3"/>
      <c r="C349" s="3"/>
      <c r="D349" s="3"/>
      <c r="E349" s="3" t="str">
        <f>KPI!$E$66</f>
        <v>ставка налога на прибыль (ОСНО)</v>
      </c>
      <c r="F349" s="3"/>
      <c r="G349" s="3" t="str">
        <f>IF($E349="","",INDEX(KPI!$G:$G,SUMIFS(KPI!$B:$B,KPI!$E:$E,$E349)))</f>
        <v>%</v>
      </c>
      <c r="H349" s="3"/>
      <c r="I349" s="28"/>
      <c r="J349" s="2"/>
      <c r="K349" s="28"/>
      <c r="L349" s="2"/>
      <c r="M349" s="52"/>
      <c r="N349" s="3"/>
      <c r="O349" s="6"/>
      <c r="P349" s="229">
        <f>операции!P424</f>
        <v>0.2</v>
      </c>
      <c r="Q349" s="229">
        <f>операции!Q424</f>
        <v>0.2</v>
      </c>
      <c r="R349" s="229">
        <f>операции!R424</f>
        <v>0.2</v>
      </c>
      <c r="S349" s="229">
        <f>операции!S424</f>
        <v>0.2</v>
      </c>
      <c r="T349" s="229">
        <f>операции!T424</f>
        <v>0.2</v>
      </c>
      <c r="U349" s="229">
        <f>операции!U424</f>
        <v>0.2</v>
      </c>
      <c r="V349" s="229">
        <f>операции!V424</f>
        <v>0.2</v>
      </c>
      <c r="W349" s="229">
        <f>операции!W424</f>
        <v>0.2</v>
      </c>
      <c r="X349" s="229">
        <f>операции!X424</f>
        <v>0.2</v>
      </c>
      <c r="Y349" s="229">
        <f>операции!Y424</f>
        <v>0.2</v>
      </c>
      <c r="Z349" s="229">
        <f>операции!Z424</f>
        <v>0.2</v>
      </c>
      <c r="AA349" s="229">
        <f>операции!AA424</f>
        <v>0.2</v>
      </c>
      <c r="AB349" s="3"/>
    </row>
    <row r="350" spans="1:28" ht="3.9" customHeight="1" x14ac:dyDescent="0.25">
      <c r="A350" s="2"/>
      <c r="B350" s="2"/>
      <c r="C350" s="2"/>
      <c r="D350" s="2"/>
      <c r="E350" s="122"/>
      <c r="F350" s="2"/>
      <c r="G350" s="2"/>
      <c r="H350" s="2"/>
      <c r="I350" s="28"/>
      <c r="J350" s="2"/>
      <c r="K350" s="28"/>
      <c r="L350" s="2"/>
      <c r="M350" s="52"/>
      <c r="N350" s="2"/>
      <c r="O350" s="2"/>
      <c r="P350" s="36"/>
      <c r="Q350" s="36"/>
      <c r="R350" s="36"/>
      <c r="S350" s="36"/>
      <c r="T350" s="36"/>
      <c r="U350" s="36"/>
      <c r="V350" s="36"/>
      <c r="W350" s="36"/>
      <c r="X350" s="36"/>
      <c r="Y350" s="36"/>
      <c r="Z350" s="36"/>
      <c r="AA350" s="36"/>
      <c r="AB350" s="2"/>
    </row>
    <row r="351" spans="1:28" ht="3.9" customHeight="1" x14ac:dyDescent="0.25">
      <c r="A351" s="2"/>
      <c r="B351" s="2"/>
      <c r="C351" s="2"/>
      <c r="D351" s="2"/>
      <c r="E351" s="2"/>
      <c r="F351" s="2"/>
      <c r="G351" s="2"/>
      <c r="H351" s="2"/>
      <c r="I351" s="28"/>
      <c r="J351" s="2"/>
      <c r="K351" s="28"/>
      <c r="L351" s="2"/>
      <c r="M351" s="52"/>
      <c r="N351" s="2"/>
      <c r="O351" s="2"/>
      <c r="P351" s="36"/>
      <c r="Q351" s="36"/>
      <c r="R351" s="36"/>
      <c r="S351" s="36"/>
      <c r="T351" s="36"/>
      <c r="U351" s="36"/>
      <c r="V351" s="36"/>
      <c r="W351" s="36"/>
      <c r="X351" s="36"/>
      <c r="Y351" s="36"/>
      <c r="Z351" s="36"/>
      <c r="AA351" s="36"/>
      <c r="AB351" s="2"/>
    </row>
    <row r="352" spans="1:28" s="5" customFormat="1" x14ac:dyDescent="0.25">
      <c r="A352" s="3"/>
      <c r="B352" s="3"/>
      <c r="C352" s="3"/>
      <c r="D352" s="3"/>
      <c r="E352" s="3" t="str">
        <f>KPI!$E$67</f>
        <v>ставка налога УСН-доход</v>
      </c>
      <c r="F352" s="3"/>
      <c r="G352" s="3" t="str">
        <f>IF($E352="","",INDEX(KPI!$G:$G,SUMIFS(KPI!$B:$B,KPI!$E:$E,$E352)))</f>
        <v>%</v>
      </c>
      <c r="H352" s="3"/>
      <c r="I352" s="28"/>
      <c r="J352" s="2"/>
      <c r="K352" s="28"/>
      <c r="L352" s="2"/>
      <c r="M352" s="52"/>
      <c r="N352" s="3"/>
      <c r="O352" s="6"/>
      <c r="P352" s="229">
        <f>операции!P427</f>
        <v>0.06</v>
      </c>
      <c r="Q352" s="229">
        <f>операции!Q427</f>
        <v>0.06</v>
      </c>
      <c r="R352" s="229">
        <f>операции!R427</f>
        <v>0.06</v>
      </c>
      <c r="S352" s="229">
        <f>операции!S427</f>
        <v>0.06</v>
      </c>
      <c r="T352" s="229">
        <f>операции!T427</f>
        <v>0.06</v>
      </c>
      <c r="U352" s="229">
        <f>операции!U427</f>
        <v>0.06</v>
      </c>
      <c r="V352" s="229">
        <f>операции!V427</f>
        <v>0.06</v>
      </c>
      <c r="W352" s="229">
        <f>операции!W427</f>
        <v>0.06</v>
      </c>
      <c r="X352" s="229">
        <f>операции!X427</f>
        <v>0.06</v>
      </c>
      <c r="Y352" s="229">
        <f>операции!Y427</f>
        <v>0.06</v>
      </c>
      <c r="Z352" s="229">
        <f>операции!Z427</f>
        <v>0.06</v>
      </c>
      <c r="AA352" s="229">
        <f>операции!AA427</f>
        <v>0.06</v>
      </c>
      <c r="AB352" s="3"/>
    </row>
    <row r="353" spans="1:28" ht="3.9" customHeight="1" x14ac:dyDescent="0.25">
      <c r="A353" s="2"/>
      <c r="B353" s="2"/>
      <c r="C353" s="2"/>
      <c r="D353" s="2"/>
      <c r="E353" s="122"/>
      <c r="F353" s="2"/>
      <c r="G353" s="2"/>
      <c r="H353" s="2"/>
      <c r="I353" s="28"/>
      <c r="J353" s="2"/>
      <c r="K353" s="28"/>
      <c r="L353" s="2"/>
      <c r="M353" s="52"/>
      <c r="N353" s="2"/>
      <c r="O353" s="2"/>
      <c r="P353" s="36"/>
      <c r="Q353" s="36"/>
      <c r="R353" s="36"/>
      <c r="S353" s="36"/>
      <c r="T353" s="36"/>
      <c r="U353" s="36"/>
      <c r="V353" s="36"/>
      <c r="W353" s="36"/>
      <c r="X353" s="36"/>
      <c r="Y353" s="36"/>
      <c r="Z353" s="36"/>
      <c r="AA353" s="36"/>
      <c r="AB353" s="2"/>
    </row>
    <row r="354" spans="1:28" ht="3.9" customHeight="1" x14ac:dyDescent="0.25">
      <c r="A354" s="2"/>
      <c r="B354" s="2"/>
      <c r="C354" s="2"/>
      <c r="D354" s="2"/>
      <c r="E354" s="2"/>
      <c r="F354" s="2"/>
      <c r="G354" s="2"/>
      <c r="H354" s="2"/>
      <c r="I354" s="28"/>
      <c r="J354" s="2"/>
      <c r="K354" s="28"/>
      <c r="L354" s="2"/>
      <c r="M354" s="52"/>
      <c r="N354" s="2"/>
      <c r="O354" s="2"/>
      <c r="P354" s="36"/>
      <c r="Q354" s="36"/>
      <c r="R354" s="36"/>
      <c r="S354" s="36"/>
      <c r="T354" s="36"/>
      <c r="U354" s="36"/>
      <c r="V354" s="36"/>
      <c r="W354" s="36"/>
      <c r="X354" s="36"/>
      <c r="Y354" s="36"/>
      <c r="Z354" s="36"/>
      <c r="AA354" s="36"/>
      <c r="AB354" s="2"/>
    </row>
    <row r="355" spans="1:28" s="5" customFormat="1" x14ac:dyDescent="0.25">
      <c r="A355" s="3"/>
      <c r="B355" s="3"/>
      <c r="C355" s="3"/>
      <c r="D355" s="3"/>
      <c r="E355" s="3" t="str">
        <f>KPI!$E$68</f>
        <v>ставка налога УСН-доход-расход</v>
      </c>
      <c r="F355" s="3"/>
      <c r="G355" s="3" t="str">
        <f>IF($E355="","",INDEX(KPI!$G:$G,SUMIFS(KPI!$B:$B,KPI!$E:$E,$E355)))</f>
        <v>%</v>
      </c>
      <c r="H355" s="3"/>
      <c r="I355" s="28"/>
      <c r="J355" s="2"/>
      <c r="K355" s="28"/>
      <c r="L355" s="2"/>
      <c r="M355" s="52"/>
      <c r="N355" s="3"/>
      <c r="O355" s="6"/>
      <c r="P355" s="229">
        <f>операции!P430</f>
        <v>0.15</v>
      </c>
      <c r="Q355" s="229">
        <f>операции!Q430</f>
        <v>0.15</v>
      </c>
      <c r="R355" s="229">
        <f>операции!R430</f>
        <v>0.15</v>
      </c>
      <c r="S355" s="229">
        <f>операции!S430</f>
        <v>0.15</v>
      </c>
      <c r="T355" s="229">
        <f>операции!T430</f>
        <v>0.15</v>
      </c>
      <c r="U355" s="229">
        <f>операции!U430</f>
        <v>0.15</v>
      </c>
      <c r="V355" s="229">
        <f>операции!V430</f>
        <v>0.15</v>
      </c>
      <c r="W355" s="229">
        <f>операции!W430</f>
        <v>0.15</v>
      </c>
      <c r="X355" s="229">
        <f>операции!X430</f>
        <v>0.15</v>
      </c>
      <c r="Y355" s="229">
        <f>операции!Y430</f>
        <v>0.15</v>
      </c>
      <c r="Z355" s="229">
        <f>операции!Z430</f>
        <v>0.15</v>
      </c>
      <c r="AA355" s="229">
        <f>операции!AA430</f>
        <v>0.15</v>
      </c>
      <c r="AB355" s="3"/>
    </row>
    <row r="356" spans="1:28" ht="3.9" customHeight="1" x14ac:dyDescent="0.25">
      <c r="A356" s="2"/>
      <c r="B356" s="2"/>
      <c r="C356" s="2"/>
      <c r="D356" s="2"/>
      <c r="E356" s="122"/>
      <c r="F356" s="2"/>
      <c r="G356" s="2"/>
      <c r="H356" s="2"/>
      <c r="I356" s="28"/>
      <c r="J356" s="2"/>
      <c r="K356" s="28"/>
      <c r="L356" s="2"/>
      <c r="M356" s="52"/>
      <c r="N356" s="2"/>
      <c r="O356" s="2"/>
      <c r="P356" s="36"/>
      <c r="Q356" s="36"/>
      <c r="R356" s="36"/>
      <c r="S356" s="36"/>
      <c r="T356" s="36"/>
      <c r="U356" s="36"/>
      <c r="V356" s="36"/>
      <c r="W356" s="36"/>
      <c r="X356" s="36"/>
      <c r="Y356" s="36"/>
      <c r="Z356" s="36"/>
      <c r="AA356" s="36"/>
      <c r="AB356" s="2"/>
    </row>
    <row r="357" spans="1:28" ht="3.9" customHeight="1" x14ac:dyDescent="0.25">
      <c r="A357" s="2"/>
      <c r="B357" s="2"/>
      <c r="C357" s="2"/>
      <c r="D357" s="2"/>
      <c r="E357" s="2"/>
      <c r="F357" s="2"/>
      <c r="G357" s="2"/>
      <c r="H357" s="2"/>
      <c r="I357" s="28"/>
      <c r="J357" s="2"/>
      <c r="K357" s="28"/>
      <c r="L357" s="2"/>
      <c r="M357" s="52"/>
      <c r="N357" s="2"/>
      <c r="O357" s="2"/>
      <c r="P357" s="36"/>
      <c r="Q357" s="36"/>
      <c r="R357" s="36"/>
      <c r="S357" s="36"/>
      <c r="T357" s="36"/>
      <c r="U357" s="36"/>
      <c r="V357" s="36"/>
      <c r="W357" s="36"/>
      <c r="X357" s="36"/>
      <c r="Y357" s="36"/>
      <c r="Z357" s="36"/>
      <c r="AA357" s="36"/>
      <c r="AB357" s="2"/>
    </row>
    <row r="358" spans="1:28" s="5" customFormat="1" x14ac:dyDescent="0.25">
      <c r="A358" s="3"/>
      <c r="B358" s="3"/>
      <c r="C358" s="3"/>
      <c r="D358" s="3"/>
      <c r="E358" s="3" t="str">
        <f>KPI!$E$69</f>
        <v>ставка налога УСН-ИП-доход</v>
      </c>
      <c r="F358" s="3"/>
      <c r="G358" s="3" t="str">
        <f>IF($E358="","",INDEX(KPI!$G:$G,SUMIFS(KPI!$B:$B,KPI!$E:$E,$E358)))</f>
        <v>%</v>
      </c>
      <c r="H358" s="3"/>
      <c r="I358" s="28"/>
      <c r="J358" s="2"/>
      <c r="K358" s="28"/>
      <c r="L358" s="2"/>
      <c r="M358" s="52"/>
      <c r="N358" s="3"/>
      <c r="O358" s="6"/>
      <c r="P358" s="229">
        <f>операции!P433</f>
        <v>0</v>
      </c>
      <c r="Q358" s="229">
        <f>операции!Q433</f>
        <v>0</v>
      </c>
      <c r="R358" s="229">
        <f>операции!R433</f>
        <v>0</v>
      </c>
      <c r="S358" s="229">
        <f>операции!S433</f>
        <v>0</v>
      </c>
      <c r="T358" s="229">
        <f>операции!T433</f>
        <v>0.06</v>
      </c>
      <c r="U358" s="229">
        <f>операции!U433</f>
        <v>0.06</v>
      </c>
      <c r="V358" s="229">
        <f>операции!V433</f>
        <v>0.06</v>
      </c>
      <c r="W358" s="229">
        <f>операции!W433</f>
        <v>0.03</v>
      </c>
      <c r="X358" s="229">
        <f>операции!X433</f>
        <v>0.03</v>
      </c>
      <c r="Y358" s="229">
        <f>операции!Y433</f>
        <v>0.03</v>
      </c>
      <c r="Z358" s="229">
        <f>операции!Z433</f>
        <v>0.03</v>
      </c>
      <c r="AA358" s="229">
        <f>операции!AA433</f>
        <v>0.03</v>
      </c>
      <c r="AB358" s="3"/>
    </row>
    <row r="359" spans="1:28" ht="3.9" customHeight="1" x14ac:dyDescent="0.25">
      <c r="A359" s="2"/>
      <c r="B359" s="2"/>
      <c r="C359" s="2"/>
      <c r="D359" s="2"/>
      <c r="E359" s="122"/>
      <c r="F359" s="2"/>
      <c r="G359" s="2"/>
      <c r="H359" s="2"/>
      <c r="I359" s="28"/>
      <c r="J359" s="2"/>
      <c r="K359" s="28"/>
      <c r="L359" s="2"/>
      <c r="M359" s="52"/>
      <c r="N359" s="2"/>
      <c r="O359" s="2"/>
      <c r="P359" s="36"/>
      <c r="Q359" s="36"/>
      <c r="R359" s="36"/>
      <c r="S359" s="36"/>
      <c r="T359" s="36"/>
      <c r="U359" s="36"/>
      <c r="V359" s="36"/>
      <c r="W359" s="36"/>
      <c r="X359" s="36"/>
      <c r="Y359" s="36"/>
      <c r="Z359" s="36"/>
      <c r="AA359" s="36"/>
      <c r="AB359" s="2"/>
    </row>
    <row r="360" spans="1:28" ht="3.9" customHeight="1" x14ac:dyDescent="0.25">
      <c r="A360" s="2"/>
      <c r="B360" s="2"/>
      <c r="C360" s="2"/>
      <c r="D360" s="2"/>
      <c r="E360" s="2"/>
      <c r="F360" s="2"/>
      <c r="G360" s="2"/>
      <c r="H360" s="2"/>
      <c r="I360" s="28"/>
      <c r="J360" s="2"/>
      <c r="K360" s="28"/>
      <c r="L360" s="2"/>
      <c r="M360" s="52"/>
      <c r="N360" s="2"/>
      <c r="O360" s="2"/>
      <c r="P360" s="36"/>
      <c r="Q360" s="36"/>
      <c r="R360" s="36"/>
      <c r="S360" s="36"/>
      <c r="T360" s="36"/>
      <c r="U360" s="36"/>
      <c r="V360" s="36"/>
      <c r="W360" s="36"/>
      <c r="X360" s="36"/>
      <c r="Y360" s="36"/>
      <c r="Z360" s="36"/>
      <c r="AA360" s="36"/>
      <c r="AB360" s="2"/>
    </row>
    <row r="361" spans="1:28" s="5" customFormat="1" x14ac:dyDescent="0.25">
      <c r="A361" s="3"/>
      <c r="B361" s="3"/>
      <c r="C361" s="3"/>
      <c r="D361" s="3"/>
      <c r="E361" s="3" t="str">
        <f>KPI!$E$70</f>
        <v>неснижаемая доля налога УСН-доход</v>
      </c>
      <c r="F361" s="3"/>
      <c r="G361" s="3" t="str">
        <f>IF($E361="","",INDEX(KPI!$G:$G,SUMIFS(KPI!$B:$B,KPI!$E:$E,$E361)))</f>
        <v>%</v>
      </c>
      <c r="H361" s="3"/>
      <c r="I361" s="28"/>
      <c r="J361" s="2"/>
      <c r="K361" s="28"/>
      <c r="L361" s="2"/>
      <c r="M361" s="52"/>
      <c r="N361" s="3"/>
      <c r="O361" s="6"/>
      <c r="P361" s="229">
        <f>операции!P436</f>
        <v>0.5</v>
      </c>
      <c r="Q361" s="229">
        <f>операции!Q436</f>
        <v>0.5</v>
      </c>
      <c r="R361" s="229">
        <f>операции!R436</f>
        <v>0.5</v>
      </c>
      <c r="S361" s="229">
        <f>операции!S436</f>
        <v>0.5</v>
      </c>
      <c r="T361" s="229">
        <f>операции!T436</f>
        <v>0.5</v>
      </c>
      <c r="U361" s="229">
        <f>операции!U436</f>
        <v>0.5</v>
      </c>
      <c r="V361" s="229">
        <f>операции!V436</f>
        <v>0.5</v>
      </c>
      <c r="W361" s="229">
        <f>операции!W436</f>
        <v>0.5</v>
      </c>
      <c r="X361" s="229">
        <f>операции!X436</f>
        <v>0.5</v>
      </c>
      <c r="Y361" s="229">
        <f>операции!Y436</f>
        <v>0.5</v>
      </c>
      <c r="Z361" s="229">
        <f>операции!Z436</f>
        <v>0.5</v>
      </c>
      <c r="AA361" s="229">
        <f>операции!AA436</f>
        <v>0.5</v>
      </c>
      <c r="AB361" s="3"/>
    </row>
    <row r="362" spans="1:28" ht="3.9" customHeight="1" x14ac:dyDescent="0.25">
      <c r="A362" s="2"/>
      <c r="B362" s="2"/>
      <c r="C362" s="2"/>
      <c r="D362" s="2"/>
      <c r="E362" s="122"/>
      <c r="F362" s="2"/>
      <c r="G362" s="2"/>
      <c r="H362" s="2"/>
      <c r="I362" s="28"/>
      <c r="J362" s="2"/>
      <c r="K362" s="28"/>
      <c r="L362" s="2"/>
      <c r="M362" s="52"/>
      <c r="N362" s="2"/>
      <c r="O362" s="2"/>
      <c r="P362" s="36"/>
      <c r="Q362" s="36"/>
      <c r="R362" s="36"/>
      <c r="S362" s="36"/>
      <c r="T362" s="36"/>
      <c r="U362" s="36"/>
      <c r="V362" s="36"/>
      <c r="W362" s="36"/>
      <c r="X362" s="36"/>
      <c r="Y362" s="36"/>
      <c r="Z362" s="36"/>
      <c r="AA362" s="36"/>
      <c r="AB362" s="2"/>
    </row>
    <row r="363" spans="1:28" ht="3.9" customHeight="1" x14ac:dyDescent="0.25">
      <c r="A363" s="2"/>
      <c r="B363" s="2"/>
      <c r="C363" s="2"/>
      <c r="D363" s="2"/>
      <c r="E363" s="2"/>
      <c r="F363" s="2"/>
      <c r="G363" s="2"/>
      <c r="H363" s="2"/>
      <c r="I363" s="28"/>
      <c r="J363" s="2"/>
      <c r="K363" s="28"/>
      <c r="L363" s="2"/>
      <c r="M363" s="52"/>
      <c r="N363" s="2"/>
      <c r="O363" s="2"/>
      <c r="P363" s="36"/>
      <c r="Q363" s="36"/>
      <c r="R363" s="36"/>
      <c r="S363" s="36"/>
      <c r="T363" s="36"/>
      <c r="U363" s="36"/>
      <c r="V363" s="36"/>
      <c r="W363" s="36"/>
      <c r="X363" s="36"/>
      <c r="Y363" s="36"/>
      <c r="Z363" s="36"/>
      <c r="AA363" s="36"/>
      <c r="AB363" s="2"/>
    </row>
    <row r="364" spans="1:28" s="5" customFormat="1" x14ac:dyDescent="0.25">
      <c r="A364" s="3"/>
      <c r="B364" s="3"/>
      <c r="C364" s="3"/>
      <c r="D364" s="3"/>
      <c r="E364" s="3" t="str">
        <f>KPI!$E$71</f>
        <v>минимум налога УСН-доход-расход</v>
      </c>
      <c r="F364" s="3"/>
      <c r="G364" s="3" t="str">
        <f>IF($E364="","",INDEX(KPI!$G:$G,SUMIFS(KPI!$B:$B,KPI!$E:$E,$E364)))</f>
        <v>%</v>
      </c>
      <c r="H364" s="3"/>
      <c r="I364" s="28"/>
      <c r="J364" s="2"/>
      <c r="K364" s="28"/>
      <c r="L364" s="2"/>
      <c r="M364" s="52"/>
      <c r="N364" s="3"/>
      <c r="O364" s="6"/>
      <c r="P364" s="229">
        <f>операции!P439</f>
        <v>0.01</v>
      </c>
      <c r="Q364" s="229">
        <f>операции!Q439</f>
        <v>0.01</v>
      </c>
      <c r="R364" s="229">
        <f>операции!R439</f>
        <v>0.01</v>
      </c>
      <c r="S364" s="229">
        <f>операции!S439</f>
        <v>0.01</v>
      </c>
      <c r="T364" s="229">
        <f>операции!T439</f>
        <v>0.01</v>
      </c>
      <c r="U364" s="229">
        <f>операции!U439</f>
        <v>0.01</v>
      </c>
      <c r="V364" s="229">
        <f>операции!V439</f>
        <v>0.01</v>
      </c>
      <c r="W364" s="229">
        <f>операции!W439</f>
        <v>0.01</v>
      </c>
      <c r="X364" s="229">
        <f>операции!X439</f>
        <v>0.01</v>
      </c>
      <c r="Y364" s="229">
        <f>операции!Y439</f>
        <v>0.01</v>
      </c>
      <c r="Z364" s="229">
        <f>операции!Z439</f>
        <v>0.01</v>
      </c>
      <c r="AA364" s="229">
        <f>операции!AA439</f>
        <v>0.01</v>
      </c>
      <c r="AB364" s="3"/>
    </row>
    <row r="365" spans="1:28" ht="3.9" customHeight="1" x14ac:dyDescent="0.25">
      <c r="A365" s="2"/>
      <c r="B365" s="2"/>
      <c r="C365" s="2"/>
      <c r="D365" s="2"/>
      <c r="E365" s="122"/>
      <c r="F365" s="2"/>
      <c r="G365" s="2"/>
      <c r="H365" s="2"/>
      <c r="I365" s="28"/>
      <c r="J365" s="2"/>
      <c r="K365" s="28"/>
      <c r="L365" s="2"/>
      <c r="M365" s="52"/>
      <c r="N365" s="2"/>
      <c r="O365" s="2"/>
      <c r="P365" s="36"/>
      <c r="Q365" s="36"/>
      <c r="R365" s="36"/>
      <c r="S365" s="36"/>
      <c r="T365" s="36"/>
      <c r="U365" s="36"/>
      <c r="V365" s="36"/>
      <c r="W365" s="36"/>
      <c r="X365" s="36"/>
      <c r="Y365" s="36"/>
      <c r="Z365" s="36"/>
      <c r="AA365" s="36"/>
      <c r="AB365" s="2"/>
    </row>
    <row r="366" spans="1:28" ht="3.9" customHeight="1" x14ac:dyDescent="0.25">
      <c r="A366" s="2"/>
      <c r="B366" s="2"/>
      <c r="C366" s="2"/>
      <c r="D366" s="2"/>
      <c r="E366" s="2"/>
      <c r="F366" s="2"/>
      <c r="G366" s="2"/>
      <c r="H366" s="2"/>
      <c r="I366" s="28"/>
      <c r="J366" s="2"/>
      <c r="K366" s="28"/>
      <c r="L366" s="2"/>
      <c r="M366" s="52"/>
      <c r="N366" s="2"/>
      <c r="O366" s="2"/>
      <c r="P366" s="36"/>
      <c r="Q366" s="36"/>
      <c r="R366" s="36"/>
      <c r="S366" s="36"/>
      <c r="T366" s="36"/>
      <c r="U366" s="36"/>
      <c r="V366" s="36"/>
      <c r="W366" s="36"/>
      <c r="X366" s="36"/>
      <c r="Y366" s="36"/>
      <c r="Z366" s="36"/>
      <c r="AA366" s="36"/>
      <c r="AB366" s="2"/>
    </row>
    <row r="367" spans="1:28" s="5" customFormat="1" x14ac:dyDescent="0.25">
      <c r="A367" s="3"/>
      <c r="B367" s="3"/>
      <c r="C367" s="3"/>
      <c r="D367" s="3"/>
      <c r="E367" s="3" t="str">
        <f>KPI!$E$72</f>
        <v>ставка налога на имущество</v>
      </c>
      <c r="F367" s="3"/>
      <c r="G367" s="3" t="str">
        <f>IF($E367="","",INDEX(KPI!$G:$G,SUMIFS(KPI!$B:$B,KPI!$E:$E,$E367)))</f>
        <v>%</v>
      </c>
      <c r="H367" s="3"/>
      <c r="I367" s="28"/>
      <c r="J367" s="2"/>
      <c r="K367" s="28"/>
      <c r="L367" s="2"/>
      <c r="M367" s="52"/>
      <c r="N367" s="3"/>
      <c r="O367" s="6"/>
      <c r="P367" s="229">
        <f>операции!P442</f>
        <v>2.1999999999999999E-2</v>
      </c>
      <c r="Q367" s="229">
        <f>операции!Q442</f>
        <v>2.1999999999999999E-2</v>
      </c>
      <c r="R367" s="229">
        <f>операции!R442</f>
        <v>2.1999999999999999E-2</v>
      </c>
      <c r="S367" s="229">
        <f>операции!S442</f>
        <v>2.1999999999999999E-2</v>
      </c>
      <c r="T367" s="229">
        <f>операции!T442</f>
        <v>2.1999999999999999E-2</v>
      </c>
      <c r="U367" s="229">
        <f>операции!U442</f>
        <v>2.1999999999999999E-2</v>
      </c>
      <c r="V367" s="229">
        <f>операции!V442</f>
        <v>2.1999999999999999E-2</v>
      </c>
      <c r="W367" s="229">
        <f>операции!W442</f>
        <v>2.1999999999999999E-2</v>
      </c>
      <c r="X367" s="229">
        <f>операции!X442</f>
        <v>2.1999999999999999E-2</v>
      </c>
      <c r="Y367" s="229">
        <f>операции!Y442</f>
        <v>2.1999999999999999E-2</v>
      </c>
      <c r="Z367" s="229">
        <f>операции!Z442</f>
        <v>2.1999999999999999E-2</v>
      </c>
      <c r="AA367" s="229">
        <f>операции!AA442</f>
        <v>2.1999999999999999E-2</v>
      </c>
      <c r="AB367" s="3"/>
    </row>
    <row r="368" spans="1:28" ht="3.9" customHeight="1" x14ac:dyDescent="0.25">
      <c r="A368" s="2"/>
      <c r="B368" s="2"/>
      <c r="C368" s="2"/>
      <c r="D368" s="2"/>
      <c r="E368" s="122"/>
      <c r="F368" s="2"/>
      <c r="G368" s="2"/>
      <c r="H368" s="2"/>
      <c r="I368" s="28"/>
      <c r="J368" s="2"/>
      <c r="K368" s="28"/>
      <c r="L368" s="2"/>
      <c r="M368" s="52"/>
      <c r="N368" s="2"/>
      <c r="O368" s="2"/>
      <c r="P368" s="36"/>
      <c r="Q368" s="36"/>
      <c r="R368" s="36"/>
      <c r="S368" s="36"/>
      <c r="T368" s="36"/>
      <c r="U368" s="36"/>
      <c r="V368" s="36"/>
      <c r="W368" s="36"/>
      <c r="X368" s="36"/>
      <c r="Y368" s="36"/>
      <c r="Z368" s="36"/>
      <c r="AA368" s="36"/>
      <c r="AB368" s="2"/>
    </row>
    <row r="369" spans="1:28" ht="3.9" customHeight="1" x14ac:dyDescent="0.25">
      <c r="A369" s="2"/>
      <c r="B369" s="2"/>
      <c r="C369" s="2"/>
      <c r="D369" s="2"/>
      <c r="E369" s="2"/>
      <c r="F369" s="2"/>
      <c r="G369" s="2"/>
      <c r="H369" s="2"/>
      <c r="I369" s="28"/>
      <c r="J369" s="2"/>
      <c r="K369" s="28"/>
      <c r="L369" s="2"/>
      <c r="M369" s="52"/>
      <c r="N369" s="2"/>
      <c r="O369" s="2"/>
      <c r="P369" s="36"/>
      <c r="Q369" s="36"/>
      <c r="R369" s="36"/>
      <c r="S369" s="36"/>
      <c r="T369" s="36"/>
      <c r="U369" s="36"/>
      <c r="V369" s="36"/>
      <c r="W369" s="36"/>
      <c r="X369" s="36"/>
      <c r="Y369" s="36"/>
      <c r="Z369" s="36"/>
      <c r="AA369" s="36"/>
      <c r="AB369" s="2"/>
    </row>
    <row r="370" spans="1:28" s="5" customFormat="1" x14ac:dyDescent="0.25">
      <c r="A370" s="3"/>
      <c r="B370" s="3"/>
      <c r="C370" s="3"/>
      <c r="D370" s="3"/>
      <c r="E370" s="3" t="str">
        <f>KPI!$E$73</f>
        <v>ставка дисконтирования</v>
      </c>
      <c r="F370" s="3"/>
      <c r="G370" s="3" t="str">
        <f>IF($E370="","",INDEX(KPI!$G:$G,SUMIFS(KPI!$B:$B,KPI!$E:$E,$E370)))</f>
        <v>%</v>
      </c>
      <c r="H370" s="3"/>
      <c r="I370" s="28"/>
      <c r="J370" s="3"/>
      <c r="K370" s="28"/>
      <c r="L370" s="3"/>
      <c r="M370" s="55"/>
      <c r="N370" s="3"/>
      <c r="O370" s="6"/>
      <c r="P370" s="230">
        <f>операции!P445</f>
        <v>0.1</v>
      </c>
      <c r="Q370" s="230">
        <f>операции!Q445</f>
        <v>0.1</v>
      </c>
      <c r="R370" s="230">
        <f>операции!R445</f>
        <v>0.1</v>
      </c>
      <c r="S370" s="230">
        <f>операции!S445</f>
        <v>0.1</v>
      </c>
      <c r="T370" s="230">
        <f>операции!T445</f>
        <v>0.1</v>
      </c>
      <c r="U370" s="230">
        <f>операции!U445</f>
        <v>0.1</v>
      </c>
      <c r="V370" s="230">
        <f>операции!V445</f>
        <v>0.1</v>
      </c>
      <c r="W370" s="230">
        <f>операции!W445</f>
        <v>0.1</v>
      </c>
      <c r="X370" s="230">
        <f>операции!X445</f>
        <v>0.1</v>
      </c>
      <c r="Y370" s="230">
        <f>операции!Y445</f>
        <v>0.1</v>
      </c>
      <c r="Z370" s="230">
        <f>операции!Z445</f>
        <v>0.1</v>
      </c>
      <c r="AA370" s="230">
        <f>операции!AA445</f>
        <v>0.1</v>
      </c>
      <c r="AB370" s="3"/>
    </row>
    <row r="371" spans="1:28" ht="3.9" customHeight="1" x14ac:dyDescent="0.25">
      <c r="A371" s="2"/>
      <c r="B371" s="2"/>
      <c r="C371" s="2"/>
      <c r="D371" s="2"/>
      <c r="E371" s="122"/>
      <c r="F371" s="2"/>
      <c r="G371" s="2"/>
      <c r="H371" s="2"/>
      <c r="I371" s="28"/>
      <c r="J371" s="2"/>
      <c r="K371" s="28"/>
      <c r="L371" s="2"/>
      <c r="M371" s="52"/>
      <c r="N371" s="2"/>
      <c r="O371" s="2"/>
      <c r="P371" s="36"/>
      <c r="Q371" s="36"/>
      <c r="R371" s="36"/>
      <c r="S371" s="36"/>
      <c r="T371" s="36"/>
      <c r="U371" s="36"/>
      <c r="V371" s="36"/>
      <c r="W371" s="36"/>
      <c r="X371" s="36"/>
      <c r="Y371" s="36"/>
      <c r="Z371" s="36"/>
      <c r="AA371" s="36"/>
      <c r="AB371" s="2"/>
    </row>
    <row r="372" spans="1:28" x14ac:dyDescent="0.25">
      <c r="A372" s="2"/>
      <c r="B372" s="2"/>
      <c r="C372" s="2"/>
      <c r="D372" s="2"/>
      <c r="E372" s="2"/>
      <c r="F372" s="2"/>
      <c r="G372" s="2"/>
      <c r="H372" s="2"/>
      <c r="I372" s="28"/>
      <c r="J372" s="2"/>
      <c r="K372" s="28"/>
      <c r="L372" s="2"/>
      <c r="M372" s="52"/>
      <c r="N372" s="2"/>
      <c r="O372" s="2"/>
      <c r="P372" s="36"/>
      <c r="Q372" s="36"/>
      <c r="R372" s="36"/>
      <c r="S372" s="36"/>
      <c r="T372" s="36"/>
      <c r="U372" s="36"/>
      <c r="V372" s="36"/>
      <c r="W372" s="36"/>
      <c r="X372" s="36"/>
      <c r="Y372" s="36"/>
      <c r="Z372" s="36"/>
      <c r="AA372" s="36"/>
      <c r="AB372" s="2"/>
    </row>
    <row r="373" spans="1:28" ht="8.1" customHeight="1" x14ac:dyDescent="0.25">
      <c r="A373" s="2"/>
      <c r="B373" s="2"/>
      <c r="C373" s="2"/>
      <c r="D373" s="2"/>
      <c r="E373" s="2"/>
      <c r="F373" s="2"/>
      <c r="G373" s="2"/>
      <c r="H373" s="2"/>
      <c r="I373" s="28"/>
      <c r="J373" s="2"/>
      <c r="K373" s="28"/>
      <c r="L373" s="2"/>
      <c r="M373" s="52"/>
      <c r="N373" s="2"/>
      <c r="O373" s="2"/>
      <c r="P373" s="36"/>
      <c r="Q373" s="36"/>
      <c r="R373" s="36"/>
      <c r="S373" s="36"/>
      <c r="T373" s="36"/>
      <c r="U373" s="36"/>
      <c r="V373" s="36"/>
      <c r="W373" s="36"/>
      <c r="X373" s="36"/>
      <c r="Y373" s="36"/>
      <c r="Z373" s="36"/>
      <c r="AA373" s="36"/>
      <c r="AB373" s="2"/>
    </row>
    <row r="374" spans="1:28" s="5" customFormat="1" x14ac:dyDescent="0.25">
      <c r="A374" s="3"/>
      <c r="B374" s="3"/>
      <c r="C374" s="3"/>
      <c r="D374" s="148"/>
      <c r="E374" s="3" t="str">
        <f>KPI!$E$84</f>
        <v>амортизация кап/затрат</v>
      </c>
      <c r="F374" s="3"/>
      <c r="G374" s="3" t="str">
        <f>IF($E374="","",INDEX(KPI!$G:$G,SUMIFS(KPI!$B:$B,KPI!$E:$E,$E374)))</f>
        <v>тыс.руб.</v>
      </c>
      <c r="H374" s="103"/>
      <c r="I374" s="28"/>
      <c r="J374" s="44"/>
      <c r="K374" s="28"/>
      <c r="L374" s="3"/>
      <c r="M374" s="55">
        <f>SUM($O374:$AB374)</f>
        <v>14970.374840000004</v>
      </c>
      <c r="N374" s="3"/>
      <c r="O374" s="3"/>
      <c r="P374" s="46">
        <f>IF(P$1="",0,IF(P$1=0,SUMIFS(P375:P386,H375:H386,"&gt;="&amp;MONTH($J$13)),SUM(P375:P386)))</f>
        <v>2138.6249771428579</v>
      </c>
      <c r="Q374" s="46">
        <f t="shared" ref="Q374" si="90">IF(Q$1="",0,SUM(Q375:Q386))</f>
        <v>2138.6249771428579</v>
      </c>
      <c r="R374" s="46">
        <f t="shared" ref="R374:AA374" si="91">IF(R$1="",0,SUM(R375:R386))</f>
        <v>2138.6249771428579</v>
      </c>
      <c r="S374" s="46">
        <f t="shared" si="91"/>
        <v>2138.6249771428579</v>
      </c>
      <c r="T374" s="46">
        <f t="shared" si="91"/>
        <v>2138.6249771428579</v>
      </c>
      <c r="U374" s="46">
        <f t="shared" si="91"/>
        <v>2138.6249771428579</v>
      </c>
      <c r="V374" s="46">
        <f t="shared" si="91"/>
        <v>2138.6249771428579</v>
      </c>
      <c r="W374" s="46">
        <f t="shared" si="91"/>
        <v>0</v>
      </c>
      <c r="X374" s="46">
        <f t="shared" si="91"/>
        <v>0</v>
      </c>
      <c r="Y374" s="46">
        <f t="shared" si="91"/>
        <v>0</v>
      </c>
      <c r="Z374" s="46">
        <f t="shared" si="91"/>
        <v>0</v>
      </c>
      <c r="AA374" s="46">
        <f t="shared" si="91"/>
        <v>0</v>
      </c>
      <c r="AB374" s="3"/>
    </row>
    <row r="375" spans="1:28" s="23" customFormat="1" ht="10.199999999999999" x14ac:dyDescent="0.2">
      <c r="A375" s="22"/>
      <c r="B375" s="22"/>
      <c r="C375" s="22"/>
      <c r="D375" s="22"/>
      <c r="E375" s="22" t="str">
        <f>E374</f>
        <v>амортизация кап/затрат</v>
      </c>
      <c r="F375" s="22"/>
      <c r="G375" s="22" t="str">
        <f>IF($E375="","",INDEX(KPI!$G:$G,SUMIFS(KPI!$B:$B,KPI!$E:$E,$E375)))</f>
        <v>тыс.руб.</v>
      </c>
      <c r="H375" s="100">
        <f>структура!$V$12</f>
        <v>1</v>
      </c>
      <c r="I375" s="31"/>
      <c r="J375" s="98" t="str">
        <f>структура!$X$12</f>
        <v>янв</v>
      </c>
      <c r="K375" s="99"/>
      <c r="L375" s="22"/>
      <c r="M375" s="58"/>
      <c r="N375" s="22"/>
      <c r="O375" s="22"/>
      <c r="P375" s="101">
        <f>IF(P$1="",0,IF(AND(P$1=0,$H375&lt;MONTH($J$13)),0,IF(((YEAR(P$8)-1)*12+$H375)-((YEAR($J$13)-1)*12+MONTH($J$13))+1&gt;капитал!$J$105*12,0,IF(капитал!$J$105=0,0,капитал!$M$102/(капитал!$J$105*12)))))</f>
        <v>178.21874809523811</v>
      </c>
      <c r="Q375" s="101">
        <f>IF(Q$1="",0,IF(AND(Q$1=0,$H375&lt;MONTH($J$13)),0,IF(((YEAR(Q$8)-1)*12+$H375)-((YEAR($J$13)-1)*12+MONTH($J$13))+1&gt;капитал!$J$105*12,0,IF(капитал!$J$105=0,0,капитал!$M$102/(капитал!$J$105*12)))))</f>
        <v>178.21874809523811</v>
      </c>
      <c r="R375" s="101">
        <f>IF(R$1="",0,IF(AND(R$1=0,$H375&lt;MONTH($J$13)),0,IF(((YEAR(R$8)-1)*12+$H375)-((YEAR($J$13)-1)*12+MONTH($J$13))+1&gt;капитал!$J$105*12,0,IF(капитал!$J$105=0,0,капитал!$M$102/(капитал!$J$105*12)))))</f>
        <v>178.21874809523811</v>
      </c>
      <c r="S375" s="101">
        <f>IF(S$1="",0,IF(AND(S$1=0,$H375&lt;MONTH($J$13)),0,IF(((YEAR(S$8)-1)*12+$H375)-((YEAR($J$13)-1)*12+MONTH($J$13))+1&gt;капитал!$J$105*12,0,IF(капитал!$J$105=0,0,капитал!$M$102/(капитал!$J$105*12)))))</f>
        <v>178.21874809523811</v>
      </c>
      <c r="T375" s="101">
        <f>IF(T$1="",0,IF(AND(T$1=0,$H375&lt;MONTH($J$13)),0,IF(((YEAR(T$8)-1)*12+$H375)-((YEAR($J$13)-1)*12+MONTH($J$13))+1&gt;капитал!$J$105*12,0,IF(капитал!$J$105=0,0,капитал!$M$102/(капитал!$J$105*12)))))</f>
        <v>178.21874809523811</v>
      </c>
      <c r="U375" s="101">
        <f>IF(U$1="",0,IF(AND(U$1=0,$H375&lt;MONTH($J$13)),0,IF(((YEAR(U$8)-1)*12+$H375)-((YEAR($J$13)-1)*12+MONTH($J$13))+1&gt;капитал!$J$105*12,0,IF(капитал!$J$105=0,0,капитал!$M$102/(капитал!$J$105*12)))))</f>
        <v>178.21874809523811</v>
      </c>
      <c r="V375" s="101">
        <f>IF(V$1="",0,IF(AND(V$1=0,$H375&lt;MONTH($J$13)),0,IF(((YEAR(V$8)-1)*12+$H375)-((YEAR($J$13)-1)*12+MONTH($J$13))+1&gt;капитал!$J$105*12,0,IF(капитал!$J$105=0,0,капитал!$M$102/(капитал!$J$105*12)))))</f>
        <v>178.21874809523811</v>
      </c>
      <c r="W375" s="101">
        <f>IF(W$1="",0,IF(AND(W$1=0,$H375&lt;MONTH($J$13)),0,IF(((YEAR(W$8)-1)*12+$H375)-((YEAR($J$13)-1)*12+MONTH($J$13))+1&gt;капитал!$J$105*12,0,IF(капитал!$J$105=0,0,капитал!$M$102/(капитал!$J$105*12)))))</f>
        <v>0</v>
      </c>
      <c r="X375" s="101">
        <f>IF(X$1="",0,IF(AND(X$1=0,$H375&lt;MONTH($J$13)),0,IF(((YEAR(X$8)-1)*12+$H375)-((YEAR($J$13)-1)*12+MONTH($J$13))+1&gt;капитал!$J$105*12,0,IF(капитал!$J$105=0,0,капитал!$M$102/(капитал!$J$105*12)))))</f>
        <v>0</v>
      </c>
      <c r="Y375" s="101">
        <f>IF(Y$1="",0,IF(AND(Y$1=0,$H375&lt;MONTH($J$13)),0,IF(((YEAR(Y$8)-1)*12+$H375)-((YEAR($J$13)-1)*12+MONTH($J$13))+1&gt;капитал!$J$105*12,0,IF(капитал!$J$105=0,0,капитал!$M$102/(капитал!$J$105*12)))))</f>
        <v>0</v>
      </c>
      <c r="Z375" s="101">
        <f>IF(Z$1="",0,IF(AND(Z$1=0,$H375&lt;MONTH($J$13)),0,IF(((YEAR(Z$8)-1)*12+$H375)-((YEAR($J$13)-1)*12+MONTH($J$13))+1&gt;капитал!$J$105*12,0,IF(капитал!$J$105=0,0,капитал!$M$102/(капитал!$J$105*12)))))</f>
        <v>0</v>
      </c>
      <c r="AA375" s="101">
        <f>IF(AA$1="",0,IF(AND(AA$1=0,$H375&lt;MONTH($J$13)),0,IF(((YEAR(AA$8)-1)*12+$H375)-((YEAR($J$13)-1)*12+MONTH($J$13))+1&gt;капитал!$J$105*12,0,IF(капитал!$J$105=0,0,капитал!$M$102/(капитал!$J$105*12)))))</f>
        <v>0</v>
      </c>
      <c r="AB375" s="22"/>
    </row>
    <row r="376" spans="1:28" s="23" customFormat="1" ht="10.199999999999999" x14ac:dyDescent="0.2">
      <c r="A376" s="22"/>
      <c r="B376" s="22"/>
      <c r="C376" s="22"/>
      <c r="D376" s="22"/>
      <c r="E376" s="22" t="str">
        <f>E374</f>
        <v>амортизация кап/затрат</v>
      </c>
      <c r="F376" s="22"/>
      <c r="G376" s="22" t="str">
        <f>IF($E376="","",INDEX(KPI!$G:$G,SUMIFS(KPI!$B:$B,KPI!$E:$E,$E376)))</f>
        <v>тыс.руб.</v>
      </c>
      <c r="H376" s="100">
        <f>структура!$V$13</f>
        <v>2</v>
      </c>
      <c r="I376" s="31"/>
      <c r="J376" s="98" t="str">
        <f>структура!$X$13</f>
        <v>фев</v>
      </c>
      <c r="K376" s="99"/>
      <c r="L376" s="22"/>
      <c r="M376" s="58"/>
      <c r="N376" s="22"/>
      <c r="O376" s="22"/>
      <c r="P376" s="101">
        <f>IF(P$1="",0,IF(AND(P$1=0,$H376&lt;MONTH($J$13)),0,IF(((YEAR(P$8)-1)*12+$H376)-((YEAR($J$13)-1)*12+MONTH($J$13))+1&gt;капитал!$J$105*12,0,IF(капитал!$J$105=0,0,капитал!$M$102/(капитал!$J$105*12)))))</f>
        <v>178.21874809523811</v>
      </c>
      <c r="Q376" s="101">
        <f>IF(Q$1="",0,IF(AND(Q$1=0,$H376&lt;MONTH($J$13)),0,IF(((YEAR(Q$8)-1)*12+$H376)-((YEAR($J$13)-1)*12+MONTH($J$13))+1&gt;капитал!$J$105*12,0,IF(капитал!$J$105=0,0,капитал!$M$102/(капитал!$J$105*12)))))</f>
        <v>178.21874809523811</v>
      </c>
      <c r="R376" s="101">
        <f>IF(R$1="",0,IF(AND(R$1=0,$H376&lt;MONTH($J$13)),0,IF(((YEAR(R$8)-1)*12+$H376)-((YEAR($J$13)-1)*12+MONTH($J$13))+1&gt;капитал!$J$105*12,0,IF(капитал!$J$105=0,0,капитал!$M$102/(капитал!$J$105*12)))))</f>
        <v>178.21874809523811</v>
      </c>
      <c r="S376" s="101">
        <f>IF(S$1="",0,IF(AND(S$1=0,$H376&lt;MONTH($J$13)),0,IF(((YEAR(S$8)-1)*12+$H376)-((YEAR($J$13)-1)*12+MONTH($J$13))+1&gt;капитал!$J$105*12,0,IF(капитал!$J$105=0,0,капитал!$M$102/(капитал!$J$105*12)))))</f>
        <v>178.21874809523811</v>
      </c>
      <c r="T376" s="101">
        <f>IF(T$1="",0,IF(AND(T$1=0,$H376&lt;MONTH($J$13)),0,IF(((YEAR(T$8)-1)*12+$H376)-((YEAR($J$13)-1)*12+MONTH($J$13))+1&gt;капитал!$J$105*12,0,IF(капитал!$J$105=0,0,капитал!$M$102/(капитал!$J$105*12)))))</f>
        <v>178.21874809523811</v>
      </c>
      <c r="U376" s="101">
        <f>IF(U$1="",0,IF(AND(U$1=0,$H376&lt;MONTH($J$13)),0,IF(((YEAR(U$8)-1)*12+$H376)-((YEAR($J$13)-1)*12+MONTH($J$13))+1&gt;капитал!$J$105*12,0,IF(капитал!$J$105=0,0,капитал!$M$102/(капитал!$J$105*12)))))</f>
        <v>178.21874809523811</v>
      </c>
      <c r="V376" s="101">
        <f>IF(V$1="",0,IF(AND(V$1=0,$H376&lt;MONTH($J$13)),0,IF(((YEAR(V$8)-1)*12+$H376)-((YEAR($J$13)-1)*12+MONTH($J$13))+1&gt;капитал!$J$105*12,0,IF(капитал!$J$105=0,0,капитал!$M$102/(капитал!$J$105*12)))))</f>
        <v>178.21874809523811</v>
      </c>
      <c r="W376" s="101">
        <f>IF(W$1="",0,IF(AND(W$1=0,$H376&lt;MONTH($J$13)),0,IF(((YEAR(W$8)-1)*12+$H376)-((YEAR($J$13)-1)*12+MONTH($J$13))+1&gt;капитал!$J$105*12,0,IF(капитал!$J$105=0,0,капитал!$M$102/(капитал!$J$105*12)))))</f>
        <v>0</v>
      </c>
      <c r="X376" s="101">
        <f>IF(X$1="",0,IF(AND(X$1=0,$H376&lt;MONTH($J$13)),0,IF(((YEAR(X$8)-1)*12+$H376)-((YEAR($J$13)-1)*12+MONTH($J$13))+1&gt;капитал!$J$105*12,0,IF(капитал!$J$105=0,0,капитал!$M$102/(капитал!$J$105*12)))))</f>
        <v>0</v>
      </c>
      <c r="Y376" s="101">
        <f>IF(Y$1="",0,IF(AND(Y$1=0,$H376&lt;MONTH($J$13)),0,IF(((YEAR(Y$8)-1)*12+$H376)-((YEAR($J$13)-1)*12+MONTH($J$13))+1&gt;капитал!$J$105*12,0,IF(капитал!$J$105=0,0,капитал!$M$102/(капитал!$J$105*12)))))</f>
        <v>0</v>
      </c>
      <c r="Z376" s="101">
        <f>IF(Z$1="",0,IF(AND(Z$1=0,$H376&lt;MONTH($J$13)),0,IF(((YEAR(Z$8)-1)*12+$H376)-((YEAR($J$13)-1)*12+MONTH($J$13))+1&gt;капитал!$J$105*12,0,IF(капитал!$J$105=0,0,капитал!$M$102/(капитал!$J$105*12)))))</f>
        <v>0</v>
      </c>
      <c r="AA376" s="101">
        <f>IF(AA$1="",0,IF(AND(AA$1=0,$H376&lt;MONTH($J$13)),0,IF(((YEAR(AA$8)-1)*12+$H376)-((YEAR($J$13)-1)*12+MONTH($J$13))+1&gt;капитал!$J$105*12,0,IF(капитал!$J$105=0,0,капитал!$M$102/(капитал!$J$105*12)))))</f>
        <v>0</v>
      </c>
      <c r="AB376" s="22"/>
    </row>
    <row r="377" spans="1:28" s="23" customFormat="1" ht="10.199999999999999" x14ac:dyDescent="0.2">
      <c r="A377" s="22"/>
      <c r="B377" s="22"/>
      <c r="C377" s="22"/>
      <c r="D377" s="22"/>
      <c r="E377" s="22" t="str">
        <f>E374</f>
        <v>амортизация кап/затрат</v>
      </c>
      <c r="F377" s="22"/>
      <c r="G377" s="22" t="str">
        <f>IF($E377="","",INDEX(KPI!$G:$G,SUMIFS(KPI!$B:$B,KPI!$E:$E,$E377)))</f>
        <v>тыс.руб.</v>
      </c>
      <c r="H377" s="100">
        <f>структура!$V$14</f>
        <v>3</v>
      </c>
      <c r="I377" s="31"/>
      <c r="J377" s="98" t="str">
        <f>структура!$X$14</f>
        <v>мар</v>
      </c>
      <c r="K377" s="99"/>
      <c r="L377" s="22"/>
      <c r="M377" s="58"/>
      <c r="N377" s="22"/>
      <c r="O377" s="22"/>
      <c r="P377" s="101">
        <f>IF(P$1="",0,IF(AND(P$1=0,$H377&lt;MONTH($J$13)),0,IF(((YEAR(P$8)-1)*12+$H377)-((YEAR($J$13)-1)*12+MONTH($J$13))+1&gt;капитал!$J$105*12,0,IF(капитал!$J$105=0,0,капитал!$M$102/(капитал!$J$105*12)))))</f>
        <v>178.21874809523811</v>
      </c>
      <c r="Q377" s="101">
        <f>IF(Q$1="",0,IF(AND(Q$1=0,$H377&lt;MONTH($J$13)),0,IF(((YEAR(Q$8)-1)*12+$H377)-((YEAR($J$13)-1)*12+MONTH($J$13))+1&gt;капитал!$J$105*12,0,IF(капитал!$J$105=0,0,капитал!$M$102/(капитал!$J$105*12)))))</f>
        <v>178.21874809523811</v>
      </c>
      <c r="R377" s="101">
        <f>IF(R$1="",0,IF(AND(R$1=0,$H377&lt;MONTH($J$13)),0,IF(((YEAR(R$8)-1)*12+$H377)-((YEAR($J$13)-1)*12+MONTH($J$13))+1&gt;капитал!$J$105*12,0,IF(капитал!$J$105=0,0,капитал!$M$102/(капитал!$J$105*12)))))</f>
        <v>178.21874809523811</v>
      </c>
      <c r="S377" s="101">
        <f>IF(S$1="",0,IF(AND(S$1=0,$H377&lt;MONTH($J$13)),0,IF(((YEAR(S$8)-1)*12+$H377)-((YEAR($J$13)-1)*12+MONTH($J$13))+1&gt;капитал!$J$105*12,0,IF(капитал!$J$105=0,0,капитал!$M$102/(капитал!$J$105*12)))))</f>
        <v>178.21874809523811</v>
      </c>
      <c r="T377" s="101">
        <f>IF(T$1="",0,IF(AND(T$1=0,$H377&lt;MONTH($J$13)),0,IF(((YEAR(T$8)-1)*12+$H377)-((YEAR($J$13)-1)*12+MONTH($J$13))+1&gt;капитал!$J$105*12,0,IF(капитал!$J$105=0,0,капитал!$M$102/(капитал!$J$105*12)))))</f>
        <v>178.21874809523811</v>
      </c>
      <c r="U377" s="101">
        <f>IF(U$1="",0,IF(AND(U$1=0,$H377&lt;MONTH($J$13)),0,IF(((YEAR(U$8)-1)*12+$H377)-((YEAR($J$13)-1)*12+MONTH($J$13))+1&gt;капитал!$J$105*12,0,IF(капитал!$J$105=0,0,капитал!$M$102/(капитал!$J$105*12)))))</f>
        <v>178.21874809523811</v>
      </c>
      <c r="V377" s="101">
        <f>IF(V$1="",0,IF(AND(V$1=0,$H377&lt;MONTH($J$13)),0,IF(((YEAR(V$8)-1)*12+$H377)-((YEAR($J$13)-1)*12+MONTH($J$13))+1&gt;капитал!$J$105*12,0,IF(капитал!$J$105=0,0,капитал!$M$102/(капитал!$J$105*12)))))</f>
        <v>178.21874809523811</v>
      </c>
      <c r="W377" s="101">
        <f>IF(W$1="",0,IF(AND(W$1=0,$H377&lt;MONTH($J$13)),0,IF(((YEAR(W$8)-1)*12+$H377)-((YEAR($J$13)-1)*12+MONTH($J$13))+1&gt;капитал!$J$105*12,0,IF(капитал!$J$105=0,0,капитал!$M$102/(капитал!$J$105*12)))))</f>
        <v>0</v>
      </c>
      <c r="X377" s="101">
        <f>IF(X$1="",0,IF(AND(X$1=0,$H377&lt;MONTH($J$13)),0,IF(((YEAR(X$8)-1)*12+$H377)-((YEAR($J$13)-1)*12+MONTH($J$13))+1&gt;капитал!$J$105*12,0,IF(капитал!$J$105=0,0,капитал!$M$102/(капитал!$J$105*12)))))</f>
        <v>0</v>
      </c>
      <c r="Y377" s="101">
        <f>IF(Y$1="",0,IF(AND(Y$1=0,$H377&lt;MONTH($J$13)),0,IF(((YEAR(Y$8)-1)*12+$H377)-((YEAR($J$13)-1)*12+MONTH($J$13))+1&gt;капитал!$J$105*12,0,IF(капитал!$J$105=0,0,капитал!$M$102/(капитал!$J$105*12)))))</f>
        <v>0</v>
      </c>
      <c r="Z377" s="101">
        <f>IF(Z$1="",0,IF(AND(Z$1=0,$H377&lt;MONTH($J$13)),0,IF(((YEAR(Z$8)-1)*12+$H377)-((YEAR($J$13)-1)*12+MONTH($J$13))+1&gt;капитал!$J$105*12,0,IF(капитал!$J$105=0,0,капитал!$M$102/(капитал!$J$105*12)))))</f>
        <v>0</v>
      </c>
      <c r="AA377" s="101">
        <f>IF(AA$1="",0,IF(AND(AA$1=0,$H377&lt;MONTH($J$13)),0,IF(((YEAR(AA$8)-1)*12+$H377)-((YEAR($J$13)-1)*12+MONTH($J$13))+1&gt;капитал!$J$105*12,0,IF(капитал!$J$105=0,0,капитал!$M$102/(капитал!$J$105*12)))))</f>
        <v>0</v>
      </c>
      <c r="AB377" s="22"/>
    </row>
    <row r="378" spans="1:28" s="23" customFormat="1" ht="10.199999999999999" x14ac:dyDescent="0.2">
      <c r="A378" s="22"/>
      <c r="B378" s="22"/>
      <c r="C378" s="22"/>
      <c r="D378" s="22"/>
      <c r="E378" s="22" t="str">
        <f>E374</f>
        <v>амортизация кап/затрат</v>
      </c>
      <c r="F378" s="22"/>
      <c r="G378" s="22" t="str">
        <f>IF($E378="","",INDEX(KPI!$G:$G,SUMIFS(KPI!$B:$B,KPI!$E:$E,$E378)))</f>
        <v>тыс.руб.</v>
      </c>
      <c r="H378" s="100">
        <f>структура!$V$15</f>
        <v>4</v>
      </c>
      <c r="I378" s="31"/>
      <c r="J378" s="98" t="str">
        <f>структура!$X$15</f>
        <v>апр</v>
      </c>
      <c r="K378" s="99"/>
      <c r="L378" s="22"/>
      <c r="M378" s="58"/>
      <c r="N378" s="22"/>
      <c r="O378" s="22"/>
      <c r="P378" s="101">
        <f>IF(P$1="",0,IF(AND(P$1=0,$H378&lt;MONTH($J$13)),0,IF(((YEAR(P$8)-1)*12+$H378)-((YEAR($J$13)-1)*12+MONTH($J$13))+1&gt;капитал!$J$105*12,0,IF(капитал!$J$105=0,0,капитал!$M$102/(капитал!$J$105*12)))))</f>
        <v>178.21874809523811</v>
      </c>
      <c r="Q378" s="101">
        <f>IF(Q$1="",0,IF(AND(Q$1=0,$H378&lt;MONTH($J$13)),0,IF(((YEAR(Q$8)-1)*12+$H378)-((YEAR($J$13)-1)*12+MONTH($J$13))+1&gt;капитал!$J$105*12,0,IF(капитал!$J$105=0,0,капитал!$M$102/(капитал!$J$105*12)))))</f>
        <v>178.21874809523811</v>
      </c>
      <c r="R378" s="101">
        <f>IF(R$1="",0,IF(AND(R$1=0,$H378&lt;MONTH($J$13)),0,IF(((YEAR(R$8)-1)*12+$H378)-((YEAR($J$13)-1)*12+MONTH($J$13))+1&gt;капитал!$J$105*12,0,IF(капитал!$J$105=0,0,капитал!$M$102/(капитал!$J$105*12)))))</f>
        <v>178.21874809523811</v>
      </c>
      <c r="S378" s="101">
        <f>IF(S$1="",0,IF(AND(S$1=0,$H378&lt;MONTH($J$13)),0,IF(((YEAR(S$8)-1)*12+$H378)-((YEAR($J$13)-1)*12+MONTH($J$13))+1&gt;капитал!$J$105*12,0,IF(капитал!$J$105=0,0,капитал!$M$102/(капитал!$J$105*12)))))</f>
        <v>178.21874809523811</v>
      </c>
      <c r="T378" s="101">
        <f>IF(T$1="",0,IF(AND(T$1=0,$H378&lt;MONTH($J$13)),0,IF(((YEAR(T$8)-1)*12+$H378)-((YEAR($J$13)-1)*12+MONTH($J$13))+1&gt;капитал!$J$105*12,0,IF(капитал!$J$105=0,0,капитал!$M$102/(капитал!$J$105*12)))))</f>
        <v>178.21874809523811</v>
      </c>
      <c r="U378" s="101">
        <f>IF(U$1="",0,IF(AND(U$1=0,$H378&lt;MONTH($J$13)),0,IF(((YEAR(U$8)-1)*12+$H378)-((YEAR($J$13)-1)*12+MONTH($J$13))+1&gt;капитал!$J$105*12,0,IF(капитал!$J$105=0,0,капитал!$M$102/(капитал!$J$105*12)))))</f>
        <v>178.21874809523811</v>
      </c>
      <c r="V378" s="101">
        <f>IF(V$1="",0,IF(AND(V$1=0,$H378&lt;MONTH($J$13)),0,IF(((YEAR(V$8)-1)*12+$H378)-((YEAR($J$13)-1)*12+MONTH($J$13))+1&gt;капитал!$J$105*12,0,IF(капитал!$J$105=0,0,капитал!$M$102/(капитал!$J$105*12)))))</f>
        <v>178.21874809523811</v>
      </c>
      <c r="W378" s="101">
        <f>IF(W$1="",0,IF(AND(W$1=0,$H378&lt;MONTH($J$13)),0,IF(((YEAR(W$8)-1)*12+$H378)-((YEAR($J$13)-1)*12+MONTH($J$13))+1&gt;капитал!$J$105*12,0,IF(капитал!$J$105=0,0,капитал!$M$102/(капитал!$J$105*12)))))</f>
        <v>0</v>
      </c>
      <c r="X378" s="101">
        <f>IF(X$1="",0,IF(AND(X$1=0,$H378&lt;MONTH($J$13)),0,IF(((YEAR(X$8)-1)*12+$H378)-((YEAR($J$13)-1)*12+MONTH($J$13))+1&gt;капитал!$J$105*12,0,IF(капитал!$J$105=0,0,капитал!$M$102/(капитал!$J$105*12)))))</f>
        <v>0</v>
      </c>
      <c r="Y378" s="101">
        <f>IF(Y$1="",0,IF(AND(Y$1=0,$H378&lt;MONTH($J$13)),0,IF(((YEAR(Y$8)-1)*12+$H378)-((YEAR($J$13)-1)*12+MONTH($J$13))+1&gt;капитал!$J$105*12,0,IF(капитал!$J$105=0,0,капитал!$M$102/(капитал!$J$105*12)))))</f>
        <v>0</v>
      </c>
      <c r="Z378" s="101">
        <f>IF(Z$1="",0,IF(AND(Z$1=0,$H378&lt;MONTH($J$13)),0,IF(((YEAR(Z$8)-1)*12+$H378)-((YEAR($J$13)-1)*12+MONTH($J$13))+1&gt;капитал!$J$105*12,0,IF(капитал!$J$105=0,0,капитал!$M$102/(капитал!$J$105*12)))))</f>
        <v>0</v>
      </c>
      <c r="AA378" s="101">
        <f>IF(AA$1="",0,IF(AND(AA$1=0,$H378&lt;MONTH($J$13)),0,IF(((YEAR(AA$8)-1)*12+$H378)-((YEAR($J$13)-1)*12+MONTH($J$13))+1&gt;капитал!$J$105*12,0,IF(капитал!$J$105=0,0,капитал!$M$102/(капитал!$J$105*12)))))</f>
        <v>0</v>
      </c>
      <c r="AB378" s="22"/>
    </row>
    <row r="379" spans="1:28" s="23" customFormat="1" ht="10.199999999999999" x14ac:dyDescent="0.2">
      <c r="A379" s="22"/>
      <c r="B379" s="22"/>
      <c r="C379" s="22"/>
      <c r="D379" s="22"/>
      <c r="E379" s="22" t="str">
        <f>E374</f>
        <v>амортизация кап/затрат</v>
      </c>
      <c r="F379" s="22"/>
      <c r="G379" s="22" t="str">
        <f>IF($E379="","",INDEX(KPI!$G:$G,SUMIFS(KPI!$B:$B,KPI!$E:$E,$E379)))</f>
        <v>тыс.руб.</v>
      </c>
      <c r="H379" s="100">
        <f>структура!$V$16</f>
        <v>5</v>
      </c>
      <c r="I379" s="31"/>
      <c r="J379" s="98" t="str">
        <f>структура!$X$16</f>
        <v>май</v>
      </c>
      <c r="K379" s="99"/>
      <c r="L379" s="22"/>
      <c r="M379" s="58"/>
      <c r="N379" s="22"/>
      <c r="O379" s="22"/>
      <c r="P379" s="101">
        <f>IF(P$1="",0,IF(AND(P$1=0,$H379&lt;MONTH($J$13)),0,IF(((YEAR(P$8)-1)*12+$H379)-((YEAR($J$13)-1)*12+MONTH($J$13))+1&gt;капитал!$J$105*12,0,IF(капитал!$J$105=0,0,капитал!$M$102/(капитал!$J$105*12)))))</f>
        <v>178.21874809523811</v>
      </c>
      <c r="Q379" s="101">
        <f>IF(Q$1="",0,IF(AND(Q$1=0,$H379&lt;MONTH($J$13)),0,IF(((YEAR(Q$8)-1)*12+$H379)-((YEAR($J$13)-1)*12+MONTH($J$13))+1&gt;капитал!$J$105*12,0,IF(капитал!$J$105=0,0,капитал!$M$102/(капитал!$J$105*12)))))</f>
        <v>178.21874809523811</v>
      </c>
      <c r="R379" s="101">
        <f>IF(R$1="",0,IF(AND(R$1=0,$H379&lt;MONTH($J$13)),0,IF(((YEAR(R$8)-1)*12+$H379)-((YEAR($J$13)-1)*12+MONTH($J$13))+1&gt;капитал!$J$105*12,0,IF(капитал!$J$105=0,0,капитал!$M$102/(капитал!$J$105*12)))))</f>
        <v>178.21874809523811</v>
      </c>
      <c r="S379" s="101">
        <f>IF(S$1="",0,IF(AND(S$1=0,$H379&lt;MONTH($J$13)),0,IF(((YEAR(S$8)-1)*12+$H379)-((YEAR($J$13)-1)*12+MONTH($J$13))+1&gt;капитал!$J$105*12,0,IF(капитал!$J$105=0,0,капитал!$M$102/(капитал!$J$105*12)))))</f>
        <v>178.21874809523811</v>
      </c>
      <c r="T379" s="101">
        <f>IF(T$1="",0,IF(AND(T$1=0,$H379&lt;MONTH($J$13)),0,IF(((YEAR(T$8)-1)*12+$H379)-((YEAR($J$13)-1)*12+MONTH($J$13))+1&gt;капитал!$J$105*12,0,IF(капитал!$J$105=0,0,капитал!$M$102/(капитал!$J$105*12)))))</f>
        <v>178.21874809523811</v>
      </c>
      <c r="U379" s="101">
        <f>IF(U$1="",0,IF(AND(U$1=0,$H379&lt;MONTH($J$13)),0,IF(((YEAR(U$8)-1)*12+$H379)-((YEAR($J$13)-1)*12+MONTH($J$13))+1&gt;капитал!$J$105*12,0,IF(капитал!$J$105=0,0,капитал!$M$102/(капитал!$J$105*12)))))</f>
        <v>178.21874809523811</v>
      </c>
      <c r="V379" s="101">
        <f>IF(V$1="",0,IF(AND(V$1=0,$H379&lt;MONTH($J$13)),0,IF(((YEAR(V$8)-1)*12+$H379)-((YEAR($J$13)-1)*12+MONTH($J$13))+1&gt;капитал!$J$105*12,0,IF(капитал!$J$105=0,0,капитал!$M$102/(капитал!$J$105*12)))))</f>
        <v>178.21874809523811</v>
      </c>
      <c r="W379" s="101">
        <f>IF(W$1="",0,IF(AND(W$1=0,$H379&lt;MONTH($J$13)),0,IF(((YEAR(W$8)-1)*12+$H379)-((YEAR($J$13)-1)*12+MONTH($J$13))+1&gt;капитал!$J$105*12,0,IF(капитал!$J$105=0,0,капитал!$M$102/(капитал!$J$105*12)))))</f>
        <v>0</v>
      </c>
      <c r="X379" s="101">
        <f>IF(X$1="",0,IF(AND(X$1=0,$H379&lt;MONTH($J$13)),0,IF(((YEAR(X$8)-1)*12+$H379)-((YEAR($J$13)-1)*12+MONTH($J$13))+1&gt;капитал!$J$105*12,0,IF(капитал!$J$105=0,0,капитал!$M$102/(капитал!$J$105*12)))))</f>
        <v>0</v>
      </c>
      <c r="Y379" s="101">
        <f>IF(Y$1="",0,IF(AND(Y$1=0,$H379&lt;MONTH($J$13)),0,IF(((YEAR(Y$8)-1)*12+$H379)-((YEAR($J$13)-1)*12+MONTH($J$13))+1&gt;капитал!$J$105*12,0,IF(капитал!$J$105=0,0,капитал!$M$102/(капитал!$J$105*12)))))</f>
        <v>0</v>
      </c>
      <c r="Z379" s="101">
        <f>IF(Z$1="",0,IF(AND(Z$1=0,$H379&lt;MONTH($J$13)),0,IF(((YEAR(Z$8)-1)*12+$H379)-((YEAR($J$13)-1)*12+MONTH($J$13))+1&gt;капитал!$J$105*12,0,IF(капитал!$J$105=0,0,капитал!$M$102/(капитал!$J$105*12)))))</f>
        <v>0</v>
      </c>
      <c r="AA379" s="101">
        <f>IF(AA$1="",0,IF(AND(AA$1=0,$H379&lt;MONTH($J$13)),0,IF(((YEAR(AA$8)-1)*12+$H379)-((YEAR($J$13)-1)*12+MONTH($J$13))+1&gt;капитал!$J$105*12,0,IF(капитал!$J$105=0,0,капитал!$M$102/(капитал!$J$105*12)))))</f>
        <v>0</v>
      </c>
      <c r="AB379" s="22"/>
    </row>
    <row r="380" spans="1:28" s="23" customFormat="1" ht="10.199999999999999" x14ac:dyDescent="0.2">
      <c r="A380" s="22"/>
      <c r="B380" s="22"/>
      <c r="C380" s="22"/>
      <c r="D380" s="22"/>
      <c r="E380" s="22" t="str">
        <f>E374</f>
        <v>амортизация кап/затрат</v>
      </c>
      <c r="F380" s="22"/>
      <c r="G380" s="22" t="str">
        <f>IF($E380="","",INDEX(KPI!$G:$G,SUMIFS(KPI!$B:$B,KPI!$E:$E,$E380)))</f>
        <v>тыс.руб.</v>
      </c>
      <c r="H380" s="100">
        <f>структура!$V$17</f>
        <v>6</v>
      </c>
      <c r="I380" s="31"/>
      <c r="J380" s="98" t="str">
        <f>структура!$X$17</f>
        <v>июн</v>
      </c>
      <c r="K380" s="99"/>
      <c r="L380" s="22"/>
      <c r="M380" s="58"/>
      <c r="N380" s="22"/>
      <c r="O380" s="22"/>
      <c r="P380" s="101">
        <f>IF(P$1="",0,IF(AND(P$1=0,$H380&lt;MONTH($J$13)),0,IF(((YEAR(P$8)-1)*12+$H380)-((YEAR($J$13)-1)*12+MONTH($J$13))+1&gt;капитал!$J$105*12,0,IF(капитал!$J$105=0,0,капитал!$M$102/(капитал!$J$105*12)))))</f>
        <v>178.21874809523811</v>
      </c>
      <c r="Q380" s="101">
        <f>IF(Q$1="",0,IF(AND(Q$1=0,$H380&lt;MONTH($J$13)),0,IF(((YEAR(Q$8)-1)*12+$H380)-((YEAR($J$13)-1)*12+MONTH($J$13))+1&gt;капитал!$J$105*12,0,IF(капитал!$J$105=0,0,капитал!$M$102/(капитал!$J$105*12)))))</f>
        <v>178.21874809523811</v>
      </c>
      <c r="R380" s="101">
        <f>IF(R$1="",0,IF(AND(R$1=0,$H380&lt;MONTH($J$13)),0,IF(((YEAR(R$8)-1)*12+$H380)-((YEAR($J$13)-1)*12+MONTH($J$13))+1&gt;капитал!$J$105*12,0,IF(капитал!$J$105=0,0,капитал!$M$102/(капитал!$J$105*12)))))</f>
        <v>178.21874809523811</v>
      </c>
      <c r="S380" s="101">
        <f>IF(S$1="",0,IF(AND(S$1=0,$H380&lt;MONTH($J$13)),0,IF(((YEAR(S$8)-1)*12+$H380)-((YEAR($J$13)-1)*12+MONTH($J$13))+1&gt;капитал!$J$105*12,0,IF(капитал!$J$105=0,0,капитал!$M$102/(капитал!$J$105*12)))))</f>
        <v>178.21874809523811</v>
      </c>
      <c r="T380" s="101">
        <f>IF(T$1="",0,IF(AND(T$1=0,$H380&lt;MONTH($J$13)),0,IF(((YEAR(T$8)-1)*12+$H380)-((YEAR($J$13)-1)*12+MONTH($J$13))+1&gt;капитал!$J$105*12,0,IF(капитал!$J$105=0,0,капитал!$M$102/(капитал!$J$105*12)))))</f>
        <v>178.21874809523811</v>
      </c>
      <c r="U380" s="101">
        <f>IF(U$1="",0,IF(AND(U$1=0,$H380&lt;MONTH($J$13)),0,IF(((YEAR(U$8)-1)*12+$H380)-((YEAR($J$13)-1)*12+MONTH($J$13))+1&gt;капитал!$J$105*12,0,IF(капитал!$J$105=0,0,капитал!$M$102/(капитал!$J$105*12)))))</f>
        <v>178.21874809523811</v>
      </c>
      <c r="V380" s="101">
        <f>IF(V$1="",0,IF(AND(V$1=0,$H380&lt;MONTH($J$13)),0,IF(((YEAR(V$8)-1)*12+$H380)-((YEAR($J$13)-1)*12+MONTH($J$13))+1&gt;капитал!$J$105*12,0,IF(капитал!$J$105=0,0,капитал!$M$102/(капитал!$J$105*12)))))</f>
        <v>178.21874809523811</v>
      </c>
      <c r="W380" s="101">
        <f>IF(W$1="",0,IF(AND(W$1=0,$H380&lt;MONTH($J$13)),0,IF(((YEAR(W$8)-1)*12+$H380)-((YEAR($J$13)-1)*12+MONTH($J$13))+1&gt;капитал!$J$105*12,0,IF(капитал!$J$105=0,0,капитал!$M$102/(капитал!$J$105*12)))))</f>
        <v>0</v>
      </c>
      <c r="X380" s="101">
        <f>IF(X$1="",0,IF(AND(X$1=0,$H380&lt;MONTH($J$13)),0,IF(((YEAR(X$8)-1)*12+$H380)-((YEAR($J$13)-1)*12+MONTH($J$13))+1&gt;капитал!$J$105*12,0,IF(капитал!$J$105=0,0,капитал!$M$102/(капитал!$J$105*12)))))</f>
        <v>0</v>
      </c>
      <c r="Y380" s="101">
        <f>IF(Y$1="",0,IF(AND(Y$1=0,$H380&lt;MONTH($J$13)),0,IF(((YEAR(Y$8)-1)*12+$H380)-((YEAR($J$13)-1)*12+MONTH($J$13))+1&gt;капитал!$J$105*12,0,IF(капитал!$J$105=0,0,капитал!$M$102/(капитал!$J$105*12)))))</f>
        <v>0</v>
      </c>
      <c r="Z380" s="101">
        <f>IF(Z$1="",0,IF(AND(Z$1=0,$H380&lt;MONTH($J$13)),0,IF(((YEAR(Z$8)-1)*12+$H380)-((YEAR($J$13)-1)*12+MONTH($J$13))+1&gt;капитал!$J$105*12,0,IF(капитал!$J$105=0,0,капитал!$M$102/(капитал!$J$105*12)))))</f>
        <v>0</v>
      </c>
      <c r="AA380" s="101">
        <f>IF(AA$1="",0,IF(AND(AA$1=0,$H380&lt;MONTH($J$13)),0,IF(((YEAR(AA$8)-1)*12+$H380)-((YEAR($J$13)-1)*12+MONTH($J$13))+1&gt;капитал!$J$105*12,0,IF(капитал!$J$105=0,0,капитал!$M$102/(капитал!$J$105*12)))))</f>
        <v>0</v>
      </c>
      <c r="AB380" s="22"/>
    </row>
    <row r="381" spans="1:28" s="23" customFormat="1" ht="10.199999999999999" x14ac:dyDescent="0.2">
      <c r="A381" s="22"/>
      <c r="B381" s="22"/>
      <c r="C381" s="22"/>
      <c r="D381" s="22"/>
      <c r="E381" s="22" t="str">
        <f>E374</f>
        <v>амортизация кап/затрат</v>
      </c>
      <c r="F381" s="22"/>
      <c r="G381" s="22" t="str">
        <f>IF($E381="","",INDEX(KPI!$G:$G,SUMIFS(KPI!$B:$B,KPI!$E:$E,$E381)))</f>
        <v>тыс.руб.</v>
      </c>
      <c r="H381" s="100">
        <f>структура!$V$18</f>
        <v>7</v>
      </c>
      <c r="I381" s="31"/>
      <c r="J381" s="98" t="str">
        <f>структура!$X$18</f>
        <v>июл</v>
      </c>
      <c r="K381" s="99"/>
      <c r="L381" s="22"/>
      <c r="M381" s="58"/>
      <c r="N381" s="22"/>
      <c r="O381" s="22"/>
      <c r="P381" s="101">
        <f>IF(P$1="",0,IF(AND(P$1=0,$H381&lt;MONTH($J$13)),0,IF(((YEAR(P$8)-1)*12+$H381)-((YEAR($J$13)-1)*12+MONTH($J$13))+1&gt;капитал!$J$105*12,0,IF(капитал!$J$105=0,0,капитал!$M$102/(капитал!$J$105*12)))))</f>
        <v>178.21874809523811</v>
      </c>
      <c r="Q381" s="101">
        <f>IF(Q$1="",0,IF(AND(Q$1=0,$H381&lt;MONTH($J$13)),0,IF(((YEAR(Q$8)-1)*12+$H381)-((YEAR($J$13)-1)*12+MONTH($J$13))+1&gt;капитал!$J$105*12,0,IF(капитал!$J$105=0,0,капитал!$M$102/(капитал!$J$105*12)))))</f>
        <v>178.21874809523811</v>
      </c>
      <c r="R381" s="101">
        <f>IF(R$1="",0,IF(AND(R$1=0,$H381&lt;MONTH($J$13)),0,IF(((YEAR(R$8)-1)*12+$H381)-((YEAR($J$13)-1)*12+MONTH($J$13))+1&gt;капитал!$J$105*12,0,IF(капитал!$J$105=0,0,капитал!$M$102/(капитал!$J$105*12)))))</f>
        <v>178.21874809523811</v>
      </c>
      <c r="S381" s="101">
        <f>IF(S$1="",0,IF(AND(S$1=0,$H381&lt;MONTH($J$13)),0,IF(((YEAR(S$8)-1)*12+$H381)-((YEAR($J$13)-1)*12+MONTH($J$13))+1&gt;капитал!$J$105*12,0,IF(капитал!$J$105=0,0,капитал!$M$102/(капитал!$J$105*12)))))</f>
        <v>178.21874809523811</v>
      </c>
      <c r="T381" s="101">
        <f>IF(T$1="",0,IF(AND(T$1=0,$H381&lt;MONTH($J$13)),0,IF(((YEAR(T$8)-1)*12+$H381)-((YEAR($J$13)-1)*12+MONTH($J$13))+1&gt;капитал!$J$105*12,0,IF(капитал!$J$105=0,0,капитал!$M$102/(капитал!$J$105*12)))))</f>
        <v>178.21874809523811</v>
      </c>
      <c r="U381" s="101">
        <f>IF(U$1="",0,IF(AND(U$1=0,$H381&lt;MONTH($J$13)),0,IF(((YEAR(U$8)-1)*12+$H381)-((YEAR($J$13)-1)*12+MONTH($J$13))+1&gt;капитал!$J$105*12,0,IF(капитал!$J$105=0,0,капитал!$M$102/(капитал!$J$105*12)))))</f>
        <v>178.21874809523811</v>
      </c>
      <c r="V381" s="101">
        <f>IF(V$1="",0,IF(AND(V$1=0,$H381&lt;MONTH($J$13)),0,IF(((YEAR(V$8)-1)*12+$H381)-((YEAR($J$13)-1)*12+MONTH($J$13))+1&gt;капитал!$J$105*12,0,IF(капитал!$J$105=0,0,капитал!$M$102/(капитал!$J$105*12)))))</f>
        <v>178.21874809523811</v>
      </c>
      <c r="W381" s="101">
        <f>IF(W$1="",0,IF(AND(W$1=0,$H381&lt;MONTH($J$13)),0,IF(((YEAR(W$8)-1)*12+$H381)-((YEAR($J$13)-1)*12+MONTH($J$13))+1&gt;капитал!$J$105*12,0,IF(капитал!$J$105=0,0,капитал!$M$102/(капитал!$J$105*12)))))</f>
        <v>0</v>
      </c>
      <c r="X381" s="101">
        <f>IF(X$1="",0,IF(AND(X$1=0,$H381&lt;MONTH($J$13)),0,IF(((YEAR(X$8)-1)*12+$H381)-((YEAR($J$13)-1)*12+MONTH($J$13))+1&gt;капитал!$J$105*12,0,IF(капитал!$J$105=0,0,капитал!$M$102/(капитал!$J$105*12)))))</f>
        <v>0</v>
      </c>
      <c r="Y381" s="101">
        <f>IF(Y$1="",0,IF(AND(Y$1=0,$H381&lt;MONTH($J$13)),0,IF(((YEAR(Y$8)-1)*12+$H381)-((YEAR($J$13)-1)*12+MONTH($J$13))+1&gt;капитал!$J$105*12,0,IF(капитал!$J$105=0,0,капитал!$M$102/(капитал!$J$105*12)))))</f>
        <v>0</v>
      </c>
      <c r="Z381" s="101">
        <f>IF(Z$1="",0,IF(AND(Z$1=0,$H381&lt;MONTH($J$13)),0,IF(((YEAR(Z$8)-1)*12+$H381)-((YEAR($J$13)-1)*12+MONTH($J$13))+1&gt;капитал!$J$105*12,0,IF(капитал!$J$105=0,0,капитал!$M$102/(капитал!$J$105*12)))))</f>
        <v>0</v>
      </c>
      <c r="AA381" s="101">
        <f>IF(AA$1="",0,IF(AND(AA$1=0,$H381&lt;MONTH($J$13)),0,IF(((YEAR(AA$8)-1)*12+$H381)-((YEAR($J$13)-1)*12+MONTH($J$13))+1&gt;капитал!$J$105*12,0,IF(капитал!$J$105=0,0,капитал!$M$102/(капитал!$J$105*12)))))</f>
        <v>0</v>
      </c>
      <c r="AB381" s="22"/>
    </row>
    <row r="382" spans="1:28" s="23" customFormat="1" ht="10.199999999999999" x14ac:dyDescent="0.2">
      <c r="A382" s="22"/>
      <c r="B382" s="22"/>
      <c r="C382" s="22"/>
      <c r="D382" s="22"/>
      <c r="E382" s="22" t="str">
        <f>E374</f>
        <v>амортизация кап/затрат</v>
      </c>
      <c r="F382" s="22"/>
      <c r="G382" s="22" t="str">
        <f>IF($E382="","",INDEX(KPI!$G:$G,SUMIFS(KPI!$B:$B,KPI!$E:$E,$E382)))</f>
        <v>тыс.руб.</v>
      </c>
      <c r="H382" s="100">
        <f>структура!$V$19</f>
        <v>8</v>
      </c>
      <c r="I382" s="31"/>
      <c r="J382" s="98" t="str">
        <f>структура!$X$19</f>
        <v>авг</v>
      </c>
      <c r="K382" s="99"/>
      <c r="L382" s="22"/>
      <c r="M382" s="58"/>
      <c r="N382" s="22"/>
      <c r="O382" s="22"/>
      <c r="P382" s="101">
        <f>IF(P$1="",0,IF(AND(P$1=0,$H382&lt;MONTH($J$13)),0,IF(((YEAR(P$8)-1)*12+$H382)-((YEAR($J$13)-1)*12+MONTH($J$13))+1&gt;капитал!$J$105*12,0,IF(капитал!$J$105=0,0,капитал!$M$102/(капитал!$J$105*12)))))</f>
        <v>178.21874809523811</v>
      </c>
      <c r="Q382" s="101">
        <f>IF(Q$1="",0,IF(AND(Q$1=0,$H382&lt;MONTH($J$13)),0,IF(((YEAR(Q$8)-1)*12+$H382)-((YEAR($J$13)-1)*12+MONTH($J$13))+1&gt;капитал!$J$105*12,0,IF(капитал!$J$105=0,0,капитал!$M$102/(капитал!$J$105*12)))))</f>
        <v>178.21874809523811</v>
      </c>
      <c r="R382" s="101">
        <f>IF(R$1="",0,IF(AND(R$1=0,$H382&lt;MONTH($J$13)),0,IF(((YEAR(R$8)-1)*12+$H382)-((YEAR($J$13)-1)*12+MONTH($J$13))+1&gt;капитал!$J$105*12,0,IF(капитал!$J$105=0,0,капитал!$M$102/(капитал!$J$105*12)))))</f>
        <v>178.21874809523811</v>
      </c>
      <c r="S382" s="101">
        <f>IF(S$1="",0,IF(AND(S$1=0,$H382&lt;MONTH($J$13)),0,IF(((YEAR(S$8)-1)*12+$H382)-((YEAR($J$13)-1)*12+MONTH($J$13))+1&gt;капитал!$J$105*12,0,IF(капитал!$J$105=0,0,капитал!$M$102/(капитал!$J$105*12)))))</f>
        <v>178.21874809523811</v>
      </c>
      <c r="T382" s="101">
        <f>IF(T$1="",0,IF(AND(T$1=0,$H382&lt;MONTH($J$13)),0,IF(((YEAR(T$8)-1)*12+$H382)-((YEAR($J$13)-1)*12+MONTH($J$13))+1&gt;капитал!$J$105*12,0,IF(капитал!$J$105=0,0,капитал!$M$102/(капитал!$J$105*12)))))</f>
        <v>178.21874809523811</v>
      </c>
      <c r="U382" s="101">
        <f>IF(U$1="",0,IF(AND(U$1=0,$H382&lt;MONTH($J$13)),0,IF(((YEAR(U$8)-1)*12+$H382)-((YEAR($J$13)-1)*12+MONTH($J$13))+1&gt;капитал!$J$105*12,0,IF(капитал!$J$105=0,0,капитал!$M$102/(капитал!$J$105*12)))))</f>
        <v>178.21874809523811</v>
      </c>
      <c r="V382" s="101">
        <f>IF(V$1="",0,IF(AND(V$1=0,$H382&lt;MONTH($J$13)),0,IF(((YEAR(V$8)-1)*12+$H382)-((YEAR($J$13)-1)*12+MONTH($J$13))+1&gt;капитал!$J$105*12,0,IF(капитал!$J$105=0,0,капитал!$M$102/(капитал!$J$105*12)))))</f>
        <v>178.21874809523811</v>
      </c>
      <c r="W382" s="101">
        <f>IF(W$1="",0,IF(AND(W$1=0,$H382&lt;MONTH($J$13)),0,IF(((YEAR(W$8)-1)*12+$H382)-((YEAR($J$13)-1)*12+MONTH($J$13))+1&gt;капитал!$J$105*12,0,IF(капитал!$J$105=0,0,капитал!$M$102/(капитал!$J$105*12)))))</f>
        <v>0</v>
      </c>
      <c r="X382" s="101">
        <f>IF(X$1="",0,IF(AND(X$1=0,$H382&lt;MONTH($J$13)),0,IF(((YEAR(X$8)-1)*12+$H382)-((YEAR($J$13)-1)*12+MONTH($J$13))+1&gt;капитал!$J$105*12,0,IF(капитал!$J$105=0,0,капитал!$M$102/(капитал!$J$105*12)))))</f>
        <v>0</v>
      </c>
      <c r="Y382" s="101">
        <f>IF(Y$1="",0,IF(AND(Y$1=0,$H382&lt;MONTH($J$13)),0,IF(((YEAR(Y$8)-1)*12+$H382)-((YEAR($J$13)-1)*12+MONTH($J$13))+1&gt;капитал!$J$105*12,0,IF(капитал!$J$105=0,0,капитал!$M$102/(капитал!$J$105*12)))))</f>
        <v>0</v>
      </c>
      <c r="Z382" s="101">
        <f>IF(Z$1="",0,IF(AND(Z$1=0,$H382&lt;MONTH($J$13)),0,IF(((YEAR(Z$8)-1)*12+$H382)-((YEAR($J$13)-1)*12+MONTH($J$13))+1&gt;капитал!$J$105*12,0,IF(капитал!$J$105=0,0,капитал!$M$102/(капитал!$J$105*12)))))</f>
        <v>0</v>
      </c>
      <c r="AA382" s="101">
        <f>IF(AA$1="",0,IF(AND(AA$1=0,$H382&lt;MONTH($J$13)),0,IF(((YEAR(AA$8)-1)*12+$H382)-((YEAR($J$13)-1)*12+MONTH($J$13))+1&gt;капитал!$J$105*12,0,IF(капитал!$J$105=0,0,капитал!$M$102/(капитал!$J$105*12)))))</f>
        <v>0</v>
      </c>
      <c r="AB382" s="22"/>
    </row>
    <row r="383" spans="1:28" s="23" customFormat="1" ht="10.199999999999999" x14ac:dyDescent="0.2">
      <c r="A383" s="22"/>
      <c r="B383" s="22"/>
      <c r="C383" s="22"/>
      <c r="D383" s="22"/>
      <c r="E383" s="22" t="str">
        <f>E374</f>
        <v>амортизация кап/затрат</v>
      </c>
      <c r="F383" s="22"/>
      <c r="G383" s="22" t="str">
        <f>IF($E383="","",INDEX(KPI!$G:$G,SUMIFS(KPI!$B:$B,KPI!$E:$E,$E383)))</f>
        <v>тыс.руб.</v>
      </c>
      <c r="H383" s="100">
        <f>структура!$V$20</f>
        <v>9</v>
      </c>
      <c r="I383" s="31"/>
      <c r="J383" s="98" t="str">
        <f>структура!$X$20</f>
        <v>сен</v>
      </c>
      <c r="K383" s="99"/>
      <c r="L383" s="22"/>
      <c r="M383" s="58"/>
      <c r="N383" s="22"/>
      <c r="O383" s="22"/>
      <c r="P383" s="101">
        <f>IF(P$1="",0,IF(AND(P$1=0,$H383&lt;MONTH($J$13)),0,IF(((YEAR(P$8)-1)*12+$H383)-((YEAR($J$13)-1)*12+MONTH($J$13))+1&gt;капитал!$J$105*12,0,IF(капитал!$J$105=0,0,капитал!$M$102/(капитал!$J$105*12)))))</f>
        <v>178.21874809523811</v>
      </c>
      <c r="Q383" s="101">
        <f>IF(Q$1="",0,IF(AND(Q$1=0,$H383&lt;MONTH($J$13)),0,IF(((YEAR(Q$8)-1)*12+$H383)-((YEAR($J$13)-1)*12+MONTH($J$13))+1&gt;капитал!$J$105*12,0,IF(капитал!$J$105=0,0,капитал!$M$102/(капитал!$J$105*12)))))</f>
        <v>178.21874809523811</v>
      </c>
      <c r="R383" s="101">
        <f>IF(R$1="",0,IF(AND(R$1=0,$H383&lt;MONTH($J$13)),0,IF(((YEAR(R$8)-1)*12+$H383)-((YEAR($J$13)-1)*12+MONTH($J$13))+1&gt;капитал!$J$105*12,0,IF(капитал!$J$105=0,0,капитал!$M$102/(капитал!$J$105*12)))))</f>
        <v>178.21874809523811</v>
      </c>
      <c r="S383" s="101">
        <f>IF(S$1="",0,IF(AND(S$1=0,$H383&lt;MONTH($J$13)),0,IF(((YEAR(S$8)-1)*12+$H383)-((YEAR($J$13)-1)*12+MONTH($J$13))+1&gt;капитал!$J$105*12,0,IF(капитал!$J$105=0,0,капитал!$M$102/(капитал!$J$105*12)))))</f>
        <v>178.21874809523811</v>
      </c>
      <c r="T383" s="101">
        <f>IF(T$1="",0,IF(AND(T$1=0,$H383&lt;MONTH($J$13)),0,IF(((YEAR(T$8)-1)*12+$H383)-((YEAR($J$13)-1)*12+MONTH($J$13))+1&gt;капитал!$J$105*12,0,IF(капитал!$J$105=0,0,капитал!$M$102/(капитал!$J$105*12)))))</f>
        <v>178.21874809523811</v>
      </c>
      <c r="U383" s="101">
        <f>IF(U$1="",0,IF(AND(U$1=0,$H383&lt;MONTH($J$13)),0,IF(((YEAR(U$8)-1)*12+$H383)-((YEAR($J$13)-1)*12+MONTH($J$13))+1&gt;капитал!$J$105*12,0,IF(капитал!$J$105=0,0,капитал!$M$102/(капитал!$J$105*12)))))</f>
        <v>178.21874809523811</v>
      </c>
      <c r="V383" s="101">
        <f>IF(V$1="",0,IF(AND(V$1=0,$H383&lt;MONTH($J$13)),0,IF(((YEAR(V$8)-1)*12+$H383)-((YEAR($J$13)-1)*12+MONTH($J$13))+1&gt;капитал!$J$105*12,0,IF(капитал!$J$105=0,0,капитал!$M$102/(капитал!$J$105*12)))))</f>
        <v>178.21874809523811</v>
      </c>
      <c r="W383" s="101">
        <f>IF(W$1="",0,IF(AND(W$1=0,$H383&lt;MONTH($J$13)),0,IF(((YEAR(W$8)-1)*12+$H383)-((YEAR($J$13)-1)*12+MONTH($J$13))+1&gt;капитал!$J$105*12,0,IF(капитал!$J$105=0,0,капитал!$M$102/(капитал!$J$105*12)))))</f>
        <v>0</v>
      </c>
      <c r="X383" s="101">
        <f>IF(X$1="",0,IF(AND(X$1=0,$H383&lt;MONTH($J$13)),0,IF(((YEAR(X$8)-1)*12+$H383)-((YEAR($J$13)-1)*12+MONTH($J$13))+1&gt;капитал!$J$105*12,0,IF(капитал!$J$105=0,0,капитал!$M$102/(капитал!$J$105*12)))))</f>
        <v>0</v>
      </c>
      <c r="Y383" s="101">
        <f>IF(Y$1="",0,IF(AND(Y$1=0,$H383&lt;MONTH($J$13)),0,IF(((YEAR(Y$8)-1)*12+$H383)-((YEAR($J$13)-1)*12+MONTH($J$13))+1&gt;капитал!$J$105*12,0,IF(капитал!$J$105=0,0,капитал!$M$102/(капитал!$J$105*12)))))</f>
        <v>0</v>
      </c>
      <c r="Z383" s="101">
        <f>IF(Z$1="",0,IF(AND(Z$1=0,$H383&lt;MONTH($J$13)),0,IF(((YEAR(Z$8)-1)*12+$H383)-((YEAR($J$13)-1)*12+MONTH($J$13))+1&gt;капитал!$J$105*12,0,IF(капитал!$J$105=0,0,капитал!$M$102/(капитал!$J$105*12)))))</f>
        <v>0</v>
      </c>
      <c r="AA383" s="101">
        <f>IF(AA$1="",0,IF(AND(AA$1=0,$H383&lt;MONTH($J$13)),0,IF(((YEAR(AA$8)-1)*12+$H383)-((YEAR($J$13)-1)*12+MONTH($J$13))+1&gt;капитал!$J$105*12,0,IF(капитал!$J$105=0,0,капитал!$M$102/(капитал!$J$105*12)))))</f>
        <v>0</v>
      </c>
      <c r="AB383" s="22"/>
    </row>
    <row r="384" spans="1:28" s="23" customFormat="1" ht="10.199999999999999" x14ac:dyDescent="0.2">
      <c r="A384" s="22"/>
      <c r="B384" s="22"/>
      <c r="C384" s="22"/>
      <c r="D384" s="22"/>
      <c r="E384" s="22" t="str">
        <f>E374</f>
        <v>амортизация кап/затрат</v>
      </c>
      <c r="F384" s="22"/>
      <c r="G384" s="22" t="str">
        <f>IF($E384="","",INDEX(KPI!$G:$G,SUMIFS(KPI!$B:$B,KPI!$E:$E,$E384)))</f>
        <v>тыс.руб.</v>
      </c>
      <c r="H384" s="100">
        <f>структура!$V$21</f>
        <v>10</v>
      </c>
      <c r="I384" s="31"/>
      <c r="J384" s="98" t="str">
        <f>структура!$X$21</f>
        <v>окт</v>
      </c>
      <c r="K384" s="99"/>
      <c r="L384" s="22"/>
      <c r="M384" s="58"/>
      <c r="N384" s="22"/>
      <c r="O384" s="22"/>
      <c r="P384" s="101">
        <f>IF(P$1="",0,IF(AND(P$1=0,$H384&lt;MONTH($J$13)),0,IF(((YEAR(P$8)-1)*12+$H384)-((YEAR($J$13)-1)*12+MONTH($J$13))+1&gt;капитал!$J$105*12,0,IF(капитал!$J$105=0,0,капитал!$M$102/(капитал!$J$105*12)))))</f>
        <v>178.21874809523811</v>
      </c>
      <c r="Q384" s="101">
        <f>IF(Q$1="",0,IF(AND(Q$1=0,$H384&lt;MONTH($J$13)),0,IF(((YEAR(Q$8)-1)*12+$H384)-((YEAR($J$13)-1)*12+MONTH($J$13))+1&gt;капитал!$J$105*12,0,IF(капитал!$J$105=0,0,капитал!$M$102/(капитал!$J$105*12)))))</f>
        <v>178.21874809523811</v>
      </c>
      <c r="R384" s="101">
        <f>IF(R$1="",0,IF(AND(R$1=0,$H384&lt;MONTH($J$13)),0,IF(((YEAR(R$8)-1)*12+$H384)-((YEAR($J$13)-1)*12+MONTH($J$13))+1&gt;капитал!$J$105*12,0,IF(капитал!$J$105=0,0,капитал!$M$102/(капитал!$J$105*12)))))</f>
        <v>178.21874809523811</v>
      </c>
      <c r="S384" s="101">
        <f>IF(S$1="",0,IF(AND(S$1=0,$H384&lt;MONTH($J$13)),0,IF(((YEAR(S$8)-1)*12+$H384)-((YEAR($J$13)-1)*12+MONTH($J$13))+1&gt;капитал!$J$105*12,0,IF(капитал!$J$105=0,0,капитал!$M$102/(капитал!$J$105*12)))))</f>
        <v>178.21874809523811</v>
      </c>
      <c r="T384" s="101">
        <f>IF(T$1="",0,IF(AND(T$1=0,$H384&lt;MONTH($J$13)),0,IF(((YEAR(T$8)-1)*12+$H384)-((YEAR($J$13)-1)*12+MONTH($J$13))+1&gt;капитал!$J$105*12,0,IF(капитал!$J$105=0,0,капитал!$M$102/(капитал!$J$105*12)))))</f>
        <v>178.21874809523811</v>
      </c>
      <c r="U384" s="101">
        <f>IF(U$1="",0,IF(AND(U$1=0,$H384&lt;MONTH($J$13)),0,IF(((YEAR(U$8)-1)*12+$H384)-((YEAR($J$13)-1)*12+MONTH($J$13))+1&gt;капитал!$J$105*12,0,IF(капитал!$J$105=0,0,капитал!$M$102/(капитал!$J$105*12)))))</f>
        <v>178.21874809523811</v>
      </c>
      <c r="V384" s="101">
        <f>IF(V$1="",0,IF(AND(V$1=0,$H384&lt;MONTH($J$13)),0,IF(((YEAR(V$8)-1)*12+$H384)-((YEAR($J$13)-1)*12+MONTH($J$13))+1&gt;капитал!$J$105*12,0,IF(капитал!$J$105=0,0,капитал!$M$102/(капитал!$J$105*12)))))</f>
        <v>178.21874809523811</v>
      </c>
      <c r="W384" s="101">
        <f>IF(W$1="",0,IF(AND(W$1=0,$H384&lt;MONTH($J$13)),0,IF(((YEAR(W$8)-1)*12+$H384)-((YEAR($J$13)-1)*12+MONTH($J$13))+1&gt;капитал!$J$105*12,0,IF(капитал!$J$105=0,0,капитал!$M$102/(капитал!$J$105*12)))))</f>
        <v>0</v>
      </c>
      <c r="X384" s="101">
        <f>IF(X$1="",0,IF(AND(X$1=0,$H384&lt;MONTH($J$13)),0,IF(((YEAR(X$8)-1)*12+$H384)-((YEAR($J$13)-1)*12+MONTH($J$13))+1&gt;капитал!$J$105*12,0,IF(капитал!$J$105=0,0,капитал!$M$102/(капитал!$J$105*12)))))</f>
        <v>0</v>
      </c>
      <c r="Y384" s="101">
        <f>IF(Y$1="",0,IF(AND(Y$1=0,$H384&lt;MONTH($J$13)),0,IF(((YEAR(Y$8)-1)*12+$H384)-((YEAR($J$13)-1)*12+MONTH($J$13))+1&gt;капитал!$J$105*12,0,IF(капитал!$J$105=0,0,капитал!$M$102/(капитал!$J$105*12)))))</f>
        <v>0</v>
      </c>
      <c r="Z384" s="101">
        <f>IF(Z$1="",0,IF(AND(Z$1=0,$H384&lt;MONTH($J$13)),0,IF(((YEAR(Z$8)-1)*12+$H384)-((YEAR($J$13)-1)*12+MONTH($J$13))+1&gt;капитал!$J$105*12,0,IF(капитал!$J$105=0,0,капитал!$M$102/(капитал!$J$105*12)))))</f>
        <v>0</v>
      </c>
      <c r="AA384" s="101">
        <f>IF(AA$1="",0,IF(AND(AA$1=0,$H384&lt;MONTH($J$13)),0,IF(((YEAR(AA$8)-1)*12+$H384)-((YEAR($J$13)-1)*12+MONTH($J$13))+1&gt;капитал!$J$105*12,0,IF(капитал!$J$105=0,0,капитал!$M$102/(капитал!$J$105*12)))))</f>
        <v>0</v>
      </c>
      <c r="AB384" s="22"/>
    </row>
    <row r="385" spans="1:28" s="23" customFormat="1" ht="10.199999999999999" x14ac:dyDescent="0.2">
      <c r="A385" s="22"/>
      <c r="B385" s="22"/>
      <c r="C385" s="22"/>
      <c r="D385" s="22"/>
      <c r="E385" s="22" t="str">
        <f>E374</f>
        <v>амортизация кап/затрат</v>
      </c>
      <c r="F385" s="22"/>
      <c r="G385" s="22" t="str">
        <f>IF($E385="","",INDEX(KPI!$G:$G,SUMIFS(KPI!$B:$B,KPI!$E:$E,$E385)))</f>
        <v>тыс.руб.</v>
      </c>
      <c r="H385" s="100">
        <f>структура!$V$22</f>
        <v>11</v>
      </c>
      <c r="I385" s="31"/>
      <c r="J385" s="98" t="str">
        <f>структура!$X$22</f>
        <v>ноя</v>
      </c>
      <c r="K385" s="99"/>
      <c r="L385" s="22"/>
      <c r="M385" s="58"/>
      <c r="N385" s="22"/>
      <c r="O385" s="22"/>
      <c r="P385" s="101">
        <f>IF(P$1="",0,IF(AND(P$1=0,$H385&lt;MONTH($J$13)),0,IF(((YEAR(P$8)-1)*12+$H385)-((YEAR($J$13)-1)*12+MONTH($J$13))+1&gt;капитал!$J$105*12,0,IF(капитал!$J$105=0,0,капитал!$M$102/(капитал!$J$105*12)))))</f>
        <v>178.21874809523811</v>
      </c>
      <c r="Q385" s="101">
        <f>IF(Q$1="",0,IF(AND(Q$1=0,$H385&lt;MONTH($J$13)),0,IF(((YEAR(Q$8)-1)*12+$H385)-((YEAR($J$13)-1)*12+MONTH($J$13))+1&gt;капитал!$J$105*12,0,IF(капитал!$J$105=0,0,капитал!$M$102/(капитал!$J$105*12)))))</f>
        <v>178.21874809523811</v>
      </c>
      <c r="R385" s="101">
        <f>IF(R$1="",0,IF(AND(R$1=0,$H385&lt;MONTH($J$13)),0,IF(((YEAR(R$8)-1)*12+$H385)-((YEAR($J$13)-1)*12+MONTH($J$13))+1&gt;капитал!$J$105*12,0,IF(капитал!$J$105=0,0,капитал!$M$102/(капитал!$J$105*12)))))</f>
        <v>178.21874809523811</v>
      </c>
      <c r="S385" s="101">
        <f>IF(S$1="",0,IF(AND(S$1=0,$H385&lt;MONTH($J$13)),0,IF(((YEAR(S$8)-1)*12+$H385)-((YEAR($J$13)-1)*12+MONTH($J$13))+1&gt;капитал!$J$105*12,0,IF(капитал!$J$105=0,0,капитал!$M$102/(капитал!$J$105*12)))))</f>
        <v>178.21874809523811</v>
      </c>
      <c r="T385" s="101">
        <f>IF(T$1="",0,IF(AND(T$1=0,$H385&lt;MONTH($J$13)),0,IF(((YEAR(T$8)-1)*12+$H385)-((YEAR($J$13)-1)*12+MONTH($J$13))+1&gt;капитал!$J$105*12,0,IF(капитал!$J$105=0,0,капитал!$M$102/(капитал!$J$105*12)))))</f>
        <v>178.21874809523811</v>
      </c>
      <c r="U385" s="101">
        <f>IF(U$1="",0,IF(AND(U$1=0,$H385&lt;MONTH($J$13)),0,IF(((YEAR(U$8)-1)*12+$H385)-((YEAR($J$13)-1)*12+MONTH($J$13))+1&gt;капитал!$J$105*12,0,IF(капитал!$J$105=0,0,капитал!$M$102/(капитал!$J$105*12)))))</f>
        <v>178.21874809523811</v>
      </c>
      <c r="V385" s="101">
        <f>IF(V$1="",0,IF(AND(V$1=0,$H385&lt;MONTH($J$13)),0,IF(((YEAR(V$8)-1)*12+$H385)-((YEAR($J$13)-1)*12+MONTH($J$13))+1&gt;капитал!$J$105*12,0,IF(капитал!$J$105=0,0,капитал!$M$102/(капитал!$J$105*12)))))</f>
        <v>178.21874809523811</v>
      </c>
      <c r="W385" s="101">
        <f>IF(W$1="",0,IF(AND(W$1=0,$H385&lt;MONTH($J$13)),0,IF(((YEAR(W$8)-1)*12+$H385)-((YEAR($J$13)-1)*12+MONTH($J$13))+1&gt;капитал!$J$105*12,0,IF(капитал!$J$105=0,0,капитал!$M$102/(капитал!$J$105*12)))))</f>
        <v>0</v>
      </c>
      <c r="X385" s="101">
        <f>IF(X$1="",0,IF(AND(X$1=0,$H385&lt;MONTH($J$13)),0,IF(((YEAR(X$8)-1)*12+$H385)-((YEAR($J$13)-1)*12+MONTH($J$13))+1&gt;капитал!$J$105*12,0,IF(капитал!$J$105=0,0,капитал!$M$102/(капитал!$J$105*12)))))</f>
        <v>0</v>
      </c>
      <c r="Y385" s="101">
        <f>IF(Y$1="",0,IF(AND(Y$1=0,$H385&lt;MONTH($J$13)),0,IF(((YEAR(Y$8)-1)*12+$H385)-((YEAR($J$13)-1)*12+MONTH($J$13))+1&gt;капитал!$J$105*12,0,IF(капитал!$J$105=0,0,капитал!$M$102/(капитал!$J$105*12)))))</f>
        <v>0</v>
      </c>
      <c r="Z385" s="101">
        <f>IF(Z$1="",0,IF(AND(Z$1=0,$H385&lt;MONTH($J$13)),0,IF(((YEAR(Z$8)-1)*12+$H385)-((YEAR($J$13)-1)*12+MONTH($J$13))+1&gt;капитал!$J$105*12,0,IF(капитал!$J$105=0,0,капитал!$M$102/(капитал!$J$105*12)))))</f>
        <v>0</v>
      </c>
      <c r="AA385" s="101">
        <f>IF(AA$1="",0,IF(AND(AA$1=0,$H385&lt;MONTH($J$13)),0,IF(((YEAR(AA$8)-1)*12+$H385)-((YEAR($J$13)-1)*12+MONTH($J$13))+1&gt;капитал!$J$105*12,0,IF(капитал!$J$105=0,0,капитал!$M$102/(капитал!$J$105*12)))))</f>
        <v>0</v>
      </c>
      <c r="AB385" s="22"/>
    </row>
    <row r="386" spans="1:28" s="23" customFormat="1" ht="10.199999999999999" x14ac:dyDescent="0.2">
      <c r="A386" s="22"/>
      <c r="B386" s="22"/>
      <c r="C386" s="22"/>
      <c r="D386" s="22"/>
      <c r="E386" s="22" t="str">
        <f>E374</f>
        <v>амортизация кап/затрат</v>
      </c>
      <c r="F386" s="22"/>
      <c r="G386" s="22" t="str">
        <f>IF($E386="","",INDEX(KPI!$G:$G,SUMIFS(KPI!$B:$B,KPI!$E:$E,$E386)))</f>
        <v>тыс.руб.</v>
      </c>
      <c r="H386" s="100">
        <f>структура!$V$23</f>
        <v>12</v>
      </c>
      <c r="I386" s="31"/>
      <c r="J386" s="98" t="str">
        <f>структура!$X$23</f>
        <v>дек</v>
      </c>
      <c r="K386" s="99"/>
      <c r="L386" s="22"/>
      <c r="M386" s="58"/>
      <c r="N386" s="22"/>
      <c r="O386" s="22"/>
      <c r="P386" s="101">
        <f>IF(P$1="",0,IF(AND(P$1=0,$H386&lt;MONTH($J$13)),0,IF(((YEAR(P$8)-1)*12+$H386)-((YEAR($J$13)-1)*12+MONTH($J$13))+1&gt;капитал!$J$105*12,0,IF(капитал!$J$105=0,0,капитал!$M$102/(капитал!$J$105*12)))))</f>
        <v>178.21874809523811</v>
      </c>
      <c r="Q386" s="101">
        <f>IF(Q$1="",0,IF(AND(Q$1=0,$H386&lt;MONTH($J$13)),0,IF(((YEAR(Q$8)-1)*12+$H386)-((YEAR($J$13)-1)*12+MONTH($J$13))+1&gt;капитал!$J$105*12,0,IF(капитал!$J$105=0,0,капитал!$M$102/(капитал!$J$105*12)))))</f>
        <v>178.21874809523811</v>
      </c>
      <c r="R386" s="101">
        <f>IF(R$1="",0,IF(AND(R$1=0,$H386&lt;MONTH($J$13)),0,IF(((YEAR(R$8)-1)*12+$H386)-((YEAR($J$13)-1)*12+MONTH($J$13))+1&gt;капитал!$J$105*12,0,IF(капитал!$J$105=0,0,капитал!$M$102/(капитал!$J$105*12)))))</f>
        <v>178.21874809523811</v>
      </c>
      <c r="S386" s="101">
        <f>IF(S$1="",0,IF(AND(S$1=0,$H386&lt;MONTH($J$13)),0,IF(((YEAR(S$8)-1)*12+$H386)-((YEAR($J$13)-1)*12+MONTH($J$13))+1&gt;капитал!$J$105*12,0,IF(капитал!$J$105=0,0,капитал!$M$102/(капитал!$J$105*12)))))</f>
        <v>178.21874809523811</v>
      </c>
      <c r="T386" s="101">
        <f>IF(T$1="",0,IF(AND(T$1=0,$H386&lt;MONTH($J$13)),0,IF(((YEAR(T$8)-1)*12+$H386)-((YEAR($J$13)-1)*12+MONTH($J$13))+1&gt;капитал!$J$105*12,0,IF(капитал!$J$105=0,0,капитал!$M$102/(капитал!$J$105*12)))))</f>
        <v>178.21874809523811</v>
      </c>
      <c r="U386" s="101">
        <f>IF(U$1="",0,IF(AND(U$1=0,$H386&lt;MONTH($J$13)),0,IF(((YEAR(U$8)-1)*12+$H386)-((YEAR($J$13)-1)*12+MONTH($J$13))+1&gt;капитал!$J$105*12,0,IF(капитал!$J$105=0,0,капитал!$M$102/(капитал!$J$105*12)))))</f>
        <v>178.21874809523811</v>
      </c>
      <c r="V386" s="101">
        <f>IF(V$1="",0,IF(AND(V$1=0,$H386&lt;MONTH($J$13)),0,IF(((YEAR(V$8)-1)*12+$H386)-((YEAR($J$13)-1)*12+MONTH($J$13))+1&gt;капитал!$J$105*12,0,IF(капитал!$J$105=0,0,капитал!$M$102/(капитал!$J$105*12)))))</f>
        <v>178.21874809523811</v>
      </c>
      <c r="W386" s="101">
        <f>IF(W$1="",0,IF(AND(W$1=0,$H386&lt;MONTH($J$13)),0,IF(((YEAR(W$8)-1)*12+$H386)-((YEAR($J$13)-1)*12+MONTH($J$13))+1&gt;капитал!$J$105*12,0,IF(капитал!$J$105=0,0,капитал!$M$102/(капитал!$J$105*12)))))</f>
        <v>0</v>
      </c>
      <c r="X386" s="101">
        <f>IF(X$1="",0,IF(AND(X$1=0,$H386&lt;MONTH($J$13)),0,IF(((YEAR(X$8)-1)*12+$H386)-((YEAR($J$13)-1)*12+MONTH($J$13))+1&gt;капитал!$J$105*12,0,IF(капитал!$J$105=0,0,капитал!$M$102/(капитал!$J$105*12)))))</f>
        <v>0</v>
      </c>
      <c r="Y386" s="101">
        <f>IF(Y$1="",0,IF(AND(Y$1=0,$H386&lt;MONTH($J$13)),0,IF(((YEAR(Y$8)-1)*12+$H386)-((YEAR($J$13)-1)*12+MONTH($J$13))+1&gt;капитал!$J$105*12,0,IF(капитал!$J$105=0,0,капитал!$M$102/(капитал!$J$105*12)))))</f>
        <v>0</v>
      </c>
      <c r="Z386" s="101">
        <f>IF(Z$1="",0,IF(AND(Z$1=0,$H386&lt;MONTH($J$13)),0,IF(((YEAR(Z$8)-1)*12+$H386)-((YEAR($J$13)-1)*12+MONTH($J$13))+1&gt;капитал!$J$105*12,0,IF(капитал!$J$105=0,0,капитал!$M$102/(капитал!$J$105*12)))))</f>
        <v>0</v>
      </c>
      <c r="AA386" s="101">
        <f>IF(AA$1="",0,IF(AND(AA$1=0,$H386&lt;MONTH($J$13)),0,IF(((YEAR(AA$8)-1)*12+$H386)-((YEAR($J$13)-1)*12+MONTH($J$13))+1&gt;капитал!$J$105*12,0,IF(капитал!$J$105=0,0,капитал!$M$102/(капитал!$J$105*12)))))</f>
        <v>0</v>
      </c>
      <c r="AB386" s="22"/>
    </row>
    <row r="387" spans="1:28" ht="3.9" customHeight="1" x14ac:dyDescent="0.25">
      <c r="A387" s="2"/>
      <c r="B387" s="2"/>
      <c r="C387" s="2"/>
      <c r="D387" s="143"/>
      <c r="E387" s="143"/>
      <c r="F387" s="2"/>
      <c r="G387" s="143"/>
      <c r="H387" s="2"/>
      <c r="I387" s="28"/>
      <c r="J387" s="143"/>
      <c r="K387" s="28"/>
      <c r="L387" s="2"/>
      <c r="M387" s="52"/>
      <c r="N387" s="2"/>
      <c r="O387" s="2"/>
      <c r="P387" s="36"/>
      <c r="Q387" s="36"/>
      <c r="R387" s="36"/>
      <c r="S387" s="36"/>
      <c r="T387" s="36"/>
      <c r="U387" s="36"/>
      <c r="V387" s="36"/>
      <c r="W387" s="36"/>
      <c r="X387" s="36"/>
      <c r="Y387" s="36"/>
      <c r="Z387" s="36"/>
      <c r="AA387" s="36"/>
      <c r="AB387" s="2"/>
    </row>
    <row r="388" spans="1:28" ht="8.1" customHeight="1" x14ac:dyDescent="0.25">
      <c r="A388" s="2"/>
      <c r="B388" s="2"/>
      <c r="C388" s="2"/>
      <c r="D388" s="2"/>
      <c r="E388" s="2"/>
      <c r="F388" s="2"/>
      <c r="G388" s="2"/>
      <c r="H388" s="2"/>
      <c r="I388" s="28"/>
      <c r="J388" s="2"/>
      <c r="K388" s="28"/>
      <c r="L388" s="2"/>
      <c r="M388" s="52"/>
      <c r="N388" s="2"/>
      <c r="O388" s="2"/>
      <c r="P388" s="36"/>
      <c r="Q388" s="36"/>
      <c r="R388" s="36"/>
      <c r="S388" s="36"/>
      <c r="T388" s="36"/>
      <c r="U388" s="36"/>
      <c r="V388" s="36"/>
      <c r="W388" s="36"/>
      <c r="X388" s="36"/>
      <c r="Y388" s="36"/>
      <c r="Z388" s="36"/>
      <c r="AA388" s="36"/>
      <c r="AB388" s="2"/>
    </row>
    <row r="389" spans="1:28" s="5" customFormat="1" x14ac:dyDescent="0.25">
      <c r="A389" s="3"/>
      <c r="B389" s="3"/>
      <c r="C389" s="3"/>
      <c r="D389" s="148"/>
      <c r="E389" s="3" t="str">
        <f>KPI!$E$85</f>
        <v>амортизация прокатного инвентаря</v>
      </c>
      <c r="F389" s="3"/>
      <c r="G389" s="3" t="str">
        <f>IF($E389="","",INDEX(KPI!$G:$G,SUMIFS(KPI!$B:$B,KPI!$E:$E,$E389)))</f>
        <v>тыс.руб.</v>
      </c>
      <c r="H389" s="103"/>
      <c r="I389" s="28"/>
      <c r="J389" s="44"/>
      <c r="K389" s="28"/>
      <c r="L389" s="3"/>
      <c r="M389" s="55">
        <f>SUM($O389:$AB389)</f>
        <v>879.99999999999989</v>
      </c>
      <c r="N389" s="3"/>
      <c r="O389" s="3"/>
      <c r="P389" s="46">
        <f>IF(P$1="",0,IF(P$1=0,SUMIFS(P390:P401,H390:H401,"&gt;="&amp;MONTH($J$13)),SUM(P390:P401)))</f>
        <v>175.99999999999997</v>
      </c>
      <c r="Q389" s="46">
        <f t="shared" ref="Q389" si="92">IF(Q$1="",0,SUM(Q390:Q401))</f>
        <v>175.99999999999997</v>
      </c>
      <c r="R389" s="46">
        <f t="shared" ref="R389:AA389" si="93">IF(R$1="",0,SUM(R390:R401))</f>
        <v>175.99999999999997</v>
      </c>
      <c r="S389" s="46">
        <f t="shared" si="93"/>
        <v>175.99999999999997</v>
      </c>
      <c r="T389" s="46">
        <f t="shared" si="93"/>
        <v>175.99999999999997</v>
      </c>
      <c r="U389" s="46">
        <f t="shared" si="93"/>
        <v>0</v>
      </c>
      <c r="V389" s="46">
        <f t="shared" si="93"/>
        <v>0</v>
      </c>
      <c r="W389" s="46">
        <f t="shared" si="93"/>
        <v>0</v>
      </c>
      <c r="X389" s="46">
        <f t="shared" si="93"/>
        <v>0</v>
      </c>
      <c r="Y389" s="46">
        <f t="shared" si="93"/>
        <v>0</v>
      </c>
      <c r="Z389" s="46">
        <f t="shared" si="93"/>
        <v>0</v>
      </c>
      <c r="AA389" s="46">
        <f t="shared" si="93"/>
        <v>0</v>
      </c>
      <c r="AB389" s="3"/>
    </row>
    <row r="390" spans="1:28" s="23" customFormat="1" ht="10.199999999999999" x14ac:dyDescent="0.2">
      <c r="A390" s="22"/>
      <c r="B390" s="22"/>
      <c r="C390" s="22"/>
      <c r="D390" s="22"/>
      <c r="E390" s="22" t="str">
        <f>E389</f>
        <v>амортизация прокатного инвентаря</v>
      </c>
      <c r="F390" s="22"/>
      <c r="G390" s="22" t="str">
        <f>IF($E390="","",INDEX(KPI!$G:$G,SUMIFS(KPI!$B:$B,KPI!$E:$E,$E390)))</f>
        <v>тыс.руб.</v>
      </c>
      <c r="H390" s="100">
        <f>структура!$V$12</f>
        <v>1</v>
      </c>
      <c r="I390" s="31"/>
      <c r="J390" s="98" t="str">
        <f>структура!$X$12</f>
        <v>янв</v>
      </c>
      <c r="K390" s="99"/>
      <c r="L390" s="22"/>
      <c r="M390" s="58"/>
      <c r="N390" s="22"/>
      <c r="O390" s="22"/>
      <c r="P390" s="101">
        <f>IF(P$1="",0,IF(AND(P$1=0,$H390&lt;MONTH($J$13)),0,IF(((YEAR(P$8)-1)*12+$H390)-((YEAR($J$13)-1)*12+MONTH($J$13))+1&gt;капитал!$J$130*12,0,IF(капитал!$J$130=0,0,капитал!$M$109/(капитал!$J$130*12)))))</f>
        <v>14.666666666666666</v>
      </c>
      <c r="Q390" s="101">
        <f>IF(Q$1="",0,IF(AND(Q$1=0,$H390&lt;MONTH($J$13)),0,IF(((YEAR(Q$8)-1)*12+$H390)-((YEAR($J$13)-1)*12+MONTH($J$13))+1&gt;капитал!$J$130*12,0,IF(капитал!$J$130=0,0,капитал!$M$109/(капитал!$J$130*12)))))</f>
        <v>14.666666666666666</v>
      </c>
      <c r="R390" s="101">
        <f>IF(R$1="",0,IF(AND(R$1=0,$H390&lt;MONTH($J$13)),0,IF(((YEAR(R$8)-1)*12+$H390)-((YEAR($J$13)-1)*12+MONTH($J$13))+1&gt;капитал!$J$130*12,0,IF(капитал!$J$130=0,0,капитал!$M$109/(капитал!$J$130*12)))))</f>
        <v>14.666666666666666</v>
      </c>
      <c r="S390" s="101">
        <f>IF(S$1="",0,IF(AND(S$1=0,$H390&lt;MONTH($J$13)),0,IF(((YEAR(S$8)-1)*12+$H390)-((YEAR($J$13)-1)*12+MONTH($J$13))+1&gt;капитал!$J$130*12,0,IF(капитал!$J$130=0,0,капитал!$M$109/(капитал!$J$130*12)))))</f>
        <v>14.666666666666666</v>
      </c>
      <c r="T390" s="101">
        <f>IF(T$1="",0,IF(AND(T$1=0,$H390&lt;MONTH($J$13)),0,IF(((YEAR(T$8)-1)*12+$H390)-((YEAR($J$13)-1)*12+MONTH($J$13))+1&gt;капитал!$J$130*12,0,IF(капитал!$J$130=0,0,капитал!$M$109/(капитал!$J$130*12)))))</f>
        <v>14.666666666666666</v>
      </c>
      <c r="U390" s="101">
        <f>IF(U$1="",0,IF(AND(U$1=0,$H390&lt;MONTH($J$13)),0,IF(((YEAR(U$8)-1)*12+$H390)-((YEAR($J$13)-1)*12+MONTH($J$13))+1&gt;капитал!$J$130*12,0,IF(капитал!$J$130=0,0,капитал!$M$109/(капитал!$J$130*12)))))</f>
        <v>0</v>
      </c>
      <c r="V390" s="101">
        <f>IF(V$1="",0,IF(AND(V$1=0,$H390&lt;MONTH($J$13)),0,IF(((YEAR(V$8)-1)*12+$H390)-((YEAR($J$13)-1)*12+MONTH($J$13))+1&gt;капитал!$J$130*12,0,IF(капитал!$J$130=0,0,капитал!$M$109/(капитал!$J$130*12)))))</f>
        <v>0</v>
      </c>
      <c r="W390" s="101">
        <f>IF(W$1="",0,IF(AND(W$1=0,$H390&lt;MONTH($J$13)),0,IF(((YEAR(W$8)-1)*12+$H390)-((YEAR($J$13)-1)*12+MONTH($J$13))+1&gt;капитал!$J$130*12,0,IF(капитал!$J$130=0,0,капитал!$M$109/(капитал!$J$130*12)))))</f>
        <v>0</v>
      </c>
      <c r="X390" s="101">
        <f>IF(X$1="",0,IF(AND(X$1=0,$H390&lt;MONTH($J$13)),0,IF(((YEAR(X$8)-1)*12+$H390)-((YEAR($J$13)-1)*12+MONTH($J$13))+1&gt;капитал!$J$130*12,0,IF(капитал!$J$130=0,0,капитал!$M$109/(капитал!$J$130*12)))))</f>
        <v>0</v>
      </c>
      <c r="Y390" s="101">
        <f>IF(Y$1="",0,IF(AND(Y$1=0,$H390&lt;MONTH($J$13)),0,IF(((YEAR(Y$8)-1)*12+$H390)-((YEAR($J$13)-1)*12+MONTH($J$13))+1&gt;капитал!$J$130*12,0,IF(капитал!$J$130=0,0,капитал!$M$109/(капитал!$J$130*12)))))</f>
        <v>0</v>
      </c>
      <c r="Z390" s="101">
        <f>IF(Z$1="",0,IF(AND(Z$1=0,$H390&lt;MONTH($J$13)),0,IF(((YEAR(Z$8)-1)*12+$H390)-((YEAR($J$13)-1)*12+MONTH($J$13))+1&gt;капитал!$J$130*12,0,IF(капитал!$J$130=0,0,капитал!$M$109/(капитал!$J$130*12)))))</f>
        <v>0</v>
      </c>
      <c r="AA390" s="101">
        <f>IF(AA$1="",0,IF(AND(AA$1=0,$H390&lt;MONTH($J$13)),0,IF(((YEAR(AA$8)-1)*12+$H390)-((YEAR($J$13)-1)*12+MONTH($J$13))+1&gt;капитал!$J$130*12,0,IF(капитал!$J$130=0,0,капитал!$M$109/(капитал!$J$130*12)))))</f>
        <v>0</v>
      </c>
      <c r="AB390" s="22"/>
    </row>
    <row r="391" spans="1:28" s="23" customFormat="1" ht="10.199999999999999" x14ac:dyDescent="0.2">
      <c r="A391" s="22"/>
      <c r="B391" s="22"/>
      <c r="C391" s="22"/>
      <c r="D391" s="22"/>
      <c r="E391" s="22" t="str">
        <f>E389</f>
        <v>амортизация прокатного инвентаря</v>
      </c>
      <c r="F391" s="22"/>
      <c r="G391" s="22" t="str">
        <f>IF($E391="","",INDEX(KPI!$G:$G,SUMIFS(KPI!$B:$B,KPI!$E:$E,$E391)))</f>
        <v>тыс.руб.</v>
      </c>
      <c r="H391" s="100">
        <f>структура!$V$13</f>
        <v>2</v>
      </c>
      <c r="I391" s="31"/>
      <c r="J391" s="98" t="str">
        <f>структура!$X$13</f>
        <v>фев</v>
      </c>
      <c r="K391" s="99"/>
      <c r="L391" s="22"/>
      <c r="M391" s="58"/>
      <c r="N391" s="22"/>
      <c r="O391" s="22"/>
      <c r="P391" s="101">
        <f>IF(P$1="",0,IF(AND(P$1=0,$H391&lt;MONTH($J$13)),0,IF(((YEAR(P$8)-1)*12+$H391)-((YEAR($J$13)-1)*12+MONTH($J$13))+1&gt;капитал!$J$130*12,0,IF(капитал!$J$130=0,0,капитал!$M$109/(капитал!$J$130*12)))))</f>
        <v>14.666666666666666</v>
      </c>
      <c r="Q391" s="101">
        <f>IF(Q$1="",0,IF(AND(Q$1=0,$H391&lt;MONTH($J$13)),0,IF(((YEAR(Q$8)-1)*12+$H391)-((YEAR($J$13)-1)*12+MONTH($J$13))+1&gt;капитал!$J$130*12,0,IF(капитал!$J$130=0,0,капитал!$M$109/(капитал!$J$130*12)))))</f>
        <v>14.666666666666666</v>
      </c>
      <c r="R391" s="101">
        <f>IF(R$1="",0,IF(AND(R$1=0,$H391&lt;MONTH($J$13)),0,IF(((YEAR(R$8)-1)*12+$H391)-((YEAR($J$13)-1)*12+MONTH($J$13))+1&gt;капитал!$J$130*12,0,IF(капитал!$J$130=0,0,капитал!$M$109/(капитал!$J$130*12)))))</f>
        <v>14.666666666666666</v>
      </c>
      <c r="S391" s="101">
        <f>IF(S$1="",0,IF(AND(S$1=0,$H391&lt;MONTH($J$13)),0,IF(((YEAR(S$8)-1)*12+$H391)-((YEAR($J$13)-1)*12+MONTH($J$13))+1&gt;капитал!$J$130*12,0,IF(капитал!$J$130=0,0,капитал!$M$109/(капитал!$J$130*12)))))</f>
        <v>14.666666666666666</v>
      </c>
      <c r="T391" s="101">
        <f>IF(T$1="",0,IF(AND(T$1=0,$H391&lt;MONTH($J$13)),0,IF(((YEAR(T$8)-1)*12+$H391)-((YEAR($J$13)-1)*12+MONTH($J$13))+1&gt;капитал!$J$130*12,0,IF(капитал!$J$130=0,0,капитал!$M$109/(капитал!$J$130*12)))))</f>
        <v>14.666666666666666</v>
      </c>
      <c r="U391" s="101">
        <f>IF(U$1="",0,IF(AND(U$1=0,$H391&lt;MONTH($J$13)),0,IF(((YEAR(U$8)-1)*12+$H391)-((YEAR($J$13)-1)*12+MONTH($J$13))+1&gt;капитал!$J$130*12,0,IF(капитал!$J$130=0,0,капитал!$M$109/(капитал!$J$130*12)))))</f>
        <v>0</v>
      </c>
      <c r="V391" s="101">
        <f>IF(V$1="",0,IF(AND(V$1=0,$H391&lt;MONTH($J$13)),0,IF(((YEAR(V$8)-1)*12+$H391)-((YEAR($J$13)-1)*12+MONTH($J$13))+1&gt;капитал!$J$130*12,0,IF(капитал!$J$130=0,0,капитал!$M$109/(капитал!$J$130*12)))))</f>
        <v>0</v>
      </c>
      <c r="W391" s="101">
        <f>IF(W$1="",0,IF(AND(W$1=0,$H391&lt;MONTH($J$13)),0,IF(((YEAR(W$8)-1)*12+$H391)-((YEAR($J$13)-1)*12+MONTH($J$13))+1&gt;капитал!$J$130*12,0,IF(капитал!$J$130=0,0,капитал!$M$109/(капитал!$J$130*12)))))</f>
        <v>0</v>
      </c>
      <c r="X391" s="101">
        <f>IF(X$1="",0,IF(AND(X$1=0,$H391&lt;MONTH($J$13)),0,IF(((YEAR(X$8)-1)*12+$H391)-((YEAR($J$13)-1)*12+MONTH($J$13))+1&gt;капитал!$J$130*12,0,IF(капитал!$J$130=0,0,капитал!$M$109/(капитал!$J$130*12)))))</f>
        <v>0</v>
      </c>
      <c r="Y391" s="101">
        <f>IF(Y$1="",0,IF(AND(Y$1=0,$H391&lt;MONTH($J$13)),0,IF(((YEAR(Y$8)-1)*12+$H391)-((YEAR($J$13)-1)*12+MONTH($J$13))+1&gt;капитал!$J$130*12,0,IF(капитал!$J$130=0,0,капитал!$M$109/(капитал!$J$130*12)))))</f>
        <v>0</v>
      </c>
      <c r="Z391" s="101">
        <f>IF(Z$1="",0,IF(AND(Z$1=0,$H391&lt;MONTH($J$13)),0,IF(((YEAR(Z$8)-1)*12+$H391)-((YEAR($J$13)-1)*12+MONTH($J$13))+1&gt;капитал!$J$130*12,0,IF(капитал!$J$130=0,0,капитал!$M$109/(капитал!$J$130*12)))))</f>
        <v>0</v>
      </c>
      <c r="AA391" s="101">
        <f>IF(AA$1="",0,IF(AND(AA$1=0,$H391&lt;MONTH($J$13)),0,IF(((YEAR(AA$8)-1)*12+$H391)-((YEAR($J$13)-1)*12+MONTH($J$13))+1&gt;капитал!$J$130*12,0,IF(капитал!$J$130=0,0,капитал!$M$109/(капитал!$J$130*12)))))</f>
        <v>0</v>
      </c>
      <c r="AB391" s="22"/>
    </row>
    <row r="392" spans="1:28" s="23" customFormat="1" ht="10.199999999999999" x14ac:dyDescent="0.2">
      <c r="A392" s="22"/>
      <c r="B392" s="22"/>
      <c r="C392" s="22"/>
      <c r="D392" s="22"/>
      <c r="E392" s="22" t="str">
        <f>E389</f>
        <v>амортизация прокатного инвентаря</v>
      </c>
      <c r="F392" s="22"/>
      <c r="G392" s="22" t="str">
        <f>IF($E392="","",INDEX(KPI!$G:$G,SUMIFS(KPI!$B:$B,KPI!$E:$E,$E392)))</f>
        <v>тыс.руб.</v>
      </c>
      <c r="H392" s="100">
        <f>структура!$V$14</f>
        <v>3</v>
      </c>
      <c r="I392" s="31"/>
      <c r="J392" s="98" t="str">
        <f>структура!$X$14</f>
        <v>мар</v>
      </c>
      <c r="K392" s="99"/>
      <c r="L392" s="22"/>
      <c r="M392" s="58"/>
      <c r="N392" s="22"/>
      <c r="O392" s="22"/>
      <c r="P392" s="101">
        <f>IF(P$1="",0,IF(AND(P$1=0,$H392&lt;MONTH($J$13)),0,IF(((YEAR(P$8)-1)*12+$H392)-((YEAR($J$13)-1)*12+MONTH($J$13))+1&gt;капитал!$J$130*12,0,IF(капитал!$J$130=0,0,капитал!$M$109/(капитал!$J$130*12)))))</f>
        <v>14.666666666666666</v>
      </c>
      <c r="Q392" s="101">
        <f>IF(Q$1="",0,IF(AND(Q$1=0,$H392&lt;MONTH($J$13)),0,IF(((YEAR(Q$8)-1)*12+$H392)-((YEAR($J$13)-1)*12+MONTH($J$13))+1&gt;капитал!$J$130*12,0,IF(капитал!$J$130=0,0,капитал!$M$109/(капитал!$J$130*12)))))</f>
        <v>14.666666666666666</v>
      </c>
      <c r="R392" s="101">
        <f>IF(R$1="",0,IF(AND(R$1=0,$H392&lt;MONTH($J$13)),0,IF(((YEAR(R$8)-1)*12+$H392)-((YEAR($J$13)-1)*12+MONTH($J$13))+1&gt;капитал!$J$130*12,0,IF(капитал!$J$130=0,0,капитал!$M$109/(капитал!$J$130*12)))))</f>
        <v>14.666666666666666</v>
      </c>
      <c r="S392" s="101">
        <f>IF(S$1="",0,IF(AND(S$1=0,$H392&lt;MONTH($J$13)),0,IF(((YEAR(S$8)-1)*12+$H392)-((YEAR($J$13)-1)*12+MONTH($J$13))+1&gt;капитал!$J$130*12,0,IF(капитал!$J$130=0,0,капитал!$M$109/(капитал!$J$130*12)))))</f>
        <v>14.666666666666666</v>
      </c>
      <c r="T392" s="101">
        <f>IF(T$1="",0,IF(AND(T$1=0,$H392&lt;MONTH($J$13)),0,IF(((YEAR(T$8)-1)*12+$H392)-((YEAR($J$13)-1)*12+MONTH($J$13))+1&gt;капитал!$J$130*12,0,IF(капитал!$J$130=0,0,капитал!$M$109/(капитал!$J$130*12)))))</f>
        <v>14.666666666666666</v>
      </c>
      <c r="U392" s="101">
        <f>IF(U$1="",0,IF(AND(U$1=0,$H392&lt;MONTH($J$13)),0,IF(((YEAR(U$8)-1)*12+$H392)-((YEAR($J$13)-1)*12+MONTH($J$13))+1&gt;капитал!$J$130*12,0,IF(капитал!$J$130=0,0,капитал!$M$109/(капитал!$J$130*12)))))</f>
        <v>0</v>
      </c>
      <c r="V392" s="101">
        <f>IF(V$1="",0,IF(AND(V$1=0,$H392&lt;MONTH($J$13)),0,IF(((YEAR(V$8)-1)*12+$H392)-((YEAR($J$13)-1)*12+MONTH($J$13))+1&gt;капитал!$J$130*12,0,IF(капитал!$J$130=0,0,капитал!$M$109/(капитал!$J$130*12)))))</f>
        <v>0</v>
      </c>
      <c r="W392" s="101">
        <f>IF(W$1="",0,IF(AND(W$1=0,$H392&lt;MONTH($J$13)),0,IF(((YEAR(W$8)-1)*12+$H392)-((YEAR($J$13)-1)*12+MONTH($J$13))+1&gt;капитал!$J$130*12,0,IF(капитал!$J$130=0,0,капитал!$M$109/(капитал!$J$130*12)))))</f>
        <v>0</v>
      </c>
      <c r="X392" s="101">
        <f>IF(X$1="",0,IF(AND(X$1=0,$H392&lt;MONTH($J$13)),0,IF(((YEAR(X$8)-1)*12+$H392)-((YEAR($J$13)-1)*12+MONTH($J$13))+1&gt;капитал!$J$130*12,0,IF(капитал!$J$130=0,0,капитал!$M$109/(капитал!$J$130*12)))))</f>
        <v>0</v>
      </c>
      <c r="Y392" s="101">
        <f>IF(Y$1="",0,IF(AND(Y$1=0,$H392&lt;MONTH($J$13)),0,IF(((YEAR(Y$8)-1)*12+$H392)-((YEAR($J$13)-1)*12+MONTH($J$13))+1&gt;капитал!$J$130*12,0,IF(капитал!$J$130=0,0,капитал!$M$109/(капитал!$J$130*12)))))</f>
        <v>0</v>
      </c>
      <c r="Z392" s="101">
        <f>IF(Z$1="",0,IF(AND(Z$1=0,$H392&lt;MONTH($J$13)),0,IF(((YEAR(Z$8)-1)*12+$H392)-((YEAR($J$13)-1)*12+MONTH($J$13))+1&gt;капитал!$J$130*12,0,IF(капитал!$J$130=0,0,капитал!$M$109/(капитал!$J$130*12)))))</f>
        <v>0</v>
      </c>
      <c r="AA392" s="101">
        <f>IF(AA$1="",0,IF(AND(AA$1=0,$H392&lt;MONTH($J$13)),0,IF(((YEAR(AA$8)-1)*12+$H392)-((YEAR($J$13)-1)*12+MONTH($J$13))+1&gt;капитал!$J$130*12,0,IF(капитал!$J$130=0,0,капитал!$M$109/(капитал!$J$130*12)))))</f>
        <v>0</v>
      </c>
      <c r="AB392" s="22"/>
    </row>
    <row r="393" spans="1:28" s="23" customFormat="1" ht="10.199999999999999" x14ac:dyDescent="0.2">
      <c r="A393" s="22"/>
      <c r="B393" s="22"/>
      <c r="C393" s="22"/>
      <c r="D393" s="22"/>
      <c r="E393" s="22" t="str">
        <f>E389</f>
        <v>амортизация прокатного инвентаря</v>
      </c>
      <c r="F393" s="22"/>
      <c r="G393" s="22" t="str">
        <f>IF($E393="","",INDEX(KPI!$G:$G,SUMIFS(KPI!$B:$B,KPI!$E:$E,$E393)))</f>
        <v>тыс.руб.</v>
      </c>
      <c r="H393" s="100">
        <f>структура!$V$15</f>
        <v>4</v>
      </c>
      <c r="I393" s="31"/>
      <c r="J393" s="98" t="str">
        <f>структура!$X$15</f>
        <v>апр</v>
      </c>
      <c r="K393" s="99"/>
      <c r="L393" s="22"/>
      <c r="M393" s="58"/>
      <c r="N393" s="22"/>
      <c r="O393" s="22"/>
      <c r="P393" s="101">
        <f>IF(P$1="",0,IF(AND(P$1=0,$H393&lt;MONTH($J$13)),0,IF(((YEAR(P$8)-1)*12+$H393)-((YEAR($J$13)-1)*12+MONTH($J$13))+1&gt;капитал!$J$130*12,0,IF(капитал!$J$130=0,0,капитал!$M$109/(капитал!$J$130*12)))))</f>
        <v>14.666666666666666</v>
      </c>
      <c r="Q393" s="101">
        <f>IF(Q$1="",0,IF(AND(Q$1=0,$H393&lt;MONTH($J$13)),0,IF(((YEAR(Q$8)-1)*12+$H393)-((YEAR($J$13)-1)*12+MONTH($J$13))+1&gt;капитал!$J$130*12,0,IF(капитал!$J$130=0,0,капитал!$M$109/(капитал!$J$130*12)))))</f>
        <v>14.666666666666666</v>
      </c>
      <c r="R393" s="101">
        <f>IF(R$1="",0,IF(AND(R$1=0,$H393&lt;MONTH($J$13)),0,IF(((YEAR(R$8)-1)*12+$H393)-((YEAR($J$13)-1)*12+MONTH($J$13))+1&gt;капитал!$J$130*12,0,IF(капитал!$J$130=0,0,капитал!$M$109/(капитал!$J$130*12)))))</f>
        <v>14.666666666666666</v>
      </c>
      <c r="S393" s="101">
        <f>IF(S$1="",0,IF(AND(S$1=0,$H393&lt;MONTH($J$13)),0,IF(((YEAR(S$8)-1)*12+$H393)-((YEAR($J$13)-1)*12+MONTH($J$13))+1&gt;капитал!$J$130*12,0,IF(капитал!$J$130=0,0,капитал!$M$109/(капитал!$J$130*12)))))</f>
        <v>14.666666666666666</v>
      </c>
      <c r="T393" s="101">
        <f>IF(T$1="",0,IF(AND(T$1=0,$H393&lt;MONTH($J$13)),0,IF(((YEAR(T$8)-1)*12+$H393)-((YEAR($J$13)-1)*12+MONTH($J$13))+1&gt;капитал!$J$130*12,0,IF(капитал!$J$130=0,0,капитал!$M$109/(капитал!$J$130*12)))))</f>
        <v>14.666666666666666</v>
      </c>
      <c r="U393" s="101">
        <f>IF(U$1="",0,IF(AND(U$1=0,$H393&lt;MONTH($J$13)),0,IF(((YEAR(U$8)-1)*12+$H393)-((YEAR($J$13)-1)*12+MONTH($J$13))+1&gt;капитал!$J$130*12,0,IF(капитал!$J$130=0,0,капитал!$M$109/(капитал!$J$130*12)))))</f>
        <v>0</v>
      </c>
      <c r="V393" s="101">
        <f>IF(V$1="",0,IF(AND(V$1=0,$H393&lt;MONTH($J$13)),0,IF(((YEAR(V$8)-1)*12+$H393)-((YEAR($J$13)-1)*12+MONTH($J$13))+1&gt;капитал!$J$130*12,0,IF(капитал!$J$130=0,0,капитал!$M$109/(капитал!$J$130*12)))))</f>
        <v>0</v>
      </c>
      <c r="W393" s="101">
        <f>IF(W$1="",0,IF(AND(W$1=0,$H393&lt;MONTH($J$13)),0,IF(((YEAR(W$8)-1)*12+$H393)-((YEAR($J$13)-1)*12+MONTH($J$13))+1&gt;капитал!$J$130*12,0,IF(капитал!$J$130=0,0,капитал!$M$109/(капитал!$J$130*12)))))</f>
        <v>0</v>
      </c>
      <c r="X393" s="101">
        <f>IF(X$1="",0,IF(AND(X$1=0,$H393&lt;MONTH($J$13)),0,IF(((YEAR(X$8)-1)*12+$H393)-((YEAR($J$13)-1)*12+MONTH($J$13))+1&gt;капитал!$J$130*12,0,IF(капитал!$J$130=0,0,капитал!$M$109/(капитал!$J$130*12)))))</f>
        <v>0</v>
      </c>
      <c r="Y393" s="101">
        <f>IF(Y$1="",0,IF(AND(Y$1=0,$H393&lt;MONTH($J$13)),0,IF(((YEAR(Y$8)-1)*12+$H393)-((YEAR($J$13)-1)*12+MONTH($J$13))+1&gt;капитал!$J$130*12,0,IF(капитал!$J$130=0,0,капитал!$M$109/(капитал!$J$130*12)))))</f>
        <v>0</v>
      </c>
      <c r="Z393" s="101">
        <f>IF(Z$1="",0,IF(AND(Z$1=0,$H393&lt;MONTH($J$13)),0,IF(((YEAR(Z$8)-1)*12+$H393)-((YEAR($J$13)-1)*12+MONTH($J$13))+1&gt;капитал!$J$130*12,0,IF(капитал!$J$130=0,0,капитал!$M$109/(капитал!$J$130*12)))))</f>
        <v>0</v>
      </c>
      <c r="AA393" s="101">
        <f>IF(AA$1="",0,IF(AND(AA$1=0,$H393&lt;MONTH($J$13)),0,IF(((YEAR(AA$8)-1)*12+$H393)-((YEAR($J$13)-1)*12+MONTH($J$13))+1&gt;капитал!$J$130*12,0,IF(капитал!$J$130=0,0,капитал!$M$109/(капитал!$J$130*12)))))</f>
        <v>0</v>
      </c>
      <c r="AB393" s="22"/>
    </row>
    <row r="394" spans="1:28" s="23" customFormat="1" ht="10.199999999999999" x14ac:dyDescent="0.2">
      <c r="A394" s="22"/>
      <c r="B394" s="22"/>
      <c r="C394" s="22"/>
      <c r="D394" s="22"/>
      <c r="E394" s="22" t="str">
        <f>E389</f>
        <v>амортизация прокатного инвентаря</v>
      </c>
      <c r="F394" s="22"/>
      <c r="G394" s="22" t="str">
        <f>IF($E394="","",INDEX(KPI!$G:$G,SUMIFS(KPI!$B:$B,KPI!$E:$E,$E394)))</f>
        <v>тыс.руб.</v>
      </c>
      <c r="H394" s="100">
        <f>структура!$V$16</f>
        <v>5</v>
      </c>
      <c r="I394" s="31"/>
      <c r="J394" s="98" t="str">
        <f>структура!$X$16</f>
        <v>май</v>
      </c>
      <c r="K394" s="99"/>
      <c r="L394" s="22"/>
      <c r="M394" s="58"/>
      <c r="N394" s="22"/>
      <c r="O394" s="22"/>
      <c r="P394" s="101">
        <f>IF(P$1="",0,IF(AND(P$1=0,$H394&lt;MONTH($J$13)),0,IF(((YEAR(P$8)-1)*12+$H394)-((YEAR($J$13)-1)*12+MONTH($J$13))+1&gt;капитал!$J$130*12,0,IF(капитал!$J$130=0,0,капитал!$M$109/(капитал!$J$130*12)))))</f>
        <v>14.666666666666666</v>
      </c>
      <c r="Q394" s="101">
        <f>IF(Q$1="",0,IF(AND(Q$1=0,$H394&lt;MONTH($J$13)),0,IF(((YEAR(Q$8)-1)*12+$H394)-((YEAR($J$13)-1)*12+MONTH($J$13))+1&gt;капитал!$J$130*12,0,IF(капитал!$J$130=0,0,капитал!$M$109/(капитал!$J$130*12)))))</f>
        <v>14.666666666666666</v>
      </c>
      <c r="R394" s="101">
        <f>IF(R$1="",0,IF(AND(R$1=0,$H394&lt;MONTH($J$13)),0,IF(((YEAR(R$8)-1)*12+$H394)-((YEAR($J$13)-1)*12+MONTH($J$13))+1&gt;капитал!$J$130*12,0,IF(капитал!$J$130=0,0,капитал!$M$109/(капитал!$J$130*12)))))</f>
        <v>14.666666666666666</v>
      </c>
      <c r="S394" s="101">
        <f>IF(S$1="",0,IF(AND(S$1=0,$H394&lt;MONTH($J$13)),0,IF(((YEAR(S$8)-1)*12+$H394)-((YEAR($J$13)-1)*12+MONTH($J$13))+1&gt;капитал!$J$130*12,0,IF(капитал!$J$130=0,0,капитал!$M$109/(капитал!$J$130*12)))))</f>
        <v>14.666666666666666</v>
      </c>
      <c r="T394" s="101">
        <f>IF(T$1="",0,IF(AND(T$1=0,$H394&lt;MONTH($J$13)),0,IF(((YEAR(T$8)-1)*12+$H394)-((YEAR($J$13)-1)*12+MONTH($J$13))+1&gt;капитал!$J$130*12,0,IF(капитал!$J$130=0,0,капитал!$M$109/(капитал!$J$130*12)))))</f>
        <v>14.666666666666666</v>
      </c>
      <c r="U394" s="101">
        <f>IF(U$1="",0,IF(AND(U$1=0,$H394&lt;MONTH($J$13)),0,IF(((YEAR(U$8)-1)*12+$H394)-((YEAR($J$13)-1)*12+MONTH($J$13))+1&gt;капитал!$J$130*12,0,IF(капитал!$J$130=0,0,капитал!$M$109/(капитал!$J$130*12)))))</f>
        <v>0</v>
      </c>
      <c r="V394" s="101">
        <f>IF(V$1="",0,IF(AND(V$1=0,$H394&lt;MONTH($J$13)),0,IF(((YEAR(V$8)-1)*12+$H394)-((YEAR($J$13)-1)*12+MONTH($J$13))+1&gt;капитал!$J$130*12,0,IF(капитал!$J$130=0,0,капитал!$M$109/(капитал!$J$130*12)))))</f>
        <v>0</v>
      </c>
      <c r="W394" s="101">
        <f>IF(W$1="",0,IF(AND(W$1=0,$H394&lt;MONTH($J$13)),0,IF(((YEAR(W$8)-1)*12+$H394)-((YEAR($J$13)-1)*12+MONTH($J$13))+1&gt;капитал!$J$130*12,0,IF(капитал!$J$130=0,0,капитал!$M$109/(капитал!$J$130*12)))))</f>
        <v>0</v>
      </c>
      <c r="X394" s="101">
        <f>IF(X$1="",0,IF(AND(X$1=0,$H394&lt;MONTH($J$13)),0,IF(((YEAR(X$8)-1)*12+$H394)-((YEAR($J$13)-1)*12+MONTH($J$13))+1&gt;капитал!$J$130*12,0,IF(капитал!$J$130=0,0,капитал!$M$109/(капитал!$J$130*12)))))</f>
        <v>0</v>
      </c>
      <c r="Y394" s="101">
        <f>IF(Y$1="",0,IF(AND(Y$1=0,$H394&lt;MONTH($J$13)),0,IF(((YEAR(Y$8)-1)*12+$H394)-((YEAR($J$13)-1)*12+MONTH($J$13))+1&gt;капитал!$J$130*12,0,IF(капитал!$J$130=0,0,капитал!$M$109/(капитал!$J$130*12)))))</f>
        <v>0</v>
      </c>
      <c r="Z394" s="101">
        <f>IF(Z$1="",0,IF(AND(Z$1=0,$H394&lt;MONTH($J$13)),0,IF(((YEAR(Z$8)-1)*12+$H394)-((YEAR($J$13)-1)*12+MONTH($J$13))+1&gt;капитал!$J$130*12,0,IF(капитал!$J$130=0,0,капитал!$M$109/(капитал!$J$130*12)))))</f>
        <v>0</v>
      </c>
      <c r="AA394" s="101">
        <f>IF(AA$1="",0,IF(AND(AA$1=0,$H394&lt;MONTH($J$13)),0,IF(((YEAR(AA$8)-1)*12+$H394)-((YEAR($J$13)-1)*12+MONTH($J$13))+1&gt;капитал!$J$130*12,0,IF(капитал!$J$130=0,0,капитал!$M$109/(капитал!$J$130*12)))))</f>
        <v>0</v>
      </c>
      <c r="AB394" s="22"/>
    </row>
    <row r="395" spans="1:28" s="23" customFormat="1" ht="10.199999999999999" x14ac:dyDescent="0.2">
      <c r="A395" s="22"/>
      <c r="B395" s="22"/>
      <c r="C395" s="22"/>
      <c r="D395" s="22"/>
      <c r="E395" s="22" t="str">
        <f>E389</f>
        <v>амортизация прокатного инвентаря</v>
      </c>
      <c r="F395" s="22"/>
      <c r="G395" s="22" t="str">
        <f>IF($E395="","",INDEX(KPI!$G:$G,SUMIFS(KPI!$B:$B,KPI!$E:$E,$E395)))</f>
        <v>тыс.руб.</v>
      </c>
      <c r="H395" s="100">
        <f>структура!$V$17</f>
        <v>6</v>
      </c>
      <c r="I395" s="31"/>
      <c r="J395" s="98" t="str">
        <f>структура!$X$17</f>
        <v>июн</v>
      </c>
      <c r="K395" s="99"/>
      <c r="L395" s="22"/>
      <c r="M395" s="58"/>
      <c r="N395" s="22"/>
      <c r="O395" s="22"/>
      <c r="P395" s="101">
        <f>IF(P$1="",0,IF(AND(P$1=0,$H395&lt;MONTH($J$13)),0,IF(((YEAR(P$8)-1)*12+$H395)-((YEAR($J$13)-1)*12+MONTH($J$13))+1&gt;капитал!$J$130*12,0,IF(капитал!$J$130=0,0,капитал!$M$109/(капитал!$J$130*12)))))</f>
        <v>14.666666666666666</v>
      </c>
      <c r="Q395" s="101">
        <f>IF(Q$1="",0,IF(AND(Q$1=0,$H395&lt;MONTH($J$13)),0,IF(((YEAR(Q$8)-1)*12+$H395)-((YEAR($J$13)-1)*12+MONTH($J$13))+1&gt;капитал!$J$130*12,0,IF(капитал!$J$130=0,0,капитал!$M$109/(капитал!$J$130*12)))))</f>
        <v>14.666666666666666</v>
      </c>
      <c r="R395" s="101">
        <f>IF(R$1="",0,IF(AND(R$1=0,$H395&lt;MONTH($J$13)),0,IF(((YEAR(R$8)-1)*12+$H395)-((YEAR($J$13)-1)*12+MONTH($J$13))+1&gt;капитал!$J$130*12,0,IF(капитал!$J$130=0,0,капитал!$M$109/(капитал!$J$130*12)))))</f>
        <v>14.666666666666666</v>
      </c>
      <c r="S395" s="101">
        <f>IF(S$1="",0,IF(AND(S$1=0,$H395&lt;MONTH($J$13)),0,IF(((YEAR(S$8)-1)*12+$H395)-((YEAR($J$13)-1)*12+MONTH($J$13))+1&gt;капитал!$J$130*12,0,IF(капитал!$J$130=0,0,капитал!$M$109/(капитал!$J$130*12)))))</f>
        <v>14.666666666666666</v>
      </c>
      <c r="T395" s="101">
        <f>IF(T$1="",0,IF(AND(T$1=0,$H395&lt;MONTH($J$13)),0,IF(((YEAR(T$8)-1)*12+$H395)-((YEAR($J$13)-1)*12+MONTH($J$13))+1&gt;капитал!$J$130*12,0,IF(капитал!$J$130=0,0,капитал!$M$109/(капитал!$J$130*12)))))</f>
        <v>14.666666666666666</v>
      </c>
      <c r="U395" s="101">
        <f>IF(U$1="",0,IF(AND(U$1=0,$H395&lt;MONTH($J$13)),0,IF(((YEAR(U$8)-1)*12+$H395)-((YEAR($J$13)-1)*12+MONTH($J$13))+1&gt;капитал!$J$130*12,0,IF(капитал!$J$130=0,0,капитал!$M$109/(капитал!$J$130*12)))))</f>
        <v>0</v>
      </c>
      <c r="V395" s="101">
        <f>IF(V$1="",0,IF(AND(V$1=0,$H395&lt;MONTH($J$13)),0,IF(((YEAR(V$8)-1)*12+$H395)-((YEAR($J$13)-1)*12+MONTH($J$13))+1&gt;капитал!$J$130*12,0,IF(капитал!$J$130=0,0,капитал!$M$109/(капитал!$J$130*12)))))</f>
        <v>0</v>
      </c>
      <c r="W395" s="101">
        <f>IF(W$1="",0,IF(AND(W$1=0,$H395&lt;MONTH($J$13)),0,IF(((YEAR(W$8)-1)*12+$H395)-((YEAR($J$13)-1)*12+MONTH($J$13))+1&gt;капитал!$J$130*12,0,IF(капитал!$J$130=0,0,капитал!$M$109/(капитал!$J$130*12)))))</f>
        <v>0</v>
      </c>
      <c r="X395" s="101">
        <f>IF(X$1="",0,IF(AND(X$1=0,$H395&lt;MONTH($J$13)),0,IF(((YEAR(X$8)-1)*12+$H395)-((YEAR($J$13)-1)*12+MONTH($J$13))+1&gt;капитал!$J$130*12,0,IF(капитал!$J$130=0,0,капитал!$M$109/(капитал!$J$130*12)))))</f>
        <v>0</v>
      </c>
      <c r="Y395" s="101">
        <f>IF(Y$1="",0,IF(AND(Y$1=0,$H395&lt;MONTH($J$13)),0,IF(((YEAR(Y$8)-1)*12+$H395)-((YEAR($J$13)-1)*12+MONTH($J$13))+1&gt;капитал!$J$130*12,0,IF(капитал!$J$130=0,0,капитал!$M$109/(капитал!$J$130*12)))))</f>
        <v>0</v>
      </c>
      <c r="Z395" s="101">
        <f>IF(Z$1="",0,IF(AND(Z$1=0,$H395&lt;MONTH($J$13)),0,IF(((YEAR(Z$8)-1)*12+$H395)-((YEAR($J$13)-1)*12+MONTH($J$13))+1&gt;капитал!$J$130*12,0,IF(капитал!$J$130=0,0,капитал!$M$109/(капитал!$J$130*12)))))</f>
        <v>0</v>
      </c>
      <c r="AA395" s="101">
        <f>IF(AA$1="",0,IF(AND(AA$1=0,$H395&lt;MONTH($J$13)),0,IF(((YEAR(AA$8)-1)*12+$H395)-((YEAR($J$13)-1)*12+MONTH($J$13))+1&gt;капитал!$J$130*12,0,IF(капитал!$J$130=0,0,капитал!$M$109/(капитал!$J$130*12)))))</f>
        <v>0</v>
      </c>
      <c r="AB395" s="22"/>
    </row>
    <row r="396" spans="1:28" s="23" customFormat="1" ht="10.199999999999999" x14ac:dyDescent="0.2">
      <c r="A396" s="22"/>
      <c r="B396" s="22"/>
      <c r="C396" s="22"/>
      <c r="D396" s="22"/>
      <c r="E396" s="22" t="str">
        <f>E389</f>
        <v>амортизация прокатного инвентаря</v>
      </c>
      <c r="F396" s="22"/>
      <c r="G396" s="22" t="str">
        <f>IF($E396="","",INDEX(KPI!$G:$G,SUMIFS(KPI!$B:$B,KPI!$E:$E,$E396)))</f>
        <v>тыс.руб.</v>
      </c>
      <c r="H396" s="100">
        <f>структура!$V$18</f>
        <v>7</v>
      </c>
      <c r="I396" s="31"/>
      <c r="J396" s="98" t="str">
        <f>структура!$X$18</f>
        <v>июл</v>
      </c>
      <c r="K396" s="99"/>
      <c r="L396" s="22"/>
      <c r="M396" s="58"/>
      <c r="N396" s="22"/>
      <c r="O396" s="22"/>
      <c r="P396" s="101">
        <f>IF(P$1="",0,IF(AND(P$1=0,$H396&lt;MONTH($J$13)),0,IF(((YEAR(P$8)-1)*12+$H396)-((YEAR($J$13)-1)*12+MONTH($J$13))+1&gt;капитал!$J$130*12,0,IF(капитал!$J$130=0,0,капитал!$M$109/(капитал!$J$130*12)))))</f>
        <v>14.666666666666666</v>
      </c>
      <c r="Q396" s="101">
        <f>IF(Q$1="",0,IF(AND(Q$1=0,$H396&lt;MONTH($J$13)),0,IF(((YEAR(Q$8)-1)*12+$H396)-((YEAR($J$13)-1)*12+MONTH($J$13))+1&gt;капитал!$J$130*12,0,IF(капитал!$J$130=0,0,капитал!$M$109/(капитал!$J$130*12)))))</f>
        <v>14.666666666666666</v>
      </c>
      <c r="R396" s="101">
        <f>IF(R$1="",0,IF(AND(R$1=0,$H396&lt;MONTH($J$13)),0,IF(((YEAR(R$8)-1)*12+$H396)-((YEAR($J$13)-1)*12+MONTH($J$13))+1&gt;капитал!$J$130*12,0,IF(капитал!$J$130=0,0,капитал!$M$109/(капитал!$J$130*12)))))</f>
        <v>14.666666666666666</v>
      </c>
      <c r="S396" s="101">
        <f>IF(S$1="",0,IF(AND(S$1=0,$H396&lt;MONTH($J$13)),0,IF(((YEAR(S$8)-1)*12+$H396)-((YEAR($J$13)-1)*12+MONTH($J$13))+1&gt;капитал!$J$130*12,0,IF(капитал!$J$130=0,0,капитал!$M$109/(капитал!$J$130*12)))))</f>
        <v>14.666666666666666</v>
      </c>
      <c r="T396" s="101">
        <f>IF(T$1="",0,IF(AND(T$1=0,$H396&lt;MONTH($J$13)),0,IF(((YEAR(T$8)-1)*12+$H396)-((YEAR($J$13)-1)*12+MONTH($J$13))+1&gt;капитал!$J$130*12,0,IF(капитал!$J$130=0,0,капитал!$M$109/(капитал!$J$130*12)))))</f>
        <v>14.666666666666666</v>
      </c>
      <c r="U396" s="101">
        <f>IF(U$1="",0,IF(AND(U$1=0,$H396&lt;MONTH($J$13)),0,IF(((YEAR(U$8)-1)*12+$H396)-((YEAR($J$13)-1)*12+MONTH($J$13))+1&gt;капитал!$J$130*12,0,IF(капитал!$J$130=0,0,капитал!$M$109/(капитал!$J$130*12)))))</f>
        <v>0</v>
      </c>
      <c r="V396" s="101">
        <f>IF(V$1="",0,IF(AND(V$1=0,$H396&lt;MONTH($J$13)),0,IF(((YEAR(V$8)-1)*12+$H396)-((YEAR($J$13)-1)*12+MONTH($J$13))+1&gt;капитал!$J$130*12,0,IF(капитал!$J$130=0,0,капитал!$M$109/(капитал!$J$130*12)))))</f>
        <v>0</v>
      </c>
      <c r="W396" s="101">
        <f>IF(W$1="",0,IF(AND(W$1=0,$H396&lt;MONTH($J$13)),0,IF(((YEAR(W$8)-1)*12+$H396)-((YEAR($J$13)-1)*12+MONTH($J$13))+1&gt;капитал!$J$130*12,0,IF(капитал!$J$130=0,0,капитал!$M$109/(капитал!$J$130*12)))))</f>
        <v>0</v>
      </c>
      <c r="X396" s="101">
        <f>IF(X$1="",0,IF(AND(X$1=0,$H396&lt;MONTH($J$13)),0,IF(((YEAR(X$8)-1)*12+$H396)-((YEAR($J$13)-1)*12+MONTH($J$13))+1&gt;капитал!$J$130*12,0,IF(капитал!$J$130=0,0,капитал!$M$109/(капитал!$J$130*12)))))</f>
        <v>0</v>
      </c>
      <c r="Y396" s="101">
        <f>IF(Y$1="",0,IF(AND(Y$1=0,$H396&lt;MONTH($J$13)),0,IF(((YEAR(Y$8)-1)*12+$H396)-((YEAR($J$13)-1)*12+MONTH($J$13))+1&gt;капитал!$J$130*12,0,IF(капитал!$J$130=0,0,капитал!$M$109/(капитал!$J$130*12)))))</f>
        <v>0</v>
      </c>
      <c r="Z396" s="101">
        <f>IF(Z$1="",0,IF(AND(Z$1=0,$H396&lt;MONTH($J$13)),0,IF(((YEAR(Z$8)-1)*12+$H396)-((YEAR($J$13)-1)*12+MONTH($J$13))+1&gt;капитал!$J$130*12,0,IF(капитал!$J$130=0,0,капитал!$M$109/(капитал!$J$130*12)))))</f>
        <v>0</v>
      </c>
      <c r="AA396" s="101">
        <f>IF(AA$1="",0,IF(AND(AA$1=0,$H396&lt;MONTH($J$13)),0,IF(((YEAR(AA$8)-1)*12+$H396)-((YEAR($J$13)-1)*12+MONTH($J$13))+1&gt;капитал!$J$130*12,0,IF(капитал!$J$130=0,0,капитал!$M$109/(капитал!$J$130*12)))))</f>
        <v>0</v>
      </c>
      <c r="AB396" s="22"/>
    </row>
    <row r="397" spans="1:28" s="23" customFormat="1" ht="10.199999999999999" x14ac:dyDescent="0.2">
      <c r="A397" s="22"/>
      <c r="B397" s="22"/>
      <c r="C397" s="22"/>
      <c r="D397" s="22"/>
      <c r="E397" s="22" t="str">
        <f>E389</f>
        <v>амортизация прокатного инвентаря</v>
      </c>
      <c r="F397" s="22"/>
      <c r="G397" s="22" t="str">
        <f>IF($E397="","",INDEX(KPI!$G:$G,SUMIFS(KPI!$B:$B,KPI!$E:$E,$E397)))</f>
        <v>тыс.руб.</v>
      </c>
      <c r="H397" s="100">
        <f>структура!$V$19</f>
        <v>8</v>
      </c>
      <c r="I397" s="31"/>
      <c r="J397" s="98" t="str">
        <f>структура!$X$19</f>
        <v>авг</v>
      </c>
      <c r="K397" s="99"/>
      <c r="L397" s="22"/>
      <c r="M397" s="58"/>
      <c r="N397" s="22"/>
      <c r="O397" s="22"/>
      <c r="P397" s="101">
        <f>IF(P$1="",0,IF(AND(P$1=0,$H397&lt;MONTH($J$13)),0,IF(((YEAR(P$8)-1)*12+$H397)-((YEAR($J$13)-1)*12+MONTH($J$13))+1&gt;капитал!$J$130*12,0,IF(капитал!$J$130=0,0,капитал!$M$109/(капитал!$J$130*12)))))</f>
        <v>14.666666666666666</v>
      </c>
      <c r="Q397" s="101">
        <f>IF(Q$1="",0,IF(AND(Q$1=0,$H397&lt;MONTH($J$13)),0,IF(((YEAR(Q$8)-1)*12+$H397)-((YEAR($J$13)-1)*12+MONTH($J$13))+1&gt;капитал!$J$130*12,0,IF(капитал!$J$130=0,0,капитал!$M$109/(капитал!$J$130*12)))))</f>
        <v>14.666666666666666</v>
      </c>
      <c r="R397" s="101">
        <f>IF(R$1="",0,IF(AND(R$1=0,$H397&lt;MONTH($J$13)),0,IF(((YEAR(R$8)-1)*12+$H397)-((YEAR($J$13)-1)*12+MONTH($J$13))+1&gt;капитал!$J$130*12,0,IF(капитал!$J$130=0,0,капитал!$M$109/(капитал!$J$130*12)))))</f>
        <v>14.666666666666666</v>
      </c>
      <c r="S397" s="101">
        <f>IF(S$1="",0,IF(AND(S$1=0,$H397&lt;MONTH($J$13)),0,IF(((YEAR(S$8)-1)*12+$H397)-((YEAR($J$13)-1)*12+MONTH($J$13))+1&gt;капитал!$J$130*12,0,IF(капитал!$J$130=0,0,капитал!$M$109/(капитал!$J$130*12)))))</f>
        <v>14.666666666666666</v>
      </c>
      <c r="T397" s="101">
        <f>IF(T$1="",0,IF(AND(T$1=0,$H397&lt;MONTH($J$13)),0,IF(((YEAR(T$8)-1)*12+$H397)-((YEAR($J$13)-1)*12+MONTH($J$13))+1&gt;капитал!$J$130*12,0,IF(капитал!$J$130=0,0,капитал!$M$109/(капитал!$J$130*12)))))</f>
        <v>14.666666666666666</v>
      </c>
      <c r="U397" s="101">
        <f>IF(U$1="",0,IF(AND(U$1=0,$H397&lt;MONTH($J$13)),0,IF(((YEAR(U$8)-1)*12+$H397)-((YEAR($J$13)-1)*12+MONTH($J$13))+1&gt;капитал!$J$130*12,0,IF(капитал!$J$130=0,0,капитал!$M$109/(капитал!$J$130*12)))))</f>
        <v>0</v>
      </c>
      <c r="V397" s="101">
        <f>IF(V$1="",0,IF(AND(V$1=0,$H397&lt;MONTH($J$13)),0,IF(((YEAR(V$8)-1)*12+$H397)-((YEAR($J$13)-1)*12+MONTH($J$13))+1&gt;капитал!$J$130*12,0,IF(капитал!$J$130=0,0,капитал!$M$109/(капитал!$J$130*12)))))</f>
        <v>0</v>
      </c>
      <c r="W397" s="101">
        <f>IF(W$1="",0,IF(AND(W$1=0,$H397&lt;MONTH($J$13)),0,IF(((YEAR(W$8)-1)*12+$H397)-((YEAR($J$13)-1)*12+MONTH($J$13))+1&gt;капитал!$J$130*12,0,IF(капитал!$J$130=0,0,капитал!$M$109/(капитал!$J$130*12)))))</f>
        <v>0</v>
      </c>
      <c r="X397" s="101">
        <f>IF(X$1="",0,IF(AND(X$1=0,$H397&lt;MONTH($J$13)),0,IF(((YEAR(X$8)-1)*12+$H397)-((YEAR($J$13)-1)*12+MONTH($J$13))+1&gt;капитал!$J$130*12,0,IF(капитал!$J$130=0,0,капитал!$M$109/(капитал!$J$130*12)))))</f>
        <v>0</v>
      </c>
      <c r="Y397" s="101">
        <f>IF(Y$1="",0,IF(AND(Y$1=0,$H397&lt;MONTH($J$13)),0,IF(((YEAR(Y$8)-1)*12+$H397)-((YEAR($J$13)-1)*12+MONTH($J$13))+1&gt;капитал!$J$130*12,0,IF(капитал!$J$130=0,0,капитал!$M$109/(капитал!$J$130*12)))))</f>
        <v>0</v>
      </c>
      <c r="Z397" s="101">
        <f>IF(Z$1="",0,IF(AND(Z$1=0,$H397&lt;MONTH($J$13)),0,IF(((YEAR(Z$8)-1)*12+$H397)-((YEAR($J$13)-1)*12+MONTH($J$13))+1&gt;капитал!$J$130*12,0,IF(капитал!$J$130=0,0,капитал!$M$109/(капитал!$J$130*12)))))</f>
        <v>0</v>
      </c>
      <c r="AA397" s="101">
        <f>IF(AA$1="",0,IF(AND(AA$1=0,$H397&lt;MONTH($J$13)),0,IF(((YEAR(AA$8)-1)*12+$H397)-((YEAR($J$13)-1)*12+MONTH($J$13))+1&gt;капитал!$J$130*12,0,IF(капитал!$J$130=0,0,капитал!$M$109/(капитал!$J$130*12)))))</f>
        <v>0</v>
      </c>
      <c r="AB397" s="22"/>
    </row>
    <row r="398" spans="1:28" s="23" customFormat="1" ht="10.199999999999999" x14ac:dyDescent="0.2">
      <c r="A398" s="22"/>
      <c r="B398" s="22"/>
      <c r="C398" s="22"/>
      <c r="D398" s="22"/>
      <c r="E398" s="22" t="str">
        <f>E389</f>
        <v>амортизация прокатного инвентаря</v>
      </c>
      <c r="F398" s="22"/>
      <c r="G398" s="22" t="str">
        <f>IF($E398="","",INDEX(KPI!$G:$G,SUMIFS(KPI!$B:$B,KPI!$E:$E,$E398)))</f>
        <v>тыс.руб.</v>
      </c>
      <c r="H398" s="100">
        <f>структура!$V$20</f>
        <v>9</v>
      </c>
      <c r="I398" s="31"/>
      <c r="J398" s="98" t="str">
        <f>структура!$X$20</f>
        <v>сен</v>
      </c>
      <c r="K398" s="99"/>
      <c r="L398" s="22"/>
      <c r="M398" s="58"/>
      <c r="N398" s="22"/>
      <c r="O398" s="22"/>
      <c r="P398" s="101">
        <f>IF(P$1="",0,IF(AND(P$1=0,$H398&lt;MONTH($J$13)),0,IF(((YEAR(P$8)-1)*12+$H398)-((YEAR($J$13)-1)*12+MONTH($J$13))+1&gt;капитал!$J$130*12,0,IF(капитал!$J$130=0,0,капитал!$M$109/(капитал!$J$130*12)))))</f>
        <v>14.666666666666666</v>
      </c>
      <c r="Q398" s="101">
        <f>IF(Q$1="",0,IF(AND(Q$1=0,$H398&lt;MONTH($J$13)),0,IF(((YEAR(Q$8)-1)*12+$H398)-((YEAR($J$13)-1)*12+MONTH($J$13))+1&gt;капитал!$J$130*12,0,IF(капитал!$J$130=0,0,капитал!$M$109/(капитал!$J$130*12)))))</f>
        <v>14.666666666666666</v>
      </c>
      <c r="R398" s="101">
        <f>IF(R$1="",0,IF(AND(R$1=0,$H398&lt;MONTH($J$13)),0,IF(((YEAR(R$8)-1)*12+$H398)-((YEAR($J$13)-1)*12+MONTH($J$13))+1&gt;капитал!$J$130*12,0,IF(капитал!$J$130=0,0,капитал!$M$109/(капитал!$J$130*12)))))</f>
        <v>14.666666666666666</v>
      </c>
      <c r="S398" s="101">
        <f>IF(S$1="",0,IF(AND(S$1=0,$H398&lt;MONTH($J$13)),0,IF(((YEAR(S$8)-1)*12+$H398)-((YEAR($J$13)-1)*12+MONTH($J$13))+1&gt;капитал!$J$130*12,0,IF(капитал!$J$130=0,0,капитал!$M$109/(капитал!$J$130*12)))))</f>
        <v>14.666666666666666</v>
      </c>
      <c r="T398" s="101">
        <f>IF(T$1="",0,IF(AND(T$1=0,$H398&lt;MONTH($J$13)),0,IF(((YEAR(T$8)-1)*12+$H398)-((YEAR($J$13)-1)*12+MONTH($J$13))+1&gt;капитал!$J$130*12,0,IF(капитал!$J$130=0,0,капитал!$M$109/(капитал!$J$130*12)))))</f>
        <v>14.666666666666666</v>
      </c>
      <c r="U398" s="101">
        <f>IF(U$1="",0,IF(AND(U$1=0,$H398&lt;MONTH($J$13)),0,IF(((YEAR(U$8)-1)*12+$H398)-((YEAR($J$13)-1)*12+MONTH($J$13))+1&gt;капитал!$J$130*12,0,IF(капитал!$J$130=0,0,капитал!$M$109/(капитал!$J$130*12)))))</f>
        <v>0</v>
      </c>
      <c r="V398" s="101">
        <f>IF(V$1="",0,IF(AND(V$1=0,$H398&lt;MONTH($J$13)),0,IF(((YEAR(V$8)-1)*12+$H398)-((YEAR($J$13)-1)*12+MONTH($J$13))+1&gt;капитал!$J$130*12,0,IF(капитал!$J$130=0,0,капитал!$M$109/(капитал!$J$130*12)))))</f>
        <v>0</v>
      </c>
      <c r="W398" s="101">
        <f>IF(W$1="",0,IF(AND(W$1=0,$H398&lt;MONTH($J$13)),0,IF(((YEAR(W$8)-1)*12+$H398)-((YEAR($J$13)-1)*12+MONTH($J$13))+1&gt;капитал!$J$130*12,0,IF(капитал!$J$130=0,0,капитал!$M$109/(капитал!$J$130*12)))))</f>
        <v>0</v>
      </c>
      <c r="X398" s="101">
        <f>IF(X$1="",0,IF(AND(X$1=0,$H398&lt;MONTH($J$13)),0,IF(((YEAR(X$8)-1)*12+$H398)-((YEAR($J$13)-1)*12+MONTH($J$13))+1&gt;капитал!$J$130*12,0,IF(капитал!$J$130=0,0,капитал!$M$109/(капитал!$J$130*12)))))</f>
        <v>0</v>
      </c>
      <c r="Y398" s="101">
        <f>IF(Y$1="",0,IF(AND(Y$1=0,$H398&lt;MONTH($J$13)),0,IF(((YEAR(Y$8)-1)*12+$H398)-((YEAR($J$13)-1)*12+MONTH($J$13))+1&gt;капитал!$J$130*12,0,IF(капитал!$J$130=0,0,капитал!$M$109/(капитал!$J$130*12)))))</f>
        <v>0</v>
      </c>
      <c r="Z398" s="101">
        <f>IF(Z$1="",0,IF(AND(Z$1=0,$H398&lt;MONTH($J$13)),0,IF(((YEAR(Z$8)-1)*12+$H398)-((YEAR($J$13)-1)*12+MONTH($J$13))+1&gt;капитал!$J$130*12,0,IF(капитал!$J$130=0,0,капитал!$M$109/(капитал!$J$130*12)))))</f>
        <v>0</v>
      </c>
      <c r="AA398" s="101">
        <f>IF(AA$1="",0,IF(AND(AA$1=0,$H398&lt;MONTH($J$13)),0,IF(((YEAR(AA$8)-1)*12+$H398)-((YEAR($J$13)-1)*12+MONTH($J$13))+1&gt;капитал!$J$130*12,0,IF(капитал!$J$130=0,0,капитал!$M$109/(капитал!$J$130*12)))))</f>
        <v>0</v>
      </c>
      <c r="AB398" s="22"/>
    </row>
    <row r="399" spans="1:28" s="23" customFormat="1" ht="10.199999999999999" x14ac:dyDescent="0.2">
      <c r="A399" s="22"/>
      <c r="B399" s="22"/>
      <c r="C399" s="22"/>
      <c r="D399" s="22"/>
      <c r="E399" s="22" t="str">
        <f>E389</f>
        <v>амортизация прокатного инвентаря</v>
      </c>
      <c r="F399" s="22"/>
      <c r="G399" s="22" t="str">
        <f>IF($E399="","",INDEX(KPI!$G:$G,SUMIFS(KPI!$B:$B,KPI!$E:$E,$E399)))</f>
        <v>тыс.руб.</v>
      </c>
      <c r="H399" s="100">
        <f>структура!$V$21</f>
        <v>10</v>
      </c>
      <c r="I399" s="31"/>
      <c r="J399" s="98" t="str">
        <f>структура!$X$21</f>
        <v>окт</v>
      </c>
      <c r="K399" s="99"/>
      <c r="L399" s="22"/>
      <c r="M399" s="58"/>
      <c r="N399" s="22"/>
      <c r="O399" s="22"/>
      <c r="P399" s="101">
        <f>IF(P$1="",0,IF(AND(P$1=0,$H399&lt;MONTH($J$13)),0,IF(((YEAR(P$8)-1)*12+$H399)-((YEAR($J$13)-1)*12+MONTH($J$13))+1&gt;капитал!$J$130*12,0,IF(капитал!$J$130=0,0,капитал!$M$109/(капитал!$J$130*12)))))</f>
        <v>14.666666666666666</v>
      </c>
      <c r="Q399" s="101">
        <f>IF(Q$1="",0,IF(AND(Q$1=0,$H399&lt;MONTH($J$13)),0,IF(((YEAR(Q$8)-1)*12+$H399)-((YEAR($J$13)-1)*12+MONTH($J$13))+1&gt;капитал!$J$130*12,0,IF(капитал!$J$130=0,0,капитал!$M$109/(капитал!$J$130*12)))))</f>
        <v>14.666666666666666</v>
      </c>
      <c r="R399" s="101">
        <f>IF(R$1="",0,IF(AND(R$1=0,$H399&lt;MONTH($J$13)),0,IF(((YEAR(R$8)-1)*12+$H399)-((YEAR($J$13)-1)*12+MONTH($J$13))+1&gt;капитал!$J$130*12,0,IF(капитал!$J$130=0,0,капитал!$M$109/(капитал!$J$130*12)))))</f>
        <v>14.666666666666666</v>
      </c>
      <c r="S399" s="101">
        <f>IF(S$1="",0,IF(AND(S$1=0,$H399&lt;MONTH($J$13)),0,IF(((YEAR(S$8)-1)*12+$H399)-((YEAR($J$13)-1)*12+MONTH($J$13))+1&gt;капитал!$J$130*12,0,IF(капитал!$J$130=0,0,капитал!$M$109/(капитал!$J$130*12)))))</f>
        <v>14.666666666666666</v>
      </c>
      <c r="T399" s="101">
        <f>IF(T$1="",0,IF(AND(T$1=0,$H399&lt;MONTH($J$13)),0,IF(((YEAR(T$8)-1)*12+$H399)-((YEAR($J$13)-1)*12+MONTH($J$13))+1&gt;капитал!$J$130*12,0,IF(капитал!$J$130=0,0,капитал!$M$109/(капитал!$J$130*12)))))</f>
        <v>14.666666666666666</v>
      </c>
      <c r="U399" s="101">
        <f>IF(U$1="",0,IF(AND(U$1=0,$H399&lt;MONTH($J$13)),0,IF(((YEAR(U$8)-1)*12+$H399)-((YEAR($J$13)-1)*12+MONTH($J$13))+1&gt;капитал!$J$130*12,0,IF(капитал!$J$130=0,0,капитал!$M$109/(капитал!$J$130*12)))))</f>
        <v>0</v>
      </c>
      <c r="V399" s="101">
        <f>IF(V$1="",0,IF(AND(V$1=0,$H399&lt;MONTH($J$13)),0,IF(((YEAR(V$8)-1)*12+$H399)-((YEAR($J$13)-1)*12+MONTH($J$13))+1&gt;капитал!$J$130*12,0,IF(капитал!$J$130=0,0,капитал!$M$109/(капитал!$J$130*12)))))</f>
        <v>0</v>
      </c>
      <c r="W399" s="101">
        <f>IF(W$1="",0,IF(AND(W$1=0,$H399&lt;MONTH($J$13)),0,IF(((YEAR(W$8)-1)*12+$H399)-((YEAR($J$13)-1)*12+MONTH($J$13))+1&gt;капитал!$J$130*12,0,IF(капитал!$J$130=0,0,капитал!$M$109/(капитал!$J$130*12)))))</f>
        <v>0</v>
      </c>
      <c r="X399" s="101">
        <f>IF(X$1="",0,IF(AND(X$1=0,$H399&lt;MONTH($J$13)),0,IF(((YEAR(X$8)-1)*12+$H399)-((YEAR($J$13)-1)*12+MONTH($J$13))+1&gt;капитал!$J$130*12,0,IF(капитал!$J$130=0,0,капитал!$M$109/(капитал!$J$130*12)))))</f>
        <v>0</v>
      </c>
      <c r="Y399" s="101">
        <f>IF(Y$1="",0,IF(AND(Y$1=0,$H399&lt;MONTH($J$13)),0,IF(((YEAR(Y$8)-1)*12+$H399)-((YEAR($J$13)-1)*12+MONTH($J$13))+1&gt;капитал!$J$130*12,0,IF(капитал!$J$130=0,0,капитал!$M$109/(капитал!$J$130*12)))))</f>
        <v>0</v>
      </c>
      <c r="Z399" s="101">
        <f>IF(Z$1="",0,IF(AND(Z$1=0,$H399&lt;MONTH($J$13)),0,IF(((YEAR(Z$8)-1)*12+$H399)-((YEAR($J$13)-1)*12+MONTH($J$13))+1&gt;капитал!$J$130*12,0,IF(капитал!$J$130=0,0,капитал!$M$109/(капитал!$J$130*12)))))</f>
        <v>0</v>
      </c>
      <c r="AA399" s="101">
        <f>IF(AA$1="",0,IF(AND(AA$1=0,$H399&lt;MONTH($J$13)),0,IF(((YEAR(AA$8)-1)*12+$H399)-((YEAR($J$13)-1)*12+MONTH($J$13))+1&gt;капитал!$J$130*12,0,IF(капитал!$J$130=0,0,капитал!$M$109/(капитал!$J$130*12)))))</f>
        <v>0</v>
      </c>
      <c r="AB399" s="22"/>
    </row>
    <row r="400" spans="1:28" s="23" customFormat="1" ht="10.199999999999999" x14ac:dyDescent="0.2">
      <c r="A400" s="22"/>
      <c r="B400" s="22"/>
      <c r="C400" s="22"/>
      <c r="D400" s="22"/>
      <c r="E400" s="22" t="str">
        <f>E389</f>
        <v>амортизация прокатного инвентаря</v>
      </c>
      <c r="F400" s="22"/>
      <c r="G400" s="22" t="str">
        <f>IF($E400="","",INDEX(KPI!$G:$G,SUMIFS(KPI!$B:$B,KPI!$E:$E,$E400)))</f>
        <v>тыс.руб.</v>
      </c>
      <c r="H400" s="100">
        <f>структура!$V$22</f>
        <v>11</v>
      </c>
      <c r="I400" s="31"/>
      <c r="J400" s="98" t="str">
        <f>структура!$X$22</f>
        <v>ноя</v>
      </c>
      <c r="K400" s="99"/>
      <c r="L400" s="22"/>
      <c r="M400" s="58"/>
      <c r="N400" s="22"/>
      <c r="O400" s="22"/>
      <c r="P400" s="101">
        <f>IF(P$1="",0,IF(AND(P$1=0,$H400&lt;MONTH($J$13)),0,IF(((YEAR(P$8)-1)*12+$H400)-((YEAR($J$13)-1)*12+MONTH($J$13))+1&gt;капитал!$J$130*12,0,IF(капитал!$J$130=0,0,капитал!$M$109/(капитал!$J$130*12)))))</f>
        <v>14.666666666666666</v>
      </c>
      <c r="Q400" s="101">
        <f>IF(Q$1="",0,IF(AND(Q$1=0,$H400&lt;MONTH($J$13)),0,IF(((YEAR(Q$8)-1)*12+$H400)-((YEAR($J$13)-1)*12+MONTH($J$13))+1&gt;капитал!$J$130*12,0,IF(капитал!$J$130=0,0,капитал!$M$109/(капитал!$J$130*12)))))</f>
        <v>14.666666666666666</v>
      </c>
      <c r="R400" s="101">
        <f>IF(R$1="",0,IF(AND(R$1=0,$H400&lt;MONTH($J$13)),0,IF(((YEAR(R$8)-1)*12+$H400)-((YEAR($J$13)-1)*12+MONTH($J$13))+1&gt;капитал!$J$130*12,0,IF(капитал!$J$130=0,0,капитал!$M$109/(капитал!$J$130*12)))))</f>
        <v>14.666666666666666</v>
      </c>
      <c r="S400" s="101">
        <f>IF(S$1="",0,IF(AND(S$1=0,$H400&lt;MONTH($J$13)),0,IF(((YEAR(S$8)-1)*12+$H400)-((YEAR($J$13)-1)*12+MONTH($J$13))+1&gt;капитал!$J$130*12,0,IF(капитал!$J$130=0,0,капитал!$M$109/(капитал!$J$130*12)))))</f>
        <v>14.666666666666666</v>
      </c>
      <c r="T400" s="101">
        <f>IF(T$1="",0,IF(AND(T$1=0,$H400&lt;MONTH($J$13)),0,IF(((YEAR(T$8)-1)*12+$H400)-((YEAR($J$13)-1)*12+MONTH($J$13))+1&gt;капитал!$J$130*12,0,IF(капитал!$J$130=0,0,капитал!$M$109/(капитал!$J$130*12)))))</f>
        <v>14.666666666666666</v>
      </c>
      <c r="U400" s="101">
        <f>IF(U$1="",0,IF(AND(U$1=0,$H400&lt;MONTH($J$13)),0,IF(((YEAR(U$8)-1)*12+$H400)-((YEAR($J$13)-1)*12+MONTH($J$13))+1&gt;капитал!$J$130*12,0,IF(капитал!$J$130=0,0,капитал!$M$109/(капитал!$J$130*12)))))</f>
        <v>0</v>
      </c>
      <c r="V400" s="101">
        <f>IF(V$1="",0,IF(AND(V$1=0,$H400&lt;MONTH($J$13)),0,IF(((YEAR(V$8)-1)*12+$H400)-((YEAR($J$13)-1)*12+MONTH($J$13))+1&gt;капитал!$J$130*12,0,IF(капитал!$J$130=0,0,капитал!$M$109/(капитал!$J$130*12)))))</f>
        <v>0</v>
      </c>
      <c r="W400" s="101">
        <f>IF(W$1="",0,IF(AND(W$1=0,$H400&lt;MONTH($J$13)),0,IF(((YEAR(W$8)-1)*12+$H400)-((YEAR($J$13)-1)*12+MONTH($J$13))+1&gt;капитал!$J$130*12,0,IF(капитал!$J$130=0,0,капитал!$M$109/(капитал!$J$130*12)))))</f>
        <v>0</v>
      </c>
      <c r="X400" s="101">
        <f>IF(X$1="",0,IF(AND(X$1=0,$H400&lt;MONTH($J$13)),0,IF(((YEAR(X$8)-1)*12+$H400)-((YEAR($J$13)-1)*12+MONTH($J$13))+1&gt;капитал!$J$130*12,0,IF(капитал!$J$130=0,0,капитал!$M$109/(капитал!$J$130*12)))))</f>
        <v>0</v>
      </c>
      <c r="Y400" s="101">
        <f>IF(Y$1="",0,IF(AND(Y$1=0,$H400&lt;MONTH($J$13)),0,IF(((YEAR(Y$8)-1)*12+$H400)-((YEAR($J$13)-1)*12+MONTH($J$13))+1&gt;капитал!$J$130*12,0,IF(капитал!$J$130=0,0,капитал!$M$109/(капитал!$J$130*12)))))</f>
        <v>0</v>
      </c>
      <c r="Z400" s="101">
        <f>IF(Z$1="",0,IF(AND(Z$1=0,$H400&lt;MONTH($J$13)),0,IF(((YEAR(Z$8)-1)*12+$H400)-((YEAR($J$13)-1)*12+MONTH($J$13))+1&gt;капитал!$J$130*12,0,IF(капитал!$J$130=0,0,капитал!$M$109/(капитал!$J$130*12)))))</f>
        <v>0</v>
      </c>
      <c r="AA400" s="101">
        <f>IF(AA$1="",0,IF(AND(AA$1=0,$H400&lt;MONTH($J$13)),0,IF(((YEAR(AA$8)-1)*12+$H400)-((YEAR($J$13)-1)*12+MONTH($J$13))+1&gt;капитал!$J$130*12,0,IF(капитал!$J$130=0,0,капитал!$M$109/(капитал!$J$130*12)))))</f>
        <v>0</v>
      </c>
      <c r="AB400" s="22"/>
    </row>
    <row r="401" spans="1:28" s="23" customFormat="1" ht="10.199999999999999" x14ac:dyDescent="0.2">
      <c r="A401" s="22"/>
      <c r="B401" s="22"/>
      <c r="C401" s="22"/>
      <c r="D401" s="22"/>
      <c r="E401" s="22" t="str">
        <f>E389</f>
        <v>амортизация прокатного инвентаря</v>
      </c>
      <c r="F401" s="22"/>
      <c r="G401" s="22" t="str">
        <f>IF($E401="","",INDEX(KPI!$G:$G,SUMIFS(KPI!$B:$B,KPI!$E:$E,$E401)))</f>
        <v>тыс.руб.</v>
      </c>
      <c r="H401" s="100">
        <f>структура!$V$23</f>
        <v>12</v>
      </c>
      <c r="I401" s="31"/>
      <c r="J401" s="98" t="str">
        <f>структура!$X$23</f>
        <v>дек</v>
      </c>
      <c r="K401" s="99"/>
      <c r="L401" s="22"/>
      <c r="M401" s="58"/>
      <c r="N401" s="22"/>
      <c r="O401" s="22"/>
      <c r="P401" s="101">
        <f>IF(P$1="",0,IF(AND(P$1=0,$H401&lt;MONTH($J$13)),0,IF(((YEAR(P$8)-1)*12+$H401)-((YEAR($J$13)-1)*12+MONTH($J$13))+1&gt;капитал!$J$130*12,0,IF(капитал!$J$130=0,0,капитал!$M$109/(капитал!$J$130*12)))))</f>
        <v>14.666666666666666</v>
      </c>
      <c r="Q401" s="101">
        <f>IF(Q$1="",0,IF(AND(Q$1=0,$H401&lt;MONTH($J$13)),0,IF(((YEAR(Q$8)-1)*12+$H401)-((YEAR($J$13)-1)*12+MONTH($J$13))+1&gt;капитал!$J$130*12,0,IF(капитал!$J$130=0,0,капитал!$M$109/(капитал!$J$130*12)))))</f>
        <v>14.666666666666666</v>
      </c>
      <c r="R401" s="101">
        <f>IF(R$1="",0,IF(AND(R$1=0,$H401&lt;MONTH($J$13)),0,IF(((YEAR(R$8)-1)*12+$H401)-((YEAR($J$13)-1)*12+MONTH($J$13))+1&gt;капитал!$J$130*12,0,IF(капитал!$J$130=0,0,капитал!$M$109/(капитал!$J$130*12)))))</f>
        <v>14.666666666666666</v>
      </c>
      <c r="S401" s="101">
        <f>IF(S$1="",0,IF(AND(S$1=0,$H401&lt;MONTH($J$13)),0,IF(((YEAR(S$8)-1)*12+$H401)-((YEAR($J$13)-1)*12+MONTH($J$13))+1&gt;капитал!$J$130*12,0,IF(капитал!$J$130=0,0,капитал!$M$109/(капитал!$J$130*12)))))</f>
        <v>14.666666666666666</v>
      </c>
      <c r="T401" s="101">
        <f>IF(T$1="",0,IF(AND(T$1=0,$H401&lt;MONTH($J$13)),0,IF(((YEAR(T$8)-1)*12+$H401)-((YEAR($J$13)-1)*12+MONTH($J$13))+1&gt;капитал!$J$130*12,0,IF(капитал!$J$130=0,0,капитал!$M$109/(капитал!$J$130*12)))))</f>
        <v>14.666666666666666</v>
      </c>
      <c r="U401" s="101">
        <f>IF(U$1="",0,IF(AND(U$1=0,$H401&lt;MONTH($J$13)),0,IF(((YEAR(U$8)-1)*12+$H401)-((YEAR($J$13)-1)*12+MONTH($J$13))+1&gt;капитал!$J$130*12,0,IF(капитал!$J$130=0,0,капитал!$M$109/(капитал!$J$130*12)))))</f>
        <v>0</v>
      </c>
      <c r="V401" s="101">
        <f>IF(V$1="",0,IF(AND(V$1=0,$H401&lt;MONTH($J$13)),0,IF(((YEAR(V$8)-1)*12+$H401)-((YEAR($J$13)-1)*12+MONTH($J$13))+1&gt;капитал!$J$130*12,0,IF(капитал!$J$130=0,0,капитал!$M$109/(капитал!$J$130*12)))))</f>
        <v>0</v>
      </c>
      <c r="W401" s="101">
        <f>IF(W$1="",0,IF(AND(W$1=0,$H401&lt;MONTH($J$13)),0,IF(((YEAR(W$8)-1)*12+$H401)-((YEAR($J$13)-1)*12+MONTH($J$13))+1&gt;капитал!$J$130*12,0,IF(капитал!$J$130=0,0,капитал!$M$109/(капитал!$J$130*12)))))</f>
        <v>0</v>
      </c>
      <c r="X401" s="101">
        <f>IF(X$1="",0,IF(AND(X$1=0,$H401&lt;MONTH($J$13)),0,IF(((YEAR(X$8)-1)*12+$H401)-((YEAR($J$13)-1)*12+MONTH($J$13))+1&gt;капитал!$J$130*12,0,IF(капитал!$J$130=0,0,капитал!$M$109/(капитал!$J$130*12)))))</f>
        <v>0</v>
      </c>
      <c r="Y401" s="101">
        <f>IF(Y$1="",0,IF(AND(Y$1=0,$H401&lt;MONTH($J$13)),0,IF(((YEAR(Y$8)-1)*12+$H401)-((YEAR($J$13)-1)*12+MONTH($J$13))+1&gt;капитал!$J$130*12,0,IF(капитал!$J$130=0,0,капитал!$M$109/(капитал!$J$130*12)))))</f>
        <v>0</v>
      </c>
      <c r="Z401" s="101">
        <f>IF(Z$1="",0,IF(AND(Z$1=0,$H401&lt;MONTH($J$13)),0,IF(((YEAR(Z$8)-1)*12+$H401)-((YEAR($J$13)-1)*12+MONTH($J$13))+1&gt;капитал!$J$130*12,0,IF(капитал!$J$130=0,0,капитал!$M$109/(капитал!$J$130*12)))))</f>
        <v>0</v>
      </c>
      <c r="AA401" s="101">
        <f>IF(AA$1="",0,IF(AND(AA$1=0,$H401&lt;MONTH($J$13)),0,IF(((YEAR(AA$8)-1)*12+$H401)-((YEAR($J$13)-1)*12+MONTH($J$13))+1&gt;капитал!$J$130*12,0,IF(капитал!$J$130=0,0,капитал!$M$109/(капитал!$J$130*12)))))</f>
        <v>0</v>
      </c>
      <c r="AB401" s="22"/>
    </row>
    <row r="402" spans="1:28" ht="3.9" customHeight="1" x14ac:dyDescent="0.25">
      <c r="A402" s="2"/>
      <c r="B402" s="2"/>
      <c r="C402" s="2"/>
      <c r="D402" s="143"/>
      <c r="E402" s="143"/>
      <c r="F402" s="2"/>
      <c r="G402" s="143"/>
      <c r="H402" s="2"/>
      <c r="I402" s="28"/>
      <c r="J402" s="143"/>
      <c r="K402" s="28"/>
      <c r="L402" s="2"/>
      <c r="M402" s="52"/>
      <c r="N402" s="2"/>
      <c r="O402" s="2"/>
      <c r="P402" s="36"/>
      <c r="Q402" s="36"/>
      <c r="R402" s="36"/>
      <c r="S402" s="36"/>
      <c r="T402" s="36"/>
      <c r="U402" s="36"/>
      <c r="V402" s="36"/>
      <c r="W402" s="36"/>
      <c r="X402" s="36"/>
      <c r="Y402" s="36"/>
      <c r="Z402" s="36"/>
      <c r="AA402" s="36"/>
      <c r="AB402" s="2"/>
    </row>
    <row r="403" spans="1:28" x14ac:dyDescent="0.25">
      <c r="A403" s="2"/>
      <c r="B403" s="2"/>
      <c r="C403" s="2"/>
      <c r="D403" s="2"/>
      <c r="E403" s="2"/>
      <c r="F403" s="2"/>
      <c r="G403" s="2"/>
      <c r="H403" s="2"/>
      <c r="I403" s="28"/>
      <c r="J403" s="2"/>
      <c r="K403" s="28"/>
      <c r="L403" s="2"/>
      <c r="M403" s="52"/>
      <c r="N403" s="2"/>
      <c r="O403" s="2"/>
      <c r="P403" s="36"/>
      <c r="Q403" s="36"/>
      <c r="R403" s="36"/>
      <c r="S403" s="36"/>
      <c r="T403" s="36"/>
      <c r="U403" s="36"/>
      <c r="V403" s="36"/>
      <c r="W403" s="36"/>
      <c r="X403" s="36"/>
      <c r="Y403" s="36"/>
      <c r="Z403" s="36"/>
      <c r="AA403" s="36"/>
      <c r="AB403" s="2"/>
    </row>
    <row r="404" spans="1:28" x14ac:dyDescent="0.25">
      <c r="A404" s="2"/>
      <c r="B404" s="2"/>
      <c r="C404" s="2"/>
      <c r="D404" s="2"/>
      <c r="E404" s="2"/>
      <c r="F404" s="2"/>
      <c r="G404" s="2"/>
      <c r="H404" s="2"/>
      <c r="I404" s="28"/>
      <c r="J404" s="2"/>
      <c r="K404" s="28"/>
      <c r="L404" s="2"/>
      <c r="M404" s="52"/>
      <c r="N404" s="2"/>
      <c r="O404" s="2"/>
      <c r="P404" s="36"/>
      <c r="Q404" s="36"/>
      <c r="R404" s="36"/>
      <c r="S404" s="36"/>
      <c r="T404" s="36"/>
      <c r="U404" s="36"/>
      <c r="V404" s="36"/>
      <c r="W404" s="36"/>
      <c r="X404" s="36"/>
      <c r="Y404" s="36"/>
      <c r="Z404" s="36"/>
      <c r="AA404" s="36"/>
      <c r="AB404" s="2"/>
    </row>
    <row r="405" spans="1:28" x14ac:dyDescent="0.25">
      <c r="A405" s="2"/>
      <c r="B405" s="2"/>
      <c r="C405" s="2"/>
      <c r="D405" s="2"/>
      <c r="E405" s="2"/>
      <c r="F405" s="2"/>
      <c r="G405" s="2"/>
      <c r="H405" s="2"/>
      <c r="I405" s="28"/>
      <c r="J405" s="2"/>
      <c r="K405" s="28"/>
      <c r="L405" s="2"/>
      <c r="M405" s="52"/>
      <c r="N405" s="2"/>
      <c r="O405" s="2"/>
      <c r="P405" s="36"/>
      <c r="Q405" s="36"/>
      <c r="R405" s="36"/>
      <c r="S405" s="36"/>
      <c r="T405" s="36"/>
      <c r="U405" s="36"/>
      <c r="V405" s="36"/>
      <c r="W405" s="36"/>
      <c r="X405" s="36"/>
      <c r="Y405" s="36"/>
      <c r="Z405" s="36"/>
      <c r="AA405" s="36"/>
      <c r="AB405" s="2"/>
    </row>
    <row r="406" spans="1:28" x14ac:dyDescent="0.25">
      <c r="A406" s="2"/>
      <c r="B406" s="2"/>
      <c r="C406" s="2"/>
      <c r="D406" s="2"/>
      <c r="E406" s="2"/>
      <c r="F406" s="2"/>
      <c r="G406" s="2"/>
      <c r="H406" s="2"/>
      <c r="I406" s="28"/>
      <c r="J406" s="2"/>
      <c r="K406" s="28"/>
      <c r="L406" s="2"/>
      <c r="M406" s="52"/>
      <c r="N406" s="2"/>
      <c r="O406" s="2"/>
      <c r="P406" s="36"/>
      <c r="Q406" s="36"/>
      <c r="R406" s="36"/>
      <c r="S406" s="36"/>
      <c r="T406" s="36"/>
      <c r="U406" s="36"/>
      <c r="V406" s="36"/>
      <c r="W406" s="36"/>
      <c r="X406" s="36"/>
      <c r="Y406" s="36"/>
      <c r="Z406" s="36"/>
      <c r="AA406" s="36"/>
      <c r="AB406" s="2"/>
    </row>
    <row r="407" spans="1:28" x14ac:dyDescent="0.25">
      <c r="A407" s="2"/>
      <c r="B407" s="2"/>
      <c r="C407" s="2"/>
      <c r="D407" s="2"/>
      <c r="E407" s="2"/>
      <c r="F407" s="2"/>
      <c r="G407" s="2"/>
      <c r="H407" s="2"/>
      <c r="I407" s="28"/>
      <c r="J407" s="2"/>
      <c r="K407" s="28"/>
      <c r="L407" s="2"/>
      <c r="M407" s="52"/>
      <c r="N407" s="2"/>
      <c r="O407" s="2"/>
      <c r="P407" s="36"/>
      <c r="Q407" s="36"/>
      <c r="R407" s="36"/>
      <c r="S407" s="36"/>
      <c r="T407" s="36"/>
      <c r="U407" s="36"/>
      <c r="V407" s="36"/>
      <c r="W407" s="36"/>
      <c r="X407" s="36"/>
      <c r="Y407" s="36"/>
      <c r="Z407" s="36"/>
      <c r="AA407" s="36"/>
      <c r="AB407" s="2"/>
    </row>
    <row r="408" spans="1:28" x14ac:dyDescent="0.25">
      <c r="A408" s="2"/>
      <c r="B408" s="2"/>
      <c r="C408" s="2"/>
      <c r="D408" s="2"/>
      <c r="E408" s="2"/>
      <c r="F408" s="2"/>
      <c r="G408" s="2"/>
      <c r="H408" s="2"/>
      <c r="I408" s="28"/>
      <c r="J408" s="2"/>
      <c r="K408" s="28"/>
      <c r="L408" s="2"/>
      <c r="M408" s="52"/>
      <c r="N408" s="2"/>
      <c r="O408" s="2"/>
      <c r="P408" s="36"/>
      <c r="Q408" s="36"/>
      <c r="R408" s="36"/>
      <c r="S408" s="36"/>
      <c r="T408" s="36"/>
      <c r="U408" s="36"/>
      <c r="V408" s="36"/>
      <c r="W408" s="36"/>
      <c r="X408" s="36"/>
      <c r="Y408" s="36"/>
      <c r="Z408" s="36"/>
      <c r="AA408" s="36"/>
      <c r="AB408" s="2"/>
    </row>
    <row r="409" spans="1:28" x14ac:dyDescent="0.25">
      <c r="P409" s="57"/>
      <c r="Q409" s="57"/>
      <c r="R409" s="57"/>
      <c r="S409" s="57"/>
      <c r="T409" s="57"/>
      <c r="U409" s="57"/>
      <c r="V409" s="57"/>
      <c r="W409" s="57"/>
      <c r="X409" s="57"/>
      <c r="Y409" s="57"/>
      <c r="Z409" s="57"/>
      <c r="AA409" s="57"/>
    </row>
    <row r="410" spans="1:28" x14ac:dyDescent="0.25">
      <c r="P410" s="57"/>
      <c r="Q410" s="57"/>
      <c r="R410" s="57"/>
      <c r="S410" s="57"/>
      <c r="T410" s="57"/>
      <c r="U410" s="57"/>
      <c r="V410" s="57"/>
      <c r="W410" s="57"/>
      <c r="X410" s="57"/>
      <c r="Y410" s="57"/>
      <c r="Z410" s="57"/>
      <c r="AA410" s="57"/>
    </row>
    <row r="411" spans="1:28" x14ac:dyDescent="0.25">
      <c r="P411" s="57"/>
      <c r="Q411" s="57"/>
      <c r="R411" s="57"/>
      <c r="S411" s="57"/>
      <c r="T411" s="57"/>
      <c r="U411" s="57"/>
      <c r="V411" s="57"/>
      <c r="W411" s="57"/>
      <c r="X411" s="57"/>
      <c r="Y411" s="57"/>
      <c r="Z411" s="57"/>
      <c r="AA411" s="57"/>
    </row>
    <row r="412" spans="1:28" x14ac:dyDescent="0.25">
      <c r="P412" s="57"/>
      <c r="Q412" s="57"/>
      <c r="R412" s="57"/>
      <c r="S412" s="57"/>
      <c r="T412" s="57"/>
      <c r="U412" s="57"/>
      <c r="V412" s="57"/>
      <c r="W412" s="57"/>
      <c r="X412" s="57"/>
      <c r="Y412" s="57"/>
      <c r="Z412" s="57"/>
      <c r="AA412" s="57"/>
    </row>
    <row r="413" spans="1:28" x14ac:dyDescent="0.25">
      <c r="P413" s="57"/>
      <c r="Q413" s="57"/>
      <c r="R413" s="57"/>
      <c r="S413" s="57"/>
      <c r="T413" s="57"/>
      <c r="U413" s="57"/>
      <c r="V413" s="57"/>
      <c r="W413" s="57"/>
      <c r="X413" s="57"/>
      <c r="Y413" s="57"/>
      <c r="Z413" s="57"/>
      <c r="AA413" s="57"/>
    </row>
    <row r="414" spans="1:28" x14ac:dyDescent="0.25">
      <c r="P414" s="57"/>
      <c r="Q414" s="57"/>
      <c r="R414" s="57"/>
      <c r="S414" s="57"/>
      <c r="T414" s="57"/>
      <c r="U414" s="57"/>
      <c r="V414" s="57"/>
      <c r="W414" s="57"/>
      <c r="X414" s="57"/>
      <c r="Y414" s="57"/>
      <c r="Z414" s="57"/>
      <c r="AA414" s="57"/>
    </row>
    <row r="415" spans="1:28" x14ac:dyDescent="0.25">
      <c r="P415" s="57"/>
      <c r="Q415" s="57"/>
      <c r="R415" s="57"/>
      <c r="S415" s="57"/>
      <c r="T415" s="57"/>
      <c r="U415" s="57"/>
      <c r="V415" s="57"/>
      <c r="W415" s="57"/>
      <c r="X415" s="57"/>
      <c r="Y415" s="57"/>
      <c r="Z415" s="57"/>
      <c r="AA415" s="57"/>
    </row>
    <row r="416" spans="1:28" x14ac:dyDescent="0.25">
      <c r="P416" s="57"/>
      <c r="Q416" s="57"/>
      <c r="R416" s="57"/>
      <c r="S416" s="57"/>
      <c r="T416" s="57"/>
      <c r="U416" s="57"/>
      <c r="V416" s="57"/>
      <c r="W416" s="57"/>
      <c r="X416" s="57"/>
      <c r="Y416" s="57"/>
      <c r="Z416" s="57"/>
      <c r="AA416" s="57"/>
    </row>
    <row r="417" spans="16:27" x14ac:dyDescent="0.25">
      <c r="P417" s="57"/>
      <c r="Q417" s="57"/>
      <c r="R417" s="57"/>
      <c r="S417" s="57"/>
      <c r="T417" s="57"/>
      <c r="U417" s="57"/>
      <c r="V417" s="57"/>
      <c r="W417" s="57"/>
      <c r="X417" s="57"/>
      <c r="Y417" s="57"/>
      <c r="Z417" s="57"/>
      <c r="AA417" s="57"/>
    </row>
    <row r="418" spans="16:27" x14ac:dyDescent="0.25">
      <c r="P418" s="57"/>
      <c r="Q418" s="57"/>
      <c r="R418" s="57"/>
      <c r="S418" s="57"/>
      <c r="T418" s="57"/>
      <c r="U418" s="57"/>
      <c r="V418" s="57"/>
      <c r="W418" s="57"/>
      <c r="X418" s="57"/>
      <c r="Y418" s="57"/>
      <c r="Z418" s="57"/>
      <c r="AA418" s="57"/>
    </row>
  </sheetData>
  <conditionalFormatting sqref="A16:H16 L16:XFD16 A2:XFD2 AB154:XFD154 A154:N154 A155:XFD170 A274:O274 A348:XFD348 A343:XFD345 A372:XFD372 A403:XFD1048576 A17:XFD35 A7:XFD15 A3:B6 F3:XFD6 A39:XFD74 A36:I38 K36:XFD38 A75:I77 K75:XFD77 A78:XFD107 A120:XFD137 A108:L119 N108:XFD119 E1:XFD1 A150:XFD153 A138:O149 AB138:XFD149 AB274:XFD274">
    <cfRule type="cellIs" dxfId="5437" priority="198" operator="equal">
      <formula>0</formula>
    </cfRule>
  </conditionalFormatting>
  <conditionalFormatting sqref="P41:AA71">
    <cfRule type="expression" dxfId="5436" priority="197">
      <formula>P$1=""</formula>
    </cfRule>
  </conditionalFormatting>
  <conditionalFormatting sqref="I16:K16">
    <cfRule type="cellIs" dxfId="5435" priority="195" operator="equal">
      <formula>0</formula>
    </cfRule>
  </conditionalFormatting>
  <conditionalFormatting sqref="J16">
    <cfRule type="containsBlanks" dxfId="5434" priority="196">
      <formula>LEN(TRIM(J16))=0</formula>
    </cfRule>
  </conditionalFormatting>
  <conditionalFormatting sqref="P20:P31 P44:P55 P59:P70 P158:P169 P176:P187 P191:P202 P226:P237 P241:P252 P312:P323 P330:P341">
    <cfRule type="expression" dxfId="5433" priority="194">
      <formula>AND($P$1=0,$H20&lt;MONTH($J$13))</formula>
    </cfRule>
  </conditionalFormatting>
  <conditionalFormatting sqref="Q20:AA31">
    <cfRule type="expression" dxfId="5432" priority="193">
      <formula>Q$1=""</formula>
    </cfRule>
  </conditionalFormatting>
  <conditionalFormatting sqref="Q44:AA55">
    <cfRule type="expression" dxfId="5431" priority="192">
      <formula>Q$1=""</formula>
    </cfRule>
  </conditionalFormatting>
  <conditionalFormatting sqref="Q59:AA70">
    <cfRule type="expression" dxfId="5430" priority="191">
      <formula>Q$1=""</formula>
    </cfRule>
  </conditionalFormatting>
  <conditionalFormatting sqref="P87:AA106">
    <cfRule type="expression" dxfId="5429" priority="188">
      <formula>P$1=""</formula>
    </cfRule>
  </conditionalFormatting>
  <conditionalFormatting sqref="P88:AA106">
    <cfRule type="expression" dxfId="5428" priority="187">
      <formula>P$1=""</formula>
    </cfRule>
  </conditionalFormatting>
  <conditionalFormatting sqref="P90:P101">
    <cfRule type="expression" dxfId="5427" priority="186">
      <formula>AND($P$1=0,$H90&lt;MONTH($J$13))</formula>
    </cfRule>
  </conditionalFormatting>
  <conditionalFormatting sqref="Q90:AA101">
    <cfRule type="expression" dxfId="5426" priority="185">
      <formula>Q$1=""</formula>
    </cfRule>
  </conditionalFormatting>
  <conditionalFormatting sqref="P120:AA137 P150:AA151">
    <cfRule type="expression" dxfId="5425" priority="184">
      <formula>P$1=""</formula>
    </cfRule>
  </conditionalFormatting>
  <conditionalFormatting sqref="P120:AA137 P150:AA151">
    <cfRule type="expression" dxfId="5424" priority="183">
      <formula>P$1=""</formula>
    </cfRule>
  </conditionalFormatting>
  <conditionalFormatting sqref="P123:P134">
    <cfRule type="expression" dxfId="5423" priority="181">
      <formula>AND($P$1=0,$H123&lt;MONTH($J$13))</formula>
    </cfRule>
  </conditionalFormatting>
  <conditionalFormatting sqref="Q123:AA134">
    <cfRule type="expression" dxfId="5422" priority="180">
      <formula>Q$1=""</formula>
    </cfRule>
  </conditionalFormatting>
  <conditionalFormatting sqref="P136:AA137 P150:AA150">
    <cfRule type="expression" dxfId="5421" priority="179">
      <formula>P$1=""</formula>
    </cfRule>
  </conditionalFormatting>
  <conditionalFormatting sqref="P136:AA137 P150:AA150">
    <cfRule type="expression" dxfId="5420" priority="178">
      <formula>P$1=""</formula>
    </cfRule>
  </conditionalFormatting>
  <conditionalFormatting sqref="P155:AA170 P343:AA343">
    <cfRule type="expression" dxfId="5419" priority="175">
      <formula>P$1=""</formula>
    </cfRule>
  </conditionalFormatting>
  <conditionalFormatting sqref="P155:AA170 P343:AA343">
    <cfRule type="expression" dxfId="5418" priority="174">
      <formula>P$1=""</formula>
    </cfRule>
  </conditionalFormatting>
  <conditionalFormatting sqref="O154:AA154">
    <cfRule type="cellIs" dxfId="5417" priority="173" operator="equal">
      <formula>0</formula>
    </cfRule>
  </conditionalFormatting>
  <conditionalFormatting sqref="P154:AA154">
    <cfRule type="containsBlanks" dxfId="5416" priority="172">
      <formula>LEN(TRIM(P154))=0</formula>
    </cfRule>
  </conditionalFormatting>
  <conditionalFormatting sqref="P154:AA154">
    <cfRule type="expression" dxfId="5415" priority="171">
      <formula>P$1=""</formula>
    </cfRule>
  </conditionalFormatting>
  <conditionalFormatting sqref="P156:AA170">
    <cfRule type="expression" dxfId="5414" priority="170">
      <formula>P$1=""</formula>
    </cfRule>
  </conditionalFormatting>
  <conditionalFormatting sqref="P156:AA170">
    <cfRule type="expression" dxfId="5413" priority="169">
      <formula>P$1=""</formula>
    </cfRule>
  </conditionalFormatting>
  <conditionalFormatting sqref="Q158:AA169">
    <cfRule type="expression" dxfId="5412" priority="168">
      <formula>Q$1=""</formula>
    </cfRule>
  </conditionalFormatting>
  <conditionalFormatting sqref="A172:H172 A171:XFD171 K172:N172 A173:N173 O172:XFD173 A174:XFD203">
    <cfRule type="cellIs" dxfId="5411" priority="167" operator="equal">
      <formula>0</formula>
    </cfRule>
  </conditionalFormatting>
  <conditionalFormatting sqref="Q176:AA187">
    <cfRule type="expression" dxfId="5410" priority="166">
      <formula>Q$1=""</formula>
    </cfRule>
  </conditionalFormatting>
  <conditionalFormatting sqref="I172">
    <cfRule type="cellIs" dxfId="5409" priority="165" operator="equal">
      <formula>0</formula>
    </cfRule>
  </conditionalFormatting>
  <conditionalFormatting sqref="Q191:AA202">
    <cfRule type="expression" dxfId="5408" priority="163">
      <formula>Q$1=""</formula>
    </cfRule>
  </conditionalFormatting>
  <conditionalFormatting sqref="A205:H205 A204:XFD204 K205:XFD205 A208:XFD208 A224:XFD239 A241:XFD253 A240:G240 I240:XFD240">
    <cfRule type="cellIs" dxfId="5407" priority="162" operator="equal">
      <formula>0</formula>
    </cfRule>
  </conditionalFormatting>
  <conditionalFormatting sqref="Q226:AA237">
    <cfRule type="expression" dxfId="5406" priority="161">
      <formula>Q$1=""</formula>
    </cfRule>
  </conditionalFormatting>
  <conditionalFormatting sqref="I205">
    <cfRule type="cellIs" dxfId="5405" priority="160" operator="equal">
      <formula>0</formula>
    </cfRule>
  </conditionalFormatting>
  <conditionalFormatting sqref="Q241:AA252">
    <cfRule type="expression" dxfId="5404" priority="158">
      <formula>Q$1=""</formula>
    </cfRule>
  </conditionalFormatting>
  <conditionalFormatting sqref="A206:H206 K206:XFD206">
    <cfRule type="cellIs" dxfId="5403" priority="157" operator="equal">
      <formula>0</formula>
    </cfRule>
  </conditionalFormatting>
  <conditionalFormatting sqref="I206">
    <cfRule type="cellIs" dxfId="5402" priority="156" operator="equal">
      <formula>0</formula>
    </cfRule>
  </conditionalFormatting>
  <conditionalFormatting sqref="A207:H207 K207:XFD207">
    <cfRule type="cellIs" dxfId="5401" priority="154" operator="equal">
      <formula>0</formula>
    </cfRule>
  </conditionalFormatting>
  <conditionalFormatting sqref="I207:J207">
    <cfRule type="cellIs" dxfId="5400" priority="153" operator="equal">
      <formula>0</formula>
    </cfRule>
  </conditionalFormatting>
  <conditionalFormatting sqref="A209:XFD210 A223:XFD223 A211:L222 N211:XFD222">
    <cfRule type="cellIs" dxfId="5399" priority="152" operator="equal">
      <formula>0</formula>
    </cfRule>
  </conditionalFormatting>
  <conditionalFormatting sqref="P209:AA209">
    <cfRule type="expression" dxfId="5398" priority="151">
      <formula>P$1=""</formula>
    </cfRule>
  </conditionalFormatting>
  <conditionalFormatting sqref="P209:AA209">
    <cfRule type="expression" dxfId="5397" priority="150">
      <formula>P$1=""</formula>
    </cfRule>
  </conditionalFormatting>
  <conditionalFormatting sqref="P223:AA223">
    <cfRule type="expression" dxfId="5396" priority="149">
      <formula>P$1=""</formula>
    </cfRule>
  </conditionalFormatting>
  <conditionalFormatting sqref="P223:AA223">
    <cfRule type="expression" dxfId="5395" priority="148">
      <formula>P$1=""</formula>
    </cfRule>
  </conditionalFormatting>
  <conditionalFormatting sqref="A255:H255 A254:XFD254 K255:XFD255 A258:XFD259 A260:O273 AB260:XFD273">
    <cfRule type="cellIs" dxfId="5394" priority="146" operator="equal">
      <formula>0</formula>
    </cfRule>
  </conditionalFormatting>
  <conditionalFormatting sqref="I255">
    <cfRule type="cellIs" dxfId="5393" priority="144" operator="equal">
      <formula>0</formula>
    </cfRule>
  </conditionalFormatting>
  <conditionalFormatting sqref="A256:H256 K256:XFD256">
    <cfRule type="cellIs" dxfId="5392" priority="142" operator="equal">
      <formula>0</formula>
    </cfRule>
  </conditionalFormatting>
  <conditionalFormatting sqref="I256">
    <cfRule type="cellIs" dxfId="5391" priority="141" operator="equal">
      <formula>0</formula>
    </cfRule>
  </conditionalFormatting>
  <conditionalFormatting sqref="A257:H257 K257:XFD257">
    <cfRule type="cellIs" dxfId="5390" priority="139" operator="equal">
      <formula>0</formula>
    </cfRule>
  </conditionalFormatting>
  <conditionalFormatting sqref="I257:J257">
    <cfRule type="cellIs" dxfId="5389" priority="138" operator="equal">
      <formula>0</formula>
    </cfRule>
  </conditionalFormatting>
  <conditionalFormatting sqref="A276:O292 A306:XFD306 A293:G293 I293:O293 A294:O305 AB276:XFD305">
    <cfRule type="cellIs" dxfId="5388" priority="137" operator="equal">
      <formula>0</formula>
    </cfRule>
  </conditionalFormatting>
  <conditionalFormatting sqref="A275:H275 K275:O275 AB275:XFD275">
    <cfRule type="cellIs" dxfId="5387" priority="135" operator="equal">
      <formula>0</formula>
    </cfRule>
  </conditionalFormatting>
  <conditionalFormatting sqref="I275">
    <cfRule type="cellIs" dxfId="5386" priority="134" operator="equal">
      <formula>0</formula>
    </cfRule>
  </conditionalFormatting>
  <conditionalFormatting sqref="Q312:AA323">
    <cfRule type="expression" dxfId="5385" priority="127">
      <formula>Q$1=""</formula>
    </cfRule>
  </conditionalFormatting>
  <conditionalFormatting sqref="H240">
    <cfRule type="cellIs" dxfId="5384" priority="132" operator="equal">
      <formula>0</formula>
    </cfRule>
  </conditionalFormatting>
  <conditionalFormatting sqref="H293">
    <cfRule type="cellIs" dxfId="5383" priority="131" operator="equal">
      <formula>0</formula>
    </cfRule>
  </conditionalFormatting>
  <conditionalFormatting sqref="A308:H308 A307:XFD307 K308:N308 A309:N309 O308:XFD309 A310:XFD324">
    <cfRule type="cellIs" dxfId="5382" priority="128" operator="equal">
      <formula>0</formula>
    </cfRule>
  </conditionalFormatting>
  <conditionalFormatting sqref="Q330:AA341">
    <cfRule type="expression" dxfId="5381" priority="123">
      <formula>Q$1=""</formula>
    </cfRule>
  </conditionalFormatting>
  <conditionalFormatting sqref="A326:H326 A325:XFD325 K326:N326 A327:N327 O326:XFD327 A328:XFD342">
    <cfRule type="cellIs" dxfId="5380" priority="124" operator="equal">
      <formula>0</formula>
    </cfRule>
  </conditionalFormatting>
  <conditionalFormatting sqref="AB346:XFD346 A346:N346 A347:XFD347">
    <cfRule type="cellIs" dxfId="5379" priority="120" operator="equal">
      <formula>0</formula>
    </cfRule>
  </conditionalFormatting>
  <conditionalFormatting sqref="P347:AA347">
    <cfRule type="expression" dxfId="5378" priority="119">
      <formula>P$1=""</formula>
    </cfRule>
  </conditionalFormatting>
  <conditionalFormatting sqref="P347:AA347">
    <cfRule type="expression" dxfId="5377" priority="118">
      <formula>P$1=""</formula>
    </cfRule>
  </conditionalFormatting>
  <conditionalFormatting sqref="O346:AA346">
    <cfRule type="cellIs" dxfId="5376" priority="117" operator="equal">
      <formula>0</formula>
    </cfRule>
  </conditionalFormatting>
  <conditionalFormatting sqref="P346:AA346">
    <cfRule type="containsBlanks" dxfId="5375" priority="116">
      <formula>LEN(TRIM(P346))=0</formula>
    </cfRule>
  </conditionalFormatting>
  <conditionalFormatting sqref="P346:AA346">
    <cfRule type="expression" dxfId="5374" priority="115">
      <formula>P$1=""</formula>
    </cfRule>
  </conditionalFormatting>
  <conditionalFormatting sqref="P345:AA345">
    <cfRule type="expression" dxfId="5373" priority="114">
      <formula>P$1=""</formula>
    </cfRule>
  </conditionalFormatting>
  <conditionalFormatting sqref="P345:AA345">
    <cfRule type="expression" dxfId="5372" priority="113">
      <formula>P$1=""</formula>
    </cfRule>
  </conditionalFormatting>
  <conditionalFormatting sqref="P153:AA153">
    <cfRule type="expression" dxfId="5371" priority="112">
      <formula>P$1=""</formula>
    </cfRule>
  </conditionalFormatting>
  <conditionalFormatting sqref="P153:AA153">
    <cfRule type="expression" dxfId="5370" priority="111">
      <formula>P$1=""</formula>
    </cfRule>
  </conditionalFormatting>
  <conditionalFormatting sqref="A351:XFD351">
    <cfRule type="cellIs" dxfId="5369" priority="104" operator="equal">
      <formula>0</formula>
    </cfRule>
  </conditionalFormatting>
  <conditionalFormatting sqref="AB349:XFD349 A349:N349 A350:XFD350">
    <cfRule type="cellIs" dxfId="5368" priority="110" operator="equal">
      <formula>0</formula>
    </cfRule>
  </conditionalFormatting>
  <conditionalFormatting sqref="P350:AA350">
    <cfRule type="expression" dxfId="5367" priority="109">
      <formula>P$1=""</formula>
    </cfRule>
  </conditionalFormatting>
  <conditionalFormatting sqref="P350:AA350">
    <cfRule type="expression" dxfId="5366" priority="108">
      <formula>P$1=""</formula>
    </cfRule>
  </conditionalFormatting>
  <conditionalFormatting sqref="A354:XFD354">
    <cfRule type="cellIs" dxfId="5365" priority="97" operator="equal">
      <formula>0</formula>
    </cfRule>
  </conditionalFormatting>
  <conditionalFormatting sqref="AB352:XFD352 A352:N352 A353:XFD353">
    <cfRule type="cellIs" dxfId="5364" priority="103" operator="equal">
      <formula>0</formula>
    </cfRule>
  </conditionalFormatting>
  <conditionalFormatting sqref="P353:AA353">
    <cfRule type="expression" dxfId="5363" priority="102">
      <formula>P$1=""</formula>
    </cfRule>
  </conditionalFormatting>
  <conditionalFormatting sqref="P353:AA353">
    <cfRule type="expression" dxfId="5362" priority="101">
      <formula>P$1=""</formula>
    </cfRule>
  </conditionalFormatting>
  <conditionalFormatting sqref="A357:XFD357">
    <cfRule type="cellIs" dxfId="5361" priority="90" operator="equal">
      <formula>0</formula>
    </cfRule>
  </conditionalFormatting>
  <conditionalFormatting sqref="AB355:XFD355 A355:N355 A356:XFD356">
    <cfRule type="cellIs" dxfId="5360" priority="96" operator="equal">
      <formula>0</formula>
    </cfRule>
  </conditionalFormatting>
  <conditionalFormatting sqref="P356:AA356">
    <cfRule type="expression" dxfId="5359" priority="95">
      <formula>P$1=""</formula>
    </cfRule>
  </conditionalFormatting>
  <conditionalFormatting sqref="P356:AA356">
    <cfRule type="expression" dxfId="5358" priority="94">
      <formula>P$1=""</formula>
    </cfRule>
  </conditionalFormatting>
  <conditionalFormatting sqref="A360:XFD360">
    <cfRule type="cellIs" dxfId="5357" priority="83" operator="equal">
      <formula>0</formula>
    </cfRule>
  </conditionalFormatting>
  <conditionalFormatting sqref="AB358:XFD358 A358:N358 A359:XFD359">
    <cfRule type="cellIs" dxfId="5356" priority="89" operator="equal">
      <formula>0</formula>
    </cfRule>
  </conditionalFormatting>
  <conditionalFormatting sqref="P359:AA359">
    <cfRule type="expression" dxfId="5355" priority="88">
      <formula>P$1=""</formula>
    </cfRule>
  </conditionalFormatting>
  <conditionalFormatting sqref="P359:AA359">
    <cfRule type="expression" dxfId="5354" priority="87">
      <formula>P$1=""</formula>
    </cfRule>
  </conditionalFormatting>
  <conditionalFormatting sqref="A363:XFD363">
    <cfRule type="cellIs" dxfId="5353" priority="76" operator="equal">
      <formula>0</formula>
    </cfRule>
  </conditionalFormatting>
  <conditionalFormatting sqref="AB361:XFD361 A361:N361 A362:XFD362">
    <cfRule type="cellIs" dxfId="5352" priority="82" operator="equal">
      <formula>0</formula>
    </cfRule>
  </conditionalFormatting>
  <conditionalFormatting sqref="P362:AA362">
    <cfRule type="expression" dxfId="5351" priority="81">
      <formula>P$1=""</formula>
    </cfRule>
  </conditionalFormatting>
  <conditionalFormatting sqref="P362:AA362">
    <cfRule type="expression" dxfId="5350" priority="80">
      <formula>P$1=""</formula>
    </cfRule>
  </conditionalFormatting>
  <conditionalFormatting sqref="A366:XFD366">
    <cfRule type="cellIs" dxfId="5349" priority="69" operator="equal">
      <formula>0</formula>
    </cfRule>
  </conditionalFormatting>
  <conditionalFormatting sqref="AB364:XFD364 A364:N364 A365:XFD365">
    <cfRule type="cellIs" dxfId="5348" priority="75" operator="equal">
      <formula>0</formula>
    </cfRule>
  </conditionalFormatting>
  <conditionalFormatting sqref="P365:AA365">
    <cfRule type="expression" dxfId="5347" priority="74">
      <formula>P$1=""</formula>
    </cfRule>
  </conditionalFormatting>
  <conditionalFormatting sqref="P365:AA365">
    <cfRule type="expression" dxfId="5346" priority="73">
      <formula>P$1=""</formula>
    </cfRule>
  </conditionalFormatting>
  <conditionalFormatting sqref="AB367:XFD367 A367:N367 A368:XFD368">
    <cfRule type="cellIs" dxfId="5345" priority="68" operator="equal">
      <formula>0</formula>
    </cfRule>
  </conditionalFormatting>
  <conditionalFormatting sqref="P368:AA368">
    <cfRule type="expression" dxfId="5344" priority="67">
      <formula>P$1=""</formula>
    </cfRule>
  </conditionalFormatting>
  <conditionalFormatting sqref="P368:AA368">
    <cfRule type="expression" dxfId="5343" priority="66">
      <formula>P$1=""</formula>
    </cfRule>
  </conditionalFormatting>
  <conditionalFormatting sqref="A369:XFD369">
    <cfRule type="cellIs" dxfId="5342" priority="62" operator="equal">
      <formula>0</formula>
    </cfRule>
  </conditionalFormatting>
  <conditionalFormatting sqref="AB370:XFD370 A370:N370 A371:XFD371">
    <cfRule type="cellIs" dxfId="5341" priority="61" operator="equal">
      <formula>0</formula>
    </cfRule>
  </conditionalFormatting>
  <conditionalFormatting sqref="P371:AA371">
    <cfRule type="expression" dxfId="5340" priority="60">
      <formula>P$1=""</formula>
    </cfRule>
  </conditionalFormatting>
  <conditionalFormatting sqref="P371:AA371">
    <cfRule type="expression" dxfId="5339" priority="59">
      <formula>P$1=""</formula>
    </cfRule>
  </conditionalFormatting>
  <conditionalFormatting sqref="P375:P386">
    <cfRule type="expression" dxfId="5338" priority="55">
      <formula>AND($P$1=0,$H375&lt;MONTH($J$13))</formula>
    </cfRule>
  </conditionalFormatting>
  <conditionalFormatting sqref="Q375:AA386">
    <cfRule type="expression" dxfId="5337" priority="53">
      <formula>Q$1=""</formula>
    </cfRule>
  </conditionalFormatting>
  <conditionalFormatting sqref="A373:XFD402">
    <cfRule type="cellIs" dxfId="5336" priority="54" operator="equal">
      <formula>0</formula>
    </cfRule>
  </conditionalFormatting>
  <conditionalFormatting sqref="P390:P401">
    <cfRule type="expression" dxfId="5335" priority="52">
      <formula>AND($P$1=0,$H390&lt;MONTH($J$13))</formula>
    </cfRule>
  </conditionalFormatting>
  <conditionalFormatting sqref="Q390:AA401">
    <cfRule type="expression" dxfId="5334" priority="51">
      <formula>Q$1=""</formula>
    </cfRule>
  </conditionalFormatting>
  <conditionalFormatting sqref="P123">
    <cfRule type="expression" dxfId="5333" priority="50">
      <formula>AND($P$1=0,$H123&lt;MONTH($J$13))</formula>
    </cfRule>
  </conditionalFormatting>
  <conditionalFormatting sqref="C3:E6">
    <cfRule type="cellIs" dxfId="5332" priority="49" operator="equal">
      <formula>0</formula>
    </cfRule>
  </conditionalFormatting>
  <conditionalFormatting sqref="J36:J38">
    <cfRule type="cellIs" dxfId="5331" priority="47" operator="equal">
      <formula>0</formula>
    </cfRule>
  </conditionalFormatting>
  <conditionalFormatting sqref="J36:J38">
    <cfRule type="containsBlanks" dxfId="5330" priority="48">
      <formula>LEN(TRIM(J36))=0</formula>
    </cfRule>
  </conditionalFormatting>
  <conditionalFormatting sqref="J75:J77">
    <cfRule type="cellIs" dxfId="5329" priority="45" operator="equal">
      <formula>0</formula>
    </cfRule>
  </conditionalFormatting>
  <conditionalFormatting sqref="J75:J77">
    <cfRule type="containsBlanks" dxfId="5328" priority="46">
      <formula>LEN(TRIM(J75))=0</formula>
    </cfRule>
  </conditionalFormatting>
  <conditionalFormatting sqref="M108:M119">
    <cfRule type="cellIs" dxfId="5327" priority="43" operator="equal">
      <formula>0</formula>
    </cfRule>
  </conditionalFormatting>
  <conditionalFormatting sqref="M108:M119">
    <cfRule type="containsBlanks" dxfId="5326" priority="44">
      <formula>LEN(TRIM(M108))=0</formula>
    </cfRule>
  </conditionalFormatting>
  <conditionalFormatting sqref="J172">
    <cfRule type="cellIs" dxfId="5325" priority="41" operator="equal">
      <formula>0</formula>
    </cfRule>
  </conditionalFormatting>
  <conditionalFormatting sqref="J172">
    <cfRule type="containsBlanks" dxfId="5324" priority="42">
      <formula>LEN(TRIM(J172))=0</formula>
    </cfRule>
  </conditionalFormatting>
  <conditionalFormatting sqref="J205:J206">
    <cfRule type="cellIs" dxfId="5323" priority="39" operator="equal">
      <formula>0</formula>
    </cfRule>
  </conditionalFormatting>
  <conditionalFormatting sqref="J205:J206">
    <cfRule type="containsBlanks" dxfId="5322" priority="40">
      <formula>LEN(TRIM(J205))=0</formula>
    </cfRule>
  </conditionalFormatting>
  <conditionalFormatting sqref="M211:M222">
    <cfRule type="cellIs" dxfId="5321" priority="37" operator="equal">
      <formula>0</formula>
    </cfRule>
  </conditionalFormatting>
  <conditionalFormatting sqref="M211:M222">
    <cfRule type="containsBlanks" dxfId="5320" priority="38">
      <formula>LEN(TRIM(M211))=0</formula>
    </cfRule>
  </conditionalFormatting>
  <conditionalFormatting sqref="J255:J256">
    <cfRule type="cellIs" dxfId="5319" priority="35" operator="equal">
      <formula>0</formula>
    </cfRule>
  </conditionalFormatting>
  <conditionalFormatting sqref="J255:J256">
    <cfRule type="containsBlanks" dxfId="5318" priority="36">
      <formula>LEN(TRIM(J255))=0</formula>
    </cfRule>
  </conditionalFormatting>
  <conditionalFormatting sqref="J275">
    <cfRule type="cellIs" dxfId="5317" priority="33" operator="equal">
      <formula>0</formula>
    </cfRule>
  </conditionalFormatting>
  <conditionalFormatting sqref="J275">
    <cfRule type="containsBlanks" dxfId="5316" priority="34">
      <formula>LEN(TRIM(J275))=0</formula>
    </cfRule>
  </conditionalFormatting>
  <conditionalFormatting sqref="I308">
    <cfRule type="cellIs" dxfId="5315" priority="32" operator="equal">
      <formula>0</formula>
    </cfRule>
  </conditionalFormatting>
  <conditionalFormatting sqref="J308">
    <cfRule type="cellIs" dxfId="5314" priority="30" operator="equal">
      <formula>0</formula>
    </cfRule>
  </conditionalFormatting>
  <conditionalFormatting sqref="J308">
    <cfRule type="containsBlanks" dxfId="5313" priority="31">
      <formula>LEN(TRIM(J308))=0</formula>
    </cfRule>
  </conditionalFormatting>
  <conditionalFormatting sqref="I326">
    <cfRule type="cellIs" dxfId="5312" priority="29" operator="equal">
      <formula>0</formula>
    </cfRule>
  </conditionalFormatting>
  <conditionalFormatting sqref="J326">
    <cfRule type="cellIs" dxfId="5311" priority="27" operator="equal">
      <formula>0</formula>
    </cfRule>
  </conditionalFormatting>
  <conditionalFormatting sqref="J326">
    <cfRule type="containsBlanks" dxfId="5310" priority="28">
      <formula>LEN(TRIM(J326))=0</formula>
    </cfRule>
  </conditionalFormatting>
  <conditionalFormatting sqref="O370:AA370 O367:AA367 O364:AA364 O361:AA361 O358:AA358 O355:AA355 O352:AA352 O349:AA349">
    <cfRule type="cellIs" dxfId="5309" priority="26" operator="equal">
      <formula>0</formula>
    </cfRule>
  </conditionalFormatting>
  <conditionalFormatting sqref="P370:AA370 P367:AA367 P364:AA364 P361:AA361 P358:AA358 P355:AA355 P352:AA352 P349:AA349">
    <cfRule type="containsBlanks" dxfId="5308" priority="25">
      <formula>LEN(TRIM(P349))=0</formula>
    </cfRule>
  </conditionalFormatting>
  <conditionalFormatting sqref="P370:AA370 P367:AA367 P364:AA364 P361:AA361 P358:AA358 P355:AA355 P352:AA352 P349:AA349">
    <cfRule type="expression" dxfId="5307" priority="24">
      <formula>P$1=""</formula>
    </cfRule>
  </conditionalFormatting>
  <conditionalFormatting sqref="A1:D1">
    <cfRule type="cellIs" dxfId="5306" priority="23" operator="equal">
      <formula>0</formula>
    </cfRule>
  </conditionalFormatting>
  <conditionalFormatting sqref="P138:AA149">
    <cfRule type="cellIs" dxfId="5305" priority="22" operator="equal">
      <formula>0</formula>
    </cfRule>
  </conditionalFormatting>
  <conditionalFormatting sqref="P138:AA149">
    <cfRule type="expression" dxfId="5304" priority="21">
      <formula>P$1=""</formula>
    </cfRule>
  </conditionalFormatting>
  <conditionalFormatting sqref="P138:AA149">
    <cfRule type="expression" dxfId="5303" priority="20">
      <formula>P$1=""</formula>
    </cfRule>
  </conditionalFormatting>
  <conditionalFormatting sqref="P138:AA149">
    <cfRule type="expression" dxfId="5302" priority="19">
      <formula>P$1=""</formula>
    </cfRule>
  </conditionalFormatting>
  <conditionalFormatting sqref="P138:AA149">
    <cfRule type="expression" dxfId="5301" priority="18">
      <formula>P$1=""</formula>
    </cfRule>
  </conditionalFormatting>
  <conditionalFormatting sqref="P138:AA149">
    <cfRule type="expression" dxfId="5300" priority="17">
      <formula>AND($P$1=0,$H138&lt;MONTH($J$13))</formula>
    </cfRule>
  </conditionalFormatting>
  <conditionalFormatting sqref="P274:AA274">
    <cfRule type="cellIs" dxfId="5299" priority="16" operator="equal">
      <formula>0</formula>
    </cfRule>
  </conditionalFormatting>
  <conditionalFormatting sqref="P261:AA272 P279:AA290 P294:AA305">
    <cfRule type="expression" dxfId="5298" priority="15">
      <formula>AND($P$1=0,$H261&lt;MONTH($J$13))</formula>
    </cfRule>
  </conditionalFormatting>
  <conditionalFormatting sqref="P274:AA274">
    <cfRule type="expression" dxfId="5297" priority="14">
      <formula>P$1=""</formula>
    </cfRule>
  </conditionalFormatting>
  <conditionalFormatting sqref="P274:AA274">
    <cfRule type="expression" dxfId="5296" priority="13">
      <formula>P$1=""</formula>
    </cfRule>
  </conditionalFormatting>
  <conditionalFormatting sqref="P274:AA274">
    <cfRule type="expression" dxfId="5295" priority="12">
      <formula>P$1=""</formula>
    </cfRule>
  </conditionalFormatting>
  <conditionalFormatting sqref="P274:AA274">
    <cfRule type="expression" dxfId="5294" priority="11">
      <formula>P$1=""</formula>
    </cfRule>
  </conditionalFormatting>
  <conditionalFormatting sqref="P260:AA273">
    <cfRule type="cellIs" dxfId="5293" priority="10" operator="equal">
      <formula>0</formula>
    </cfRule>
  </conditionalFormatting>
  <conditionalFormatting sqref="Q261:AA272">
    <cfRule type="expression" dxfId="5292" priority="9">
      <formula>Q$1=""</formula>
    </cfRule>
  </conditionalFormatting>
  <conditionalFormatting sqref="P276:AA293">
    <cfRule type="cellIs" dxfId="5291" priority="8" operator="equal">
      <formula>0</formula>
    </cfRule>
  </conditionalFormatting>
  <conditionalFormatting sqref="Q279:AA290">
    <cfRule type="expression" dxfId="5290" priority="7">
      <formula>Q$1=""</formula>
    </cfRule>
  </conditionalFormatting>
  <conditionalFormatting sqref="P275:AA275">
    <cfRule type="cellIs" dxfId="5289" priority="6" operator="equal">
      <formula>0</formula>
    </cfRule>
  </conditionalFormatting>
  <conditionalFormatting sqref="P294:AA305">
    <cfRule type="cellIs" dxfId="5288" priority="5" operator="equal">
      <formula>0</formula>
    </cfRule>
  </conditionalFormatting>
  <conditionalFormatting sqref="Q294:AA305">
    <cfRule type="expression" dxfId="5287" priority="4">
      <formula>Q$1=""</formula>
    </cfRule>
  </conditionalFormatting>
  <conditionalFormatting sqref="P279:AA290">
    <cfRule type="cellIs" dxfId="5286" priority="3" operator="equal">
      <formula>0</formula>
    </cfRule>
  </conditionalFormatting>
  <conditionalFormatting sqref="P294:AA305">
    <cfRule type="cellIs" dxfId="5285" priority="2" operator="equal">
      <formula>0</formula>
    </cfRule>
  </conditionalFormatting>
  <conditionalFormatting sqref="P294:AA305">
    <cfRule type="cellIs" dxfId="5284" priority="1" operator="equal">
      <formula>0</formula>
    </cfRule>
  </conditionalFormatting>
  <hyperlinks>
    <hyperlink ref="A1:D1" location="оглавление!A1" tooltip="оглавление" display="оглавление"/>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B331"/>
  <sheetViews>
    <sheetView workbookViewId="0">
      <pane xSplit="14" ySplit="10" topLeftCell="O11" activePane="bottomRight" state="frozen"/>
      <selection pane="topRight" activeCell="O1" sqref="O1"/>
      <selection pane="bottomLeft" activeCell="A11" sqref="A11"/>
      <selection pane="bottomRight" activeCell="A12" sqref="A12"/>
    </sheetView>
  </sheetViews>
  <sheetFormatPr defaultColWidth="9.109375" defaultRowHeight="12" x14ac:dyDescent="0.25"/>
  <cols>
    <col min="1" max="1" width="2.6640625" style="151" customWidth="1"/>
    <col min="2" max="2" width="2.6640625" style="133" customWidth="1"/>
    <col min="3" max="3" width="2.6640625" style="1" customWidth="1"/>
    <col min="4" max="4" width="4"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tr">
        <f>опер1!$M$1</f>
        <v>№года</v>
      </c>
      <c r="N1" s="42"/>
      <c r="O1" s="42"/>
      <c r="P1" s="43">
        <f>опер1!P1</f>
        <v>1</v>
      </c>
      <c r="Q1" s="43">
        <f>опер1!Q1</f>
        <v>2</v>
      </c>
      <c r="R1" s="43">
        <f>опер1!R1</f>
        <v>3</v>
      </c>
      <c r="S1" s="43">
        <f>опер1!S1</f>
        <v>4</v>
      </c>
      <c r="T1" s="43">
        <f>опер1!T1</f>
        <v>5</v>
      </c>
      <c r="U1" s="43">
        <f>опер1!U1</f>
        <v>6</v>
      </c>
      <c r="V1" s="43">
        <f>опер1!V1</f>
        <v>7</v>
      </c>
      <c r="W1" s="43" t="str">
        <f>опер1!W1</f>
        <v/>
      </c>
      <c r="X1" s="43" t="str">
        <f>опер1!X1</f>
        <v/>
      </c>
      <c r="Y1" s="43" t="str">
        <f>опер1!Y1</f>
        <v/>
      </c>
      <c r="Z1" s="43" t="str">
        <f>опер1!Z1</f>
        <v/>
      </c>
      <c r="AA1" s="43" t="str">
        <f>опер1!AA1</f>
        <v/>
      </c>
      <c r="AB1" s="2"/>
    </row>
    <row r="2" spans="1:28" x14ac:dyDescent="0.25">
      <c r="A2" s="149"/>
      <c r="B2" s="131"/>
      <c r="C2" s="2"/>
      <c r="D2" s="2"/>
      <c r="E2" s="2"/>
      <c r="F2" s="2"/>
      <c r="G2" s="2"/>
      <c r="H2" s="2"/>
      <c r="I2" s="28"/>
      <c r="J2" s="2"/>
      <c r="K2" s="28"/>
      <c r="L2" s="2"/>
      <c r="M2" s="52"/>
      <c r="N2" s="2"/>
      <c r="O2" s="2"/>
      <c r="P2" s="194">
        <v>1</v>
      </c>
      <c r="Q2" s="195">
        <f>P2+1</f>
        <v>2</v>
      </c>
      <c r="R2" s="195">
        <f t="shared" ref="R2:AA2" si="0">Q2+1</f>
        <v>3</v>
      </c>
      <c r="S2" s="195">
        <f t="shared" si="0"/>
        <v>4</v>
      </c>
      <c r="T2" s="195">
        <f t="shared" si="0"/>
        <v>5</v>
      </c>
      <c r="U2" s="195">
        <f t="shared" si="0"/>
        <v>6</v>
      </c>
      <c r="V2" s="195">
        <f t="shared" si="0"/>
        <v>7</v>
      </c>
      <c r="W2" s="195">
        <f t="shared" si="0"/>
        <v>8</v>
      </c>
      <c r="X2" s="195">
        <f t="shared" si="0"/>
        <v>9</v>
      </c>
      <c r="Y2" s="195">
        <f t="shared" si="0"/>
        <v>10</v>
      </c>
      <c r="Z2" s="195">
        <f t="shared" si="0"/>
        <v>11</v>
      </c>
      <c r="AA2" s="195">
        <f t="shared" si="0"/>
        <v>12</v>
      </c>
      <c r="AB2" s="2"/>
    </row>
    <row r="3" spans="1:28" x14ac:dyDescent="0.25">
      <c r="A3" s="149"/>
      <c r="B3" s="131"/>
      <c r="C3" s="89" t="str">
        <f>методология!$E$4</f>
        <v>Инвестмодель базы отдыха - Беседки &amp; Веревочный парк</v>
      </c>
      <c r="D3" s="20"/>
      <c r="E3" s="20"/>
      <c r="F3" s="2"/>
      <c r="G3" s="2"/>
      <c r="H3" s="2"/>
      <c r="I3" s="28"/>
      <c r="J3" s="2"/>
      <c r="K3" s="28"/>
      <c r="L3" s="2"/>
      <c r="M3" s="52"/>
      <c r="N3" s="2"/>
      <c r="O3" s="2"/>
      <c r="P3" s="2"/>
      <c r="Q3" s="2"/>
      <c r="R3" s="2"/>
      <c r="S3" s="2"/>
      <c r="T3" s="2"/>
      <c r="U3" s="2"/>
      <c r="V3" s="2"/>
      <c r="W3" s="2"/>
      <c r="X3" s="2"/>
      <c r="Y3" s="2"/>
      <c r="Z3" s="2"/>
      <c r="AA3" s="2"/>
      <c r="AB3" s="2"/>
    </row>
    <row r="4" spans="1:28" x14ac:dyDescent="0.25">
      <c r="A4" s="149"/>
      <c r="B4" s="131"/>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149"/>
      <c r="B5" s="131"/>
      <c r="C5" s="2"/>
      <c r="D5" s="2"/>
      <c r="E5" s="2"/>
      <c r="F5" s="2"/>
      <c r="G5" s="2"/>
      <c r="H5" s="2"/>
      <c r="I5" s="28"/>
      <c r="J5" s="2"/>
      <c r="K5" s="28"/>
      <c r="L5" s="2"/>
      <c r="M5" s="52"/>
      <c r="N5" s="2"/>
      <c r="O5" s="2"/>
      <c r="P5" s="2"/>
      <c r="Q5" s="2"/>
      <c r="R5" s="2"/>
      <c r="S5" s="2"/>
      <c r="T5" s="2"/>
      <c r="U5" s="2"/>
      <c r="V5" s="2"/>
      <c r="W5" s="2"/>
      <c r="X5" s="2"/>
      <c r="Y5" s="2"/>
      <c r="Z5" s="2"/>
      <c r="AA5" s="2"/>
      <c r="AB5" s="2"/>
    </row>
    <row r="6" spans="1:28" x14ac:dyDescent="0.25">
      <c r="A6" s="149"/>
      <c r="B6" s="131"/>
      <c r="C6" s="225" t="s">
        <v>306</v>
      </c>
      <c r="D6" s="210"/>
      <c r="E6" s="226"/>
      <c r="F6" s="2"/>
      <c r="G6" s="104" t="str">
        <f>сценарии!$J$4</f>
        <v>сценарий-1</v>
      </c>
      <c r="H6" s="2"/>
      <c r="I6" s="28"/>
      <c r="J6" s="2"/>
      <c r="K6" s="28"/>
      <c r="L6" s="2"/>
      <c r="M6" s="52"/>
      <c r="N6" s="2"/>
      <c r="O6" s="2"/>
      <c r="P6" s="96" t="str">
        <f>опер1!P6</f>
        <v>2022г.</v>
      </c>
      <c r="Q6" s="96" t="str">
        <f>опер1!Q6</f>
        <v>2023г.</v>
      </c>
      <c r="R6" s="96" t="str">
        <f>опер1!R6</f>
        <v>2024г.</v>
      </c>
      <c r="S6" s="96" t="str">
        <f>опер1!S6</f>
        <v>2025г.</v>
      </c>
      <c r="T6" s="96" t="str">
        <f>опер1!T6</f>
        <v>2026г.</v>
      </c>
      <c r="U6" s="96" t="str">
        <f>опер1!U6</f>
        <v>2027г.</v>
      </c>
      <c r="V6" s="96" t="str">
        <f>опер1!V6</f>
        <v>2028г.</v>
      </c>
      <c r="W6" s="96" t="str">
        <f>опер1!W6</f>
        <v/>
      </c>
      <c r="X6" s="96" t="str">
        <f>опер1!X6</f>
        <v/>
      </c>
      <c r="Y6" s="96" t="str">
        <f>опер1!Y6</f>
        <v/>
      </c>
      <c r="Z6" s="96" t="str">
        <f>опер1!Z6</f>
        <v/>
      </c>
      <c r="AA6" s="96" t="str">
        <f>опер1!AA6</f>
        <v/>
      </c>
      <c r="AB6" s="2"/>
    </row>
    <row r="7" spans="1:28" ht="12.6" thickBot="1" x14ac:dyDescent="0.3">
      <c r="A7" s="149"/>
      <c r="B7" s="182" t="s">
        <v>285</v>
      </c>
      <c r="C7" s="2"/>
      <c r="D7" s="2"/>
      <c r="E7" s="2"/>
      <c r="F7" s="2"/>
      <c r="G7" s="2"/>
      <c r="H7" s="2"/>
      <c r="I7" s="28"/>
      <c r="J7" s="2"/>
      <c r="K7" s="28"/>
      <c r="L7" s="2"/>
      <c r="M7" s="52"/>
      <c r="N7" s="2"/>
      <c r="O7" s="2"/>
      <c r="P7" s="94">
        <f>опер1!P7</f>
        <v>44562</v>
      </c>
      <c r="Q7" s="94">
        <f>опер1!Q7</f>
        <v>44927</v>
      </c>
      <c r="R7" s="94">
        <f>опер1!R7</f>
        <v>45292</v>
      </c>
      <c r="S7" s="94">
        <f>опер1!S7</f>
        <v>45658</v>
      </c>
      <c r="T7" s="94">
        <f>опер1!T7</f>
        <v>46023</v>
      </c>
      <c r="U7" s="94">
        <f>опер1!U7</f>
        <v>46388</v>
      </c>
      <c r="V7" s="94">
        <f>опер1!V7</f>
        <v>46753</v>
      </c>
      <c r="W7" s="94" t="str">
        <f>опер1!W7</f>
        <v/>
      </c>
      <c r="X7" s="94" t="str">
        <f>опер1!X7</f>
        <v/>
      </c>
      <c r="Y7" s="94" t="str">
        <f>опер1!Y7</f>
        <v/>
      </c>
      <c r="Z7" s="94" t="str">
        <f>опер1!Z7</f>
        <v/>
      </c>
      <c r="AA7" s="94" t="str">
        <f>опер1!AA7</f>
        <v/>
      </c>
      <c r="AB7" s="2"/>
    </row>
    <row r="8" spans="1:28" s="5" customFormat="1" ht="12.6" thickBot="1" x14ac:dyDescent="0.3">
      <c r="A8" s="150">
        <f>1</f>
        <v>1</v>
      </c>
      <c r="B8" s="152"/>
      <c r="C8" s="3"/>
      <c r="D8" s="3"/>
      <c r="E8" s="3" t="str">
        <f>KPI!$E$8</f>
        <v>KPI</v>
      </c>
      <c r="F8" s="3"/>
      <c r="G8" s="28" t="str">
        <f>KPI!$G$8</f>
        <v>ед.изм.</v>
      </c>
      <c r="H8" s="3"/>
      <c r="I8" s="28"/>
      <c r="J8" s="3"/>
      <c r="K8" s="28"/>
      <c r="L8" s="3"/>
      <c r="M8" s="53" t="str">
        <f>опер1!M8</f>
        <v>итого</v>
      </c>
      <c r="N8" s="3"/>
      <c r="O8" s="3"/>
      <c r="P8" s="95">
        <f>опер1!P8</f>
        <v>44926</v>
      </c>
      <c r="Q8" s="95">
        <f>опер1!Q8</f>
        <v>45291</v>
      </c>
      <c r="R8" s="95">
        <f>опер1!R8</f>
        <v>45657</v>
      </c>
      <c r="S8" s="95">
        <f>опер1!S8</f>
        <v>46022</v>
      </c>
      <c r="T8" s="95">
        <f>опер1!T8</f>
        <v>46387</v>
      </c>
      <c r="U8" s="95">
        <f>опер1!U8</f>
        <v>46752</v>
      </c>
      <c r="V8" s="95">
        <f>опер1!V8</f>
        <v>47118</v>
      </c>
      <c r="W8" s="95" t="str">
        <f>опер1!W8</f>
        <v/>
      </c>
      <c r="X8" s="95" t="str">
        <f>опер1!X8</f>
        <v/>
      </c>
      <c r="Y8" s="95" t="str">
        <f>опер1!Y8</f>
        <v/>
      </c>
      <c r="Z8" s="95" t="str">
        <f>опер1!Z8</f>
        <v/>
      </c>
      <c r="AA8" s="95" t="str">
        <f>опер1!AA8</f>
        <v/>
      </c>
      <c r="AB8" s="3"/>
    </row>
    <row r="9" spans="1:28" ht="3.9" customHeight="1" x14ac:dyDescent="0.25">
      <c r="A9" s="149">
        <f>1</f>
        <v>1</v>
      </c>
      <c r="B9" s="131"/>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customHeight="1" x14ac:dyDescent="0.25">
      <c r="A10" s="149">
        <f>1</f>
        <v>1</v>
      </c>
      <c r="B10" s="131"/>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x14ac:dyDescent="0.25">
      <c r="A11" s="150">
        <f>1</f>
        <v>1</v>
      </c>
      <c r="B11" s="131"/>
      <c r="C11" s="3"/>
      <c r="D11" s="3"/>
      <c r="E11" s="3"/>
      <c r="F11" s="3"/>
      <c r="G11" s="3"/>
      <c r="H11" s="3"/>
      <c r="I11" s="28"/>
      <c r="J11" s="3"/>
      <c r="K11" s="28"/>
      <c r="L11" s="3"/>
      <c r="M11" s="55"/>
      <c r="N11" s="3"/>
      <c r="O11" s="3"/>
      <c r="P11" s="46"/>
      <c r="Q11" s="46"/>
      <c r="R11" s="46"/>
      <c r="S11" s="46"/>
      <c r="T11" s="46"/>
      <c r="U11" s="46"/>
      <c r="V11" s="46"/>
      <c r="W11" s="46"/>
      <c r="X11" s="46"/>
      <c r="Y11" s="46"/>
      <c r="Z11" s="46"/>
      <c r="AA11" s="46"/>
      <c r="AB11" s="3"/>
    </row>
    <row r="12" spans="1:28" ht="3.9" customHeight="1" x14ac:dyDescent="0.25">
      <c r="A12" s="149">
        <f>1</f>
        <v>1</v>
      </c>
      <c r="B12" s="131"/>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x14ac:dyDescent="0.25">
      <c r="A13" s="150">
        <f>1</f>
        <v>1</v>
      </c>
      <c r="B13" s="131"/>
      <c r="C13" s="3"/>
      <c r="D13" s="3"/>
      <c r="E13" s="181" t="s">
        <v>274</v>
      </c>
      <c r="F13" s="3"/>
      <c r="G13" s="3"/>
      <c r="H13" s="3"/>
      <c r="I13" s="28"/>
      <c r="J13" s="3"/>
      <c r="K13" s="28"/>
      <c r="L13" s="3"/>
      <c r="M13" s="55"/>
      <c r="N13" s="3"/>
      <c r="O13" s="3"/>
      <c r="P13" s="46"/>
      <c r="Q13" s="46"/>
      <c r="R13" s="46"/>
      <c r="S13" s="46"/>
      <c r="T13" s="46"/>
      <c r="U13" s="46"/>
      <c r="V13" s="46"/>
      <c r="W13" s="46"/>
      <c r="X13" s="46"/>
      <c r="Y13" s="46"/>
      <c r="Z13" s="46"/>
      <c r="AA13" s="46"/>
      <c r="AB13" s="3"/>
    </row>
    <row r="14" spans="1:28" ht="8.1" customHeight="1" x14ac:dyDescent="0.25">
      <c r="A14" s="149">
        <f>1</f>
        <v>1</v>
      </c>
      <c r="B14" s="131"/>
      <c r="C14" s="2"/>
      <c r="D14" s="2"/>
      <c r="E14" s="2"/>
      <c r="F14" s="2"/>
      <c r="G14" s="2"/>
      <c r="H14" s="2"/>
      <c r="I14" s="28"/>
      <c r="J14" s="2"/>
      <c r="K14" s="28"/>
      <c r="L14" s="2"/>
      <c r="M14" s="52"/>
      <c r="N14" s="2"/>
      <c r="O14" s="2"/>
      <c r="P14" s="36"/>
      <c r="Q14" s="36"/>
      <c r="R14" s="36"/>
      <c r="S14" s="36"/>
      <c r="T14" s="36"/>
      <c r="U14" s="36"/>
      <c r="V14" s="36"/>
      <c r="W14" s="36"/>
      <c r="X14" s="36"/>
      <c r="Y14" s="36"/>
      <c r="Z14" s="36"/>
      <c r="AA14" s="36"/>
      <c r="AB14" s="2"/>
    </row>
    <row r="15" spans="1:28" ht="3.9" customHeight="1" x14ac:dyDescent="0.25">
      <c r="A15" s="149">
        <f>1</f>
        <v>1</v>
      </c>
      <c r="B15" s="131"/>
      <c r="C15" s="2"/>
      <c r="D15" s="2"/>
      <c r="E15" s="2"/>
      <c r="F15" s="2"/>
      <c r="G15" s="2"/>
      <c r="H15" s="2"/>
      <c r="I15" s="28"/>
      <c r="J15" s="2"/>
      <c r="K15" s="28"/>
      <c r="L15" s="2"/>
      <c r="M15" s="52"/>
      <c r="N15" s="2"/>
      <c r="O15" s="2"/>
      <c r="P15" s="36"/>
      <c r="Q15" s="36"/>
      <c r="R15" s="36"/>
      <c r="S15" s="36"/>
      <c r="T15" s="36"/>
      <c r="U15" s="36"/>
      <c r="V15" s="36"/>
      <c r="W15" s="36"/>
      <c r="X15" s="36"/>
      <c r="Y15" s="36"/>
      <c r="Z15" s="36"/>
      <c r="AA15" s="36"/>
      <c r="AB15" s="2"/>
    </row>
    <row r="16" spans="1:28" s="5" customFormat="1" x14ac:dyDescent="0.25">
      <c r="A16" s="150">
        <f>1</f>
        <v>1</v>
      </c>
      <c r="B16" s="132" t="str">
        <f>структура!$J$12</f>
        <v>ОСНО</v>
      </c>
      <c r="C16" s="3"/>
      <c r="D16" s="3"/>
      <c r="E16" s="89" t="str">
        <f>KPI!$E$74</f>
        <v>ВЫРУЧКА</v>
      </c>
      <c r="F16" s="89"/>
      <c r="G16" s="89" t="str">
        <f>IF($E16="","",INDEX(KPI!$G:$G,SUMIFS(KPI!$B:$B,KPI!$E:$E,$E16)))</f>
        <v>тыс.руб.</v>
      </c>
      <c r="H16" s="89"/>
      <c r="I16" s="90"/>
      <c r="J16" s="130" t="str">
        <f>структура!$AL$21</f>
        <v>Без НДС</v>
      </c>
      <c r="K16" s="90"/>
      <c r="L16" s="89"/>
      <c r="M16" s="92">
        <f>SUM($O16:$AB16)</f>
        <v>98640.375</v>
      </c>
      <c r="N16" s="3"/>
      <c r="O16" s="3"/>
      <c r="P16" s="93">
        <f>IF(P$1="",0,IF(1+опер1!P$346=0,0,(опер1!P$58+опер1!P$137)/(1+опер1!P$346)))</f>
        <v>11787.000961538461</v>
      </c>
      <c r="Q16" s="93">
        <f>IF(Q$1="",0,IF(1+опер1!Q$346=0,0,(опер1!Q$58+опер1!Q$137)/(1+опер1!Q$346)))</f>
        <v>12314.875961538462</v>
      </c>
      <c r="R16" s="93">
        <f>IF(R$1="",0,IF(1+опер1!R$346=0,0,(опер1!R$58+опер1!R$137)/(1+опер1!R$346)))</f>
        <v>13122.278846153848</v>
      </c>
      <c r="S16" s="93">
        <f>IF(S$1="",0,IF(1+опер1!S$346=0,0,(опер1!S$58+опер1!S$137)/(1+опер1!S$346)))</f>
        <v>13634.563461538462</v>
      </c>
      <c r="T16" s="93">
        <f>IF(T$1="",0,IF(1+опер1!T$346=0,0,(опер1!T$58+опер1!T$137)/(1+опер1!T$346)))</f>
        <v>14426.375961538464</v>
      </c>
      <c r="U16" s="93">
        <f>IF(U$1="",0,IF(1+опер1!U$346=0,0,(опер1!U$58+опер1!U$137)/(1+опер1!U$346)))</f>
        <v>15746.063461538464</v>
      </c>
      <c r="V16" s="93">
        <f>IF(V$1="",0,IF(1+опер1!V$346=0,0,(опер1!V$58+опер1!V$137)/(1+опер1!V$346)))</f>
        <v>17609.216346153844</v>
      </c>
      <c r="W16" s="93">
        <f>IF(W$1="",0,IF(1+опер1!W$346=0,0,(опер1!W$58+опер1!W$137)/(1+опер1!W$346)))</f>
        <v>0</v>
      </c>
      <c r="X16" s="93">
        <f>IF(X$1="",0,IF(1+опер1!X$346=0,0,(опер1!X$58+опер1!X$137)/(1+опер1!X$346)))</f>
        <v>0</v>
      </c>
      <c r="Y16" s="93">
        <f>IF(Y$1="",0,IF(1+опер1!Y$346=0,0,(опер1!Y$58+опер1!Y$137)/(1+опер1!Y$346)))</f>
        <v>0</v>
      </c>
      <c r="Z16" s="93">
        <f>IF(Z$1="",0,IF(1+опер1!Z$346=0,0,(опер1!Z$58+опер1!Z$137)/(1+опер1!Z$346)))</f>
        <v>0</v>
      </c>
      <c r="AA16" s="93">
        <f>IF(AA$1="",0,IF(1+опер1!AA$346=0,0,(опер1!AA$58+опер1!AA$137)/(1+опер1!AA$346)))</f>
        <v>0</v>
      </c>
      <c r="AB16" s="3"/>
    </row>
    <row r="17" spans="1:28" ht="3.9" customHeight="1" x14ac:dyDescent="0.25">
      <c r="A17" s="149">
        <f>1</f>
        <v>1</v>
      </c>
      <c r="B17" s="131"/>
      <c r="C17" s="2"/>
      <c r="D17" s="2"/>
      <c r="E17" s="2"/>
      <c r="F17" s="2"/>
      <c r="G17" s="2"/>
      <c r="H17" s="2"/>
      <c r="I17" s="28"/>
      <c r="J17" s="2"/>
      <c r="K17" s="28"/>
      <c r="L17" s="2"/>
      <c r="M17" s="52"/>
      <c r="N17" s="2"/>
      <c r="O17" s="2"/>
      <c r="P17" s="36"/>
      <c r="Q17" s="36"/>
      <c r="R17" s="36"/>
      <c r="S17" s="36"/>
      <c r="T17" s="36"/>
      <c r="U17" s="36"/>
      <c r="V17" s="36"/>
      <c r="W17" s="36"/>
      <c r="X17" s="36"/>
      <c r="Y17" s="36"/>
      <c r="Z17" s="36"/>
      <c r="AA17" s="36"/>
      <c r="AB17" s="2"/>
    </row>
    <row r="18" spans="1:28" s="5" customFormat="1" x14ac:dyDescent="0.25">
      <c r="A18" s="150">
        <f>1</f>
        <v>1</v>
      </c>
      <c r="B18" s="132" t="str">
        <f>структура!$J$13</f>
        <v>УСН(6%)</v>
      </c>
      <c r="C18" s="3"/>
      <c r="D18" s="3"/>
      <c r="E18" s="89" t="str">
        <f>E16</f>
        <v>ВЫРУЧКА</v>
      </c>
      <c r="F18" s="89"/>
      <c r="G18" s="89" t="str">
        <f>IF($E18="","",INDEX(KPI!$G:$G,SUMIFS(KPI!$B:$B,KPI!$E:$E,$E18)))</f>
        <v>тыс.руб.</v>
      </c>
      <c r="H18" s="89"/>
      <c r="I18" s="90"/>
      <c r="J18" s="130"/>
      <c r="K18" s="90"/>
      <c r="L18" s="89"/>
      <c r="M18" s="92">
        <f>SUM($O18:$AB18)</f>
        <v>118368.45000000001</v>
      </c>
      <c r="N18" s="3"/>
      <c r="O18" s="3"/>
      <c r="P18" s="93">
        <f>IF(P$1="",0,опер1!P$58+опер1!P$137)</f>
        <v>14144.401153846153</v>
      </c>
      <c r="Q18" s="93">
        <f>IF(Q$1="",0,опер1!Q$58+опер1!Q$137)</f>
        <v>14777.851153846153</v>
      </c>
      <c r="R18" s="93">
        <f>IF(R$1="",0,опер1!R$58+опер1!R$137)</f>
        <v>15746.734615384616</v>
      </c>
      <c r="S18" s="93">
        <f>IF(S$1="",0,опер1!S$58+опер1!S$137)</f>
        <v>16361.476153846153</v>
      </c>
      <c r="T18" s="93">
        <f>IF(T$1="",0,опер1!T$58+опер1!T$137)</f>
        <v>17311.651153846156</v>
      </c>
      <c r="U18" s="93">
        <f>IF(U$1="",0,опер1!U$58+опер1!U$137)</f>
        <v>18895.276153846156</v>
      </c>
      <c r="V18" s="93">
        <f>IF(V$1="",0,опер1!V$58+опер1!V$137)</f>
        <v>21131.059615384613</v>
      </c>
      <c r="W18" s="93">
        <f>IF(W$1="",0,опер1!W$58+опер1!W$137)</f>
        <v>0</v>
      </c>
      <c r="X18" s="93">
        <f>IF(X$1="",0,опер1!X$58+опер1!X$137)</f>
        <v>0</v>
      </c>
      <c r="Y18" s="93">
        <f>IF(Y$1="",0,опер1!Y$58+опер1!Y$137)</f>
        <v>0</v>
      </c>
      <c r="Z18" s="93">
        <f>IF(Z$1="",0,опер1!Z$58+опер1!Z$137)</f>
        <v>0</v>
      </c>
      <c r="AA18" s="93">
        <f>IF(AA$1="",0,опер1!AA$58+опер1!AA$137)</f>
        <v>0</v>
      </c>
      <c r="AB18" s="3"/>
    </row>
    <row r="19" spans="1:28" ht="3.9" customHeight="1" x14ac:dyDescent="0.25">
      <c r="A19" s="149">
        <f>1</f>
        <v>1</v>
      </c>
      <c r="B19" s="131"/>
      <c r="C19" s="2"/>
      <c r="D19" s="2"/>
      <c r="E19" s="2"/>
      <c r="F19" s="2"/>
      <c r="G19" s="2"/>
      <c r="H19" s="2"/>
      <c r="I19" s="28"/>
      <c r="J19" s="2"/>
      <c r="K19" s="28"/>
      <c r="L19" s="2"/>
      <c r="M19" s="52"/>
      <c r="N19" s="2"/>
      <c r="O19" s="2"/>
      <c r="P19" s="36"/>
      <c r="Q19" s="36"/>
      <c r="R19" s="36"/>
      <c r="S19" s="36"/>
      <c r="T19" s="36"/>
      <c r="U19" s="36"/>
      <c r="V19" s="36"/>
      <c r="W19" s="36"/>
      <c r="X19" s="36"/>
      <c r="Y19" s="36"/>
      <c r="Z19" s="36"/>
      <c r="AA19" s="36"/>
      <c r="AB19" s="2"/>
    </row>
    <row r="20" spans="1:28" s="5" customFormat="1" x14ac:dyDescent="0.25">
      <c r="A20" s="150">
        <f>1</f>
        <v>1</v>
      </c>
      <c r="B20" s="132" t="str">
        <f>структура!$J$14</f>
        <v>УСН(15%)</v>
      </c>
      <c r="C20" s="3"/>
      <c r="D20" s="3"/>
      <c r="E20" s="89" t="str">
        <f>E16</f>
        <v>ВЫРУЧКА</v>
      </c>
      <c r="F20" s="89"/>
      <c r="G20" s="89" t="str">
        <f>IF($E20="","",INDEX(KPI!$G:$G,SUMIFS(KPI!$B:$B,KPI!$E:$E,$E20)))</f>
        <v>тыс.руб.</v>
      </c>
      <c r="H20" s="89"/>
      <c r="I20" s="90"/>
      <c r="J20" s="130"/>
      <c r="K20" s="90"/>
      <c r="L20" s="89"/>
      <c r="M20" s="92">
        <f>SUM($O20:$AB20)</f>
        <v>118368.45000000001</v>
      </c>
      <c r="N20" s="3"/>
      <c r="O20" s="3"/>
      <c r="P20" s="93">
        <f>IF(P$1="",0,опер1!P$58+опер1!P$137)</f>
        <v>14144.401153846153</v>
      </c>
      <c r="Q20" s="93">
        <f>IF(Q$1="",0,опер1!Q$58+опер1!Q$137)</f>
        <v>14777.851153846153</v>
      </c>
      <c r="R20" s="93">
        <f>IF(R$1="",0,опер1!R$58+опер1!R$137)</f>
        <v>15746.734615384616</v>
      </c>
      <c r="S20" s="93">
        <f>IF(S$1="",0,опер1!S$58+опер1!S$137)</f>
        <v>16361.476153846153</v>
      </c>
      <c r="T20" s="93">
        <f>IF(T$1="",0,опер1!T$58+опер1!T$137)</f>
        <v>17311.651153846156</v>
      </c>
      <c r="U20" s="93">
        <f>IF(U$1="",0,опер1!U$58+опер1!U$137)</f>
        <v>18895.276153846156</v>
      </c>
      <c r="V20" s="93">
        <f>IF(V$1="",0,опер1!V$58+опер1!V$137)</f>
        <v>21131.059615384613</v>
      </c>
      <c r="W20" s="93">
        <f>IF(W$1="",0,опер1!W$58+опер1!W$137)</f>
        <v>0</v>
      </c>
      <c r="X20" s="93">
        <f>IF(X$1="",0,опер1!X$58+опер1!X$137)</f>
        <v>0</v>
      </c>
      <c r="Y20" s="93">
        <f>IF(Y$1="",0,опер1!Y$58+опер1!Y$137)</f>
        <v>0</v>
      </c>
      <c r="Z20" s="93">
        <f>IF(Z$1="",0,опер1!Z$58+опер1!Z$137)</f>
        <v>0</v>
      </c>
      <c r="AA20" s="93">
        <f>IF(AA$1="",0,опер1!AA$58+опер1!AA$137)</f>
        <v>0</v>
      </c>
      <c r="AB20" s="3"/>
    </row>
    <row r="21" spans="1:28" ht="3.9" customHeight="1" x14ac:dyDescent="0.25">
      <c r="A21" s="149">
        <f>1</f>
        <v>1</v>
      </c>
      <c r="B21" s="131"/>
      <c r="C21" s="2"/>
      <c r="D21" s="2"/>
      <c r="E21" s="2"/>
      <c r="F21" s="2"/>
      <c r="G21" s="2"/>
      <c r="H21" s="2"/>
      <c r="I21" s="28"/>
      <c r="J21" s="2"/>
      <c r="K21" s="28"/>
      <c r="L21" s="2"/>
      <c r="M21" s="52"/>
      <c r="N21" s="2"/>
      <c r="O21" s="2"/>
      <c r="P21" s="36"/>
      <c r="Q21" s="36"/>
      <c r="R21" s="36"/>
      <c r="S21" s="36"/>
      <c r="T21" s="36"/>
      <c r="U21" s="36"/>
      <c r="V21" s="36"/>
      <c r="W21" s="36"/>
      <c r="X21" s="36"/>
      <c r="Y21" s="36"/>
      <c r="Z21" s="36"/>
      <c r="AA21" s="36"/>
      <c r="AB21" s="2"/>
    </row>
    <row r="22" spans="1:28" s="5" customFormat="1" x14ac:dyDescent="0.25">
      <c r="A22" s="150">
        <f>1</f>
        <v>1</v>
      </c>
      <c r="B22" s="132" t="str">
        <f>структура!$J$15</f>
        <v>УСН(6%)-ИП</v>
      </c>
      <c r="C22" s="3"/>
      <c r="D22" s="3"/>
      <c r="E22" s="89" t="str">
        <f>E16</f>
        <v>ВЫРУЧКА</v>
      </c>
      <c r="F22" s="89"/>
      <c r="G22" s="89" t="str">
        <f>IF($E22="","",INDEX(KPI!$G:$G,SUMIFS(KPI!$B:$B,KPI!$E:$E,$E22)))</f>
        <v>тыс.руб.</v>
      </c>
      <c r="H22" s="89"/>
      <c r="I22" s="90"/>
      <c r="J22" s="130"/>
      <c r="K22" s="90"/>
      <c r="L22" s="89"/>
      <c r="M22" s="92">
        <f>SUM($O22:$AB22)</f>
        <v>118368.45000000001</v>
      </c>
      <c r="N22" s="3"/>
      <c r="O22" s="3"/>
      <c r="P22" s="93">
        <f>IF(P$1="",0,опер1!P$58+опер1!P$137)</f>
        <v>14144.401153846153</v>
      </c>
      <c r="Q22" s="93">
        <f>IF(Q$1="",0,опер1!Q$58+опер1!Q$137)</f>
        <v>14777.851153846153</v>
      </c>
      <c r="R22" s="93">
        <f>IF(R$1="",0,опер1!R$58+опер1!R$137)</f>
        <v>15746.734615384616</v>
      </c>
      <c r="S22" s="93">
        <f>IF(S$1="",0,опер1!S$58+опер1!S$137)</f>
        <v>16361.476153846153</v>
      </c>
      <c r="T22" s="93">
        <f>IF(T$1="",0,опер1!T$58+опер1!T$137)</f>
        <v>17311.651153846156</v>
      </c>
      <c r="U22" s="93">
        <f>IF(U$1="",0,опер1!U$58+опер1!U$137)</f>
        <v>18895.276153846156</v>
      </c>
      <c r="V22" s="93">
        <f>IF(V$1="",0,опер1!V$58+опер1!V$137)</f>
        <v>21131.059615384613</v>
      </c>
      <c r="W22" s="93">
        <f>IF(W$1="",0,опер1!W$58+опер1!W$137)</f>
        <v>0</v>
      </c>
      <c r="X22" s="93">
        <f>IF(X$1="",0,опер1!X$58+опер1!X$137)</f>
        <v>0</v>
      </c>
      <c r="Y22" s="93">
        <f>IF(Y$1="",0,опер1!Y$58+опер1!Y$137)</f>
        <v>0</v>
      </c>
      <c r="Z22" s="93">
        <f>IF(Z$1="",0,опер1!Z$58+опер1!Z$137)</f>
        <v>0</v>
      </c>
      <c r="AA22" s="93">
        <f>IF(AA$1="",0,опер1!AA$58+опер1!AA$137)</f>
        <v>0</v>
      </c>
      <c r="AB22" s="3"/>
    </row>
    <row r="23" spans="1:28" ht="3.9" customHeight="1" x14ac:dyDescent="0.25">
      <c r="A23" s="149">
        <f>1</f>
        <v>1</v>
      </c>
      <c r="B23" s="131"/>
      <c r="C23" s="2"/>
      <c r="D23" s="2"/>
      <c r="E23" s="117"/>
      <c r="F23" s="2"/>
      <c r="G23" s="117"/>
      <c r="H23" s="2"/>
      <c r="I23" s="28"/>
      <c r="J23" s="2"/>
      <c r="K23" s="28"/>
      <c r="L23" s="2"/>
      <c r="M23" s="138"/>
      <c r="N23" s="2"/>
      <c r="O23" s="2"/>
      <c r="P23" s="36"/>
      <c r="Q23" s="36"/>
      <c r="R23" s="36"/>
      <c r="S23" s="36"/>
      <c r="T23" s="36"/>
      <c r="U23" s="36"/>
      <c r="V23" s="36"/>
      <c r="W23" s="36"/>
      <c r="X23" s="36"/>
      <c r="Y23" s="36"/>
      <c r="Z23" s="36"/>
      <c r="AA23" s="36"/>
      <c r="AB23" s="2"/>
    </row>
    <row r="24" spans="1:28" ht="8.1" customHeight="1" x14ac:dyDescent="0.25">
      <c r="A24" s="149">
        <f>1</f>
        <v>1</v>
      </c>
      <c r="B24" s="131"/>
      <c r="C24" s="2"/>
      <c r="D24" s="2"/>
      <c r="E24" s="2"/>
      <c r="F24" s="2"/>
      <c r="G24" s="2"/>
      <c r="H24" s="2"/>
      <c r="I24" s="28"/>
      <c r="J24" s="2"/>
      <c r="K24" s="28"/>
      <c r="L24" s="2"/>
      <c r="M24" s="52"/>
      <c r="N24" s="2"/>
      <c r="O24" s="2"/>
      <c r="P24" s="36"/>
      <c r="Q24" s="36"/>
      <c r="R24" s="36"/>
      <c r="S24" s="36"/>
      <c r="T24" s="36"/>
      <c r="U24" s="36"/>
      <c r="V24" s="36"/>
      <c r="W24" s="36"/>
      <c r="X24" s="36"/>
      <c r="Y24" s="36"/>
      <c r="Z24" s="36"/>
      <c r="AA24" s="36"/>
      <c r="AB24" s="2"/>
    </row>
    <row r="25" spans="1:28" ht="3.9" customHeight="1" x14ac:dyDescent="0.25">
      <c r="A25" s="149">
        <f>1</f>
        <v>1</v>
      </c>
      <c r="B25" s="131"/>
      <c r="C25" s="2"/>
      <c r="D25" s="2"/>
      <c r="E25" s="2"/>
      <c r="F25" s="2"/>
      <c r="G25" s="2"/>
      <c r="H25" s="2"/>
      <c r="I25" s="28"/>
      <c r="J25" s="2"/>
      <c r="K25" s="28"/>
      <c r="L25" s="2"/>
      <c r="M25" s="52"/>
      <c r="N25" s="2"/>
      <c r="O25" s="2"/>
      <c r="P25" s="36"/>
      <c r="Q25" s="36"/>
      <c r="R25" s="36"/>
      <c r="S25" s="36"/>
      <c r="T25" s="36"/>
      <c r="U25" s="36"/>
      <c r="V25" s="36"/>
      <c r="W25" s="36"/>
      <c r="X25" s="36"/>
      <c r="Y25" s="36"/>
      <c r="Z25" s="36"/>
      <c r="AA25" s="36"/>
      <c r="AB25" s="2"/>
    </row>
    <row r="26" spans="1:28" s="5" customFormat="1" x14ac:dyDescent="0.25">
      <c r="A26" s="150">
        <f>1</f>
        <v>1</v>
      </c>
      <c r="B26" s="132" t="str">
        <f>структура!$J$12</f>
        <v>ОСНО</v>
      </c>
      <c r="C26" s="3"/>
      <c r="D26" s="3"/>
      <c r="E26" s="89" t="str">
        <f>KPI!$E$75</f>
        <v>ОПЕРАЦИОННЫЕ РАСХОДЫ</v>
      </c>
      <c r="F26" s="89"/>
      <c r="G26" s="89" t="str">
        <f>IF($E26="","",INDEX(KPI!$G:$G,SUMIFS(KPI!$B:$B,KPI!$E:$E,$E26)))</f>
        <v>тыс.руб.</v>
      </c>
      <c r="H26" s="89"/>
      <c r="I26" s="90"/>
      <c r="J26" s="130" t="str">
        <f>структура!$AL$21</f>
        <v>Без НДС</v>
      </c>
      <c r="K26" s="90"/>
      <c r="L26" s="89"/>
      <c r="M26" s="92">
        <f>SUM($O26:$AB26)</f>
        <v>50303.437057626819</v>
      </c>
      <c r="N26" s="3"/>
      <c r="O26" s="3"/>
      <c r="P26" s="93">
        <f>IF(P$1="",0,SUMIFS(P33:P$113,$B33:$B$113,$B26))</f>
        <v>7053.8736660620725</v>
      </c>
      <c r="Q26" s="93">
        <f>IF(Q$1="",0,SUMIFS(Q33:Q$113,$B33:$B$113,$B26))</f>
        <v>7133.0549160620722</v>
      </c>
      <c r="R26" s="93">
        <f>IF(R$1="",0,SUMIFS(R33:R$113,$B33:$B$113,$B26))</f>
        <v>7123.666360292842</v>
      </c>
      <c r="S26" s="93">
        <f>IF(S$1="",0,SUMIFS(S33:S$113,$B33:$B$113,$B26))</f>
        <v>7058.3167718313034</v>
      </c>
      <c r="T26" s="93">
        <f>IF(T$1="",0,SUMIFS(T33:T$113,$B33:$B$113,$B26))</f>
        <v>7161.2523968313035</v>
      </c>
      <c r="U26" s="93">
        <f>IF(U$1="",0,SUMIFS(U33:U$113,$B33:$B$113,$B26))</f>
        <v>7285.5735814466889</v>
      </c>
      <c r="V26" s="93">
        <f>IF(V$1="",0,SUMIFS(V33:V$113,$B33:$B$113,$B26))</f>
        <v>7487.6993651005332</v>
      </c>
      <c r="W26" s="93">
        <f>IF(W$1="",0,SUMIFS(W33:W$113,$B33:$B$113,$B26))</f>
        <v>0</v>
      </c>
      <c r="X26" s="93">
        <f>IF(X$1="",0,SUMIFS(X33:X$113,$B33:$B$113,$B26))</f>
        <v>0</v>
      </c>
      <c r="Y26" s="93">
        <f>IF(Y$1="",0,SUMIFS(Y33:Y$113,$B33:$B$113,$B26))</f>
        <v>0</v>
      </c>
      <c r="Z26" s="93">
        <f>IF(Z$1="",0,SUMIFS(Z33:Z$113,$B33:$B$113,$B26))</f>
        <v>0</v>
      </c>
      <c r="AA26" s="93">
        <f>IF(AA$1="",0,SUMIFS(AA33:AA$113,$B33:$B$113,$B26))</f>
        <v>0</v>
      </c>
      <c r="AB26" s="3"/>
    </row>
    <row r="27" spans="1:28" ht="3.9" customHeight="1" x14ac:dyDescent="0.25">
      <c r="A27" s="149">
        <f>1</f>
        <v>1</v>
      </c>
      <c r="B27" s="131"/>
      <c r="C27" s="2"/>
      <c r="D27" s="2"/>
      <c r="E27" s="2"/>
      <c r="F27" s="2"/>
      <c r="G27" s="2"/>
      <c r="H27" s="2"/>
      <c r="I27" s="28"/>
      <c r="J27" s="2"/>
      <c r="K27" s="28"/>
      <c r="L27" s="2"/>
      <c r="M27" s="52"/>
      <c r="N27" s="2"/>
      <c r="O27" s="2"/>
      <c r="P27" s="36"/>
      <c r="Q27" s="36"/>
      <c r="R27" s="36"/>
      <c r="S27" s="36"/>
      <c r="T27" s="36"/>
      <c r="U27" s="36"/>
      <c r="V27" s="36"/>
      <c r="W27" s="36"/>
      <c r="X27" s="36"/>
      <c r="Y27" s="36"/>
      <c r="Z27" s="36"/>
      <c r="AA27" s="36"/>
      <c r="AB27" s="2"/>
    </row>
    <row r="28" spans="1:28" s="5" customFormat="1" x14ac:dyDescent="0.25">
      <c r="A28" s="150">
        <f>1</f>
        <v>1</v>
      </c>
      <c r="B28" s="132" t="str">
        <f>структура!$J$13</f>
        <v>УСН(6%)</v>
      </c>
      <c r="C28" s="3"/>
      <c r="D28" s="3"/>
      <c r="E28" s="89" t="str">
        <f>E26</f>
        <v>ОПЕРАЦИОННЫЕ РАСХОДЫ</v>
      </c>
      <c r="F28" s="89"/>
      <c r="G28" s="89" t="str">
        <f>IF($E28="","",INDEX(KPI!$G:$G,SUMIFS(KPI!$B:$B,KPI!$E:$E,$E28)))</f>
        <v>тыс.руб.</v>
      </c>
      <c r="H28" s="89"/>
      <c r="I28" s="90"/>
      <c r="J28" s="130" t="str">
        <f>структура!$AL$21</f>
        <v>Без НДС</v>
      </c>
      <c r="K28" s="90"/>
      <c r="L28" s="89"/>
      <c r="M28" s="92">
        <f>SUM($O28:$AB28)</f>
        <v>56317.508469152184</v>
      </c>
      <c r="N28" s="3"/>
      <c r="O28" s="3"/>
      <c r="P28" s="93">
        <f>IF(P$1="",0,SUMIFS(P35:P$113,$B35:$B$113,$B28))</f>
        <v>7886.5603992744873</v>
      </c>
      <c r="Q28" s="93">
        <f>IF(Q$1="",0,SUMIFS(Q35:Q$113,$B35:$B$113,$B28))</f>
        <v>7981.5778992744872</v>
      </c>
      <c r="R28" s="93">
        <f>IF(R$1="",0,SUMIFS(R35:R$113,$B35:$B$113,$B28))</f>
        <v>7970.3116323514105</v>
      </c>
      <c r="S28" s="93">
        <f>IF(S$1="",0,SUMIFS(S35:S$113,$B35:$B$113,$B28))</f>
        <v>7891.8921261975647</v>
      </c>
      <c r="T28" s="93">
        <f>IF(T$1="",0,SUMIFS(T35:T$113,$B35:$B$113,$B28))</f>
        <v>8015.4148761975639</v>
      </c>
      <c r="U28" s="93">
        <f>IF(U$1="",0,SUMIFS(U35:U$113,$B35:$B$113,$B28))</f>
        <v>8164.6002977360267</v>
      </c>
      <c r="V28" s="93">
        <f>IF(V$1="",0,SUMIFS(V35:V$113,$B35:$B$113,$B28))</f>
        <v>8407.1512381206394</v>
      </c>
      <c r="W28" s="93">
        <f>IF(W$1="",0,SUMIFS(W35:W$113,$B35:$B$113,$B28))</f>
        <v>0</v>
      </c>
      <c r="X28" s="93">
        <f>IF(X$1="",0,SUMIFS(X35:X$113,$B35:$B$113,$B28))</f>
        <v>0</v>
      </c>
      <c r="Y28" s="93">
        <f>IF(Y$1="",0,SUMIFS(Y35:Y$113,$B35:$B$113,$B28))</f>
        <v>0</v>
      </c>
      <c r="Z28" s="93">
        <f>IF(Z$1="",0,SUMIFS(Z35:Z$113,$B35:$B$113,$B28))</f>
        <v>0</v>
      </c>
      <c r="AA28" s="93">
        <f>IF(AA$1="",0,SUMIFS(AA35:AA$113,$B35:$B$113,$B28))</f>
        <v>0</v>
      </c>
      <c r="AB28" s="3"/>
    </row>
    <row r="29" spans="1:28" ht="3.9" customHeight="1" x14ac:dyDescent="0.25">
      <c r="A29" s="149">
        <f>1</f>
        <v>1</v>
      </c>
      <c r="B29" s="131"/>
      <c r="C29" s="2"/>
      <c r="D29" s="2"/>
      <c r="E29" s="2"/>
      <c r="F29" s="2"/>
      <c r="G29" s="2"/>
      <c r="H29" s="2"/>
      <c r="I29" s="28"/>
      <c r="J29" s="2"/>
      <c r="K29" s="28"/>
      <c r="L29" s="2"/>
      <c r="M29" s="52"/>
      <c r="N29" s="2"/>
      <c r="O29" s="2"/>
      <c r="P29" s="36"/>
      <c r="Q29" s="36"/>
      <c r="R29" s="36"/>
      <c r="S29" s="36"/>
      <c r="T29" s="36"/>
      <c r="U29" s="36"/>
      <c r="V29" s="36"/>
      <c r="W29" s="36"/>
      <c r="X29" s="36"/>
      <c r="Y29" s="36"/>
      <c r="Z29" s="36"/>
      <c r="AA29" s="36"/>
      <c r="AB29" s="2"/>
    </row>
    <row r="30" spans="1:28" s="5" customFormat="1" x14ac:dyDescent="0.25">
      <c r="A30" s="150">
        <f>1</f>
        <v>1</v>
      </c>
      <c r="B30" s="132" t="str">
        <f>структура!$J$14</f>
        <v>УСН(15%)</v>
      </c>
      <c r="C30" s="3"/>
      <c r="D30" s="3"/>
      <c r="E30" s="89" t="str">
        <f>E26</f>
        <v>ОПЕРАЦИОННЫЕ РАСХОДЫ</v>
      </c>
      <c r="F30" s="89"/>
      <c r="G30" s="89" t="str">
        <f>IF($E30="","",INDEX(KPI!$G:$G,SUMIFS(KPI!$B:$B,KPI!$E:$E,$E30)))</f>
        <v>тыс.руб.</v>
      </c>
      <c r="H30" s="89"/>
      <c r="I30" s="90"/>
      <c r="J30" s="130" t="str">
        <f>структура!$AL$21</f>
        <v>Без НДС</v>
      </c>
      <c r="K30" s="90"/>
      <c r="L30" s="89"/>
      <c r="M30" s="92">
        <f>SUM($O30:$AB30)</f>
        <v>56317.508469152184</v>
      </c>
      <c r="N30" s="3"/>
      <c r="O30" s="3"/>
      <c r="P30" s="93">
        <f>IF(P$1="",0,SUMIFS(P37:P$113,$B37:$B$113,$B30))</f>
        <v>7886.5603992744873</v>
      </c>
      <c r="Q30" s="93">
        <f>IF(Q$1="",0,SUMIFS(Q37:Q$113,$B37:$B$113,$B30))</f>
        <v>7981.5778992744872</v>
      </c>
      <c r="R30" s="93">
        <f>IF(R$1="",0,SUMIFS(R37:R$113,$B37:$B$113,$B30))</f>
        <v>7970.3116323514105</v>
      </c>
      <c r="S30" s="93">
        <f>IF(S$1="",0,SUMIFS(S37:S$113,$B37:$B$113,$B30))</f>
        <v>7891.8921261975647</v>
      </c>
      <c r="T30" s="93">
        <f>IF(T$1="",0,SUMIFS(T37:T$113,$B37:$B$113,$B30))</f>
        <v>8015.4148761975639</v>
      </c>
      <c r="U30" s="93">
        <f>IF(U$1="",0,SUMIFS(U37:U$113,$B37:$B$113,$B30))</f>
        <v>8164.6002977360267</v>
      </c>
      <c r="V30" s="93">
        <f>IF(V$1="",0,SUMIFS(V37:V$113,$B37:$B$113,$B30))</f>
        <v>8407.1512381206394</v>
      </c>
      <c r="W30" s="93">
        <f>IF(W$1="",0,SUMIFS(W37:W$113,$B37:$B$113,$B30))</f>
        <v>0</v>
      </c>
      <c r="X30" s="93">
        <f>IF(X$1="",0,SUMIFS(X37:X$113,$B37:$B$113,$B30))</f>
        <v>0</v>
      </c>
      <c r="Y30" s="93">
        <f>IF(Y$1="",0,SUMIFS(Y37:Y$113,$B37:$B$113,$B30))</f>
        <v>0</v>
      </c>
      <c r="Z30" s="93">
        <f>IF(Z$1="",0,SUMIFS(Z37:Z$113,$B37:$B$113,$B30))</f>
        <v>0</v>
      </c>
      <c r="AA30" s="93">
        <f>IF(AA$1="",0,SUMIFS(AA37:AA$113,$B37:$B$113,$B30))</f>
        <v>0</v>
      </c>
      <c r="AB30" s="3"/>
    </row>
    <row r="31" spans="1:28" ht="3.9" customHeight="1" x14ac:dyDescent="0.25">
      <c r="A31" s="149">
        <f>1</f>
        <v>1</v>
      </c>
      <c r="B31" s="131"/>
      <c r="C31" s="2"/>
      <c r="D31" s="2"/>
      <c r="E31" s="2"/>
      <c r="F31" s="2"/>
      <c r="G31" s="2"/>
      <c r="H31" s="2"/>
      <c r="I31" s="28"/>
      <c r="J31" s="2"/>
      <c r="K31" s="28"/>
      <c r="L31" s="2"/>
      <c r="M31" s="52"/>
      <c r="N31" s="2"/>
      <c r="O31" s="2"/>
      <c r="P31" s="36"/>
      <c r="Q31" s="36"/>
      <c r="R31" s="36"/>
      <c r="S31" s="36"/>
      <c r="T31" s="36"/>
      <c r="U31" s="36"/>
      <c r="V31" s="36"/>
      <c r="W31" s="36"/>
      <c r="X31" s="36"/>
      <c r="Y31" s="36"/>
      <c r="Z31" s="36"/>
      <c r="AA31" s="36"/>
      <c r="AB31" s="2"/>
    </row>
    <row r="32" spans="1:28" s="5" customFormat="1" x14ac:dyDescent="0.25">
      <c r="A32" s="150">
        <f>1</f>
        <v>1</v>
      </c>
      <c r="B32" s="132" t="str">
        <f>структура!$J$15</f>
        <v>УСН(6%)-ИП</v>
      </c>
      <c r="C32" s="3"/>
      <c r="D32" s="3"/>
      <c r="E32" s="89" t="str">
        <f>E26</f>
        <v>ОПЕРАЦИОННЫЕ РАСХОДЫ</v>
      </c>
      <c r="F32" s="89"/>
      <c r="G32" s="89" t="str">
        <f>IF($E32="","",INDEX(KPI!$G:$G,SUMIFS(KPI!$B:$B,KPI!$E:$E,$E32)))</f>
        <v>тыс.руб.</v>
      </c>
      <c r="H32" s="89"/>
      <c r="I32" s="90"/>
      <c r="J32" s="130" t="str">
        <f>структура!$AL$21</f>
        <v>Без НДС</v>
      </c>
      <c r="K32" s="90"/>
      <c r="L32" s="89"/>
      <c r="M32" s="92">
        <f>SUM($O32:$AB32)</f>
        <v>56317.508469152184</v>
      </c>
      <c r="N32" s="3"/>
      <c r="O32" s="3"/>
      <c r="P32" s="93">
        <f>IF(P$1="",0,SUMIFS(P39:P$113,$B39:$B$113,$B32))</f>
        <v>7886.5603992744873</v>
      </c>
      <c r="Q32" s="93">
        <f>IF(Q$1="",0,SUMIFS(Q39:Q$113,$B39:$B$113,$B32))</f>
        <v>7981.5778992744872</v>
      </c>
      <c r="R32" s="93">
        <f>IF(R$1="",0,SUMIFS(R39:R$113,$B39:$B$113,$B32))</f>
        <v>7970.3116323514105</v>
      </c>
      <c r="S32" s="93">
        <f>IF(S$1="",0,SUMIFS(S39:S$113,$B39:$B$113,$B32))</f>
        <v>7891.8921261975647</v>
      </c>
      <c r="T32" s="93">
        <f>IF(T$1="",0,SUMIFS(T39:T$113,$B39:$B$113,$B32))</f>
        <v>8015.4148761975639</v>
      </c>
      <c r="U32" s="93">
        <f>IF(U$1="",0,SUMIFS(U39:U$113,$B39:$B$113,$B32))</f>
        <v>8164.6002977360267</v>
      </c>
      <c r="V32" s="93">
        <f>IF(V$1="",0,SUMIFS(V39:V$113,$B39:$B$113,$B32))</f>
        <v>8407.1512381206394</v>
      </c>
      <c r="W32" s="93">
        <f>IF(W$1="",0,SUMIFS(W39:W$113,$B39:$B$113,$B32))</f>
        <v>0</v>
      </c>
      <c r="X32" s="93">
        <f>IF(X$1="",0,SUMIFS(X39:X$113,$B39:$B$113,$B32))</f>
        <v>0</v>
      </c>
      <c r="Y32" s="93">
        <f>IF(Y$1="",0,SUMIFS(Y39:Y$113,$B39:$B$113,$B32))</f>
        <v>0</v>
      </c>
      <c r="Z32" s="93">
        <f>IF(Z$1="",0,SUMIFS(Z39:Z$113,$B39:$B$113,$B32))</f>
        <v>0</v>
      </c>
      <c r="AA32" s="93">
        <f>IF(AA$1="",0,SUMIFS(AA39:AA$113,$B39:$B$113,$B32))</f>
        <v>0</v>
      </c>
      <c r="AB32" s="3"/>
    </row>
    <row r="33" spans="1:28" ht="3.9" customHeight="1" x14ac:dyDescent="0.25">
      <c r="A33" s="149">
        <f>1</f>
        <v>1</v>
      </c>
      <c r="B33" s="131"/>
      <c r="C33" s="2"/>
      <c r="D33" s="2"/>
      <c r="E33" s="2"/>
      <c r="F33" s="2"/>
      <c r="G33" s="2"/>
      <c r="H33" s="2"/>
      <c r="I33" s="28"/>
      <c r="J33" s="2"/>
      <c r="K33" s="28"/>
      <c r="L33" s="2"/>
      <c r="M33" s="52"/>
      <c r="N33" s="2"/>
      <c r="O33" s="2"/>
      <c r="P33" s="36"/>
      <c r="Q33" s="36"/>
      <c r="R33" s="36"/>
      <c r="S33" s="36"/>
      <c r="T33" s="36"/>
      <c r="U33" s="36"/>
      <c r="V33" s="36"/>
      <c r="W33" s="36"/>
      <c r="X33" s="36"/>
      <c r="Y33" s="36"/>
      <c r="Z33" s="36"/>
      <c r="AA33" s="36"/>
      <c r="AB33" s="2"/>
    </row>
    <row r="34" spans="1:28" ht="8.1" customHeight="1" x14ac:dyDescent="0.25">
      <c r="A34" s="149">
        <f>1</f>
        <v>1</v>
      </c>
      <c r="B34" s="131"/>
      <c r="C34" s="2"/>
      <c r="D34" s="2"/>
      <c r="E34" s="2"/>
      <c r="F34" s="2"/>
      <c r="G34" s="2"/>
      <c r="H34" s="2"/>
      <c r="I34" s="28"/>
      <c r="J34" s="2"/>
      <c r="K34" s="28"/>
      <c r="L34" s="2"/>
      <c r="M34" s="52"/>
      <c r="N34" s="2"/>
      <c r="O34" s="2"/>
      <c r="P34" s="36"/>
      <c r="Q34" s="36"/>
      <c r="R34" s="36"/>
      <c r="S34" s="36"/>
      <c r="T34" s="36"/>
      <c r="U34" s="36"/>
      <c r="V34" s="36"/>
      <c r="W34" s="36"/>
      <c r="X34" s="36"/>
      <c r="Y34" s="36"/>
      <c r="Z34" s="36"/>
      <c r="AA34" s="36"/>
      <c r="AB34" s="2"/>
    </row>
    <row r="35" spans="1:28" ht="3.9" customHeight="1" x14ac:dyDescent="0.25">
      <c r="A35" s="149">
        <f>1</f>
        <v>1</v>
      </c>
      <c r="B35" s="131"/>
      <c r="C35" s="2"/>
      <c r="D35" s="2"/>
      <c r="E35" s="2"/>
      <c r="F35" s="2"/>
      <c r="G35" s="2"/>
      <c r="H35" s="2"/>
      <c r="I35" s="28"/>
      <c r="J35" s="2"/>
      <c r="K35" s="28"/>
      <c r="L35" s="2"/>
      <c r="M35" s="52"/>
      <c r="N35" s="2"/>
      <c r="O35" s="2"/>
      <c r="P35" s="36"/>
      <c r="Q35" s="36"/>
      <c r="R35" s="36"/>
      <c r="S35" s="36"/>
      <c r="T35" s="36"/>
      <c r="U35" s="36"/>
      <c r="V35" s="36"/>
      <c r="W35" s="36"/>
      <c r="X35" s="36"/>
      <c r="Y35" s="36"/>
      <c r="Z35" s="36"/>
      <c r="AA35" s="36"/>
      <c r="AB35" s="2"/>
    </row>
    <row r="36" spans="1:28" s="126" customFormat="1" x14ac:dyDescent="0.25">
      <c r="A36" s="149">
        <f>1</f>
        <v>1</v>
      </c>
      <c r="B36" s="132" t="str">
        <f>структура!$J$12</f>
        <v>ОСНО</v>
      </c>
      <c r="C36" s="123"/>
      <c r="D36" s="123"/>
      <c r="E36" s="130" t="str">
        <f>KPI!$E$76</f>
        <v>маркетинговые расходы</v>
      </c>
      <c r="F36" s="130"/>
      <c r="G36" s="130" t="str">
        <f>IF($E36="","",INDEX(KPI!$G:$G,SUMIFS(KPI!$B:$B,KPI!$E:$E,$E36)))</f>
        <v>тыс.руб.</v>
      </c>
      <c r="H36" s="130"/>
      <c r="I36" s="134"/>
      <c r="J36" s="130" t="str">
        <f>структура!$AL$21</f>
        <v>Без НДС</v>
      </c>
      <c r="K36" s="134"/>
      <c r="L36" s="130"/>
      <c r="M36" s="135">
        <f>SUM($O36:$AB36)</f>
        <v>3437.1873048076927</v>
      </c>
      <c r="N36" s="123"/>
      <c r="O36" s="123"/>
      <c r="P36" s="136">
        <f>IF(P$1="",0,IF(1+опер1!P$346=0,0,(опер1!P$157)/(1+опер1!P$346)))</f>
        <v>589.35004807692314</v>
      </c>
      <c r="Q36" s="136">
        <f>IF(Q$1="",0,IF(1+опер1!Q$346=0,0,(опер1!Q$157)/(1+опер1!Q$346)))</f>
        <v>615.7437980769231</v>
      </c>
      <c r="R36" s="136">
        <f>IF(R$1="",0,IF(1+опер1!R$346=0,0,(опер1!R$157)/(1+опер1!R$346)))</f>
        <v>524.89115384615388</v>
      </c>
      <c r="S36" s="136">
        <f>IF(S$1="",0,IF(1+опер1!S$346=0,0,(опер1!S$157)/(1+опер1!S$346)))</f>
        <v>409.03690384615385</v>
      </c>
      <c r="T36" s="136">
        <f>IF(T$1="",0,IF(1+опер1!T$346=0,0,(опер1!T$157)/(1+опер1!T$346)))</f>
        <v>432.79127884615389</v>
      </c>
      <c r="U36" s="136">
        <f>IF(U$1="",0,IF(1+опер1!U$346=0,0,(опер1!U$157)/(1+опер1!U$346)))</f>
        <v>425.14371346153843</v>
      </c>
      <c r="V36" s="136">
        <f>IF(V$1="",0,IF(1+опер1!V$346=0,0,(опер1!V$157)/(1+опер1!V$346)))</f>
        <v>440.2304086538461</v>
      </c>
      <c r="W36" s="136">
        <f>IF(W$1="",0,IF(1+опер1!W$346=0,0,(опер1!W$157)/(1+опер1!W$346)))</f>
        <v>0</v>
      </c>
      <c r="X36" s="136">
        <f>IF(X$1="",0,IF(1+опер1!X$346=0,0,(опер1!X$157)/(1+опер1!X$346)))</f>
        <v>0</v>
      </c>
      <c r="Y36" s="136">
        <f>IF(Y$1="",0,IF(1+опер1!Y$346=0,0,(опер1!Y$157)/(1+опер1!Y$346)))</f>
        <v>0</v>
      </c>
      <c r="Z36" s="136">
        <f>IF(Z$1="",0,IF(1+опер1!Z$346=0,0,(опер1!Z$157)/(1+опер1!Z$346)))</f>
        <v>0</v>
      </c>
      <c r="AA36" s="136">
        <f>IF(AA$1="",0,IF(1+опер1!AA$346=0,0,(опер1!AA$157)/(1+опер1!AA$346)))</f>
        <v>0</v>
      </c>
      <c r="AB36" s="123"/>
    </row>
    <row r="37" spans="1:28" s="126" customFormat="1" ht="3.9" customHeight="1" x14ac:dyDescent="0.25">
      <c r="A37" s="149">
        <f>1</f>
        <v>1</v>
      </c>
      <c r="B37" s="131"/>
      <c r="C37" s="123"/>
      <c r="D37" s="123"/>
      <c r="E37" s="123"/>
      <c r="F37" s="123"/>
      <c r="G37" s="123"/>
      <c r="H37" s="123"/>
      <c r="I37" s="124"/>
      <c r="J37" s="123"/>
      <c r="K37" s="124"/>
      <c r="L37" s="123"/>
      <c r="M37" s="125"/>
      <c r="N37" s="123"/>
      <c r="O37" s="123"/>
      <c r="P37" s="137"/>
      <c r="Q37" s="137"/>
      <c r="R37" s="137"/>
      <c r="S37" s="137"/>
      <c r="T37" s="137"/>
      <c r="U37" s="137"/>
      <c r="V37" s="137"/>
      <c r="W37" s="137"/>
      <c r="X37" s="137"/>
      <c r="Y37" s="137"/>
      <c r="Z37" s="137"/>
      <c r="AA37" s="137"/>
      <c r="AB37" s="123"/>
    </row>
    <row r="38" spans="1:28" s="126" customFormat="1" x14ac:dyDescent="0.25">
      <c r="A38" s="149">
        <f>1</f>
        <v>1</v>
      </c>
      <c r="B38" s="132" t="str">
        <f>структура!$J$13</f>
        <v>УСН(6%)</v>
      </c>
      <c r="C38" s="123"/>
      <c r="D38" s="123"/>
      <c r="E38" s="130" t="str">
        <f>E36</f>
        <v>маркетинговые расходы</v>
      </c>
      <c r="F38" s="130"/>
      <c r="G38" s="130" t="str">
        <f>IF($E38="","",INDEX(KPI!$G:$G,SUMIFS(KPI!$B:$B,KPI!$E:$E,$E38)))</f>
        <v>тыс.руб.</v>
      </c>
      <c r="H38" s="130"/>
      <c r="I38" s="134"/>
      <c r="J38" s="130" t="str">
        <f>структура!$AL$21</f>
        <v>Без НДС</v>
      </c>
      <c r="K38" s="134"/>
      <c r="L38" s="130"/>
      <c r="M38" s="135">
        <f>SUM($O38:$AB38)</f>
        <v>3437.1873048076927</v>
      </c>
      <c r="N38" s="123"/>
      <c r="O38" s="123"/>
      <c r="P38" s="136">
        <f>IF(P$1="",0,IF(1+опер1!P$346=0,0,(опер1!P$157)/(1+опер1!P$346)))</f>
        <v>589.35004807692314</v>
      </c>
      <c r="Q38" s="136">
        <f>IF(Q$1="",0,IF(1+опер1!Q$346=0,0,(опер1!Q$157)/(1+опер1!Q$346)))</f>
        <v>615.7437980769231</v>
      </c>
      <c r="R38" s="136">
        <f>IF(R$1="",0,IF(1+опер1!R$346=0,0,(опер1!R$157)/(1+опер1!R$346)))</f>
        <v>524.89115384615388</v>
      </c>
      <c r="S38" s="136">
        <f>IF(S$1="",0,IF(1+опер1!S$346=0,0,(опер1!S$157)/(1+опер1!S$346)))</f>
        <v>409.03690384615385</v>
      </c>
      <c r="T38" s="136">
        <f>IF(T$1="",0,IF(1+опер1!T$346=0,0,(опер1!T$157)/(1+опер1!T$346)))</f>
        <v>432.79127884615389</v>
      </c>
      <c r="U38" s="136">
        <f>IF(U$1="",0,IF(1+опер1!U$346=0,0,(опер1!U$157)/(1+опер1!U$346)))</f>
        <v>425.14371346153843</v>
      </c>
      <c r="V38" s="136">
        <f>IF(V$1="",0,IF(1+опер1!V$346=0,0,(опер1!V$157)/(1+опер1!V$346)))</f>
        <v>440.2304086538461</v>
      </c>
      <c r="W38" s="136">
        <f>IF(W$1="",0,IF(1+опер1!W$346=0,0,(опер1!W$157)/(1+опер1!W$346)))</f>
        <v>0</v>
      </c>
      <c r="X38" s="136">
        <f>IF(X$1="",0,IF(1+опер1!X$346=0,0,(опер1!X$157)/(1+опер1!X$346)))</f>
        <v>0</v>
      </c>
      <c r="Y38" s="136">
        <f>IF(Y$1="",0,IF(1+опер1!Y$346=0,0,(опер1!Y$157)/(1+опер1!Y$346)))</f>
        <v>0</v>
      </c>
      <c r="Z38" s="136">
        <f>IF(Z$1="",0,IF(1+опер1!Z$346=0,0,(опер1!Z$157)/(1+опер1!Z$346)))</f>
        <v>0</v>
      </c>
      <c r="AA38" s="136">
        <f>IF(AA$1="",0,IF(1+опер1!AA$346=0,0,(опер1!AA$157)/(1+опер1!AA$346)))</f>
        <v>0</v>
      </c>
      <c r="AB38" s="123"/>
    </row>
    <row r="39" spans="1:28" s="126" customFormat="1" ht="3.9" customHeight="1" x14ac:dyDescent="0.25">
      <c r="A39" s="149">
        <f>1</f>
        <v>1</v>
      </c>
      <c r="B39" s="131"/>
      <c r="C39" s="123"/>
      <c r="D39" s="123"/>
      <c r="E39" s="123"/>
      <c r="F39" s="123"/>
      <c r="G39" s="123"/>
      <c r="H39" s="123"/>
      <c r="I39" s="124"/>
      <c r="J39" s="123"/>
      <c r="K39" s="124"/>
      <c r="L39" s="123"/>
      <c r="M39" s="125"/>
      <c r="N39" s="123"/>
      <c r="O39" s="123"/>
      <c r="P39" s="137"/>
      <c r="Q39" s="137"/>
      <c r="R39" s="137"/>
      <c r="S39" s="137"/>
      <c r="T39" s="137"/>
      <c r="U39" s="137"/>
      <c r="V39" s="137"/>
      <c r="W39" s="137"/>
      <c r="X39" s="137"/>
      <c r="Y39" s="137"/>
      <c r="Z39" s="137"/>
      <c r="AA39" s="137"/>
      <c r="AB39" s="123"/>
    </row>
    <row r="40" spans="1:28" s="126" customFormat="1" x14ac:dyDescent="0.25">
      <c r="A40" s="149">
        <f>1</f>
        <v>1</v>
      </c>
      <c r="B40" s="132" t="str">
        <f>структура!$J$14</f>
        <v>УСН(15%)</v>
      </c>
      <c r="C40" s="123"/>
      <c r="D40" s="123"/>
      <c r="E40" s="130" t="str">
        <f>E36</f>
        <v>маркетинговые расходы</v>
      </c>
      <c r="F40" s="130"/>
      <c r="G40" s="130" t="str">
        <f>IF($E40="","",INDEX(KPI!$G:$G,SUMIFS(KPI!$B:$B,KPI!$E:$E,$E40)))</f>
        <v>тыс.руб.</v>
      </c>
      <c r="H40" s="130"/>
      <c r="I40" s="134"/>
      <c r="J40" s="130" t="str">
        <f>структура!$AL$21</f>
        <v>Без НДС</v>
      </c>
      <c r="K40" s="134"/>
      <c r="L40" s="130"/>
      <c r="M40" s="135">
        <f>SUM($O40:$AB40)</f>
        <v>3437.1873048076927</v>
      </c>
      <c r="N40" s="123"/>
      <c r="O40" s="123"/>
      <c r="P40" s="136">
        <f>IF(P$1="",0,IF(1+опер1!P$346=0,0,(опер1!P$157)/(1+опер1!P$346)))</f>
        <v>589.35004807692314</v>
      </c>
      <c r="Q40" s="136">
        <f>IF(Q$1="",0,IF(1+опер1!Q$346=0,0,(опер1!Q$157)/(1+опер1!Q$346)))</f>
        <v>615.7437980769231</v>
      </c>
      <c r="R40" s="136">
        <f>IF(R$1="",0,IF(1+опер1!R$346=0,0,(опер1!R$157)/(1+опер1!R$346)))</f>
        <v>524.89115384615388</v>
      </c>
      <c r="S40" s="136">
        <f>IF(S$1="",0,IF(1+опер1!S$346=0,0,(опер1!S$157)/(1+опер1!S$346)))</f>
        <v>409.03690384615385</v>
      </c>
      <c r="T40" s="136">
        <f>IF(T$1="",0,IF(1+опер1!T$346=0,0,(опер1!T$157)/(1+опер1!T$346)))</f>
        <v>432.79127884615389</v>
      </c>
      <c r="U40" s="136">
        <f>IF(U$1="",0,IF(1+опер1!U$346=0,0,(опер1!U$157)/(1+опер1!U$346)))</f>
        <v>425.14371346153843</v>
      </c>
      <c r="V40" s="136">
        <f>IF(V$1="",0,IF(1+опер1!V$346=0,0,(опер1!V$157)/(1+опер1!V$346)))</f>
        <v>440.2304086538461</v>
      </c>
      <c r="W40" s="136">
        <f>IF(W$1="",0,IF(1+опер1!W$346=0,0,(опер1!W$157)/(1+опер1!W$346)))</f>
        <v>0</v>
      </c>
      <c r="X40" s="136">
        <f>IF(X$1="",0,IF(1+опер1!X$346=0,0,(опер1!X$157)/(1+опер1!X$346)))</f>
        <v>0</v>
      </c>
      <c r="Y40" s="136">
        <f>IF(Y$1="",0,IF(1+опер1!Y$346=0,0,(опер1!Y$157)/(1+опер1!Y$346)))</f>
        <v>0</v>
      </c>
      <c r="Z40" s="136">
        <f>IF(Z$1="",0,IF(1+опер1!Z$346=0,0,(опер1!Z$157)/(1+опер1!Z$346)))</f>
        <v>0</v>
      </c>
      <c r="AA40" s="136">
        <f>IF(AA$1="",0,IF(1+опер1!AA$346=0,0,(опер1!AA$157)/(1+опер1!AA$346)))</f>
        <v>0</v>
      </c>
      <c r="AB40" s="123"/>
    </row>
    <row r="41" spans="1:28" s="126" customFormat="1" ht="3.9" customHeight="1" x14ac:dyDescent="0.25">
      <c r="A41" s="149">
        <f>1</f>
        <v>1</v>
      </c>
      <c r="B41" s="131"/>
      <c r="C41" s="123"/>
      <c r="D41" s="123"/>
      <c r="E41" s="123"/>
      <c r="F41" s="123"/>
      <c r="G41" s="123"/>
      <c r="H41" s="123"/>
      <c r="I41" s="124"/>
      <c r="J41" s="123"/>
      <c r="K41" s="124"/>
      <c r="L41" s="123"/>
      <c r="M41" s="125"/>
      <c r="N41" s="123"/>
      <c r="O41" s="123"/>
      <c r="P41" s="137"/>
      <c r="Q41" s="137"/>
      <c r="R41" s="137"/>
      <c r="S41" s="137"/>
      <c r="T41" s="137"/>
      <c r="U41" s="137"/>
      <c r="V41" s="137"/>
      <c r="W41" s="137"/>
      <c r="X41" s="137"/>
      <c r="Y41" s="137"/>
      <c r="Z41" s="137"/>
      <c r="AA41" s="137"/>
      <c r="AB41" s="123"/>
    </row>
    <row r="42" spans="1:28" s="126" customFormat="1" x14ac:dyDescent="0.25">
      <c r="A42" s="149">
        <f>1</f>
        <v>1</v>
      </c>
      <c r="B42" s="132" t="str">
        <f>структура!$J$15</f>
        <v>УСН(6%)-ИП</v>
      </c>
      <c r="C42" s="123"/>
      <c r="D42" s="123"/>
      <c r="E42" s="130" t="str">
        <f>E36</f>
        <v>маркетинговые расходы</v>
      </c>
      <c r="F42" s="130"/>
      <c r="G42" s="130" t="str">
        <f>IF($E42="","",INDEX(KPI!$G:$G,SUMIFS(KPI!$B:$B,KPI!$E:$E,$E42)))</f>
        <v>тыс.руб.</v>
      </c>
      <c r="H42" s="130"/>
      <c r="I42" s="134"/>
      <c r="J42" s="130" t="str">
        <f>структура!$AL$21</f>
        <v>Без НДС</v>
      </c>
      <c r="K42" s="134"/>
      <c r="L42" s="130"/>
      <c r="M42" s="135">
        <f>SUM($O42:$AB42)</f>
        <v>3437.1873048076927</v>
      </c>
      <c r="N42" s="123"/>
      <c r="O42" s="123"/>
      <c r="P42" s="136">
        <f>IF(P$1="",0,IF(1+опер1!P$346=0,0,(опер1!P$157)/(1+опер1!P$346)))</f>
        <v>589.35004807692314</v>
      </c>
      <c r="Q42" s="136">
        <f>IF(Q$1="",0,IF(1+опер1!Q$346=0,0,(опер1!Q$157)/(1+опер1!Q$346)))</f>
        <v>615.7437980769231</v>
      </c>
      <c r="R42" s="136">
        <f>IF(R$1="",0,IF(1+опер1!R$346=0,0,(опер1!R$157)/(1+опер1!R$346)))</f>
        <v>524.89115384615388</v>
      </c>
      <c r="S42" s="136">
        <f>IF(S$1="",0,IF(1+опер1!S$346=0,0,(опер1!S$157)/(1+опер1!S$346)))</f>
        <v>409.03690384615385</v>
      </c>
      <c r="T42" s="136">
        <f>IF(T$1="",0,IF(1+опер1!T$346=0,0,(опер1!T$157)/(1+опер1!T$346)))</f>
        <v>432.79127884615389</v>
      </c>
      <c r="U42" s="136">
        <f>IF(U$1="",0,IF(1+опер1!U$346=0,0,(опер1!U$157)/(1+опер1!U$346)))</f>
        <v>425.14371346153843</v>
      </c>
      <c r="V42" s="136">
        <f>IF(V$1="",0,IF(1+опер1!V$346=0,0,(опер1!V$157)/(1+опер1!V$346)))</f>
        <v>440.2304086538461</v>
      </c>
      <c r="W42" s="136">
        <f>IF(W$1="",0,IF(1+опер1!W$346=0,0,(опер1!W$157)/(1+опер1!W$346)))</f>
        <v>0</v>
      </c>
      <c r="X42" s="136">
        <f>IF(X$1="",0,IF(1+опер1!X$346=0,0,(опер1!X$157)/(1+опер1!X$346)))</f>
        <v>0</v>
      </c>
      <c r="Y42" s="136">
        <f>IF(Y$1="",0,IF(1+опер1!Y$346=0,0,(опер1!Y$157)/(1+опер1!Y$346)))</f>
        <v>0</v>
      </c>
      <c r="Z42" s="136">
        <f>IF(Z$1="",0,IF(1+опер1!Z$346=0,0,(опер1!Z$157)/(1+опер1!Z$346)))</f>
        <v>0</v>
      </c>
      <c r="AA42" s="136">
        <f>IF(AA$1="",0,IF(1+опер1!AA$346=0,0,(опер1!AA$157)/(1+опер1!AA$346)))</f>
        <v>0</v>
      </c>
      <c r="AB42" s="123"/>
    </row>
    <row r="43" spans="1:28" ht="3.9" customHeight="1" x14ac:dyDescent="0.25">
      <c r="A43" s="149">
        <f>1</f>
        <v>1</v>
      </c>
      <c r="B43" s="131"/>
      <c r="C43" s="2"/>
      <c r="D43" s="2"/>
      <c r="E43" s="2"/>
      <c r="F43" s="2"/>
      <c r="G43" s="2"/>
      <c r="H43" s="2"/>
      <c r="I43" s="28"/>
      <c r="J43" s="2"/>
      <c r="K43" s="28"/>
      <c r="L43" s="2"/>
      <c r="M43" s="52"/>
      <c r="N43" s="2"/>
      <c r="O43" s="2"/>
      <c r="P43" s="36"/>
      <c r="Q43" s="36"/>
      <c r="R43" s="36"/>
      <c r="S43" s="36"/>
      <c r="T43" s="36"/>
      <c r="U43" s="36"/>
      <c r="V43" s="36"/>
      <c r="W43" s="36"/>
      <c r="X43" s="36"/>
      <c r="Y43" s="36"/>
      <c r="Z43" s="36"/>
      <c r="AA43" s="36"/>
      <c r="AB43" s="2"/>
    </row>
    <row r="44" spans="1:28" ht="8.1" customHeight="1" x14ac:dyDescent="0.25">
      <c r="A44" s="149">
        <f>1</f>
        <v>1</v>
      </c>
      <c r="B44" s="131"/>
      <c r="C44" s="2"/>
      <c r="D44" s="2"/>
      <c r="E44" s="2"/>
      <c r="F44" s="2"/>
      <c r="G44" s="2"/>
      <c r="H44" s="2"/>
      <c r="I44" s="28"/>
      <c r="J44" s="2"/>
      <c r="K44" s="28"/>
      <c r="L44" s="2"/>
      <c r="M44" s="52"/>
      <c r="N44" s="2"/>
      <c r="O44" s="2"/>
      <c r="P44" s="36"/>
      <c r="Q44" s="36"/>
      <c r="R44" s="36"/>
      <c r="S44" s="36"/>
      <c r="T44" s="36"/>
      <c r="U44" s="36"/>
      <c r="V44" s="36"/>
      <c r="W44" s="36"/>
      <c r="X44" s="36"/>
      <c r="Y44" s="36"/>
      <c r="Z44" s="36"/>
      <c r="AA44" s="36"/>
      <c r="AB44" s="2"/>
    </row>
    <row r="45" spans="1:28" ht="3.9" customHeight="1" x14ac:dyDescent="0.25">
      <c r="A45" s="149">
        <f>1</f>
        <v>1</v>
      </c>
      <c r="B45" s="131"/>
      <c r="C45" s="2"/>
      <c r="D45" s="2"/>
      <c r="E45" s="2"/>
      <c r="F45" s="2"/>
      <c r="G45" s="2"/>
      <c r="H45" s="2"/>
      <c r="I45" s="28"/>
      <c r="J45" s="2"/>
      <c r="K45" s="28"/>
      <c r="L45" s="2"/>
      <c r="M45" s="52"/>
      <c r="N45" s="2"/>
      <c r="O45" s="2"/>
      <c r="P45" s="36"/>
      <c r="Q45" s="36"/>
      <c r="R45" s="36"/>
      <c r="S45" s="36"/>
      <c r="T45" s="36"/>
      <c r="U45" s="36"/>
      <c r="V45" s="36"/>
      <c r="W45" s="36"/>
      <c r="X45" s="36"/>
      <c r="Y45" s="36"/>
      <c r="Z45" s="36"/>
      <c r="AA45" s="36"/>
      <c r="AB45" s="2"/>
    </row>
    <row r="46" spans="1:28" s="126" customFormat="1" x14ac:dyDescent="0.25">
      <c r="A46" s="149">
        <f>1</f>
        <v>1</v>
      </c>
      <c r="B46" s="132" t="str">
        <f>структура!$J$12</f>
        <v>ОСНО</v>
      </c>
      <c r="C46" s="123"/>
      <c r="D46" s="123"/>
      <c r="E46" s="130" t="str">
        <f>KPI!$E$77</f>
        <v>расходы на аренду земли</v>
      </c>
      <c r="F46" s="130"/>
      <c r="G46" s="130" t="str">
        <f>IF($E46="","",INDEX(KPI!$G:$G,SUMIFS(KPI!$B:$B,KPI!$E:$E,$E46)))</f>
        <v>тыс.руб.</v>
      </c>
      <c r="H46" s="130"/>
      <c r="I46" s="134"/>
      <c r="J46" s="130" t="str">
        <f>структура!$AL$21</f>
        <v>Без НДС</v>
      </c>
      <c r="K46" s="134"/>
      <c r="L46" s="130"/>
      <c r="M46" s="135">
        <f>SUM($O46:$AB46)</f>
        <v>15217.124102819123</v>
      </c>
      <c r="N46" s="123"/>
      <c r="O46" s="123"/>
      <c r="P46" s="136">
        <f>IF(P$1="",0,IF(1+опер1!P$346=0,0,(опер1!P$175)/(1+опер1!P$346)))</f>
        <v>2173.8748718313032</v>
      </c>
      <c r="Q46" s="136">
        <f>IF(Q$1="",0,IF(1+опер1!Q$346=0,0,(опер1!Q$175)/(1+опер1!Q$346)))</f>
        <v>2173.8748718313032</v>
      </c>
      <c r="R46" s="136">
        <f>IF(R$1="",0,IF(1+опер1!R$346=0,0,(опер1!R$175)/(1+опер1!R$346)))</f>
        <v>2173.8748718313032</v>
      </c>
      <c r="S46" s="136">
        <f>IF(S$1="",0,IF(1+опер1!S$346=0,0,(опер1!S$175)/(1+опер1!S$346)))</f>
        <v>2173.8748718313032</v>
      </c>
      <c r="T46" s="136">
        <f>IF(T$1="",0,IF(1+опер1!T$346=0,0,(опер1!T$175)/(1+опер1!T$346)))</f>
        <v>2173.8748718313032</v>
      </c>
      <c r="U46" s="136">
        <f>IF(U$1="",0,IF(1+опер1!U$346=0,0,(опер1!U$175)/(1+опер1!U$346)))</f>
        <v>2173.8748718313032</v>
      </c>
      <c r="V46" s="136">
        <f>IF(V$1="",0,IF(1+опер1!V$346=0,0,(опер1!V$175)/(1+опер1!V$346)))</f>
        <v>2173.8748718313032</v>
      </c>
      <c r="W46" s="136">
        <f>IF(W$1="",0,IF(1+опер1!W$346=0,0,(опер1!W$175)/(1+опер1!W$346)))</f>
        <v>0</v>
      </c>
      <c r="X46" s="136">
        <f>IF(X$1="",0,IF(1+опер1!X$346=0,0,(опер1!X$175)/(1+опер1!X$346)))</f>
        <v>0</v>
      </c>
      <c r="Y46" s="136">
        <f>IF(Y$1="",0,IF(1+опер1!Y$346=0,0,(опер1!Y$175)/(1+опер1!Y$346)))</f>
        <v>0</v>
      </c>
      <c r="Z46" s="136">
        <f>IF(Z$1="",0,IF(1+опер1!Z$346=0,0,(опер1!Z$175)/(1+опер1!Z$346)))</f>
        <v>0</v>
      </c>
      <c r="AA46" s="136">
        <f>IF(AA$1="",0,IF(1+опер1!AA$346=0,0,(опер1!AA$175)/(1+опер1!AA$346)))</f>
        <v>0</v>
      </c>
      <c r="AB46" s="123"/>
    </row>
    <row r="47" spans="1:28" s="126" customFormat="1" ht="3.9" customHeight="1" x14ac:dyDescent="0.25">
      <c r="A47" s="149">
        <f>1</f>
        <v>1</v>
      </c>
      <c r="B47" s="131"/>
      <c r="C47" s="123"/>
      <c r="D47" s="123"/>
      <c r="E47" s="123"/>
      <c r="F47" s="123"/>
      <c r="G47" s="123"/>
      <c r="H47" s="123"/>
      <c r="I47" s="124"/>
      <c r="J47" s="123"/>
      <c r="K47" s="124"/>
      <c r="L47" s="123"/>
      <c r="M47" s="125"/>
      <c r="N47" s="123"/>
      <c r="O47" s="123"/>
      <c r="P47" s="137"/>
      <c r="Q47" s="137"/>
      <c r="R47" s="137"/>
      <c r="S47" s="137"/>
      <c r="T47" s="137"/>
      <c r="U47" s="137"/>
      <c r="V47" s="137"/>
      <c r="W47" s="137"/>
      <c r="X47" s="137"/>
      <c r="Y47" s="137"/>
      <c r="Z47" s="137"/>
      <c r="AA47" s="137"/>
      <c r="AB47" s="123"/>
    </row>
    <row r="48" spans="1:28" s="126" customFormat="1" x14ac:dyDescent="0.25">
      <c r="A48" s="149">
        <f>1</f>
        <v>1</v>
      </c>
      <c r="B48" s="132" t="str">
        <f>структура!$J$13</f>
        <v>УСН(6%)</v>
      </c>
      <c r="C48" s="123"/>
      <c r="D48" s="123"/>
      <c r="E48" s="130" t="str">
        <f>E46</f>
        <v>расходы на аренду земли</v>
      </c>
      <c r="F48" s="130"/>
      <c r="G48" s="130" t="str">
        <f>IF($E48="","",INDEX(KPI!$G:$G,SUMIFS(KPI!$B:$B,KPI!$E:$E,$E48)))</f>
        <v>тыс.руб.</v>
      </c>
      <c r="H48" s="130"/>
      <c r="I48" s="134"/>
      <c r="J48" s="130" t="str">
        <f>структура!$AL$21</f>
        <v>Без НДС</v>
      </c>
      <c r="K48" s="134"/>
      <c r="L48" s="130"/>
      <c r="M48" s="135">
        <f>SUM($O48:$AB48)</f>
        <v>15217.124102819123</v>
      </c>
      <c r="N48" s="123"/>
      <c r="O48" s="123"/>
      <c r="P48" s="136">
        <f>IF(P$1="",0,IF(1+опер1!P$346=0,0,(опер1!P$175)/(1+опер1!P$346)))</f>
        <v>2173.8748718313032</v>
      </c>
      <c r="Q48" s="136">
        <f>IF(Q$1="",0,IF(1+опер1!Q$346=0,0,(опер1!Q$175)/(1+опер1!Q$346)))</f>
        <v>2173.8748718313032</v>
      </c>
      <c r="R48" s="136">
        <f>IF(R$1="",0,IF(1+опер1!R$346=0,0,(опер1!R$175)/(1+опер1!R$346)))</f>
        <v>2173.8748718313032</v>
      </c>
      <c r="S48" s="136">
        <f>IF(S$1="",0,IF(1+опер1!S$346=0,0,(опер1!S$175)/(1+опер1!S$346)))</f>
        <v>2173.8748718313032</v>
      </c>
      <c r="T48" s="136">
        <f>IF(T$1="",0,IF(1+опер1!T$346=0,0,(опер1!T$175)/(1+опер1!T$346)))</f>
        <v>2173.8748718313032</v>
      </c>
      <c r="U48" s="136">
        <f>IF(U$1="",0,IF(1+опер1!U$346=0,0,(опер1!U$175)/(1+опер1!U$346)))</f>
        <v>2173.8748718313032</v>
      </c>
      <c r="V48" s="136">
        <f>IF(V$1="",0,IF(1+опер1!V$346=0,0,(опер1!V$175)/(1+опер1!V$346)))</f>
        <v>2173.8748718313032</v>
      </c>
      <c r="W48" s="136">
        <f>IF(W$1="",0,IF(1+опер1!W$346=0,0,(опер1!W$175)/(1+опер1!W$346)))</f>
        <v>0</v>
      </c>
      <c r="X48" s="136">
        <f>IF(X$1="",0,IF(1+опер1!X$346=0,0,(опер1!X$175)/(1+опер1!X$346)))</f>
        <v>0</v>
      </c>
      <c r="Y48" s="136">
        <f>IF(Y$1="",0,IF(1+опер1!Y$346=0,0,(опер1!Y$175)/(1+опер1!Y$346)))</f>
        <v>0</v>
      </c>
      <c r="Z48" s="136">
        <f>IF(Z$1="",0,IF(1+опер1!Z$346=0,0,(опер1!Z$175)/(1+опер1!Z$346)))</f>
        <v>0</v>
      </c>
      <c r="AA48" s="136">
        <f>IF(AA$1="",0,IF(1+опер1!AA$346=0,0,(опер1!AA$175)/(1+опер1!AA$346)))</f>
        <v>0</v>
      </c>
      <c r="AB48" s="123"/>
    </row>
    <row r="49" spans="1:28" s="126" customFormat="1" ht="3.9" customHeight="1" x14ac:dyDescent="0.25">
      <c r="A49" s="149">
        <f>1</f>
        <v>1</v>
      </c>
      <c r="B49" s="131"/>
      <c r="C49" s="123"/>
      <c r="D49" s="123"/>
      <c r="E49" s="123"/>
      <c r="F49" s="123"/>
      <c r="G49" s="123"/>
      <c r="H49" s="123"/>
      <c r="I49" s="124"/>
      <c r="J49" s="123"/>
      <c r="K49" s="124"/>
      <c r="L49" s="123"/>
      <c r="M49" s="125"/>
      <c r="N49" s="123"/>
      <c r="O49" s="123"/>
      <c r="P49" s="137"/>
      <c r="Q49" s="137"/>
      <c r="R49" s="137"/>
      <c r="S49" s="137"/>
      <c r="T49" s="137"/>
      <c r="U49" s="137"/>
      <c r="V49" s="137"/>
      <c r="W49" s="137"/>
      <c r="X49" s="137"/>
      <c r="Y49" s="137"/>
      <c r="Z49" s="137"/>
      <c r="AA49" s="137"/>
      <c r="AB49" s="123"/>
    </row>
    <row r="50" spans="1:28" s="126" customFormat="1" x14ac:dyDescent="0.25">
      <c r="A50" s="149">
        <f>1</f>
        <v>1</v>
      </c>
      <c r="B50" s="132" t="str">
        <f>структура!$J$14</f>
        <v>УСН(15%)</v>
      </c>
      <c r="C50" s="123"/>
      <c r="D50" s="123"/>
      <c r="E50" s="130" t="str">
        <f>E46</f>
        <v>расходы на аренду земли</v>
      </c>
      <c r="F50" s="130"/>
      <c r="G50" s="130" t="str">
        <f>IF($E50="","",INDEX(KPI!$G:$G,SUMIFS(KPI!$B:$B,KPI!$E:$E,$E50)))</f>
        <v>тыс.руб.</v>
      </c>
      <c r="H50" s="130"/>
      <c r="I50" s="134"/>
      <c r="J50" s="130" t="str">
        <f>структура!$AL$21</f>
        <v>Без НДС</v>
      </c>
      <c r="K50" s="134"/>
      <c r="L50" s="130"/>
      <c r="M50" s="135">
        <f>SUM($O50:$AB50)</f>
        <v>15217.124102819123</v>
      </c>
      <c r="N50" s="123"/>
      <c r="O50" s="123"/>
      <c r="P50" s="136">
        <f>IF(P$1="",0,IF(1+опер1!P$346=0,0,(опер1!P$175)/(1+опер1!P$346)))</f>
        <v>2173.8748718313032</v>
      </c>
      <c r="Q50" s="136">
        <f>IF(Q$1="",0,IF(1+опер1!Q$346=0,0,(опер1!Q$175)/(1+опер1!Q$346)))</f>
        <v>2173.8748718313032</v>
      </c>
      <c r="R50" s="136">
        <f>IF(R$1="",0,IF(1+опер1!R$346=0,0,(опер1!R$175)/(1+опер1!R$346)))</f>
        <v>2173.8748718313032</v>
      </c>
      <c r="S50" s="136">
        <f>IF(S$1="",0,IF(1+опер1!S$346=0,0,(опер1!S$175)/(1+опер1!S$346)))</f>
        <v>2173.8748718313032</v>
      </c>
      <c r="T50" s="136">
        <f>IF(T$1="",0,IF(1+опер1!T$346=0,0,(опер1!T$175)/(1+опер1!T$346)))</f>
        <v>2173.8748718313032</v>
      </c>
      <c r="U50" s="136">
        <f>IF(U$1="",0,IF(1+опер1!U$346=0,0,(опер1!U$175)/(1+опер1!U$346)))</f>
        <v>2173.8748718313032</v>
      </c>
      <c r="V50" s="136">
        <f>IF(V$1="",0,IF(1+опер1!V$346=0,0,(опер1!V$175)/(1+опер1!V$346)))</f>
        <v>2173.8748718313032</v>
      </c>
      <c r="W50" s="136">
        <f>IF(W$1="",0,IF(1+опер1!W$346=0,0,(опер1!W$175)/(1+опер1!W$346)))</f>
        <v>0</v>
      </c>
      <c r="X50" s="136">
        <f>IF(X$1="",0,IF(1+опер1!X$346=0,0,(опер1!X$175)/(1+опер1!X$346)))</f>
        <v>0</v>
      </c>
      <c r="Y50" s="136">
        <f>IF(Y$1="",0,IF(1+опер1!Y$346=0,0,(опер1!Y$175)/(1+опер1!Y$346)))</f>
        <v>0</v>
      </c>
      <c r="Z50" s="136">
        <f>IF(Z$1="",0,IF(1+опер1!Z$346=0,0,(опер1!Z$175)/(1+опер1!Z$346)))</f>
        <v>0</v>
      </c>
      <c r="AA50" s="136">
        <f>IF(AA$1="",0,IF(1+опер1!AA$346=0,0,(опер1!AA$175)/(1+опер1!AA$346)))</f>
        <v>0</v>
      </c>
      <c r="AB50" s="123"/>
    </row>
    <row r="51" spans="1:28" s="126" customFormat="1" ht="3.9" customHeight="1" x14ac:dyDescent="0.25">
      <c r="A51" s="149">
        <f>1</f>
        <v>1</v>
      </c>
      <c r="B51" s="131"/>
      <c r="C51" s="123"/>
      <c r="D51" s="123"/>
      <c r="E51" s="123"/>
      <c r="F51" s="123"/>
      <c r="G51" s="123"/>
      <c r="H51" s="123"/>
      <c r="I51" s="124"/>
      <c r="J51" s="123"/>
      <c r="K51" s="124"/>
      <c r="L51" s="123"/>
      <c r="M51" s="125"/>
      <c r="N51" s="123"/>
      <c r="O51" s="123"/>
      <c r="P51" s="137"/>
      <c r="Q51" s="137"/>
      <c r="R51" s="137"/>
      <c r="S51" s="137"/>
      <c r="T51" s="137"/>
      <c r="U51" s="137"/>
      <c r="V51" s="137"/>
      <c r="W51" s="137"/>
      <c r="X51" s="137"/>
      <c r="Y51" s="137"/>
      <c r="Z51" s="137"/>
      <c r="AA51" s="137"/>
      <c r="AB51" s="123"/>
    </row>
    <row r="52" spans="1:28" s="126" customFormat="1" x14ac:dyDescent="0.25">
      <c r="A52" s="149">
        <f>1</f>
        <v>1</v>
      </c>
      <c r="B52" s="132" t="str">
        <f>структура!$J$15</f>
        <v>УСН(6%)-ИП</v>
      </c>
      <c r="C52" s="123"/>
      <c r="D52" s="123"/>
      <c r="E52" s="130" t="str">
        <f>E46</f>
        <v>расходы на аренду земли</v>
      </c>
      <c r="F52" s="130"/>
      <c r="G52" s="130" t="str">
        <f>IF($E52="","",INDEX(KPI!$G:$G,SUMIFS(KPI!$B:$B,KPI!$E:$E,$E52)))</f>
        <v>тыс.руб.</v>
      </c>
      <c r="H52" s="130"/>
      <c r="I52" s="134"/>
      <c r="J52" s="130" t="str">
        <f>структура!$AL$21</f>
        <v>Без НДС</v>
      </c>
      <c r="K52" s="134"/>
      <c r="L52" s="130"/>
      <c r="M52" s="135">
        <f>SUM($O52:$AB52)</f>
        <v>15217.124102819123</v>
      </c>
      <c r="N52" s="123"/>
      <c r="O52" s="123"/>
      <c r="P52" s="136">
        <f>IF(P$1="",0,IF(1+опер1!P$346=0,0,(опер1!P$175)/(1+опер1!P$346)))</f>
        <v>2173.8748718313032</v>
      </c>
      <c r="Q52" s="136">
        <f>IF(Q$1="",0,IF(1+опер1!Q$346=0,0,(опер1!Q$175)/(1+опер1!Q$346)))</f>
        <v>2173.8748718313032</v>
      </c>
      <c r="R52" s="136">
        <f>IF(R$1="",0,IF(1+опер1!R$346=0,0,(опер1!R$175)/(1+опер1!R$346)))</f>
        <v>2173.8748718313032</v>
      </c>
      <c r="S52" s="136">
        <f>IF(S$1="",0,IF(1+опер1!S$346=0,0,(опер1!S$175)/(1+опер1!S$346)))</f>
        <v>2173.8748718313032</v>
      </c>
      <c r="T52" s="136">
        <f>IF(T$1="",0,IF(1+опер1!T$346=0,0,(опер1!T$175)/(1+опер1!T$346)))</f>
        <v>2173.8748718313032</v>
      </c>
      <c r="U52" s="136">
        <f>IF(U$1="",0,IF(1+опер1!U$346=0,0,(опер1!U$175)/(1+опер1!U$346)))</f>
        <v>2173.8748718313032</v>
      </c>
      <c r="V52" s="136">
        <f>IF(V$1="",0,IF(1+опер1!V$346=0,0,(опер1!V$175)/(1+опер1!V$346)))</f>
        <v>2173.8748718313032</v>
      </c>
      <c r="W52" s="136">
        <f>IF(W$1="",0,IF(1+опер1!W$346=0,0,(опер1!W$175)/(1+опер1!W$346)))</f>
        <v>0</v>
      </c>
      <c r="X52" s="136">
        <f>IF(X$1="",0,IF(1+опер1!X$346=0,0,(опер1!X$175)/(1+опер1!X$346)))</f>
        <v>0</v>
      </c>
      <c r="Y52" s="136">
        <f>IF(Y$1="",0,IF(1+опер1!Y$346=0,0,(опер1!Y$175)/(1+опер1!Y$346)))</f>
        <v>0</v>
      </c>
      <c r="Z52" s="136">
        <f>IF(Z$1="",0,IF(1+опер1!Z$346=0,0,(опер1!Z$175)/(1+опер1!Z$346)))</f>
        <v>0</v>
      </c>
      <c r="AA52" s="136">
        <f>IF(AA$1="",0,IF(1+опер1!AA$346=0,0,(опер1!AA$175)/(1+опер1!AA$346)))</f>
        <v>0</v>
      </c>
      <c r="AB52" s="123"/>
    </row>
    <row r="53" spans="1:28" ht="3.9" customHeight="1" x14ac:dyDescent="0.25">
      <c r="A53" s="149">
        <f>1</f>
        <v>1</v>
      </c>
      <c r="B53" s="131"/>
      <c r="C53" s="2"/>
      <c r="D53" s="2"/>
      <c r="E53" s="2"/>
      <c r="F53" s="2"/>
      <c r="G53" s="2"/>
      <c r="H53" s="2"/>
      <c r="I53" s="28"/>
      <c r="J53" s="2"/>
      <c r="K53" s="28"/>
      <c r="L53" s="2"/>
      <c r="M53" s="52"/>
      <c r="N53" s="2"/>
      <c r="O53" s="2"/>
      <c r="P53" s="36"/>
      <c r="Q53" s="36"/>
      <c r="R53" s="36"/>
      <c r="S53" s="36"/>
      <c r="T53" s="36"/>
      <c r="U53" s="36"/>
      <c r="V53" s="36"/>
      <c r="W53" s="36"/>
      <c r="X53" s="36"/>
      <c r="Y53" s="36"/>
      <c r="Z53" s="36"/>
      <c r="AA53" s="36"/>
      <c r="AB53" s="2"/>
    </row>
    <row r="54" spans="1:28" ht="8.1" customHeight="1" x14ac:dyDescent="0.25">
      <c r="A54" s="149">
        <f>1</f>
        <v>1</v>
      </c>
      <c r="B54" s="131"/>
      <c r="C54" s="2"/>
      <c r="D54" s="2"/>
      <c r="E54" s="2"/>
      <c r="F54" s="2"/>
      <c r="G54" s="2"/>
      <c r="H54" s="2"/>
      <c r="I54" s="28"/>
      <c r="J54" s="2"/>
      <c r="K54" s="28"/>
      <c r="L54" s="2"/>
      <c r="M54" s="52"/>
      <c r="N54" s="2"/>
      <c r="O54" s="2"/>
      <c r="P54" s="36"/>
      <c r="Q54" s="36"/>
      <c r="R54" s="36"/>
      <c r="S54" s="36"/>
      <c r="T54" s="36"/>
      <c r="U54" s="36"/>
      <c r="V54" s="36"/>
      <c r="W54" s="36"/>
      <c r="X54" s="36"/>
      <c r="Y54" s="36"/>
      <c r="Z54" s="36"/>
      <c r="AA54" s="36"/>
      <c r="AB54" s="2"/>
    </row>
    <row r="55" spans="1:28" ht="3.9" customHeight="1" x14ac:dyDescent="0.25">
      <c r="A55" s="149">
        <f>1</f>
        <v>1</v>
      </c>
      <c r="B55" s="131"/>
      <c r="C55" s="2"/>
      <c r="D55" s="2"/>
      <c r="E55" s="2"/>
      <c r="F55" s="2"/>
      <c r="G55" s="2"/>
      <c r="H55" s="2"/>
      <c r="I55" s="28"/>
      <c r="J55" s="2"/>
      <c r="K55" s="28"/>
      <c r="L55" s="2"/>
      <c r="M55" s="52"/>
      <c r="N55" s="2"/>
      <c r="O55" s="2"/>
      <c r="P55" s="36"/>
      <c r="Q55" s="36"/>
      <c r="R55" s="36"/>
      <c r="S55" s="36"/>
      <c r="T55" s="36"/>
      <c r="U55" s="36"/>
      <c r="V55" s="36"/>
      <c r="W55" s="36"/>
      <c r="X55" s="36"/>
      <c r="Y55" s="36"/>
      <c r="Z55" s="36"/>
      <c r="AA55" s="36"/>
      <c r="AB55" s="2"/>
    </row>
    <row r="56" spans="1:28" s="126" customFormat="1" x14ac:dyDescent="0.25">
      <c r="A56" s="149">
        <f>1</f>
        <v>1</v>
      </c>
      <c r="B56" s="132" t="str">
        <f>структура!$J$12</f>
        <v>ОСНО</v>
      </c>
      <c r="C56" s="123"/>
      <c r="D56" s="123"/>
      <c r="E56" s="130" t="str">
        <f>KPI!$E$78</f>
        <v>коммунальные расходы</v>
      </c>
      <c r="F56" s="130"/>
      <c r="G56" s="130" t="str">
        <f>IF($E56="","",INDEX(KPI!$G:$G,SUMIFS(KPI!$B:$B,KPI!$E:$E,$E56)))</f>
        <v>тыс.руб.</v>
      </c>
      <c r="H56" s="130"/>
      <c r="I56" s="134"/>
      <c r="J56" s="130" t="str">
        <f>структура!$AL$21</f>
        <v>Без НДС</v>
      </c>
      <c r="K56" s="134"/>
      <c r="L56" s="130"/>
      <c r="M56" s="135">
        <f>SUM($O56:$AB56)</f>
        <v>1552.0081500000003</v>
      </c>
      <c r="N56" s="123"/>
      <c r="O56" s="123"/>
      <c r="P56" s="136">
        <f>IF(P$1="",0,IF(1+опер1!P$346=0,0,(опер1!P$225)/(1+опер1!P$346)))</f>
        <v>221.50865000000007</v>
      </c>
      <c r="Q56" s="136">
        <f>IF(Q$1="",0,IF(1+опер1!Q$346=0,0,(опер1!Q$225)/(1+опер1!Q$346)))</f>
        <v>221.50865000000007</v>
      </c>
      <c r="R56" s="136">
        <f>IF(R$1="",0,IF(1+опер1!R$346=0,0,(опер1!R$225)/(1+опер1!R$346)))</f>
        <v>222.23245000000006</v>
      </c>
      <c r="S56" s="136">
        <f>IF(S$1="",0,IF(1+опер1!S$346=0,0,(опер1!S$225)/(1+опер1!S$346)))</f>
        <v>221.50865000000007</v>
      </c>
      <c r="T56" s="136">
        <f>IF(T$1="",0,IF(1+опер1!T$346=0,0,(опер1!T$225)/(1+опер1!T$346)))</f>
        <v>221.50865000000007</v>
      </c>
      <c r="U56" s="136">
        <f>IF(U$1="",0,IF(1+опер1!U$346=0,0,(опер1!U$225)/(1+опер1!U$346)))</f>
        <v>221.50865000000007</v>
      </c>
      <c r="V56" s="136">
        <f>IF(V$1="",0,IF(1+опер1!V$346=0,0,(опер1!V$225)/(1+опер1!V$346)))</f>
        <v>222.23245000000006</v>
      </c>
      <c r="W56" s="136">
        <f>IF(W$1="",0,IF(1+опер1!W$346=0,0,(опер1!W$225)/(1+опер1!W$346)))</f>
        <v>0</v>
      </c>
      <c r="X56" s="136">
        <f>IF(X$1="",0,IF(1+опер1!X$346=0,0,(опер1!X$225)/(1+опер1!X$346)))</f>
        <v>0</v>
      </c>
      <c r="Y56" s="136">
        <f>IF(Y$1="",0,IF(1+опер1!Y$346=0,0,(опер1!Y$225)/(1+опер1!Y$346)))</f>
        <v>0</v>
      </c>
      <c r="Z56" s="136">
        <f>IF(Z$1="",0,IF(1+опер1!Z$346=0,0,(опер1!Z$225)/(1+опер1!Z$346)))</f>
        <v>0</v>
      </c>
      <c r="AA56" s="136">
        <f>IF(AA$1="",0,IF(1+опер1!AA$346=0,0,(опер1!AA$225)/(1+опер1!AA$346)))</f>
        <v>0</v>
      </c>
      <c r="AB56" s="123"/>
    </row>
    <row r="57" spans="1:28" s="126" customFormat="1" ht="3.9" customHeight="1" x14ac:dyDescent="0.25">
      <c r="A57" s="149">
        <f>1</f>
        <v>1</v>
      </c>
      <c r="B57" s="131"/>
      <c r="C57" s="123"/>
      <c r="D57" s="123"/>
      <c r="E57" s="123"/>
      <c r="F57" s="123"/>
      <c r="G57" s="123"/>
      <c r="H57" s="123"/>
      <c r="I57" s="124"/>
      <c r="J57" s="123"/>
      <c r="K57" s="124"/>
      <c r="L57" s="123"/>
      <c r="M57" s="125"/>
      <c r="N57" s="123"/>
      <c r="O57" s="123"/>
      <c r="P57" s="137"/>
      <c r="Q57" s="137"/>
      <c r="R57" s="137"/>
      <c r="S57" s="137"/>
      <c r="T57" s="137"/>
      <c r="U57" s="137"/>
      <c r="V57" s="137"/>
      <c r="W57" s="137"/>
      <c r="X57" s="137"/>
      <c r="Y57" s="137"/>
      <c r="Z57" s="137"/>
      <c r="AA57" s="137"/>
      <c r="AB57" s="123"/>
    </row>
    <row r="58" spans="1:28" s="126" customFormat="1" x14ac:dyDescent="0.25">
      <c r="A58" s="149">
        <f>1</f>
        <v>1</v>
      </c>
      <c r="B58" s="132" t="str">
        <f>структура!$J$13</f>
        <v>УСН(6%)</v>
      </c>
      <c r="C58" s="123"/>
      <c r="D58" s="123"/>
      <c r="E58" s="130" t="str">
        <f>E56</f>
        <v>коммунальные расходы</v>
      </c>
      <c r="F58" s="130"/>
      <c r="G58" s="130" t="str">
        <f>IF($E58="","",INDEX(KPI!$G:$G,SUMIFS(KPI!$B:$B,KPI!$E:$E,$E58)))</f>
        <v>тыс.руб.</v>
      </c>
      <c r="H58" s="130"/>
      <c r="I58" s="134"/>
      <c r="J58" s="130" t="str">
        <f>структура!$AL$21</f>
        <v>Без НДС</v>
      </c>
      <c r="K58" s="134"/>
      <c r="L58" s="130"/>
      <c r="M58" s="135">
        <f>SUM($O58:$AB58)</f>
        <v>1552.0081500000003</v>
      </c>
      <c r="N58" s="123"/>
      <c r="O58" s="123"/>
      <c r="P58" s="136">
        <f>IF(P$1="",0,IF(1+опер1!P$346=0,0,(опер1!P$225)/(1+опер1!P$346)))</f>
        <v>221.50865000000007</v>
      </c>
      <c r="Q58" s="136">
        <f>IF(Q$1="",0,IF(1+опер1!Q$346=0,0,(опер1!Q$225)/(1+опер1!Q$346)))</f>
        <v>221.50865000000007</v>
      </c>
      <c r="R58" s="136">
        <f>IF(R$1="",0,IF(1+опер1!R$346=0,0,(опер1!R$225)/(1+опер1!R$346)))</f>
        <v>222.23245000000006</v>
      </c>
      <c r="S58" s="136">
        <f>IF(S$1="",0,IF(1+опер1!S$346=0,0,(опер1!S$225)/(1+опер1!S$346)))</f>
        <v>221.50865000000007</v>
      </c>
      <c r="T58" s="136">
        <f>IF(T$1="",0,IF(1+опер1!T$346=0,0,(опер1!T$225)/(1+опер1!T$346)))</f>
        <v>221.50865000000007</v>
      </c>
      <c r="U58" s="136">
        <f>IF(U$1="",0,IF(1+опер1!U$346=0,0,(опер1!U$225)/(1+опер1!U$346)))</f>
        <v>221.50865000000007</v>
      </c>
      <c r="V58" s="136">
        <f>IF(V$1="",0,IF(1+опер1!V$346=0,0,(опер1!V$225)/(1+опер1!V$346)))</f>
        <v>222.23245000000006</v>
      </c>
      <c r="W58" s="136">
        <f>IF(W$1="",0,IF(1+опер1!W$346=0,0,(опер1!W$225)/(1+опер1!W$346)))</f>
        <v>0</v>
      </c>
      <c r="X58" s="136">
        <f>IF(X$1="",0,IF(1+опер1!X$346=0,0,(опер1!X$225)/(1+опер1!X$346)))</f>
        <v>0</v>
      </c>
      <c r="Y58" s="136">
        <f>IF(Y$1="",0,IF(1+опер1!Y$346=0,0,(опер1!Y$225)/(1+опер1!Y$346)))</f>
        <v>0</v>
      </c>
      <c r="Z58" s="136">
        <f>IF(Z$1="",0,IF(1+опер1!Z$346=0,0,(опер1!Z$225)/(1+опер1!Z$346)))</f>
        <v>0</v>
      </c>
      <c r="AA58" s="136">
        <f>IF(AA$1="",0,IF(1+опер1!AA$346=0,0,(опер1!AA$225)/(1+опер1!AA$346)))</f>
        <v>0</v>
      </c>
      <c r="AB58" s="123"/>
    </row>
    <row r="59" spans="1:28" s="126" customFormat="1" ht="3.9" customHeight="1" x14ac:dyDescent="0.25">
      <c r="A59" s="149">
        <f>1</f>
        <v>1</v>
      </c>
      <c r="B59" s="131"/>
      <c r="C59" s="123"/>
      <c r="D59" s="123"/>
      <c r="E59" s="123"/>
      <c r="F59" s="123"/>
      <c r="G59" s="123"/>
      <c r="H59" s="123"/>
      <c r="I59" s="124"/>
      <c r="J59" s="123"/>
      <c r="K59" s="124"/>
      <c r="L59" s="123"/>
      <c r="M59" s="125"/>
      <c r="N59" s="123"/>
      <c r="O59" s="123"/>
      <c r="P59" s="137"/>
      <c r="Q59" s="137"/>
      <c r="R59" s="137"/>
      <c r="S59" s="137"/>
      <c r="T59" s="137"/>
      <c r="U59" s="137"/>
      <c r="V59" s="137"/>
      <c r="W59" s="137"/>
      <c r="X59" s="137"/>
      <c r="Y59" s="137"/>
      <c r="Z59" s="137"/>
      <c r="AA59" s="137"/>
      <c r="AB59" s="123"/>
    </row>
    <row r="60" spans="1:28" s="126" customFormat="1" x14ac:dyDescent="0.25">
      <c r="A60" s="149">
        <f>1</f>
        <v>1</v>
      </c>
      <c r="B60" s="132" t="str">
        <f>структура!$J$14</f>
        <v>УСН(15%)</v>
      </c>
      <c r="C60" s="123"/>
      <c r="D60" s="123"/>
      <c r="E60" s="130" t="str">
        <f>E56</f>
        <v>коммунальные расходы</v>
      </c>
      <c r="F60" s="130"/>
      <c r="G60" s="130" t="str">
        <f>IF($E60="","",INDEX(KPI!$G:$G,SUMIFS(KPI!$B:$B,KPI!$E:$E,$E60)))</f>
        <v>тыс.руб.</v>
      </c>
      <c r="H60" s="130"/>
      <c r="I60" s="134"/>
      <c r="J60" s="130" t="str">
        <f>структура!$AL$21</f>
        <v>Без НДС</v>
      </c>
      <c r="K60" s="134"/>
      <c r="L60" s="130"/>
      <c r="M60" s="135">
        <f>SUM($O60:$AB60)</f>
        <v>1552.0081500000003</v>
      </c>
      <c r="N60" s="123"/>
      <c r="O60" s="123"/>
      <c r="P60" s="136">
        <f>IF(P$1="",0,IF(1+опер1!P$346=0,0,(опер1!P$225)/(1+опер1!P$346)))</f>
        <v>221.50865000000007</v>
      </c>
      <c r="Q60" s="136">
        <f>IF(Q$1="",0,IF(1+опер1!Q$346=0,0,(опер1!Q$225)/(1+опер1!Q$346)))</f>
        <v>221.50865000000007</v>
      </c>
      <c r="R60" s="136">
        <f>IF(R$1="",0,IF(1+опер1!R$346=0,0,(опер1!R$225)/(1+опер1!R$346)))</f>
        <v>222.23245000000006</v>
      </c>
      <c r="S60" s="136">
        <f>IF(S$1="",0,IF(1+опер1!S$346=0,0,(опер1!S$225)/(1+опер1!S$346)))</f>
        <v>221.50865000000007</v>
      </c>
      <c r="T60" s="136">
        <f>IF(T$1="",0,IF(1+опер1!T$346=0,0,(опер1!T$225)/(1+опер1!T$346)))</f>
        <v>221.50865000000007</v>
      </c>
      <c r="U60" s="136">
        <f>IF(U$1="",0,IF(1+опер1!U$346=0,0,(опер1!U$225)/(1+опер1!U$346)))</f>
        <v>221.50865000000007</v>
      </c>
      <c r="V60" s="136">
        <f>IF(V$1="",0,IF(1+опер1!V$346=0,0,(опер1!V$225)/(1+опер1!V$346)))</f>
        <v>222.23245000000006</v>
      </c>
      <c r="W60" s="136">
        <f>IF(W$1="",0,IF(1+опер1!W$346=0,0,(опер1!W$225)/(1+опер1!W$346)))</f>
        <v>0</v>
      </c>
      <c r="X60" s="136">
        <f>IF(X$1="",0,IF(1+опер1!X$346=0,0,(опер1!X$225)/(1+опер1!X$346)))</f>
        <v>0</v>
      </c>
      <c r="Y60" s="136">
        <f>IF(Y$1="",0,IF(1+опер1!Y$346=0,0,(опер1!Y$225)/(1+опер1!Y$346)))</f>
        <v>0</v>
      </c>
      <c r="Z60" s="136">
        <f>IF(Z$1="",0,IF(1+опер1!Z$346=0,0,(опер1!Z$225)/(1+опер1!Z$346)))</f>
        <v>0</v>
      </c>
      <c r="AA60" s="136">
        <f>IF(AA$1="",0,IF(1+опер1!AA$346=0,0,(опер1!AA$225)/(1+опер1!AA$346)))</f>
        <v>0</v>
      </c>
      <c r="AB60" s="123"/>
    </row>
    <row r="61" spans="1:28" s="126" customFormat="1" ht="3.9" customHeight="1" x14ac:dyDescent="0.25">
      <c r="A61" s="149">
        <f>1</f>
        <v>1</v>
      </c>
      <c r="B61" s="131"/>
      <c r="C61" s="123"/>
      <c r="D61" s="123"/>
      <c r="E61" s="123"/>
      <c r="F61" s="123"/>
      <c r="G61" s="123"/>
      <c r="H61" s="123"/>
      <c r="I61" s="124"/>
      <c r="J61" s="123"/>
      <c r="K61" s="124"/>
      <c r="L61" s="123"/>
      <c r="M61" s="125"/>
      <c r="N61" s="123"/>
      <c r="O61" s="123"/>
      <c r="P61" s="137"/>
      <c r="Q61" s="137"/>
      <c r="R61" s="137"/>
      <c r="S61" s="137"/>
      <c r="T61" s="137"/>
      <c r="U61" s="137"/>
      <c r="V61" s="137"/>
      <c r="W61" s="137"/>
      <c r="X61" s="137"/>
      <c r="Y61" s="137"/>
      <c r="Z61" s="137"/>
      <c r="AA61" s="137"/>
      <c r="AB61" s="123"/>
    </row>
    <row r="62" spans="1:28" s="126" customFormat="1" x14ac:dyDescent="0.25">
      <c r="A62" s="149">
        <f>1</f>
        <v>1</v>
      </c>
      <c r="B62" s="132" t="str">
        <f>структура!$J$15</f>
        <v>УСН(6%)-ИП</v>
      </c>
      <c r="C62" s="123"/>
      <c r="D62" s="123"/>
      <c r="E62" s="130" t="str">
        <f>E56</f>
        <v>коммунальные расходы</v>
      </c>
      <c r="F62" s="130"/>
      <c r="G62" s="130" t="str">
        <f>IF($E62="","",INDEX(KPI!$G:$G,SUMIFS(KPI!$B:$B,KPI!$E:$E,$E62)))</f>
        <v>тыс.руб.</v>
      </c>
      <c r="H62" s="130"/>
      <c r="I62" s="134"/>
      <c r="J62" s="130" t="str">
        <f>структура!$AL$21</f>
        <v>Без НДС</v>
      </c>
      <c r="K62" s="134"/>
      <c r="L62" s="130"/>
      <c r="M62" s="135">
        <f>SUM($O62:$AB62)</f>
        <v>1552.0081500000003</v>
      </c>
      <c r="N62" s="123"/>
      <c r="O62" s="123"/>
      <c r="P62" s="136">
        <f>IF(P$1="",0,IF(1+опер1!P$346=0,0,(опер1!P$225)/(1+опер1!P$346)))</f>
        <v>221.50865000000007</v>
      </c>
      <c r="Q62" s="136">
        <f>IF(Q$1="",0,IF(1+опер1!Q$346=0,0,(опер1!Q$225)/(1+опер1!Q$346)))</f>
        <v>221.50865000000007</v>
      </c>
      <c r="R62" s="136">
        <f>IF(R$1="",0,IF(1+опер1!R$346=0,0,(опер1!R$225)/(1+опер1!R$346)))</f>
        <v>222.23245000000006</v>
      </c>
      <c r="S62" s="136">
        <f>IF(S$1="",0,IF(1+опер1!S$346=0,0,(опер1!S$225)/(1+опер1!S$346)))</f>
        <v>221.50865000000007</v>
      </c>
      <c r="T62" s="136">
        <f>IF(T$1="",0,IF(1+опер1!T$346=0,0,(опер1!T$225)/(1+опер1!T$346)))</f>
        <v>221.50865000000007</v>
      </c>
      <c r="U62" s="136">
        <f>IF(U$1="",0,IF(1+опер1!U$346=0,0,(опер1!U$225)/(1+опер1!U$346)))</f>
        <v>221.50865000000007</v>
      </c>
      <c r="V62" s="136">
        <f>IF(V$1="",0,IF(1+опер1!V$346=0,0,(опер1!V$225)/(1+опер1!V$346)))</f>
        <v>222.23245000000006</v>
      </c>
      <c r="W62" s="136">
        <f>IF(W$1="",0,IF(1+опер1!W$346=0,0,(опер1!W$225)/(1+опер1!W$346)))</f>
        <v>0</v>
      </c>
      <c r="X62" s="136">
        <f>IF(X$1="",0,IF(1+опер1!X$346=0,0,(опер1!X$225)/(1+опер1!X$346)))</f>
        <v>0</v>
      </c>
      <c r="Y62" s="136">
        <f>IF(Y$1="",0,IF(1+опер1!Y$346=0,0,(опер1!Y$225)/(1+опер1!Y$346)))</f>
        <v>0</v>
      </c>
      <c r="Z62" s="136">
        <f>IF(Z$1="",0,IF(1+опер1!Z$346=0,0,(опер1!Z$225)/(1+опер1!Z$346)))</f>
        <v>0</v>
      </c>
      <c r="AA62" s="136">
        <f>IF(AA$1="",0,IF(1+опер1!AA$346=0,0,(опер1!AA$225)/(1+опер1!AA$346)))</f>
        <v>0</v>
      </c>
      <c r="AB62" s="123"/>
    </row>
    <row r="63" spans="1:28" ht="3.9" customHeight="1" x14ac:dyDescent="0.25">
      <c r="A63" s="149">
        <f>1</f>
        <v>1</v>
      </c>
      <c r="B63" s="131"/>
      <c r="C63" s="2"/>
      <c r="D63" s="2"/>
      <c r="E63" s="2"/>
      <c r="F63" s="2"/>
      <c r="G63" s="2"/>
      <c r="H63" s="2"/>
      <c r="I63" s="28"/>
      <c r="J63" s="2"/>
      <c r="K63" s="28"/>
      <c r="L63" s="2"/>
      <c r="M63" s="52"/>
      <c r="N63" s="2"/>
      <c r="O63" s="2"/>
      <c r="P63" s="36"/>
      <c r="Q63" s="36"/>
      <c r="R63" s="36"/>
      <c r="S63" s="36"/>
      <c r="T63" s="36"/>
      <c r="U63" s="36"/>
      <c r="V63" s="36"/>
      <c r="W63" s="36"/>
      <c r="X63" s="36"/>
      <c r="Y63" s="36"/>
      <c r="Z63" s="36"/>
      <c r="AA63" s="36"/>
      <c r="AB63" s="2"/>
    </row>
    <row r="64" spans="1:28" ht="8.1" customHeight="1" x14ac:dyDescent="0.25">
      <c r="A64" s="149">
        <f>1</f>
        <v>1</v>
      </c>
      <c r="B64" s="131"/>
      <c r="C64" s="2"/>
      <c r="D64" s="2"/>
      <c r="E64" s="2"/>
      <c r="F64" s="2"/>
      <c r="G64" s="2"/>
      <c r="H64" s="2"/>
      <c r="I64" s="28"/>
      <c r="J64" s="2"/>
      <c r="K64" s="28"/>
      <c r="L64" s="2"/>
      <c r="M64" s="52"/>
      <c r="N64" s="2"/>
      <c r="O64" s="2"/>
      <c r="P64" s="36"/>
      <c r="Q64" s="36"/>
      <c r="R64" s="36"/>
      <c r="S64" s="36"/>
      <c r="T64" s="36"/>
      <c r="U64" s="36"/>
      <c r="V64" s="36"/>
      <c r="W64" s="36"/>
      <c r="X64" s="36"/>
      <c r="Y64" s="36"/>
      <c r="Z64" s="36"/>
      <c r="AA64" s="36"/>
      <c r="AB64" s="2"/>
    </row>
    <row r="65" spans="1:28" ht="3.9" customHeight="1" x14ac:dyDescent="0.25">
      <c r="A65" s="149">
        <f>1</f>
        <v>1</v>
      </c>
      <c r="B65" s="131"/>
      <c r="C65" s="2"/>
      <c r="D65" s="2"/>
      <c r="E65" s="2"/>
      <c r="F65" s="2"/>
      <c r="G65" s="2"/>
      <c r="H65" s="2"/>
      <c r="I65" s="28"/>
      <c r="J65" s="2"/>
      <c r="K65" s="28"/>
      <c r="L65" s="2"/>
      <c r="M65" s="52"/>
      <c r="N65" s="2"/>
      <c r="O65" s="2"/>
      <c r="P65" s="36"/>
      <c r="Q65" s="36"/>
      <c r="R65" s="36"/>
      <c r="S65" s="36"/>
      <c r="T65" s="36"/>
      <c r="U65" s="36"/>
      <c r="V65" s="36"/>
      <c r="W65" s="36"/>
      <c r="X65" s="36"/>
      <c r="Y65" s="36"/>
      <c r="Z65" s="36"/>
      <c r="AA65" s="36"/>
      <c r="AB65" s="2"/>
    </row>
    <row r="66" spans="1:28" s="126" customFormat="1" x14ac:dyDescent="0.25">
      <c r="A66" s="149">
        <f>1</f>
        <v>1</v>
      </c>
      <c r="B66" s="132" t="str">
        <f>структура!$J$12</f>
        <v>ОСНО</v>
      </c>
      <c r="C66" s="123"/>
      <c r="D66" s="123"/>
      <c r="E66" s="130" t="str">
        <f>KPI!$E$79</f>
        <v>начисление ФОТ</v>
      </c>
      <c r="F66" s="130"/>
      <c r="G66" s="130" t="str">
        <f>IF($E66="","",INDEX(KPI!$G:$G,SUMIFS(KPI!$B:$B,KPI!$E:$E,$E66)))</f>
        <v>тыс.руб.</v>
      </c>
      <c r="H66" s="130"/>
      <c r="I66" s="134"/>
      <c r="J66" s="130"/>
      <c r="K66" s="134"/>
      <c r="L66" s="130"/>
      <c r="M66" s="135">
        <f>SUM($O66:$AB66)</f>
        <v>15540</v>
      </c>
      <c r="N66" s="123"/>
      <c r="O66" s="123"/>
      <c r="P66" s="136">
        <f>IF(P$1="",0,опер1!P$260)</f>
        <v>2220</v>
      </c>
      <c r="Q66" s="136">
        <f>IF(Q$1="",0,опер1!Q$260)</f>
        <v>2220</v>
      </c>
      <c r="R66" s="136">
        <f>IF(R$1="",0,опер1!R$260)</f>
        <v>2220</v>
      </c>
      <c r="S66" s="136">
        <f>IF(S$1="",0,опер1!S$260)</f>
        <v>2220</v>
      </c>
      <c r="T66" s="136">
        <f>IF(T$1="",0,опер1!T$260)</f>
        <v>2220</v>
      </c>
      <c r="U66" s="136">
        <f>IF(U$1="",0,опер1!U$260)</f>
        <v>2220</v>
      </c>
      <c r="V66" s="136">
        <f>IF(V$1="",0,опер1!V$260)</f>
        <v>2220</v>
      </c>
      <c r="W66" s="136">
        <f>IF(W$1="",0,опер1!W$260)</f>
        <v>0</v>
      </c>
      <c r="X66" s="136">
        <f>IF(X$1="",0,опер1!X$260)</f>
        <v>0</v>
      </c>
      <c r="Y66" s="136">
        <f>IF(Y$1="",0,опер1!Y$260)</f>
        <v>0</v>
      </c>
      <c r="Z66" s="136">
        <f>IF(Z$1="",0,опер1!Z$260)</f>
        <v>0</v>
      </c>
      <c r="AA66" s="136">
        <f>IF(AA$1="",0,опер1!AA$260)</f>
        <v>0</v>
      </c>
      <c r="AB66" s="123"/>
    </row>
    <row r="67" spans="1:28" s="126" customFormat="1" ht="3.9" customHeight="1" x14ac:dyDescent="0.25">
      <c r="A67" s="149">
        <f>1</f>
        <v>1</v>
      </c>
      <c r="B67" s="131"/>
      <c r="C67" s="123"/>
      <c r="D67" s="123"/>
      <c r="E67" s="123"/>
      <c r="F67" s="123"/>
      <c r="G67" s="123"/>
      <c r="H67" s="123"/>
      <c r="I67" s="124"/>
      <c r="J67" s="123"/>
      <c r="K67" s="124"/>
      <c r="L67" s="123"/>
      <c r="M67" s="125"/>
      <c r="N67" s="123"/>
      <c r="O67" s="123"/>
      <c r="P67" s="137"/>
      <c r="Q67" s="137"/>
      <c r="R67" s="137"/>
      <c r="S67" s="137"/>
      <c r="T67" s="137"/>
      <c r="U67" s="137"/>
      <c r="V67" s="137"/>
      <c r="W67" s="137"/>
      <c r="X67" s="137"/>
      <c r="Y67" s="137"/>
      <c r="Z67" s="137"/>
      <c r="AA67" s="137"/>
      <c r="AB67" s="123"/>
    </row>
    <row r="68" spans="1:28" s="126" customFormat="1" x14ac:dyDescent="0.25">
      <c r="A68" s="149">
        <f>1</f>
        <v>1</v>
      </c>
      <c r="B68" s="132" t="str">
        <f>структура!$J$13</f>
        <v>УСН(6%)</v>
      </c>
      <c r="C68" s="123"/>
      <c r="D68" s="123"/>
      <c r="E68" s="130" t="str">
        <f>E66</f>
        <v>начисление ФОТ</v>
      </c>
      <c r="F68" s="130"/>
      <c r="G68" s="130" t="str">
        <f>IF($E68="","",INDEX(KPI!$G:$G,SUMIFS(KPI!$B:$B,KPI!$E:$E,$E68)))</f>
        <v>тыс.руб.</v>
      </c>
      <c r="H68" s="130"/>
      <c r="I68" s="134"/>
      <c r="J68" s="130"/>
      <c r="K68" s="134"/>
      <c r="L68" s="130"/>
      <c r="M68" s="135">
        <f>SUM($O68:$AB68)</f>
        <v>15540</v>
      </c>
      <c r="N68" s="123"/>
      <c r="O68" s="123"/>
      <c r="P68" s="136">
        <f>IF(P$1="",0,опер1!P$260)</f>
        <v>2220</v>
      </c>
      <c r="Q68" s="136">
        <f>IF(Q$1="",0,опер1!Q$260)</f>
        <v>2220</v>
      </c>
      <c r="R68" s="136">
        <f>IF(R$1="",0,опер1!R$260)</f>
        <v>2220</v>
      </c>
      <c r="S68" s="136">
        <f>IF(S$1="",0,опер1!S$260)</f>
        <v>2220</v>
      </c>
      <c r="T68" s="136">
        <f>IF(T$1="",0,опер1!T$260)</f>
        <v>2220</v>
      </c>
      <c r="U68" s="136">
        <f>IF(U$1="",0,опер1!U$260)</f>
        <v>2220</v>
      </c>
      <c r="V68" s="136">
        <f>IF(V$1="",0,опер1!V$260)</f>
        <v>2220</v>
      </c>
      <c r="W68" s="136">
        <f>IF(W$1="",0,опер1!W$260)</f>
        <v>0</v>
      </c>
      <c r="X68" s="136">
        <f>IF(X$1="",0,опер1!X$260)</f>
        <v>0</v>
      </c>
      <c r="Y68" s="136">
        <f>IF(Y$1="",0,опер1!Y$260)</f>
        <v>0</v>
      </c>
      <c r="Z68" s="136">
        <f>IF(Z$1="",0,опер1!Z$260)</f>
        <v>0</v>
      </c>
      <c r="AA68" s="136">
        <f>IF(AA$1="",0,опер1!AA$260)</f>
        <v>0</v>
      </c>
      <c r="AB68" s="123"/>
    </row>
    <row r="69" spans="1:28" s="126" customFormat="1" ht="3.9" customHeight="1" x14ac:dyDescent="0.25">
      <c r="A69" s="149">
        <f>1</f>
        <v>1</v>
      </c>
      <c r="B69" s="131"/>
      <c r="C69" s="123"/>
      <c r="D69" s="123"/>
      <c r="E69" s="123"/>
      <c r="F69" s="123"/>
      <c r="G69" s="123"/>
      <c r="H69" s="123"/>
      <c r="I69" s="124"/>
      <c r="J69" s="123"/>
      <c r="K69" s="124"/>
      <c r="L69" s="123"/>
      <c r="M69" s="125"/>
      <c r="N69" s="123"/>
      <c r="O69" s="123"/>
      <c r="P69" s="137"/>
      <c r="Q69" s="137"/>
      <c r="R69" s="137"/>
      <c r="S69" s="137"/>
      <c r="T69" s="137"/>
      <c r="U69" s="137"/>
      <c r="V69" s="137"/>
      <c r="W69" s="137"/>
      <c r="X69" s="137"/>
      <c r="Y69" s="137"/>
      <c r="Z69" s="137"/>
      <c r="AA69" s="137"/>
      <c r="AB69" s="123"/>
    </row>
    <row r="70" spans="1:28" s="126" customFormat="1" x14ac:dyDescent="0.25">
      <c r="A70" s="149">
        <f>1</f>
        <v>1</v>
      </c>
      <c r="B70" s="132" t="str">
        <f>структура!$J$14</f>
        <v>УСН(15%)</v>
      </c>
      <c r="C70" s="123"/>
      <c r="D70" s="123"/>
      <c r="E70" s="130" t="str">
        <f>E66</f>
        <v>начисление ФОТ</v>
      </c>
      <c r="F70" s="130"/>
      <c r="G70" s="130" t="str">
        <f>IF($E70="","",INDEX(KPI!$G:$G,SUMIFS(KPI!$B:$B,KPI!$E:$E,$E70)))</f>
        <v>тыс.руб.</v>
      </c>
      <c r="H70" s="130"/>
      <c r="I70" s="134"/>
      <c r="J70" s="130"/>
      <c r="K70" s="134"/>
      <c r="L70" s="130"/>
      <c r="M70" s="135">
        <f>SUM($O70:$AB70)</f>
        <v>15540</v>
      </c>
      <c r="N70" s="123"/>
      <c r="O70" s="123"/>
      <c r="P70" s="136">
        <f>IF(P$1="",0,опер1!P$260)</f>
        <v>2220</v>
      </c>
      <c r="Q70" s="136">
        <f>IF(Q$1="",0,опер1!Q$260)</f>
        <v>2220</v>
      </c>
      <c r="R70" s="136">
        <f>IF(R$1="",0,опер1!R$260)</f>
        <v>2220</v>
      </c>
      <c r="S70" s="136">
        <f>IF(S$1="",0,опер1!S$260)</f>
        <v>2220</v>
      </c>
      <c r="T70" s="136">
        <f>IF(T$1="",0,опер1!T$260)</f>
        <v>2220</v>
      </c>
      <c r="U70" s="136">
        <f>IF(U$1="",0,опер1!U$260)</f>
        <v>2220</v>
      </c>
      <c r="V70" s="136">
        <f>IF(V$1="",0,опер1!V$260)</f>
        <v>2220</v>
      </c>
      <c r="W70" s="136">
        <f>IF(W$1="",0,опер1!W$260)</f>
        <v>0</v>
      </c>
      <c r="X70" s="136">
        <f>IF(X$1="",0,опер1!X$260)</f>
        <v>0</v>
      </c>
      <c r="Y70" s="136">
        <f>IF(Y$1="",0,опер1!Y$260)</f>
        <v>0</v>
      </c>
      <c r="Z70" s="136">
        <f>IF(Z$1="",0,опер1!Z$260)</f>
        <v>0</v>
      </c>
      <c r="AA70" s="136">
        <f>IF(AA$1="",0,опер1!AA$260)</f>
        <v>0</v>
      </c>
      <c r="AB70" s="123"/>
    </row>
    <row r="71" spans="1:28" s="126" customFormat="1" ht="3.9" customHeight="1" x14ac:dyDescent="0.25">
      <c r="A71" s="149">
        <f>1</f>
        <v>1</v>
      </c>
      <c r="B71" s="131"/>
      <c r="C71" s="123"/>
      <c r="D71" s="123"/>
      <c r="E71" s="123"/>
      <c r="F71" s="123"/>
      <c r="G71" s="123"/>
      <c r="H71" s="123"/>
      <c r="I71" s="124"/>
      <c r="J71" s="123"/>
      <c r="K71" s="124"/>
      <c r="L71" s="123"/>
      <c r="M71" s="125"/>
      <c r="N71" s="123"/>
      <c r="O71" s="123"/>
      <c r="P71" s="137"/>
      <c r="Q71" s="137"/>
      <c r="R71" s="137"/>
      <c r="S71" s="137"/>
      <c r="T71" s="137"/>
      <c r="U71" s="137"/>
      <c r="V71" s="137"/>
      <c r="W71" s="137"/>
      <c r="X71" s="137"/>
      <c r="Y71" s="137"/>
      <c r="Z71" s="137"/>
      <c r="AA71" s="137"/>
      <c r="AB71" s="123"/>
    </row>
    <row r="72" spans="1:28" s="126" customFormat="1" x14ac:dyDescent="0.25">
      <c r="A72" s="149">
        <f>1</f>
        <v>1</v>
      </c>
      <c r="B72" s="132" t="str">
        <f>структура!$J$15</f>
        <v>УСН(6%)-ИП</v>
      </c>
      <c r="C72" s="123"/>
      <c r="D72" s="123"/>
      <c r="E72" s="130" t="str">
        <f>E66</f>
        <v>начисление ФОТ</v>
      </c>
      <c r="F72" s="130"/>
      <c r="G72" s="130" t="str">
        <f>IF($E72="","",INDEX(KPI!$G:$G,SUMIFS(KPI!$B:$B,KPI!$E:$E,$E72)))</f>
        <v>тыс.руб.</v>
      </c>
      <c r="H72" s="130"/>
      <c r="I72" s="134"/>
      <c r="J72" s="130"/>
      <c r="K72" s="134"/>
      <c r="L72" s="130"/>
      <c r="M72" s="135">
        <f>SUM($O72:$AB72)</f>
        <v>15540</v>
      </c>
      <c r="N72" s="123"/>
      <c r="O72" s="123"/>
      <c r="P72" s="136">
        <f>IF(P$1="",0,опер1!P$260)</f>
        <v>2220</v>
      </c>
      <c r="Q72" s="136">
        <f>IF(Q$1="",0,опер1!Q$260)</f>
        <v>2220</v>
      </c>
      <c r="R72" s="136">
        <f>IF(R$1="",0,опер1!R$260)</f>
        <v>2220</v>
      </c>
      <c r="S72" s="136">
        <f>IF(S$1="",0,опер1!S$260)</f>
        <v>2220</v>
      </c>
      <c r="T72" s="136">
        <f>IF(T$1="",0,опер1!T$260)</f>
        <v>2220</v>
      </c>
      <c r="U72" s="136">
        <f>IF(U$1="",0,опер1!U$260)</f>
        <v>2220</v>
      </c>
      <c r="V72" s="136">
        <f>IF(V$1="",0,опер1!V$260)</f>
        <v>2220</v>
      </c>
      <c r="W72" s="136">
        <f>IF(W$1="",0,опер1!W$260)</f>
        <v>0</v>
      </c>
      <c r="X72" s="136">
        <f>IF(X$1="",0,опер1!X$260)</f>
        <v>0</v>
      </c>
      <c r="Y72" s="136">
        <f>IF(Y$1="",0,опер1!Y$260)</f>
        <v>0</v>
      </c>
      <c r="Z72" s="136">
        <f>IF(Z$1="",0,опер1!Z$260)</f>
        <v>0</v>
      </c>
      <c r="AA72" s="136">
        <f>IF(AA$1="",0,опер1!AA$260)</f>
        <v>0</v>
      </c>
      <c r="AB72" s="123"/>
    </row>
    <row r="73" spans="1:28" ht="3.9" customHeight="1" x14ac:dyDescent="0.25">
      <c r="A73" s="149">
        <f>1</f>
        <v>1</v>
      </c>
      <c r="B73" s="131"/>
      <c r="C73" s="2"/>
      <c r="D73" s="2"/>
      <c r="E73" s="2"/>
      <c r="F73" s="2"/>
      <c r="G73" s="2"/>
      <c r="H73" s="2"/>
      <c r="I73" s="28"/>
      <c r="J73" s="2"/>
      <c r="K73" s="28"/>
      <c r="L73" s="2"/>
      <c r="M73" s="52"/>
      <c r="N73" s="2"/>
      <c r="O73" s="2"/>
      <c r="P73" s="36"/>
      <c r="Q73" s="36"/>
      <c r="R73" s="36"/>
      <c r="S73" s="36"/>
      <c r="T73" s="36"/>
      <c r="U73" s="36"/>
      <c r="V73" s="36"/>
      <c r="W73" s="36"/>
      <c r="X73" s="36"/>
      <c r="Y73" s="36"/>
      <c r="Z73" s="36"/>
      <c r="AA73" s="36"/>
      <c r="AB73" s="2"/>
    </row>
    <row r="74" spans="1:28" ht="8.1" customHeight="1" x14ac:dyDescent="0.25">
      <c r="A74" s="149">
        <f>1</f>
        <v>1</v>
      </c>
      <c r="B74" s="131"/>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ht="3.9" customHeight="1" x14ac:dyDescent="0.25">
      <c r="A75" s="149">
        <f>1</f>
        <v>1</v>
      </c>
      <c r="B75" s="131"/>
      <c r="C75" s="2"/>
      <c r="D75" s="2"/>
      <c r="E75" s="2"/>
      <c r="F75" s="2"/>
      <c r="G75" s="2"/>
      <c r="H75" s="2"/>
      <c r="I75" s="28"/>
      <c r="J75" s="2"/>
      <c r="K75" s="28"/>
      <c r="L75" s="2"/>
      <c r="M75" s="52"/>
      <c r="N75" s="2"/>
      <c r="O75" s="2"/>
      <c r="P75" s="36"/>
      <c r="Q75" s="36"/>
      <c r="R75" s="36"/>
      <c r="S75" s="36"/>
      <c r="T75" s="36"/>
      <c r="U75" s="36"/>
      <c r="V75" s="36"/>
      <c r="W75" s="36"/>
      <c r="X75" s="36"/>
      <c r="Y75" s="36"/>
      <c r="Z75" s="36"/>
      <c r="AA75" s="36"/>
      <c r="AB75" s="2"/>
    </row>
    <row r="76" spans="1:28" s="126" customFormat="1" x14ac:dyDescent="0.25">
      <c r="A76" s="149">
        <f>1</f>
        <v>1</v>
      </c>
      <c r="B76" s="132" t="str">
        <f>структура!$J$12</f>
        <v>ОСНО</v>
      </c>
      <c r="C76" s="123"/>
      <c r="D76" s="123"/>
      <c r="E76" s="130" t="str">
        <f>KPI!$E$80</f>
        <v>начисления в соцфонды и НС</v>
      </c>
      <c r="F76" s="130"/>
      <c r="G76" s="130" t="str">
        <f>IF($E76="","",INDEX(KPI!$G:$G,SUMIFS(KPI!$B:$B,KPI!$E:$E,$E76)))</f>
        <v>тыс.руб.</v>
      </c>
      <c r="H76" s="130"/>
      <c r="I76" s="134"/>
      <c r="J76" s="130"/>
      <c r="K76" s="134"/>
      <c r="L76" s="130"/>
      <c r="M76" s="135">
        <f>SUM($O76:$AB76)</f>
        <v>4693.08</v>
      </c>
      <c r="N76" s="123"/>
      <c r="O76" s="123"/>
      <c r="P76" s="136">
        <f>IF(P$1="",0,опер1!P$278)</f>
        <v>670.43999999999994</v>
      </c>
      <c r="Q76" s="136">
        <f>IF(Q$1="",0,опер1!Q$278)</f>
        <v>670.43999999999994</v>
      </c>
      <c r="R76" s="136">
        <f>IF(R$1="",0,опер1!R$278)</f>
        <v>670.43999999999994</v>
      </c>
      <c r="S76" s="136">
        <f>IF(S$1="",0,опер1!S$278)</f>
        <v>670.43999999999994</v>
      </c>
      <c r="T76" s="136">
        <f>IF(T$1="",0,опер1!T$278)</f>
        <v>670.43999999999994</v>
      </c>
      <c r="U76" s="136">
        <f>IF(U$1="",0,опер1!U$278)</f>
        <v>670.43999999999994</v>
      </c>
      <c r="V76" s="136">
        <f>IF(V$1="",0,опер1!V$278)</f>
        <v>670.43999999999994</v>
      </c>
      <c r="W76" s="136">
        <f>IF(W$1="",0,опер1!W$278)</f>
        <v>0</v>
      </c>
      <c r="X76" s="136">
        <f>IF(X$1="",0,опер1!X$278)</f>
        <v>0</v>
      </c>
      <c r="Y76" s="136">
        <f>IF(Y$1="",0,опер1!Y$278)</f>
        <v>0</v>
      </c>
      <c r="Z76" s="136">
        <f>IF(Z$1="",0,опер1!Z$278)</f>
        <v>0</v>
      </c>
      <c r="AA76" s="136">
        <f>IF(AA$1="",0,опер1!AA$278)</f>
        <v>0</v>
      </c>
      <c r="AB76" s="123"/>
    </row>
    <row r="77" spans="1:28" s="126" customFormat="1" ht="3.9" customHeight="1" x14ac:dyDescent="0.25">
      <c r="A77" s="149">
        <f>1</f>
        <v>1</v>
      </c>
      <c r="B77" s="131"/>
      <c r="C77" s="123"/>
      <c r="D77" s="123"/>
      <c r="E77" s="123"/>
      <c r="F77" s="123"/>
      <c r="G77" s="123"/>
      <c r="H77" s="123"/>
      <c r="I77" s="124"/>
      <c r="J77" s="123"/>
      <c r="K77" s="124"/>
      <c r="L77" s="123"/>
      <c r="M77" s="125"/>
      <c r="N77" s="123"/>
      <c r="O77" s="123"/>
      <c r="P77" s="137"/>
      <c r="Q77" s="137"/>
      <c r="R77" s="137"/>
      <c r="S77" s="137"/>
      <c r="T77" s="137"/>
      <c r="U77" s="137"/>
      <c r="V77" s="137"/>
      <c r="W77" s="137"/>
      <c r="X77" s="137"/>
      <c r="Y77" s="137"/>
      <c r="Z77" s="137"/>
      <c r="AA77" s="137"/>
      <c r="AB77" s="123"/>
    </row>
    <row r="78" spans="1:28" s="126" customFormat="1" x14ac:dyDescent="0.25">
      <c r="A78" s="149">
        <f>1</f>
        <v>1</v>
      </c>
      <c r="B78" s="132" t="str">
        <f>структура!$J$13</f>
        <v>УСН(6%)</v>
      </c>
      <c r="C78" s="123"/>
      <c r="D78" s="123"/>
      <c r="E78" s="130" t="str">
        <f>E76</f>
        <v>начисления в соцфонды и НС</v>
      </c>
      <c r="F78" s="130"/>
      <c r="G78" s="130" t="str">
        <f>IF($E78="","",INDEX(KPI!$G:$G,SUMIFS(KPI!$B:$B,KPI!$E:$E,$E78)))</f>
        <v>тыс.руб.</v>
      </c>
      <c r="H78" s="130"/>
      <c r="I78" s="134"/>
      <c r="J78" s="130"/>
      <c r="K78" s="134"/>
      <c r="L78" s="130"/>
      <c r="M78" s="135">
        <f>SUM($O78:$AB78)</f>
        <v>4693.08</v>
      </c>
      <c r="N78" s="123"/>
      <c r="O78" s="123"/>
      <c r="P78" s="136">
        <f>IF(P$1="",0,опер1!P$278)</f>
        <v>670.43999999999994</v>
      </c>
      <c r="Q78" s="136">
        <f>IF(Q$1="",0,опер1!Q$278)</f>
        <v>670.43999999999994</v>
      </c>
      <c r="R78" s="136">
        <f>IF(R$1="",0,опер1!R$278)</f>
        <v>670.43999999999994</v>
      </c>
      <c r="S78" s="136">
        <f>IF(S$1="",0,опер1!S$278)</f>
        <v>670.43999999999994</v>
      </c>
      <c r="T78" s="136">
        <f>IF(T$1="",0,опер1!T$278)</f>
        <v>670.43999999999994</v>
      </c>
      <c r="U78" s="136">
        <f>IF(U$1="",0,опер1!U$278)</f>
        <v>670.43999999999994</v>
      </c>
      <c r="V78" s="136">
        <f>IF(V$1="",0,опер1!V$278)</f>
        <v>670.43999999999994</v>
      </c>
      <c r="W78" s="136">
        <f>IF(W$1="",0,опер1!W$278)</f>
        <v>0</v>
      </c>
      <c r="X78" s="136">
        <f>IF(X$1="",0,опер1!X$278)</f>
        <v>0</v>
      </c>
      <c r="Y78" s="136">
        <f>IF(Y$1="",0,опер1!Y$278)</f>
        <v>0</v>
      </c>
      <c r="Z78" s="136">
        <f>IF(Z$1="",0,опер1!Z$278)</f>
        <v>0</v>
      </c>
      <c r="AA78" s="136">
        <f>IF(AA$1="",0,опер1!AA$278)</f>
        <v>0</v>
      </c>
      <c r="AB78" s="123"/>
    </row>
    <row r="79" spans="1:28" s="126" customFormat="1" ht="3.9" customHeight="1" x14ac:dyDescent="0.25">
      <c r="A79" s="149">
        <f>1</f>
        <v>1</v>
      </c>
      <c r="B79" s="131"/>
      <c r="C79" s="123"/>
      <c r="D79" s="123"/>
      <c r="E79" s="123"/>
      <c r="F79" s="123"/>
      <c r="G79" s="123"/>
      <c r="H79" s="123"/>
      <c r="I79" s="124"/>
      <c r="J79" s="123"/>
      <c r="K79" s="124"/>
      <c r="L79" s="123"/>
      <c r="M79" s="125"/>
      <c r="N79" s="123"/>
      <c r="O79" s="123"/>
      <c r="P79" s="137"/>
      <c r="Q79" s="137"/>
      <c r="R79" s="137"/>
      <c r="S79" s="137"/>
      <c r="T79" s="137"/>
      <c r="U79" s="137"/>
      <c r="V79" s="137"/>
      <c r="W79" s="137"/>
      <c r="X79" s="137"/>
      <c r="Y79" s="137"/>
      <c r="Z79" s="137"/>
      <c r="AA79" s="137"/>
      <c r="AB79" s="123"/>
    </row>
    <row r="80" spans="1:28" s="126" customFormat="1" x14ac:dyDescent="0.25">
      <c r="A80" s="149">
        <f>1</f>
        <v>1</v>
      </c>
      <c r="B80" s="132" t="str">
        <f>структура!$J$14</f>
        <v>УСН(15%)</v>
      </c>
      <c r="C80" s="123"/>
      <c r="D80" s="123"/>
      <c r="E80" s="130" t="str">
        <f>E76</f>
        <v>начисления в соцфонды и НС</v>
      </c>
      <c r="F80" s="130"/>
      <c r="G80" s="130" t="str">
        <f>IF($E80="","",INDEX(KPI!$G:$G,SUMIFS(KPI!$B:$B,KPI!$E:$E,$E80)))</f>
        <v>тыс.руб.</v>
      </c>
      <c r="H80" s="130"/>
      <c r="I80" s="134"/>
      <c r="J80" s="130"/>
      <c r="K80" s="134"/>
      <c r="L80" s="130"/>
      <c r="M80" s="135">
        <f>SUM($O80:$AB80)</f>
        <v>4693.08</v>
      </c>
      <c r="N80" s="123"/>
      <c r="O80" s="123"/>
      <c r="P80" s="136">
        <f>IF(P$1="",0,опер1!P$278)</f>
        <v>670.43999999999994</v>
      </c>
      <c r="Q80" s="136">
        <f>IF(Q$1="",0,опер1!Q$278)</f>
        <v>670.43999999999994</v>
      </c>
      <c r="R80" s="136">
        <f>IF(R$1="",0,опер1!R$278)</f>
        <v>670.43999999999994</v>
      </c>
      <c r="S80" s="136">
        <f>IF(S$1="",0,опер1!S$278)</f>
        <v>670.43999999999994</v>
      </c>
      <c r="T80" s="136">
        <f>IF(T$1="",0,опер1!T$278)</f>
        <v>670.43999999999994</v>
      </c>
      <c r="U80" s="136">
        <f>IF(U$1="",0,опер1!U$278)</f>
        <v>670.43999999999994</v>
      </c>
      <c r="V80" s="136">
        <f>IF(V$1="",0,опер1!V$278)</f>
        <v>670.43999999999994</v>
      </c>
      <c r="W80" s="136">
        <f>IF(W$1="",0,опер1!W$278)</f>
        <v>0</v>
      </c>
      <c r="X80" s="136">
        <f>IF(X$1="",0,опер1!X$278)</f>
        <v>0</v>
      </c>
      <c r="Y80" s="136">
        <f>IF(Y$1="",0,опер1!Y$278)</f>
        <v>0</v>
      </c>
      <c r="Z80" s="136">
        <f>IF(Z$1="",0,опер1!Z$278)</f>
        <v>0</v>
      </c>
      <c r="AA80" s="136">
        <f>IF(AA$1="",0,опер1!AA$278)</f>
        <v>0</v>
      </c>
      <c r="AB80" s="123"/>
    </row>
    <row r="81" spans="1:28" s="126" customFormat="1" ht="3.9" customHeight="1" x14ac:dyDescent="0.25">
      <c r="A81" s="149">
        <f>1</f>
        <v>1</v>
      </c>
      <c r="B81" s="131"/>
      <c r="C81" s="123"/>
      <c r="D81" s="123"/>
      <c r="E81" s="123"/>
      <c r="F81" s="123"/>
      <c r="G81" s="123"/>
      <c r="H81" s="123"/>
      <c r="I81" s="124"/>
      <c r="J81" s="123"/>
      <c r="K81" s="124"/>
      <c r="L81" s="123"/>
      <c r="M81" s="125"/>
      <c r="N81" s="123"/>
      <c r="O81" s="123"/>
      <c r="P81" s="137"/>
      <c r="Q81" s="137"/>
      <c r="R81" s="137"/>
      <c r="S81" s="137"/>
      <c r="T81" s="137"/>
      <c r="U81" s="137"/>
      <c r="V81" s="137"/>
      <c r="W81" s="137"/>
      <c r="X81" s="137"/>
      <c r="Y81" s="137"/>
      <c r="Z81" s="137"/>
      <c r="AA81" s="137"/>
      <c r="AB81" s="123"/>
    </row>
    <row r="82" spans="1:28" s="126" customFormat="1" x14ac:dyDescent="0.25">
      <c r="A82" s="149">
        <f>1</f>
        <v>1</v>
      </c>
      <c r="B82" s="132" t="str">
        <f>структура!$J$15</f>
        <v>УСН(6%)-ИП</v>
      </c>
      <c r="C82" s="123"/>
      <c r="D82" s="123"/>
      <c r="E82" s="130" t="str">
        <f>E76</f>
        <v>начисления в соцфонды и НС</v>
      </c>
      <c r="F82" s="130"/>
      <c r="G82" s="130" t="str">
        <f>IF($E82="","",INDEX(KPI!$G:$G,SUMIFS(KPI!$B:$B,KPI!$E:$E,$E82)))</f>
        <v>тыс.руб.</v>
      </c>
      <c r="H82" s="130"/>
      <c r="I82" s="134"/>
      <c r="J82" s="130"/>
      <c r="K82" s="134"/>
      <c r="L82" s="130"/>
      <c r="M82" s="135">
        <f>SUM($O82:$AB82)</f>
        <v>4693.08</v>
      </c>
      <c r="N82" s="123"/>
      <c r="O82" s="123"/>
      <c r="P82" s="136">
        <f>IF(P$1="",0,опер1!P$278)</f>
        <v>670.43999999999994</v>
      </c>
      <c r="Q82" s="136">
        <f>IF(Q$1="",0,опер1!Q$278)</f>
        <v>670.43999999999994</v>
      </c>
      <c r="R82" s="136">
        <f>IF(R$1="",0,опер1!R$278)</f>
        <v>670.43999999999994</v>
      </c>
      <c r="S82" s="136">
        <f>IF(S$1="",0,опер1!S$278)</f>
        <v>670.43999999999994</v>
      </c>
      <c r="T82" s="136">
        <f>IF(T$1="",0,опер1!T$278)</f>
        <v>670.43999999999994</v>
      </c>
      <c r="U82" s="136">
        <f>IF(U$1="",0,опер1!U$278)</f>
        <v>670.43999999999994</v>
      </c>
      <c r="V82" s="136">
        <f>IF(V$1="",0,опер1!V$278)</f>
        <v>670.43999999999994</v>
      </c>
      <c r="W82" s="136">
        <f>IF(W$1="",0,опер1!W$278)</f>
        <v>0</v>
      </c>
      <c r="X82" s="136">
        <f>IF(X$1="",0,опер1!X$278)</f>
        <v>0</v>
      </c>
      <c r="Y82" s="136">
        <f>IF(Y$1="",0,опер1!Y$278)</f>
        <v>0</v>
      </c>
      <c r="Z82" s="136">
        <f>IF(Z$1="",0,опер1!Z$278)</f>
        <v>0</v>
      </c>
      <c r="AA82" s="136">
        <f>IF(AA$1="",0,опер1!AA$278)</f>
        <v>0</v>
      </c>
      <c r="AB82" s="123"/>
    </row>
    <row r="83" spans="1:28" ht="3.9" customHeight="1" x14ac:dyDescent="0.25">
      <c r="A83" s="149">
        <f>1</f>
        <v>1</v>
      </c>
      <c r="B83" s="131"/>
      <c r="C83" s="2"/>
      <c r="D83" s="2"/>
      <c r="E83" s="2"/>
      <c r="F83" s="2"/>
      <c r="G83" s="2"/>
      <c r="H83" s="2"/>
      <c r="I83" s="28"/>
      <c r="J83" s="2"/>
      <c r="K83" s="28"/>
      <c r="L83" s="2"/>
      <c r="M83" s="52"/>
      <c r="N83" s="2"/>
      <c r="O83" s="2"/>
      <c r="P83" s="36"/>
      <c r="Q83" s="36"/>
      <c r="R83" s="36"/>
      <c r="S83" s="36"/>
      <c r="T83" s="36"/>
      <c r="U83" s="36"/>
      <c r="V83" s="36"/>
      <c r="W83" s="36"/>
      <c r="X83" s="36"/>
      <c r="Y83" s="36"/>
      <c r="Z83" s="36"/>
      <c r="AA83" s="36"/>
      <c r="AB83" s="2"/>
    </row>
    <row r="84" spans="1:28" ht="8.1" customHeight="1" x14ac:dyDescent="0.25">
      <c r="A84" s="149">
        <f>1</f>
        <v>1</v>
      </c>
      <c r="B84" s="131"/>
      <c r="C84" s="2"/>
      <c r="D84" s="2"/>
      <c r="E84" s="2"/>
      <c r="F84" s="2"/>
      <c r="G84" s="2"/>
      <c r="H84" s="2"/>
      <c r="I84" s="28"/>
      <c r="J84" s="2"/>
      <c r="K84" s="28"/>
      <c r="L84" s="2"/>
      <c r="M84" s="52"/>
      <c r="N84" s="2"/>
      <c r="O84" s="2"/>
      <c r="P84" s="36"/>
      <c r="Q84" s="36"/>
      <c r="R84" s="36"/>
      <c r="S84" s="36"/>
      <c r="T84" s="36"/>
      <c r="U84" s="36"/>
      <c r="V84" s="36"/>
      <c r="W84" s="36"/>
      <c r="X84" s="36"/>
      <c r="Y84" s="36"/>
      <c r="Z84" s="36"/>
      <c r="AA84" s="36"/>
      <c r="AB84" s="2"/>
    </row>
    <row r="85" spans="1:28" s="126" customFormat="1" x14ac:dyDescent="0.25">
      <c r="A85" s="149">
        <f>1</f>
        <v>1</v>
      </c>
      <c r="B85" s="132" t="str">
        <f>структура!$J$12</f>
        <v>ОСНО</v>
      </c>
      <c r="C85" s="123"/>
      <c r="D85" s="123"/>
      <c r="E85" s="130" t="str">
        <f>KPI!$E$81</f>
        <v>общехозяйственные расходы</v>
      </c>
      <c r="F85" s="130"/>
      <c r="G85" s="130" t="str">
        <f>IF($E85="","",INDEX(KPI!$G:$G,SUMIFS(KPI!$B:$B,KPI!$E:$E,$E85)))</f>
        <v>тыс.руб.</v>
      </c>
      <c r="H85" s="130"/>
      <c r="I85" s="134"/>
      <c r="J85" s="130" t="str">
        <f>структура!$AL$21</f>
        <v>Без НДС</v>
      </c>
      <c r="K85" s="134"/>
      <c r="L85" s="130"/>
      <c r="M85" s="135">
        <f>SUM($O85:$AB85)</f>
        <v>6904.8262500000019</v>
      </c>
      <c r="N85" s="123"/>
      <c r="O85" s="123"/>
      <c r="P85" s="136">
        <f>IF(P$1="",0,IF(1+опер1!P$346=0,0,(опер1!P$311)/(1+опер1!P$346)))</f>
        <v>825.09006730769238</v>
      </c>
      <c r="Q85" s="136">
        <f>IF(Q$1="",0,IF(1+опер1!Q$346=0,0,(опер1!Q$311)/(1+опер1!Q$346)))</f>
        <v>862.04131730769234</v>
      </c>
      <c r="R85" s="136">
        <f>IF(R$1="",0,IF(1+опер1!R$346=0,0,(опер1!R$311)/(1+опер1!R$346)))</f>
        <v>918.55951923076952</v>
      </c>
      <c r="S85" s="136">
        <f>IF(S$1="",0,IF(1+опер1!S$346=0,0,(опер1!S$311)/(1+опер1!S$346)))</f>
        <v>954.41944230769241</v>
      </c>
      <c r="T85" s="136">
        <f>IF(T$1="",0,IF(1+опер1!T$346=0,0,(опер1!T$311)/(1+опер1!T$346)))</f>
        <v>1009.8463173076922</v>
      </c>
      <c r="U85" s="136">
        <f>IF(U$1="",0,IF(1+опер1!U$346=0,0,(опер1!U$311)/(1+опер1!U$346)))</f>
        <v>1102.2244423076925</v>
      </c>
      <c r="V85" s="136">
        <f>IF(V$1="",0,IF(1+опер1!V$346=0,0,(опер1!V$311)/(1+опер1!V$346)))</f>
        <v>1232.6451442307693</v>
      </c>
      <c r="W85" s="136">
        <f>IF(W$1="",0,IF(1+опер1!W$346=0,0,(опер1!W$311)/(1+опер1!W$346)))</f>
        <v>0</v>
      </c>
      <c r="X85" s="136">
        <f>IF(X$1="",0,IF(1+опер1!X$346=0,0,(опер1!X$311)/(1+опер1!X$346)))</f>
        <v>0</v>
      </c>
      <c r="Y85" s="136">
        <f>IF(Y$1="",0,IF(1+опер1!Y$346=0,0,(опер1!Y$311)/(1+опер1!Y$346)))</f>
        <v>0</v>
      </c>
      <c r="Z85" s="136">
        <f>IF(Z$1="",0,IF(1+опер1!Z$346=0,0,(опер1!Z$311)/(1+опер1!Z$346)))</f>
        <v>0</v>
      </c>
      <c r="AA85" s="136">
        <f>IF(AA$1="",0,IF(1+опер1!AA$346=0,0,(опер1!AA$311)/(1+опер1!AA$346)))</f>
        <v>0</v>
      </c>
      <c r="AB85" s="123"/>
    </row>
    <row r="86" spans="1:28" s="126" customFormat="1" ht="3.9" customHeight="1" x14ac:dyDescent="0.25">
      <c r="A86" s="149">
        <f>1</f>
        <v>1</v>
      </c>
      <c r="B86" s="131"/>
      <c r="C86" s="123"/>
      <c r="D86" s="123"/>
      <c r="E86" s="123"/>
      <c r="F86" s="123"/>
      <c r="G86" s="123"/>
      <c r="H86" s="123"/>
      <c r="I86" s="124"/>
      <c r="J86" s="123"/>
      <c r="K86" s="124"/>
      <c r="L86" s="123"/>
      <c r="M86" s="125"/>
      <c r="N86" s="123"/>
      <c r="O86" s="123"/>
      <c r="P86" s="137"/>
      <c r="Q86" s="137"/>
      <c r="R86" s="137"/>
      <c r="S86" s="137"/>
      <c r="T86" s="137"/>
      <c r="U86" s="137"/>
      <c r="V86" s="137"/>
      <c r="W86" s="137"/>
      <c r="X86" s="137"/>
      <c r="Y86" s="137"/>
      <c r="Z86" s="137"/>
      <c r="AA86" s="137"/>
      <c r="AB86" s="123"/>
    </row>
    <row r="87" spans="1:28" s="126" customFormat="1" x14ac:dyDescent="0.25">
      <c r="A87" s="149">
        <f>1</f>
        <v>1</v>
      </c>
      <c r="B87" s="132" t="str">
        <f>структура!$J$13</f>
        <v>УСН(6%)</v>
      </c>
      <c r="C87" s="123"/>
      <c r="D87" s="123"/>
      <c r="E87" s="130" t="str">
        <f>E85</f>
        <v>общехозяйственные расходы</v>
      </c>
      <c r="F87" s="130"/>
      <c r="G87" s="130" t="str">
        <f>IF($E87="","",INDEX(KPI!$G:$G,SUMIFS(KPI!$B:$B,KPI!$E:$E,$E87)))</f>
        <v>тыс.руб.</v>
      </c>
      <c r="H87" s="130"/>
      <c r="I87" s="134"/>
      <c r="J87" s="130" t="str">
        <f>структура!$AL$21</f>
        <v>Без НДС</v>
      </c>
      <c r="K87" s="134"/>
      <c r="L87" s="130"/>
      <c r="M87" s="135">
        <f>SUM($O87:$AB87)</f>
        <v>6904.8262500000019</v>
      </c>
      <c r="N87" s="123"/>
      <c r="O87" s="123"/>
      <c r="P87" s="136">
        <f>IF(P$1="",0,IF(1+опер1!P$346=0,0,(опер1!P$311)/(1+опер1!P$346)))</f>
        <v>825.09006730769238</v>
      </c>
      <c r="Q87" s="136">
        <f>IF(Q$1="",0,IF(1+опер1!Q$346=0,0,(опер1!Q$311)/(1+опер1!Q$346)))</f>
        <v>862.04131730769234</v>
      </c>
      <c r="R87" s="136">
        <f>IF(R$1="",0,IF(1+опер1!R$346=0,0,(опер1!R$311)/(1+опер1!R$346)))</f>
        <v>918.55951923076952</v>
      </c>
      <c r="S87" s="136">
        <f>IF(S$1="",0,IF(1+опер1!S$346=0,0,(опер1!S$311)/(1+опер1!S$346)))</f>
        <v>954.41944230769241</v>
      </c>
      <c r="T87" s="136">
        <f>IF(T$1="",0,IF(1+опер1!T$346=0,0,(опер1!T$311)/(1+опер1!T$346)))</f>
        <v>1009.8463173076922</v>
      </c>
      <c r="U87" s="136">
        <f>IF(U$1="",0,IF(1+опер1!U$346=0,0,(опер1!U$311)/(1+опер1!U$346)))</f>
        <v>1102.2244423076925</v>
      </c>
      <c r="V87" s="136">
        <f>IF(V$1="",0,IF(1+опер1!V$346=0,0,(опер1!V$311)/(1+опер1!V$346)))</f>
        <v>1232.6451442307693</v>
      </c>
      <c r="W87" s="136">
        <f>IF(W$1="",0,IF(1+опер1!W$346=0,0,(опер1!W$311)/(1+опер1!W$346)))</f>
        <v>0</v>
      </c>
      <c r="X87" s="136">
        <f>IF(X$1="",0,IF(1+опер1!X$346=0,0,(опер1!X$311)/(1+опер1!X$346)))</f>
        <v>0</v>
      </c>
      <c r="Y87" s="136">
        <f>IF(Y$1="",0,IF(1+опер1!Y$346=0,0,(опер1!Y$311)/(1+опер1!Y$346)))</f>
        <v>0</v>
      </c>
      <c r="Z87" s="136">
        <f>IF(Z$1="",0,IF(1+опер1!Z$346=0,0,(опер1!Z$311)/(1+опер1!Z$346)))</f>
        <v>0</v>
      </c>
      <c r="AA87" s="136">
        <f>IF(AA$1="",0,IF(1+опер1!AA$346=0,0,(опер1!AA$311)/(1+опер1!AA$346)))</f>
        <v>0</v>
      </c>
      <c r="AB87" s="123"/>
    </row>
    <row r="88" spans="1:28" s="126" customFormat="1" ht="3.9" customHeight="1" x14ac:dyDescent="0.25">
      <c r="A88" s="149">
        <f>1</f>
        <v>1</v>
      </c>
      <c r="B88" s="131"/>
      <c r="C88" s="123"/>
      <c r="D88" s="123"/>
      <c r="E88" s="123"/>
      <c r="F88" s="123"/>
      <c r="G88" s="123"/>
      <c r="H88" s="123"/>
      <c r="I88" s="124"/>
      <c r="J88" s="123"/>
      <c r="K88" s="124"/>
      <c r="L88" s="123"/>
      <c r="M88" s="125"/>
      <c r="N88" s="123"/>
      <c r="O88" s="123"/>
      <c r="P88" s="137"/>
      <c r="Q88" s="137"/>
      <c r="R88" s="137"/>
      <c r="S88" s="137"/>
      <c r="T88" s="137"/>
      <c r="U88" s="137"/>
      <c r="V88" s="137"/>
      <c r="W88" s="137"/>
      <c r="X88" s="137"/>
      <c r="Y88" s="137"/>
      <c r="Z88" s="137"/>
      <c r="AA88" s="137"/>
      <c r="AB88" s="123"/>
    </row>
    <row r="89" spans="1:28" s="126" customFormat="1" x14ac:dyDescent="0.25">
      <c r="A89" s="149">
        <f>1</f>
        <v>1</v>
      </c>
      <c r="B89" s="132" t="str">
        <f>структура!$J$14</f>
        <v>УСН(15%)</v>
      </c>
      <c r="C89" s="123"/>
      <c r="D89" s="123"/>
      <c r="E89" s="130" t="str">
        <f>E85</f>
        <v>общехозяйственные расходы</v>
      </c>
      <c r="F89" s="130"/>
      <c r="G89" s="130" t="str">
        <f>IF($E89="","",INDEX(KPI!$G:$G,SUMIFS(KPI!$B:$B,KPI!$E:$E,$E89)))</f>
        <v>тыс.руб.</v>
      </c>
      <c r="H89" s="130"/>
      <c r="I89" s="134"/>
      <c r="J89" s="130" t="str">
        <f>структура!$AL$21</f>
        <v>Без НДС</v>
      </c>
      <c r="K89" s="134"/>
      <c r="L89" s="130"/>
      <c r="M89" s="135">
        <f>SUM($O89:$AB89)</f>
        <v>6904.8262500000019</v>
      </c>
      <c r="N89" s="123"/>
      <c r="O89" s="123"/>
      <c r="P89" s="136">
        <f>IF(P$1="",0,IF(1+опер1!P$346=0,0,(опер1!P$311)/(1+опер1!P$346)))</f>
        <v>825.09006730769238</v>
      </c>
      <c r="Q89" s="136">
        <f>IF(Q$1="",0,IF(1+опер1!Q$346=0,0,(опер1!Q$311)/(1+опер1!Q$346)))</f>
        <v>862.04131730769234</v>
      </c>
      <c r="R89" s="136">
        <f>IF(R$1="",0,IF(1+опер1!R$346=0,0,(опер1!R$311)/(1+опер1!R$346)))</f>
        <v>918.55951923076952</v>
      </c>
      <c r="S89" s="136">
        <f>IF(S$1="",0,IF(1+опер1!S$346=0,0,(опер1!S$311)/(1+опер1!S$346)))</f>
        <v>954.41944230769241</v>
      </c>
      <c r="T89" s="136">
        <f>IF(T$1="",0,IF(1+опер1!T$346=0,0,(опер1!T$311)/(1+опер1!T$346)))</f>
        <v>1009.8463173076922</v>
      </c>
      <c r="U89" s="136">
        <f>IF(U$1="",0,IF(1+опер1!U$346=0,0,(опер1!U$311)/(1+опер1!U$346)))</f>
        <v>1102.2244423076925</v>
      </c>
      <c r="V89" s="136">
        <f>IF(V$1="",0,IF(1+опер1!V$346=0,0,(опер1!V$311)/(1+опер1!V$346)))</f>
        <v>1232.6451442307693</v>
      </c>
      <c r="W89" s="136">
        <f>IF(W$1="",0,IF(1+опер1!W$346=0,0,(опер1!W$311)/(1+опер1!W$346)))</f>
        <v>0</v>
      </c>
      <c r="X89" s="136">
        <f>IF(X$1="",0,IF(1+опер1!X$346=0,0,(опер1!X$311)/(1+опер1!X$346)))</f>
        <v>0</v>
      </c>
      <c r="Y89" s="136">
        <f>IF(Y$1="",0,IF(1+опер1!Y$346=0,0,(опер1!Y$311)/(1+опер1!Y$346)))</f>
        <v>0</v>
      </c>
      <c r="Z89" s="136">
        <f>IF(Z$1="",0,IF(1+опер1!Z$346=0,0,(опер1!Z$311)/(1+опер1!Z$346)))</f>
        <v>0</v>
      </c>
      <c r="AA89" s="136">
        <f>IF(AA$1="",0,IF(1+опер1!AA$346=0,0,(опер1!AA$311)/(1+опер1!AA$346)))</f>
        <v>0</v>
      </c>
      <c r="AB89" s="123"/>
    </row>
    <row r="90" spans="1:28" s="126" customFormat="1" ht="3.9" customHeight="1" x14ac:dyDescent="0.25">
      <c r="A90" s="149">
        <f>1</f>
        <v>1</v>
      </c>
      <c r="B90" s="131"/>
      <c r="C90" s="123"/>
      <c r="D90" s="123"/>
      <c r="E90" s="123"/>
      <c r="F90" s="123"/>
      <c r="G90" s="123"/>
      <c r="H90" s="123"/>
      <c r="I90" s="124"/>
      <c r="J90" s="123"/>
      <c r="K90" s="124"/>
      <c r="L90" s="123"/>
      <c r="M90" s="125"/>
      <c r="N90" s="123"/>
      <c r="O90" s="123"/>
      <c r="P90" s="137"/>
      <c r="Q90" s="137"/>
      <c r="R90" s="137"/>
      <c r="S90" s="137"/>
      <c r="T90" s="137"/>
      <c r="U90" s="137"/>
      <c r="V90" s="137"/>
      <c r="W90" s="137"/>
      <c r="X90" s="137"/>
      <c r="Y90" s="137"/>
      <c r="Z90" s="137"/>
      <c r="AA90" s="137"/>
      <c r="AB90" s="123"/>
    </row>
    <row r="91" spans="1:28" s="126" customFormat="1" x14ac:dyDescent="0.25">
      <c r="A91" s="149">
        <f>1</f>
        <v>1</v>
      </c>
      <c r="B91" s="132" t="str">
        <f>структура!$J$15</f>
        <v>УСН(6%)-ИП</v>
      </c>
      <c r="C91" s="123"/>
      <c r="D91" s="123"/>
      <c r="E91" s="130" t="str">
        <f>E85</f>
        <v>общехозяйственные расходы</v>
      </c>
      <c r="F91" s="130"/>
      <c r="G91" s="130" t="str">
        <f>IF($E91="","",INDEX(KPI!$G:$G,SUMIFS(KPI!$B:$B,KPI!$E:$E,$E91)))</f>
        <v>тыс.руб.</v>
      </c>
      <c r="H91" s="130"/>
      <c r="I91" s="134"/>
      <c r="J91" s="130" t="str">
        <f>структура!$AL$21</f>
        <v>Без НДС</v>
      </c>
      <c r="K91" s="134"/>
      <c r="L91" s="130"/>
      <c r="M91" s="135">
        <f>SUM($O91:$AB91)</f>
        <v>6904.8262500000019</v>
      </c>
      <c r="N91" s="123"/>
      <c r="O91" s="123"/>
      <c r="P91" s="136">
        <f>IF(P$1="",0,IF(1+опер1!P$346=0,0,(опер1!P$311)/(1+опер1!P$346)))</f>
        <v>825.09006730769238</v>
      </c>
      <c r="Q91" s="136">
        <f>IF(Q$1="",0,IF(1+опер1!Q$346=0,0,(опер1!Q$311)/(1+опер1!Q$346)))</f>
        <v>862.04131730769234</v>
      </c>
      <c r="R91" s="136">
        <f>IF(R$1="",0,IF(1+опер1!R$346=0,0,(опер1!R$311)/(1+опер1!R$346)))</f>
        <v>918.55951923076952</v>
      </c>
      <c r="S91" s="136">
        <f>IF(S$1="",0,IF(1+опер1!S$346=0,0,(опер1!S$311)/(1+опер1!S$346)))</f>
        <v>954.41944230769241</v>
      </c>
      <c r="T91" s="136">
        <f>IF(T$1="",0,IF(1+опер1!T$346=0,0,(опер1!T$311)/(1+опер1!T$346)))</f>
        <v>1009.8463173076922</v>
      </c>
      <c r="U91" s="136">
        <f>IF(U$1="",0,IF(1+опер1!U$346=0,0,(опер1!U$311)/(1+опер1!U$346)))</f>
        <v>1102.2244423076925</v>
      </c>
      <c r="V91" s="136">
        <f>IF(V$1="",0,IF(1+опер1!V$346=0,0,(опер1!V$311)/(1+опер1!V$346)))</f>
        <v>1232.6451442307693</v>
      </c>
      <c r="W91" s="136">
        <f>IF(W$1="",0,IF(1+опер1!W$346=0,0,(опер1!W$311)/(1+опер1!W$346)))</f>
        <v>0</v>
      </c>
      <c r="X91" s="136">
        <f>IF(X$1="",0,IF(1+опер1!X$346=0,0,(опер1!X$311)/(1+опер1!X$346)))</f>
        <v>0</v>
      </c>
      <c r="Y91" s="136">
        <f>IF(Y$1="",0,IF(1+опер1!Y$346=0,0,(опер1!Y$311)/(1+опер1!Y$346)))</f>
        <v>0</v>
      </c>
      <c r="Z91" s="136">
        <f>IF(Z$1="",0,IF(1+опер1!Z$346=0,0,(опер1!Z$311)/(1+опер1!Z$346)))</f>
        <v>0</v>
      </c>
      <c r="AA91" s="136">
        <f>IF(AA$1="",0,IF(1+опер1!AA$346=0,0,(опер1!AA$311)/(1+опер1!AA$346)))</f>
        <v>0</v>
      </c>
      <c r="AB91" s="123"/>
    </row>
    <row r="92" spans="1:28" ht="3.9" customHeight="1" x14ac:dyDescent="0.25">
      <c r="A92" s="149">
        <f>1</f>
        <v>1</v>
      </c>
      <c r="B92" s="131"/>
      <c r="C92" s="2"/>
      <c r="D92" s="2"/>
      <c r="E92" s="2"/>
      <c r="F92" s="2"/>
      <c r="G92" s="2"/>
      <c r="H92" s="2"/>
      <c r="I92" s="28"/>
      <c r="J92" s="2"/>
      <c r="K92" s="28"/>
      <c r="L92" s="2"/>
      <c r="M92" s="52"/>
      <c r="N92" s="2"/>
      <c r="O92" s="2"/>
      <c r="P92" s="36"/>
      <c r="Q92" s="36"/>
      <c r="R92" s="36"/>
      <c r="S92" s="36"/>
      <c r="T92" s="36"/>
      <c r="U92" s="36"/>
      <c r="V92" s="36"/>
      <c r="W92" s="36"/>
      <c r="X92" s="36"/>
      <c r="Y92" s="36"/>
      <c r="Z92" s="36"/>
      <c r="AA92" s="36"/>
      <c r="AB92" s="2"/>
    </row>
    <row r="93" spans="1:28" ht="8.1" customHeight="1" x14ac:dyDescent="0.25">
      <c r="A93" s="149">
        <f>1</f>
        <v>1</v>
      </c>
      <c r="B93" s="131"/>
      <c r="C93" s="2"/>
      <c r="D93" s="2"/>
      <c r="E93" s="2"/>
      <c r="F93" s="2"/>
      <c r="G93" s="2"/>
      <c r="H93" s="2"/>
      <c r="I93" s="28"/>
      <c r="J93" s="2"/>
      <c r="K93" s="28"/>
      <c r="L93" s="2"/>
      <c r="M93" s="52"/>
      <c r="N93" s="2"/>
      <c r="O93" s="2"/>
      <c r="P93" s="36"/>
      <c r="Q93" s="36"/>
      <c r="R93" s="36"/>
      <c r="S93" s="36"/>
      <c r="T93" s="36"/>
      <c r="U93" s="36"/>
      <c r="V93" s="36"/>
      <c r="W93" s="36"/>
      <c r="X93" s="36"/>
      <c r="Y93" s="36"/>
      <c r="Z93" s="36"/>
      <c r="AA93" s="36"/>
      <c r="AB93" s="2"/>
    </row>
    <row r="94" spans="1:28" ht="3.9" customHeight="1" x14ac:dyDescent="0.25">
      <c r="A94" s="149">
        <f>1</f>
        <v>1</v>
      </c>
      <c r="B94" s="131"/>
      <c r="C94" s="2"/>
      <c r="D94" s="2"/>
      <c r="E94" s="2"/>
      <c r="F94" s="2"/>
      <c r="G94" s="2"/>
      <c r="H94" s="2"/>
      <c r="I94" s="28"/>
      <c r="J94" s="2"/>
      <c r="K94" s="28"/>
      <c r="L94" s="2"/>
      <c r="M94" s="52"/>
      <c r="N94" s="2"/>
      <c r="O94" s="2"/>
      <c r="P94" s="36"/>
      <c r="Q94" s="36"/>
      <c r="R94" s="36"/>
      <c r="S94" s="36"/>
      <c r="T94" s="36"/>
      <c r="U94" s="36"/>
      <c r="V94" s="36"/>
      <c r="W94" s="36"/>
      <c r="X94" s="36"/>
      <c r="Y94" s="36"/>
      <c r="Z94" s="36"/>
      <c r="AA94" s="36"/>
      <c r="AB94" s="2"/>
    </row>
    <row r="95" spans="1:28" s="126" customFormat="1" x14ac:dyDescent="0.25">
      <c r="A95" s="149">
        <f>1</f>
        <v>1</v>
      </c>
      <c r="B95" s="132" t="str">
        <f>структура!$J$12</f>
        <v>ОСНО</v>
      </c>
      <c r="C95" s="123"/>
      <c r="D95" s="123"/>
      <c r="E95" s="130" t="str">
        <f>KPI!$E$82</f>
        <v>непредвиденные расходы</v>
      </c>
      <c r="F95" s="130"/>
      <c r="G95" s="130" t="str">
        <f>IF($E95="","",INDEX(KPI!$G:$G,SUMIFS(KPI!$B:$B,KPI!$E:$E,$E95)))</f>
        <v>тыс.руб.</v>
      </c>
      <c r="H95" s="130"/>
      <c r="I95" s="134"/>
      <c r="J95" s="130" t="str">
        <f>структура!$AL$21</f>
        <v>Без НДС</v>
      </c>
      <c r="K95" s="134"/>
      <c r="L95" s="130"/>
      <c r="M95" s="135">
        <f>SUM($O95:$AB95)</f>
        <v>2959.2112499999998</v>
      </c>
      <c r="N95" s="123"/>
      <c r="O95" s="123"/>
      <c r="P95" s="136">
        <f>IF(P$1="",0,IF(1+опер1!P$346=0,0,(опер1!P$329)/(1+опер1!P$346)))</f>
        <v>353.61002884615385</v>
      </c>
      <c r="Q95" s="136">
        <f>IF(Q$1="",0,IF(1+опер1!Q$346=0,0,(опер1!Q$329)/(1+опер1!Q$346)))</f>
        <v>369.4462788461538</v>
      </c>
      <c r="R95" s="136">
        <f>IF(R$1="",0,IF(1+опер1!R$346=0,0,(опер1!R$329)/(1+опер1!R$346)))</f>
        <v>393.66836538461536</v>
      </c>
      <c r="S95" s="136">
        <f>IF(S$1="",0,IF(1+опер1!S$346=0,0,(опер1!S$329)/(1+опер1!S$346)))</f>
        <v>409.03690384615385</v>
      </c>
      <c r="T95" s="136">
        <f>IF(T$1="",0,IF(1+опер1!T$346=0,0,(опер1!T$329)/(1+опер1!T$346)))</f>
        <v>432.79127884615377</v>
      </c>
      <c r="U95" s="136">
        <f>IF(U$1="",0,IF(1+опер1!U$346=0,0,(опер1!U$329)/(1+опер1!U$346)))</f>
        <v>472.38190384615388</v>
      </c>
      <c r="V95" s="136">
        <f>IF(V$1="",0,IF(1+опер1!V$346=0,0,(опер1!V$329)/(1+опер1!V$346)))</f>
        <v>528.27649038461539</v>
      </c>
      <c r="W95" s="136">
        <f>IF(W$1="",0,IF(1+опер1!W$346=0,0,(опер1!W$329)/(1+опер1!W$346)))</f>
        <v>0</v>
      </c>
      <c r="X95" s="136">
        <f>IF(X$1="",0,IF(1+опер1!X$346=0,0,(опер1!X$329)/(1+опер1!X$346)))</f>
        <v>0</v>
      </c>
      <c r="Y95" s="136">
        <f>IF(Y$1="",0,IF(1+опер1!Y$346=0,0,(опер1!Y$329)/(1+опер1!Y$346)))</f>
        <v>0</v>
      </c>
      <c r="Z95" s="136">
        <f>IF(Z$1="",0,IF(1+опер1!Z$346=0,0,(опер1!Z$329)/(1+опер1!Z$346)))</f>
        <v>0</v>
      </c>
      <c r="AA95" s="136">
        <f>IF(AA$1="",0,IF(1+опер1!AA$346=0,0,(опер1!AA$329)/(1+опер1!AA$346)))</f>
        <v>0</v>
      </c>
      <c r="AB95" s="123"/>
    </row>
    <row r="96" spans="1:28" s="126" customFormat="1" ht="3.9" customHeight="1" x14ac:dyDescent="0.25">
      <c r="A96" s="149">
        <f>1</f>
        <v>1</v>
      </c>
      <c r="B96" s="131"/>
      <c r="C96" s="123"/>
      <c r="D96" s="123"/>
      <c r="E96" s="123"/>
      <c r="F96" s="123"/>
      <c r="G96" s="123"/>
      <c r="H96" s="123"/>
      <c r="I96" s="124"/>
      <c r="J96" s="123"/>
      <c r="K96" s="124"/>
      <c r="L96" s="123"/>
      <c r="M96" s="125"/>
      <c r="N96" s="123"/>
      <c r="O96" s="123"/>
      <c r="P96" s="137"/>
      <c r="Q96" s="137"/>
      <c r="R96" s="137"/>
      <c r="S96" s="137"/>
      <c r="T96" s="137"/>
      <c r="U96" s="137"/>
      <c r="V96" s="137"/>
      <c r="W96" s="137"/>
      <c r="X96" s="137"/>
      <c r="Y96" s="137"/>
      <c r="Z96" s="137"/>
      <c r="AA96" s="137"/>
      <c r="AB96" s="123"/>
    </row>
    <row r="97" spans="1:28" s="126" customFormat="1" x14ac:dyDescent="0.25">
      <c r="A97" s="149">
        <f>1</f>
        <v>1</v>
      </c>
      <c r="B97" s="132" t="str">
        <f>структура!$J$13</f>
        <v>УСН(6%)</v>
      </c>
      <c r="C97" s="123"/>
      <c r="D97" s="123"/>
      <c r="E97" s="130" t="str">
        <f>E95</f>
        <v>непредвиденные расходы</v>
      </c>
      <c r="F97" s="130"/>
      <c r="G97" s="130" t="str">
        <f>IF($E97="","",INDEX(KPI!$G:$G,SUMIFS(KPI!$B:$B,KPI!$E:$E,$E97)))</f>
        <v>тыс.руб.</v>
      </c>
      <c r="H97" s="130"/>
      <c r="I97" s="134"/>
      <c r="J97" s="130" t="str">
        <f>структура!$AL$21</f>
        <v>Без НДС</v>
      </c>
      <c r="K97" s="134"/>
      <c r="L97" s="130"/>
      <c r="M97" s="135">
        <f>SUM($O97:$AB97)</f>
        <v>2959.2112499999998</v>
      </c>
      <c r="N97" s="123"/>
      <c r="O97" s="123"/>
      <c r="P97" s="136">
        <f>IF(P$1="",0,IF(1+опер1!P$346=0,0,(опер1!P$329)/(1+опер1!P$346)))</f>
        <v>353.61002884615385</v>
      </c>
      <c r="Q97" s="136">
        <f>IF(Q$1="",0,IF(1+опер1!Q$346=0,0,(опер1!Q$329)/(1+опер1!Q$346)))</f>
        <v>369.4462788461538</v>
      </c>
      <c r="R97" s="136">
        <f>IF(R$1="",0,IF(1+опер1!R$346=0,0,(опер1!R$329)/(1+опер1!R$346)))</f>
        <v>393.66836538461536</v>
      </c>
      <c r="S97" s="136">
        <f>IF(S$1="",0,IF(1+опер1!S$346=0,0,(опер1!S$329)/(1+опер1!S$346)))</f>
        <v>409.03690384615385</v>
      </c>
      <c r="T97" s="136">
        <f>IF(T$1="",0,IF(1+опер1!T$346=0,0,(опер1!T$329)/(1+опер1!T$346)))</f>
        <v>432.79127884615377</v>
      </c>
      <c r="U97" s="136">
        <f>IF(U$1="",0,IF(1+опер1!U$346=0,0,(опер1!U$329)/(1+опер1!U$346)))</f>
        <v>472.38190384615388</v>
      </c>
      <c r="V97" s="136">
        <f>IF(V$1="",0,IF(1+опер1!V$346=0,0,(опер1!V$329)/(1+опер1!V$346)))</f>
        <v>528.27649038461539</v>
      </c>
      <c r="W97" s="136">
        <f>IF(W$1="",0,IF(1+опер1!W$346=0,0,(опер1!W$329)/(1+опер1!W$346)))</f>
        <v>0</v>
      </c>
      <c r="X97" s="136">
        <f>IF(X$1="",0,IF(1+опер1!X$346=0,0,(опер1!X$329)/(1+опер1!X$346)))</f>
        <v>0</v>
      </c>
      <c r="Y97" s="136">
        <f>IF(Y$1="",0,IF(1+опер1!Y$346=0,0,(опер1!Y$329)/(1+опер1!Y$346)))</f>
        <v>0</v>
      </c>
      <c r="Z97" s="136">
        <f>IF(Z$1="",0,IF(1+опер1!Z$346=0,0,(опер1!Z$329)/(1+опер1!Z$346)))</f>
        <v>0</v>
      </c>
      <c r="AA97" s="136">
        <f>IF(AA$1="",0,IF(1+опер1!AA$346=0,0,(опер1!AA$329)/(1+опер1!AA$346)))</f>
        <v>0</v>
      </c>
      <c r="AB97" s="123"/>
    </row>
    <row r="98" spans="1:28" s="126" customFormat="1" ht="3.9" customHeight="1" x14ac:dyDescent="0.25">
      <c r="A98" s="149">
        <f>1</f>
        <v>1</v>
      </c>
      <c r="B98" s="131"/>
      <c r="C98" s="123"/>
      <c r="D98" s="123"/>
      <c r="E98" s="123"/>
      <c r="F98" s="123"/>
      <c r="G98" s="123"/>
      <c r="H98" s="123"/>
      <c r="I98" s="124"/>
      <c r="J98" s="123"/>
      <c r="K98" s="124"/>
      <c r="L98" s="123"/>
      <c r="M98" s="125"/>
      <c r="N98" s="123"/>
      <c r="O98" s="123"/>
      <c r="P98" s="137"/>
      <c r="Q98" s="137"/>
      <c r="R98" s="137"/>
      <c r="S98" s="137"/>
      <c r="T98" s="137"/>
      <c r="U98" s="137"/>
      <c r="V98" s="137"/>
      <c r="W98" s="137"/>
      <c r="X98" s="137"/>
      <c r="Y98" s="137"/>
      <c r="Z98" s="137"/>
      <c r="AA98" s="137"/>
      <c r="AB98" s="123"/>
    </row>
    <row r="99" spans="1:28" s="126" customFormat="1" x14ac:dyDescent="0.25">
      <c r="A99" s="149">
        <f>1</f>
        <v>1</v>
      </c>
      <c r="B99" s="132" t="str">
        <f>структура!$J$14</f>
        <v>УСН(15%)</v>
      </c>
      <c r="C99" s="123"/>
      <c r="D99" s="123"/>
      <c r="E99" s="130" t="str">
        <f>E95</f>
        <v>непредвиденные расходы</v>
      </c>
      <c r="F99" s="130"/>
      <c r="G99" s="130" t="str">
        <f>IF($E99="","",INDEX(KPI!$G:$G,SUMIFS(KPI!$B:$B,KPI!$E:$E,$E99)))</f>
        <v>тыс.руб.</v>
      </c>
      <c r="H99" s="130"/>
      <c r="I99" s="134"/>
      <c r="J99" s="130" t="str">
        <f>структура!$AL$21</f>
        <v>Без НДС</v>
      </c>
      <c r="K99" s="134"/>
      <c r="L99" s="130"/>
      <c r="M99" s="135">
        <f>SUM($O99:$AB99)</f>
        <v>2959.2112499999998</v>
      </c>
      <c r="N99" s="123"/>
      <c r="O99" s="123"/>
      <c r="P99" s="136">
        <f>IF(P$1="",0,IF(1+опер1!P$346=0,0,(опер1!P$329)/(1+опер1!P$346)))</f>
        <v>353.61002884615385</v>
      </c>
      <c r="Q99" s="136">
        <f>IF(Q$1="",0,IF(1+опер1!Q$346=0,0,(опер1!Q$329)/(1+опер1!Q$346)))</f>
        <v>369.4462788461538</v>
      </c>
      <c r="R99" s="136">
        <f>IF(R$1="",0,IF(1+опер1!R$346=0,0,(опер1!R$329)/(1+опер1!R$346)))</f>
        <v>393.66836538461536</v>
      </c>
      <c r="S99" s="136">
        <f>IF(S$1="",0,IF(1+опер1!S$346=0,0,(опер1!S$329)/(1+опер1!S$346)))</f>
        <v>409.03690384615385</v>
      </c>
      <c r="T99" s="136">
        <f>IF(T$1="",0,IF(1+опер1!T$346=0,0,(опер1!T$329)/(1+опер1!T$346)))</f>
        <v>432.79127884615377</v>
      </c>
      <c r="U99" s="136">
        <f>IF(U$1="",0,IF(1+опер1!U$346=0,0,(опер1!U$329)/(1+опер1!U$346)))</f>
        <v>472.38190384615388</v>
      </c>
      <c r="V99" s="136">
        <f>IF(V$1="",0,IF(1+опер1!V$346=0,0,(опер1!V$329)/(1+опер1!V$346)))</f>
        <v>528.27649038461539</v>
      </c>
      <c r="W99" s="136">
        <f>IF(W$1="",0,IF(1+опер1!W$346=0,0,(опер1!W$329)/(1+опер1!W$346)))</f>
        <v>0</v>
      </c>
      <c r="X99" s="136">
        <f>IF(X$1="",0,IF(1+опер1!X$346=0,0,(опер1!X$329)/(1+опер1!X$346)))</f>
        <v>0</v>
      </c>
      <c r="Y99" s="136">
        <f>IF(Y$1="",0,IF(1+опер1!Y$346=0,0,(опер1!Y$329)/(1+опер1!Y$346)))</f>
        <v>0</v>
      </c>
      <c r="Z99" s="136">
        <f>IF(Z$1="",0,IF(1+опер1!Z$346=0,0,(опер1!Z$329)/(1+опер1!Z$346)))</f>
        <v>0</v>
      </c>
      <c r="AA99" s="136">
        <f>IF(AA$1="",0,IF(1+опер1!AA$346=0,0,(опер1!AA$329)/(1+опер1!AA$346)))</f>
        <v>0</v>
      </c>
      <c r="AB99" s="123"/>
    </row>
    <row r="100" spans="1:28" s="126" customFormat="1" ht="3.9" customHeight="1" x14ac:dyDescent="0.25">
      <c r="A100" s="149">
        <f>1</f>
        <v>1</v>
      </c>
      <c r="B100" s="131"/>
      <c r="C100" s="123"/>
      <c r="D100" s="123"/>
      <c r="E100" s="123"/>
      <c r="F100" s="123"/>
      <c r="G100" s="123"/>
      <c r="H100" s="123"/>
      <c r="I100" s="124"/>
      <c r="J100" s="123"/>
      <c r="K100" s="124"/>
      <c r="L100" s="123"/>
      <c r="M100" s="125"/>
      <c r="N100" s="123"/>
      <c r="O100" s="123"/>
      <c r="P100" s="137"/>
      <c r="Q100" s="137"/>
      <c r="R100" s="137"/>
      <c r="S100" s="137"/>
      <c r="T100" s="137"/>
      <c r="U100" s="137"/>
      <c r="V100" s="137"/>
      <c r="W100" s="137"/>
      <c r="X100" s="137"/>
      <c r="Y100" s="137"/>
      <c r="Z100" s="137"/>
      <c r="AA100" s="137"/>
      <c r="AB100" s="123"/>
    </row>
    <row r="101" spans="1:28" s="126" customFormat="1" x14ac:dyDescent="0.25">
      <c r="A101" s="149">
        <f>1</f>
        <v>1</v>
      </c>
      <c r="B101" s="132" t="str">
        <f>структура!$J$15</f>
        <v>УСН(6%)-ИП</v>
      </c>
      <c r="C101" s="123"/>
      <c r="D101" s="123"/>
      <c r="E101" s="130" t="str">
        <f>E95</f>
        <v>непредвиденные расходы</v>
      </c>
      <c r="F101" s="130"/>
      <c r="G101" s="130" t="str">
        <f>IF($E101="","",INDEX(KPI!$G:$G,SUMIFS(KPI!$B:$B,KPI!$E:$E,$E101)))</f>
        <v>тыс.руб.</v>
      </c>
      <c r="H101" s="130"/>
      <c r="I101" s="134"/>
      <c r="J101" s="130" t="str">
        <f>структура!$AL$21</f>
        <v>Без НДС</v>
      </c>
      <c r="K101" s="134"/>
      <c r="L101" s="130"/>
      <c r="M101" s="135">
        <f>SUM($O101:$AB101)</f>
        <v>2959.2112499999998</v>
      </c>
      <c r="N101" s="123"/>
      <c r="O101" s="123"/>
      <c r="P101" s="136">
        <f>IF(P$1="",0,IF(1+опер1!P$346=0,0,(опер1!P$329)/(1+опер1!P$346)))</f>
        <v>353.61002884615385</v>
      </c>
      <c r="Q101" s="136">
        <f>IF(Q$1="",0,IF(1+опер1!Q$346=0,0,(опер1!Q$329)/(1+опер1!Q$346)))</f>
        <v>369.4462788461538</v>
      </c>
      <c r="R101" s="136">
        <f>IF(R$1="",0,IF(1+опер1!R$346=0,0,(опер1!R$329)/(1+опер1!R$346)))</f>
        <v>393.66836538461536</v>
      </c>
      <c r="S101" s="136">
        <f>IF(S$1="",0,IF(1+опер1!S$346=0,0,(опер1!S$329)/(1+опер1!S$346)))</f>
        <v>409.03690384615385</v>
      </c>
      <c r="T101" s="136">
        <f>IF(T$1="",0,IF(1+опер1!T$346=0,0,(опер1!T$329)/(1+опер1!T$346)))</f>
        <v>432.79127884615377</v>
      </c>
      <c r="U101" s="136">
        <f>IF(U$1="",0,IF(1+опер1!U$346=0,0,(опер1!U$329)/(1+опер1!U$346)))</f>
        <v>472.38190384615388</v>
      </c>
      <c r="V101" s="136">
        <f>IF(V$1="",0,IF(1+опер1!V$346=0,0,(опер1!V$329)/(1+опер1!V$346)))</f>
        <v>528.27649038461539</v>
      </c>
      <c r="W101" s="136">
        <f>IF(W$1="",0,IF(1+опер1!W$346=0,0,(опер1!W$329)/(1+опер1!W$346)))</f>
        <v>0</v>
      </c>
      <c r="X101" s="136">
        <f>IF(X$1="",0,IF(1+опер1!X$346=0,0,(опер1!X$329)/(1+опер1!X$346)))</f>
        <v>0</v>
      </c>
      <c r="Y101" s="136">
        <f>IF(Y$1="",0,IF(1+опер1!Y$346=0,0,(опер1!Y$329)/(1+опер1!Y$346)))</f>
        <v>0</v>
      </c>
      <c r="Z101" s="136">
        <f>IF(Z$1="",0,IF(1+опер1!Z$346=0,0,(опер1!Z$329)/(1+опер1!Z$346)))</f>
        <v>0</v>
      </c>
      <c r="AA101" s="136">
        <f>IF(AA$1="",0,IF(1+опер1!AA$346=0,0,(опер1!AA$329)/(1+опер1!AA$346)))</f>
        <v>0</v>
      </c>
      <c r="AB101" s="123"/>
    </row>
    <row r="102" spans="1:28" ht="3.9" customHeight="1" x14ac:dyDescent="0.25">
      <c r="A102" s="149">
        <f>1</f>
        <v>1</v>
      </c>
      <c r="B102" s="131"/>
      <c r="C102" s="2"/>
      <c r="D102" s="2"/>
      <c r="E102" s="2"/>
      <c r="F102" s="2"/>
      <c r="G102" s="2"/>
      <c r="H102" s="2"/>
      <c r="I102" s="28"/>
      <c r="J102" s="2"/>
      <c r="K102" s="28"/>
      <c r="L102" s="2"/>
      <c r="M102" s="52"/>
      <c r="N102" s="2"/>
      <c r="O102" s="2"/>
      <c r="P102" s="36"/>
      <c r="Q102" s="36"/>
      <c r="R102" s="36"/>
      <c r="S102" s="36"/>
      <c r="T102" s="36"/>
      <c r="U102" s="36"/>
      <c r="V102" s="36"/>
      <c r="W102" s="36"/>
      <c r="X102" s="36"/>
      <c r="Y102" s="36"/>
      <c r="Z102" s="36"/>
      <c r="AA102" s="36"/>
      <c r="AB102" s="2"/>
    </row>
    <row r="103" spans="1:28" ht="8.1" customHeight="1" x14ac:dyDescent="0.25">
      <c r="A103" s="149">
        <f>1</f>
        <v>1</v>
      </c>
      <c r="B103" s="131"/>
      <c r="C103" s="2"/>
      <c r="D103" s="2"/>
      <c r="E103" s="2"/>
      <c r="F103" s="2"/>
      <c r="G103" s="2"/>
      <c r="H103" s="2"/>
      <c r="I103" s="28"/>
      <c r="J103" s="2"/>
      <c r="K103" s="28"/>
      <c r="L103" s="2"/>
      <c r="M103" s="52"/>
      <c r="N103" s="2"/>
      <c r="O103" s="2"/>
      <c r="P103" s="36"/>
      <c r="Q103" s="36"/>
      <c r="R103" s="36"/>
      <c r="S103" s="36"/>
      <c r="T103" s="36"/>
      <c r="U103" s="36"/>
      <c r="V103" s="36"/>
      <c r="W103" s="36"/>
      <c r="X103" s="36"/>
      <c r="Y103" s="36"/>
      <c r="Z103" s="36"/>
      <c r="AA103" s="36"/>
      <c r="AB103" s="2"/>
    </row>
    <row r="104" spans="1:28" ht="3.9" customHeight="1" x14ac:dyDescent="0.25">
      <c r="A104" s="149">
        <f>1</f>
        <v>1</v>
      </c>
      <c r="B104" s="131"/>
      <c r="C104" s="2"/>
      <c r="D104" s="2"/>
      <c r="E104" s="2"/>
      <c r="F104" s="2"/>
      <c r="G104" s="2"/>
      <c r="H104" s="2"/>
      <c r="I104" s="28"/>
      <c r="J104" s="2"/>
      <c r="K104" s="28"/>
      <c r="L104" s="2"/>
      <c r="M104" s="52"/>
      <c r="N104" s="2"/>
      <c r="O104" s="2"/>
      <c r="P104" s="36"/>
      <c r="Q104" s="36"/>
      <c r="R104" s="36"/>
      <c r="S104" s="36"/>
      <c r="T104" s="36"/>
      <c r="U104" s="36"/>
      <c r="V104" s="36"/>
      <c r="W104" s="36"/>
      <c r="X104" s="36"/>
      <c r="Y104" s="36"/>
      <c r="Z104" s="36"/>
      <c r="AA104" s="36"/>
      <c r="AB104" s="2"/>
    </row>
    <row r="105" spans="1:28" s="126" customFormat="1" x14ac:dyDescent="0.25">
      <c r="A105" s="149">
        <f>1</f>
        <v>1</v>
      </c>
      <c r="B105" s="132" t="str">
        <f>структура!$J$12</f>
        <v>ОСНО</v>
      </c>
      <c r="C105" s="123"/>
      <c r="D105" s="123"/>
      <c r="E105" s="130" t="str">
        <f>KPI!$E$83</f>
        <v>расходный НДС</v>
      </c>
      <c r="F105" s="130"/>
      <c r="G105" s="130" t="str">
        <f>IF($E105="","",INDEX(KPI!$G:$G,SUMIFS(KPI!$B:$B,KPI!$E:$E,$E105)))</f>
        <v>тыс.руб.</v>
      </c>
      <c r="H105" s="130"/>
      <c r="I105" s="134"/>
      <c r="J105" s="145" t="str">
        <f>структура!$AL$21</f>
        <v>Без НДС</v>
      </c>
      <c r="K105" s="134"/>
      <c r="L105" s="130"/>
      <c r="M105" s="135">
        <f>SUM($O105:$AB105)</f>
        <v>0</v>
      </c>
      <c r="N105" s="123"/>
      <c r="O105" s="123"/>
      <c r="P105" s="136">
        <f>IF(P$1="",0,0)</f>
        <v>0</v>
      </c>
      <c r="Q105" s="136">
        <f t="shared" ref="Q105:AA105" si="1">IF(Q$1="",0,0)</f>
        <v>0</v>
      </c>
      <c r="R105" s="136">
        <f t="shared" si="1"/>
        <v>0</v>
      </c>
      <c r="S105" s="136">
        <f t="shared" si="1"/>
        <v>0</v>
      </c>
      <c r="T105" s="136">
        <f t="shared" si="1"/>
        <v>0</v>
      </c>
      <c r="U105" s="136">
        <f t="shared" si="1"/>
        <v>0</v>
      </c>
      <c r="V105" s="136">
        <f t="shared" si="1"/>
        <v>0</v>
      </c>
      <c r="W105" s="136">
        <f t="shared" si="1"/>
        <v>0</v>
      </c>
      <c r="X105" s="136">
        <f t="shared" si="1"/>
        <v>0</v>
      </c>
      <c r="Y105" s="136">
        <f t="shared" si="1"/>
        <v>0</v>
      </c>
      <c r="Z105" s="136">
        <f t="shared" si="1"/>
        <v>0</v>
      </c>
      <c r="AA105" s="136">
        <f t="shared" si="1"/>
        <v>0</v>
      </c>
      <c r="AB105" s="123"/>
    </row>
    <row r="106" spans="1:28" s="126" customFormat="1" ht="3.9" customHeight="1" x14ac:dyDescent="0.25">
      <c r="A106" s="149">
        <f>1</f>
        <v>1</v>
      </c>
      <c r="B106" s="131"/>
      <c r="C106" s="123"/>
      <c r="D106" s="123"/>
      <c r="E106" s="123"/>
      <c r="F106" s="123"/>
      <c r="G106" s="123"/>
      <c r="H106" s="123"/>
      <c r="I106" s="124"/>
      <c r="J106" s="123"/>
      <c r="K106" s="124"/>
      <c r="L106" s="123"/>
      <c r="M106" s="125"/>
      <c r="N106" s="123"/>
      <c r="O106" s="123"/>
      <c r="P106" s="137"/>
      <c r="Q106" s="137"/>
      <c r="R106" s="137"/>
      <c r="S106" s="137"/>
      <c r="T106" s="137"/>
      <c r="U106" s="137"/>
      <c r="V106" s="137"/>
      <c r="W106" s="137"/>
      <c r="X106" s="137"/>
      <c r="Y106" s="137"/>
      <c r="Z106" s="137"/>
      <c r="AA106" s="137"/>
      <c r="AB106" s="123"/>
    </row>
    <row r="107" spans="1:28" s="126" customFormat="1" x14ac:dyDescent="0.25">
      <c r="A107" s="149">
        <f>1</f>
        <v>1</v>
      </c>
      <c r="B107" s="132" t="str">
        <f>структура!$J$13</f>
        <v>УСН(6%)</v>
      </c>
      <c r="C107" s="123"/>
      <c r="D107" s="123"/>
      <c r="E107" s="130" t="str">
        <f>E105</f>
        <v>расходный НДС</v>
      </c>
      <c r="F107" s="130"/>
      <c r="G107" s="130" t="str">
        <f>IF($E107="","",INDEX(KPI!$G:$G,SUMIFS(KPI!$B:$B,KPI!$E:$E,$E107)))</f>
        <v>тыс.руб.</v>
      </c>
      <c r="H107" s="130"/>
      <c r="I107" s="134"/>
      <c r="J107" s="145" t="str">
        <f>структура!$AL$21</f>
        <v>Без НДС</v>
      </c>
      <c r="K107" s="134"/>
      <c r="L107" s="130"/>
      <c r="M107" s="135">
        <f>SUM($O107:$AB107)</f>
        <v>6014.0714115253641</v>
      </c>
      <c r="N107" s="123"/>
      <c r="O107" s="123"/>
      <c r="P107" s="136">
        <f>IF(P$1="",0,SUMIFS(P$34:P106,$J$34:$J106,$J107,$B$34:$B106,$B107)*опер1!$P$346)</f>
        <v>832.68673321241465</v>
      </c>
      <c r="Q107" s="136">
        <f>IF(Q$1="",0,SUMIFS(Q$34:Q106,$J$34:$J106,$J107,$B$34:$B106,$B107)*опер1!$P$346)</f>
        <v>848.5229832124146</v>
      </c>
      <c r="R107" s="136">
        <f>IF(R$1="",0,SUMIFS(R$34:R106,$J$34:$J106,$J107,$B$34:$B106,$B107)*опер1!$P$346)</f>
        <v>846.64527205856848</v>
      </c>
      <c r="S107" s="136">
        <f>IF(S$1="",0,SUMIFS(S$34:S106,$J$34:$J106,$J107,$B$34:$B106,$B107)*опер1!$P$346)</f>
        <v>833.57535436626085</v>
      </c>
      <c r="T107" s="136">
        <f>IF(T$1="",0,SUMIFS(T$34:T106,$J$34:$J106,$J107,$B$34:$B106,$B107)*опер1!$P$346)</f>
        <v>854.16247936626064</v>
      </c>
      <c r="U107" s="136">
        <f>IF(U$1="",0,SUMIFS(U$34:U106,$J$34:$J106,$J107,$B$34:$B106,$B107)*опер1!$P$346)</f>
        <v>879.02671628933774</v>
      </c>
      <c r="V107" s="136">
        <f>IF(V$1="",0,SUMIFS(V$34:V106,$J$34:$J106,$J107,$B$34:$B106,$B107)*опер1!$P$346)</f>
        <v>919.45187302010675</v>
      </c>
      <c r="W107" s="136">
        <f>IF(W$1="",0,SUMIFS(W$34:W106,$J$34:$J106,$J107,$B$34:$B106,$B107)*опер1!$P$346)</f>
        <v>0</v>
      </c>
      <c r="X107" s="136">
        <f>IF(X$1="",0,SUMIFS(X$34:X106,$J$34:$J106,$J107,$B$34:$B106,$B107)*опер1!$P$346)</f>
        <v>0</v>
      </c>
      <c r="Y107" s="136">
        <f>IF(Y$1="",0,SUMIFS(Y$34:Y106,$J$34:$J106,$J107,$B$34:$B106,$B107)*опер1!$P$346)</f>
        <v>0</v>
      </c>
      <c r="Z107" s="136">
        <f>IF(Z$1="",0,SUMIFS(Z$34:Z106,$J$34:$J106,$J107,$B$34:$B106,$B107)*опер1!$P$346)</f>
        <v>0</v>
      </c>
      <c r="AA107" s="136">
        <f>IF(AA$1="",0,SUMIFS(AA$34:AA106,$J$34:$J106,$J107,$B$34:$B106,$B107)*опер1!$P$346)</f>
        <v>0</v>
      </c>
      <c r="AB107" s="123"/>
    </row>
    <row r="108" spans="1:28" s="126" customFormat="1" ht="3.9" customHeight="1" x14ac:dyDescent="0.25">
      <c r="A108" s="149">
        <f>1</f>
        <v>1</v>
      </c>
      <c r="B108" s="131"/>
      <c r="C108" s="123"/>
      <c r="D108" s="123"/>
      <c r="E108" s="123"/>
      <c r="F108" s="123"/>
      <c r="G108" s="123"/>
      <c r="H108" s="123"/>
      <c r="I108" s="124"/>
      <c r="J108" s="123"/>
      <c r="K108" s="124"/>
      <c r="L108" s="123"/>
      <c r="M108" s="125"/>
      <c r="N108" s="123"/>
      <c r="O108" s="123"/>
      <c r="P108" s="137"/>
      <c r="Q108" s="137"/>
      <c r="R108" s="137"/>
      <c r="S108" s="137"/>
      <c r="T108" s="137"/>
      <c r="U108" s="137"/>
      <c r="V108" s="137"/>
      <c r="W108" s="137"/>
      <c r="X108" s="137"/>
      <c r="Y108" s="137"/>
      <c r="Z108" s="137"/>
      <c r="AA108" s="137"/>
      <c r="AB108" s="123"/>
    </row>
    <row r="109" spans="1:28" s="126" customFormat="1" x14ac:dyDescent="0.25">
      <c r="A109" s="149">
        <f>1</f>
        <v>1</v>
      </c>
      <c r="B109" s="132" t="str">
        <f>структура!$J$14</f>
        <v>УСН(15%)</v>
      </c>
      <c r="C109" s="123"/>
      <c r="D109" s="123"/>
      <c r="E109" s="130" t="str">
        <f>E105</f>
        <v>расходный НДС</v>
      </c>
      <c r="F109" s="130"/>
      <c r="G109" s="130" t="str">
        <f>IF($E109="","",INDEX(KPI!$G:$G,SUMIFS(KPI!$B:$B,KPI!$E:$E,$E109)))</f>
        <v>тыс.руб.</v>
      </c>
      <c r="H109" s="130"/>
      <c r="I109" s="134"/>
      <c r="J109" s="145" t="str">
        <f>структура!$AL$21</f>
        <v>Без НДС</v>
      </c>
      <c r="K109" s="134"/>
      <c r="L109" s="130"/>
      <c r="M109" s="135">
        <f>SUM($O109:$AB109)</f>
        <v>6014.0714115253641</v>
      </c>
      <c r="N109" s="123"/>
      <c r="O109" s="123"/>
      <c r="P109" s="136">
        <f>IF(P$1="",0,SUMIFS(P$34:P108,$J$34:$J108,$J109,$B$34:$B108,$B109)*опер1!$P$346)</f>
        <v>832.68673321241465</v>
      </c>
      <c r="Q109" s="136">
        <f>IF(Q$1="",0,SUMIFS(Q$34:Q108,$J$34:$J108,$J109,$B$34:$B108,$B109)*опер1!$P$346)</f>
        <v>848.5229832124146</v>
      </c>
      <c r="R109" s="136">
        <f>IF(R$1="",0,SUMIFS(R$34:R108,$J$34:$J108,$J109,$B$34:$B108,$B109)*опер1!$P$346)</f>
        <v>846.64527205856848</v>
      </c>
      <c r="S109" s="136">
        <f>IF(S$1="",0,SUMIFS(S$34:S108,$J$34:$J108,$J109,$B$34:$B108,$B109)*опер1!$P$346)</f>
        <v>833.57535436626085</v>
      </c>
      <c r="T109" s="136">
        <f>IF(T$1="",0,SUMIFS(T$34:T108,$J$34:$J108,$J109,$B$34:$B108,$B109)*опер1!$P$346)</f>
        <v>854.16247936626064</v>
      </c>
      <c r="U109" s="136">
        <f>IF(U$1="",0,SUMIFS(U$34:U108,$J$34:$J108,$J109,$B$34:$B108,$B109)*опер1!$P$346)</f>
        <v>879.02671628933774</v>
      </c>
      <c r="V109" s="136">
        <f>IF(V$1="",0,SUMIFS(V$34:V108,$J$34:$J108,$J109,$B$34:$B108,$B109)*опер1!$P$346)</f>
        <v>919.45187302010675</v>
      </c>
      <c r="W109" s="136">
        <f>IF(W$1="",0,SUMIFS(W$34:W108,$J$34:$J108,$J109,$B$34:$B108,$B109)*опер1!$P$346)</f>
        <v>0</v>
      </c>
      <c r="X109" s="136">
        <f>IF(X$1="",0,SUMIFS(X$34:X108,$J$34:$J108,$J109,$B$34:$B108,$B109)*опер1!$P$346)</f>
        <v>0</v>
      </c>
      <c r="Y109" s="136">
        <f>IF(Y$1="",0,SUMIFS(Y$34:Y108,$J$34:$J108,$J109,$B$34:$B108,$B109)*опер1!$P$346)</f>
        <v>0</v>
      </c>
      <c r="Z109" s="136">
        <f>IF(Z$1="",0,SUMIFS(Z$34:Z108,$J$34:$J108,$J109,$B$34:$B108,$B109)*опер1!$P$346)</f>
        <v>0</v>
      </c>
      <c r="AA109" s="136">
        <f>IF(AA$1="",0,SUMIFS(AA$34:AA108,$J$34:$J108,$J109,$B$34:$B108,$B109)*опер1!$P$346)</f>
        <v>0</v>
      </c>
      <c r="AB109" s="123"/>
    </row>
    <row r="110" spans="1:28" s="126" customFormat="1" ht="3.9" customHeight="1" x14ac:dyDescent="0.25">
      <c r="A110" s="149">
        <f>1</f>
        <v>1</v>
      </c>
      <c r="B110" s="131"/>
      <c r="C110" s="123"/>
      <c r="D110" s="123"/>
      <c r="E110" s="123"/>
      <c r="F110" s="123"/>
      <c r="G110" s="123"/>
      <c r="H110" s="123"/>
      <c r="I110" s="124"/>
      <c r="J110" s="123"/>
      <c r="K110" s="124"/>
      <c r="L110" s="123"/>
      <c r="M110" s="125"/>
      <c r="N110" s="123"/>
      <c r="O110" s="123"/>
      <c r="P110" s="137"/>
      <c r="Q110" s="137"/>
      <c r="R110" s="137"/>
      <c r="S110" s="137"/>
      <c r="T110" s="137"/>
      <c r="U110" s="137"/>
      <c r="V110" s="137"/>
      <c r="W110" s="137"/>
      <c r="X110" s="137"/>
      <c r="Y110" s="137"/>
      <c r="Z110" s="137"/>
      <c r="AA110" s="137"/>
      <c r="AB110" s="123"/>
    </row>
    <row r="111" spans="1:28" s="126" customFormat="1" x14ac:dyDescent="0.25">
      <c r="A111" s="149">
        <f>1</f>
        <v>1</v>
      </c>
      <c r="B111" s="132" t="str">
        <f>структура!$J$15</f>
        <v>УСН(6%)-ИП</v>
      </c>
      <c r="C111" s="123"/>
      <c r="D111" s="123"/>
      <c r="E111" s="130" t="str">
        <f>E105</f>
        <v>расходный НДС</v>
      </c>
      <c r="F111" s="130"/>
      <c r="G111" s="130" t="str">
        <f>IF($E111="","",INDEX(KPI!$G:$G,SUMIFS(KPI!$B:$B,KPI!$E:$E,$E111)))</f>
        <v>тыс.руб.</v>
      </c>
      <c r="H111" s="130"/>
      <c r="I111" s="134"/>
      <c r="J111" s="145" t="str">
        <f>структура!$AL$21</f>
        <v>Без НДС</v>
      </c>
      <c r="K111" s="134"/>
      <c r="L111" s="130"/>
      <c r="M111" s="135">
        <f>SUM($O111:$AB111)</f>
        <v>6014.0714115253641</v>
      </c>
      <c r="N111" s="123"/>
      <c r="O111" s="123"/>
      <c r="P111" s="136">
        <f>IF(P$1="",0,SUMIFS(P$34:P110,$J$34:$J110,$J111,$B$34:$B110,$B111)*опер1!$P$346)</f>
        <v>832.68673321241465</v>
      </c>
      <c r="Q111" s="136">
        <f>IF(Q$1="",0,SUMIFS(Q$34:Q110,$J$34:$J110,$J111,$B$34:$B110,$B111)*опер1!$P$346)</f>
        <v>848.5229832124146</v>
      </c>
      <c r="R111" s="136">
        <f>IF(R$1="",0,SUMIFS(R$34:R110,$J$34:$J110,$J111,$B$34:$B110,$B111)*опер1!$P$346)</f>
        <v>846.64527205856848</v>
      </c>
      <c r="S111" s="136">
        <f>IF(S$1="",0,SUMIFS(S$34:S110,$J$34:$J110,$J111,$B$34:$B110,$B111)*опер1!$P$346)</f>
        <v>833.57535436626085</v>
      </c>
      <c r="T111" s="136">
        <f>IF(T$1="",0,SUMIFS(T$34:T110,$J$34:$J110,$J111,$B$34:$B110,$B111)*опер1!$P$346)</f>
        <v>854.16247936626064</v>
      </c>
      <c r="U111" s="136">
        <f>IF(U$1="",0,SUMIFS(U$34:U110,$J$34:$J110,$J111,$B$34:$B110,$B111)*опер1!$P$346)</f>
        <v>879.02671628933774</v>
      </c>
      <c r="V111" s="136">
        <f>IF(V$1="",0,SUMIFS(V$34:V110,$J$34:$J110,$J111,$B$34:$B110,$B111)*опер1!$P$346)</f>
        <v>919.45187302010675</v>
      </c>
      <c r="W111" s="136">
        <f>IF(W$1="",0,SUMIFS(W$34:W110,$J$34:$J110,$J111,$B$34:$B110,$B111)*опер1!$P$346)</f>
        <v>0</v>
      </c>
      <c r="X111" s="136">
        <f>IF(X$1="",0,SUMIFS(X$34:X110,$J$34:$J110,$J111,$B$34:$B110,$B111)*опер1!$P$346)</f>
        <v>0</v>
      </c>
      <c r="Y111" s="136">
        <f>IF(Y$1="",0,SUMIFS(Y$34:Y110,$J$34:$J110,$J111,$B$34:$B110,$B111)*опер1!$P$346)</f>
        <v>0</v>
      </c>
      <c r="Z111" s="136">
        <f>IF(Z$1="",0,SUMIFS(Z$34:Z110,$J$34:$J110,$J111,$B$34:$B110,$B111)*опер1!$P$346)</f>
        <v>0</v>
      </c>
      <c r="AA111" s="136">
        <f>IF(AA$1="",0,SUMIFS(AA$34:AA110,$J$34:$J110,$J111,$B$34:$B110,$B111)*опер1!$P$346)</f>
        <v>0</v>
      </c>
      <c r="AB111" s="123"/>
    </row>
    <row r="112" spans="1:28" ht="3.9" customHeight="1" x14ac:dyDescent="0.25">
      <c r="A112" s="149">
        <f>1</f>
        <v>1</v>
      </c>
      <c r="B112" s="131"/>
      <c r="C112" s="2"/>
      <c r="D112" s="2"/>
      <c r="E112" s="2"/>
      <c r="F112" s="2"/>
      <c r="G112" s="2"/>
      <c r="H112" s="2"/>
      <c r="I112" s="28"/>
      <c r="J112" s="2"/>
      <c r="K112" s="28"/>
      <c r="L112" s="2"/>
      <c r="M112" s="52"/>
      <c r="N112" s="2"/>
      <c r="O112" s="2"/>
      <c r="P112" s="36"/>
      <c r="Q112" s="36"/>
      <c r="R112" s="36"/>
      <c r="S112" s="36"/>
      <c r="T112" s="36"/>
      <c r="U112" s="36"/>
      <c r="V112" s="36"/>
      <c r="W112" s="36"/>
      <c r="X112" s="36"/>
      <c r="Y112" s="36"/>
      <c r="Z112" s="36"/>
      <c r="AA112" s="36"/>
      <c r="AB112" s="2"/>
    </row>
    <row r="113" spans="1:28" ht="8.1" customHeight="1" x14ac:dyDescent="0.25">
      <c r="A113" s="149">
        <f>1</f>
        <v>1</v>
      </c>
      <c r="B113" s="131"/>
      <c r="C113" s="2"/>
      <c r="D113" s="2"/>
      <c r="E113" s="2"/>
      <c r="F113" s="2"/>
      <c r="G113" s="2"/>
      <c r="H113" s="2"/>
      <c r="I113" s="28"/>
      <c r="J113" s="2"/>
      <c r="K113" s="28"/>
      <c r="L113" s="2"/>
      <c r="M113" s="52"/>
      <c r="N113" s="2"/>
      <c r="O113" s="2"/>
      <c r="P113" s="36"/>
      <c r="Q113" s="36"/>
      <c r="R113" s="36"/>
      <c r="S113" s="36"/>
      <c r="T113" s="36"/>
      <c r="U113" s="36"/>
      <c r="V113" s="36"/>
      <c r="W113" s="36"/>
      <c r="X113" s="36"/>
      <c r="Y113" s="36"/>
      <c r="Z113" s="36"/>
      <c r="AA113" s="36"/>
      <c r="AB113" s="2"/>
    </row>
    <row r="114" spans="1:28" ht="3.9" customHeight="1" x14ac:dyDescent="0.25">
      <c r="A114" s="149">
        <f>1</f>
        <v>1</v>
      </c>
      <c r="B114" s="131"/>
      <c r="C114" s="2"/>
      <c r="D114" s="2"/>
      <c r="E114" s="118"/>
      <c r="F114" s="2"/>
      <c r="G114" s="118"/>
      <c r="H114" s="2"/>
      <c r="I114" s="28"/>
      <c r="J114" s="2"/>
      <c r="K114" s="28"/>
      <c r="L114" s="2"/>
      <c r="M114" s="139"/>
      <c r="N114" s="2"/>
      <c r="O114" s="2"/>
      <c r="P114" s="36"/>
      <c r="Q114" s="36"/>
      <c r="R114" s="36"/>
      <c r="S114" s="36"/>
      <c r="T114" s="36"/>
      <c r="U114" s="36"/>
      <c r="V114" s="36"/>
      <c r="W114" s="36"/>
      <c r="X114" s="36"/>
      <c r="Y114" s="36"/>
      <c r="Z114" s="36"/>
      <c r="AA114" s="36"/>
      <c r="AB114" s="2"/>
    </row>
    <row r="115" spans="1:28" ht="8.1" customHeight="1" x14ac:dyDescent="0.25">
      <c r="A115" s="149">
        <f>1</f>
        <v>1</v>
      </c>
      <c r="B115" s="131"/>
      <c r="C115" s="2"/>
      <c r="D115" s="2"/>
      <c r="E115" s="2"/>
      <c r="F115" s="2"/>
      <c r="G115" s="2"/>
      <c r="H115" s="2"/>
      <c r="I115" s="28"/>
      <c r="J115" s="2"/>
      <c r="K115" s="28"/>
      <c r="L115" s="2"/>
      <c r="M115" s="52"/>
      <c r="N115" s="2"/>
      <c r="O115" s="2"/>
      <c r="P115" s="36"/>
      <c r="Q115" s="36"/>
      <c r="R115" s="36"/>
      <c r="S115" s="36"/>
      <c r="T115" s="36"/>
      <c r="U115" s="36"/>
      <c r="V115" s="36"/>
      <c r="W115" s="36"/>
      <c r="X115" s="36"/>
      <c r="Y115" s="36"/>
      <c r="Z115" s="36"/>
      <c r="AA115" s="36"/>
      <c r="AB115" s="2"/>
    </row>
    <row r="116" spans="1:28" ht="3.9" customHeight="1" x14ac:dyDescent="0.25">
      <c r="A116" s="149">
        <f>1</f>
        <v>1</v>
      </c>
      <c r="B116" s="131"/>
      <c r="C116" s="2"/>
      <c r="D116" s="2"/>
      <c r="E116" s="2"/>
      <c r="F116" s="2"/>
      <c r="G116" s="2"/>
      <c r="H116" s="2"/>
      <c r="I116" s="28"/>
      <c r="J116" s="2"/>
      <c r="K116" s="28"/>
      <c r="L116" s="2"/>
      <c r="M116" s="52"/>
      <c r="N116" s="2"/>
      <c r="O116" s="2"/>
      <c r="P116" s="36"/>
      <c r="Q116" s="36"/>
      <c r="R116" s="36"/>
      <c r="S116" s="36"/>
      <c r="T116" s="36"/>
      <c r="U116" s="36"/>
      <c r="V116" s="36"/>
      <c r="W116" s="36"/>
      <c r="X116" s="36"/>
      <c r="Y116" s="36"/>
      <c r="Z116" s="36"/>
      <c r="AA116" s="36"/>
      <c r="AB116" s="2"/>
    </row>
    <row r="117" spans="1:28" s="5" customFormat="1" x14ac:dyDescent="0.25">
      <c r="A117" s="150">
        <f>1</f>
        <v>1</v>
      </c>
      <c r="B117" s="129" t="str">
        <f>структура!$J$12</f>
        <v>ОСНО</v>
      </c>
      <c r="C117" s="3"/>
      <c r="D117" s="3"/>
      <c r="E117" s="89" t="str">
        <f>KPI!$E$84</f>
        <v>амортизация кап/затрат</v>
      </c>
      <c r="F117" s="89"/>
      <c r="G117" s="89" t="str">
        <f>IF($E117="","",INDEX(KPI!$G:$G,SUMIFS(KPI!$B:$B,KPI!$E:$E,$E117)))</f>
        <v>тыс.руб.</v>
      </c>
      <c r="H117" s="89"/>
      <c r="I117" s="90"/>
      <c r="J117" s="89" t="str">
        <f>структура!$AL$21</f>
        <v>Без НДС</v>
      </c>
      <c r="K117" s="90"/>
      <c r="L117" s="89"/>
      <c r="M117" s="92">
        <f>SUM($O117:$AB117)</f>
        <v>13208.645700000005</v>
      </c>
      <c r="N117" s="3"/>
      <c r="O117" s="3"/>
      <c r="P117" s="93">
        <f>IF(P$1="",0,IF(1+опер1!P$346=0,0,(опер1!P$374+опер1!P$389)/(1+опер1!P$346)))</f>
        <v>1928.8541476190483</v>
      </c>
      <c r="Q117" s="93">
        <f>IF(Q$1="",0,IF(1+опер1!Q$346=0,0,(опер1!Q$374+опер1!Q$389)/(1+опер1!Q$346)))</f>
        <v>1928.8541476190483</v>
      </c>
      <c r="R117" s="93">
        <f>IF(R$1="",0,IF(1+опер1!R$346=0,0,(опер1!R$374+опер1!R$389)/(1+опер1!R$346)))</f>
        <v>1928.8541476190483</v>
      </c>
      <c r="S117" s="93">
        <f>IF(S$1="",0,IF(1+опер1!S$346=0,0,(опер1!S$374+опер1!S$389)/(1+опер1!S$346)))</f>
        <v>1928.8541476190483</v>
      </c>
      <c r="T117" s="93">
        <f>IF(T$1="",0,IF(1+опер1!T$346=0,0,(опер1!T$374+опер1!T$389)/(1+опер1!T$346)))</f>
        <v>1928.8541476190483</v>
      </c>
      <c r="U117" s="93">
        <f>IF(U$1="",0,IF(1+опер1!U$346=0,0,(опер1!U$374+опер1!U$389)/(1+опер1!U$346)))</f>
        <v>1782.1874809523817</v>
      </c>
      <c r="V117" s="93">
        <f>IF(V$1="",0,IF(1+опер1!V$346=0,0,(опер1!V$374+опер1!V$389)/(1+опер1!V$346)))</f>
        <v>1782.1874809523817</v>
      </c>
      <c r="W117" s="93">
        <f>IF(W$1="",0,IF(1+опер1!W$346=0,0,(опер1!W$374+опер1!W$389)/(1+опер1!W$346)))</f>
        <v>0</v>
      </c>
      <c r="X117" s="93">
        <f>IF(X$1="",0,IF(1+опер1!X$346=0,0,(опер1!X$374+опер1!X$389)/(1+опер1!X$346)))</f>
        <v>0</v>
      </c>
      <c r="Y117" s="93">
        <f>IF(Y$1="",0,IF(1+опер1!Y$346=0,0,(опер1!Y$374+опер1!Y$389)/(1+опер1!Y$346)))</f>
        <v>0</v>
      </c>
      <c r="Z117" s="93">
        <f>IF(Z$1="",0,IF(1+опер1!Z$346=0,0,(опер1!Z$374+опер1!Z$389)/(1+опер1!Z$346)))</f>
        <v>0</v>
      </c>
      <c r="AA117" s="93">
        <f>IF(AA$1="",0,IF(1+опер1!AA$346=0,0,(опер1!AA$374+опер1!AA$389)/(1+опер1!AA$346)))</f>
        <v>0</v>
      </c>
      <c r="AB117" s="3"/>
    </row>
    <row r="118" spans="1:28" s="5" customFormat="1" ht="3.9" customHeight="1" x14ac:dyDescent="0.25">
      <c r="A118" s="150">
        <f>1</f>
        <v>1</v>
      </c>
      <c r="B118" s="128"/>
      <c r="C118" s="3"/>
      <c r="D118" s="3"/>
      <c r="E118" s="3"/>
      <c r="F118" s="3"/>
      <c r="G118" s="3"/>
      <c r="H118" s="3"/>
      <c r="I118" s="28"/>
      <c r="J118" s="3"/>
      <c r="K118" s="28"/>
      <c r="L118" s="3"/>
      <c r="M118" s="55"/>
      <c r="N118" s="3"/>
      <c r="O118" s="3"/>
      <c r="P118" s="46"/>
      <c r="Q118" s="46"/>
      <c r="R118" s="46"/>
      <c r="S118" s="46"/>
      <c r="T118" s="46"/>
      <c r="U118" s="46"/>
      <c r="V118" s="46"/>
      <c r="W118" s="46"/>
      <c r="X118" s="46"/>
      <c r="Y118" s="46"/>
      <c r="Z118" s="46"/>
      <c r="AA118" s="46"/>
      <c r="AB118" s="3"/>
    </row>
    <row r="119" spans="1:28" s="5" customFormat="1" x14ac:dyDescent="0.25">
      <c r="A119" s="150">
        <f>1</f>
        <v>1</v>
      </c>
      <c r="B119" s="129" t="str">
        <f>структура!$J$13</f>
        <v>УСН(6%)</v>
      </c>
      <c r="C119" s="3"/>
      <c r="D119" s="3"/>
      <c r="E119" s="89" t="str">
        <f>E117</f>
        <v>амортизация кап/затрат</v>
      </c>
      <c r="F119" s="89"/>
      <c r="G119" s="89" t="str">
        <f>IF($E119="","",INDEX(KPI!$G:$G,SUMIFS(KPI!$B:$B,KPI!$E:$E,$E119)))</f>
        <v>тыс.руб.</v>
      </c>
      <c r="H119" s="89"/>
      <c r="I119" s="90"/>
      <c r="J119" s="89"/>
      <c r="K119" s="90"/>
      <c r="L119" s="89"/>
      <c r="M119" s="92">
        <f>SUM($O119:$AB119)</f>
        <v>15850.374840000004</v>
      </c>
      <c r="N119" s="3"/>
      <c r="O119" s="3"/>
      <c r="P119" s="93">
        <f>IF(P$1="",0,опер1!P$374+опер1!P$389)</f>
        <v>2314.6249771428579</v>
      </c>
      <c r="Q119" s="93">
        <f>IF(Q$1="",0,опер1!Q$374+опер1!Q$389)</f>
        <v>2314.6249771428579</v>
      </c>
      <c r="R119" s="93">
        <f>IF(R$1="",0,опер1!R$374+опер1!R$389)</f>
        <v>2314.6249771428579</v>
      </c>
      <c r="S119" s="93">
        <f>IF(S$1="",0,опер1!S$374+опер1!S$389)</f>
        <v>2314.6249771428579</v>
      </c>
      <c r="T119" s="93">
        <f>IF(T$1="",0,опер1!T$374+опер1!T$389)</f>
        <v>2314.6249771428579</v>
      </c>
      <c r="U119" s="93">
        <f>IF(U$1="",0,опер1!U$374+опер1!U$389)</f>
        <v>2138.6249771428579</v>
      </c>
      <c r="V119" s="93">
        <f>IF(V$1="",0,опер1!V$374+опер1!V$389)</f>
        <v>2138.6249771428579</v>
      </c>
      <c r="W119" s="93">
        <f>IF(W$1="",0,опер1!W$374+опер1!W$389)</f>
        <v>0</v>
      </c>
      <c r="X119" s="93">
        <f>IF(X$1="",0,опер1!X$374+опер1!X$389)</f>
        <v>0</v>
      </c>
      <c r="Y119" s="93">
        <f>IF(Y$1="",0,опер1!Y$374+опер1!Y$389)</f>
        <v>0</v>
      </c>
      <c r="Z119" s="93">
        <f>IF(Z$1="",0,опер1!Z$374+опер1!Z$389)</f>
        <v>0</v>
      </c>
      <c r="AA119" s="93">
        <f>IF(AA$1="",0,опер1!AA$374+опер1!AA$389)</f>
        <v>0</v>
      </c>
      <c r="AB119" s="3"/>
    </row>
    <row r="120" spans="1:28" s="5" customFormat="1" ht="3.9" customHeight="1" x14ac:dyDescent="0.25">
      <c r="A120" s="150">
        <f>1</f>
        <v>1</v>
      </c>
      <c r="B120" s="128"/>
      <c r="C120" s="3"/>
      <c r="D120" s="3"/>
      <c r="E120" s="3"/>
      <c r="F120" s="3"/>
      <c r="G120" s="3"/>
      <c r="H120" s="3"/>
      <c r="I120" s="28"/>
      <c r="J120" s="3"/>
      <c r="K120" s="28"/>
      <c r="L120" s="3"/>
      <c r="M120" s="55"/>
      <c r="N120" s="3"/>
      <c r="O120" s="3"/>
      <c r="P120" s="46"/>
      <c r="Q120" s="46"/>
      <c r="R120" s="46"/>
      <c r="S120" s="46"/>
      <c r="T120" s="46"/>
      <c r="U120" s="46"/>
      <c r="V120" s="46"/>
      <c r="W120" s="46"/>
      <c r="X120" s="46"/>
      <c r="Y120" s="46"/>
      <c r="Z120" s="46"/>
      <c r="AA120" s="46"/>
      <c r="AB120" s="3"/>
    </row>
    <row r="121" spans="1:28" s="5" customFormat="1" x14ac:dyDescent="0.25">
      <c r="A121" s="150">
        <f>1</f>
        <v>1</v>
      </c>
      <c r="B121" s="129" t="str">
        <f>структура!$J$14</f>
        <v>УСН(15%)</v>
      </c>
      <c r="C121" s="3"/>
      <c r="D121" s="3"/>
      <c r="E121" s="89" t="str">
        <f>E117</f>
        <v>амортизация кап/затрат</v>
      </c>
      <c r="F121" s="89"/>
      <c r="G121" s="89" t="str">
        <f>IF($E121="","",INDEX(KPI!$G:$G,SUMIFS(KPI!$B:$B,KPI!$E:$E,$E121)))</f>
        <v>тыс.руб.</v>
      </c>
      <c r="H121" s="89"/>
      <c r="I121" s="90"/>
      <c r="J121" s="89"/>
      <c r="K121" s="90"/>
      <c r="L121" s="89"/>
      <c r="M121" s="92">
        <f>SUM($O121:$AB121)</f>
        <v>15850.374840000004</v>
      </c>
      <c r="N121" s="3"/>
      <c r="O121" s="3"/>
      <c r="P121" s="93">
        <f>IF(P$1="",0,опер1!P$374+опер1!P$389)</f>
        <v>2314.6249771428579</v>
      </c>
      <c r="Q121" s="93">
        <f>IF(Q$1="",0,опер1!Q$374+опер1!Q$389)</f>
        <v>2314.6249771428579</v>
      </c>
      <c r="R121" s="93">
        <f>IF(R$1="",0,опер1!R$374+опер1!R$389)</f>
        <v>2314.6249771428579</v>
      </c>
      <c r="S121" s="93">
        <f>IF(S$1="",0,опер1!S$374+опер1!S$389)</f>
        <v>2314.6249771428579</v>
      </c>
      <c r="T121" s="93">
        <f>IF(T$1="",0,опер1!T$374+опер1!T$389)</f>
        <v>2314.6249771428579</v>
      </c>
      <c r="U121" s="93">
        <f>IF(U$1="",0,опер1!U$374+опер1!U$389)</f>
        <v>2138.6249771428579</v>
      </c>
      <c r="V121" s="93">
        <f>IF(V$1="",0,опер1!V$374+опер1!V$389)</f>
        <v>2138.6249771428579</v>
      </c>
      <c r="W121" s="93">
        <f>IF(W$1="",0,опер1!W$374+опер1!W$389)</f>
        <v>0</v>
      </c>
      <c r="X121" s="93">
        <f>IF(X$1="",0,опер1!X$374+опер1!X$389)</f>
        <v>0</v>
      </c>
      <c r="Y121" s="93">
        <f>IF(Y$1="",0,опер1!Y$374+опер1!Y$389)</f>
        <v>0</v>
      </c>
      <c r="Z121" s="93">
        <f>IF(Z$1="",0,опер1!Z$374+опер1!Z$389)</f>
        <v>0</v>
      </c>
      <c r="AA121" s="93">
        <f>IF(AA$1="",0,опер1!AA$374+опер1!AA$389)</f>
        <v>0</v>
      </c>
      <c r="AB121" s="3"/>
    </row>
    <row r="122" spans="1:28" s="5" customFormat="1" ht="3.9" customHeight="1" x14ac:dyDescent="0.25">
      <c r="A122" s="150">
        <f>1</f>
        <v>1</v>
      </c>
      <c r="B122" s="128"/>
      <c r="C122" s="3"/>
      <c r="D122" s="3"/>
      <c r="E122" s="3"/>
      <c r="F122" s="3"/>
      <c r="G122" s="3"/>
      <c r="H122" s="3"/>
      <c r="I122" s="28"/>
      <c r="J122" s="3"/>
      <c r="K122" s="28"/>
      <c r="L122" s="3"/>
      <c r="M122" s="55"/>
      <c r="N122" s="3"/>
      <c r="O122" s="3"/>
      <c r="P122" s="46"/>
      <c r="Q122" s="46"/>
      <c r="R122" s="46"/>
      <c r="S122" s="46"/>
      <c r="T122" s="46"/>
      <c r="U122" s="46"/>
      <c r="V122" s="46"/>
      <c r="W122" s="46"/>
      <c r="X122" s="46"/>
      <c r="Y122" s="46"/>
      <c r="Z122" s="46"/>
      <c r="AA122" s="46"/>
      <c r="AB122" s="3"/>
    </row>
    <row r="123" spans="1:28" s="5" customFormat="1" x14ac:dyDescent="0.25">
      <c r="A123" s="150">
        <f>1</f>
        <v>1</v>
      </c>
      <c r="B123" s="129" t="str">
        <f>структура!$J$15</f>
        <v>УСН(6%)-ИП</v>
      </c>
      <c r="C123" s="3"/>
      <c r="D123" s="3"/>
      <c r="E123" s="89" t="str">
        <f>E117</f>
        <v>амортизация кап/затрат</v>
      </c>
      <c r="F123" s="89"/>
      <c r="G123" s="89" t="str">
        <f>IF($E123="","",INDEX(KPI!$G:$G,SUMIFS(KPI!$B:$B,KPI!$E:$E,$E123)))</f>
        <v>тыс.руб.</v>
      </c>
      <c r="H123" s="89"/>
      <c r="I123" s="90"/>
      <c r="J123" s="89"/>
      <c r="K123" s="90"/>
      <c r="L123" s="89"/>
      <c r="M123" s="92">
        <f>SUM($O123:$AB123)</f>
        <v>15850.374840000004</v>
      </c>
      <c r="N123" s="3"/>
      <c r="O123" s="3"/>
      <c r="P123" s="93">
        <f>IF(P$1="",0,опер1!P$374+опер1!P$389)</f>
        <v>2314.6249771428579</v>
      </c>
      <c r="Q123" s="93">
        <f>IF(Q$1="",0,опер1!Q$374+опер1!Q$389)</f>
        <v>2314.6249771428579</v>
      </c>
      <c r="R123" s="93">
        <f>IF(R$1="",0,опер1!R$374+опер1!R$389)</f>
        <v>2314.6249771428579</v>
      </c>
      <c r="S123" s="93">
        <f>IF(S$1="",0,опер1!S$374+опер1!S$389)</f>
        <v>2314.6249771428579</v>
      </c>
      <c r="T123" s="93">
        <f>IF(T$1="",0,опер1!T$374+опер1!T$389)</f>
        <v>2314.6249771428579</v>
      </c>
      <c r="U123" s="93">
        <f>IF(U$1="",0,опер1!U$374+опер1!U$389)</f>
        <v>2138.6249771428579</v>
      </c>
      <c r="V123" s="93">
        <f>IF(V$1="",0,опер1!V$374+опер1!V$389)</f>
        <v>2138.6249771428579</v>
      </c>
      <c r="W123" s="93">
        <f>IF(W$1="",0,опер1!W$374+опер1!W$389)</f>
        <v>0</v>
      </c>
      <c r="X123" s="93">
        <f>IF(X$1="",0,опер1!X$374+опер1!X$389)</f>
        <v>0</v>
      </c>
      <c r="Y123" s="93">
        <f>IF(Y$1="",0,опер1!Y$374+опер1!Y$389)</f>
        <v>0</v>
      </c>
      <c r="Z123" s="93">
        <f>IF(Z$1="",0,опер1!Z$374+опер1!Z$389)</f>
        <v>0</v>
      </c>
      <c r="AA123" s="93">
        <f>IF(AA$1="",0,опер1!AA$374+опер1!AA$389)</f>
        <v>0</v>
      </c>
      <c r="AB123" s="3"/>
    </row>
    <row r="124" spans="1:28" ht="3.9" customHeight="1" x14ac:dyDescent="0.25">
      <c r="A124" s="149">
        <f>1</f>
        <v>1</v>
      </c>
      <c r="B124" s="131"/>
      <c r="C124" s="2"/>
      <c r="D124" s="2"/>
      <c r="E124" s="143"/>
      <c r="F124" s="2"/>
      <c r="G124" s="143"/>
      <c r="H124" s="2"/>
      <c r="I124" s="28"/>
      <c r="J124" s="2"/>
      <c r="K124" s="28"/>
      <c r="L124" s="2"/>
      <c r="M124" s="144"/>
      <c r="N124" s="2"/>
      <c r="O124" s="2"/>
      <c r="P124" s="36"/>
      <c r="Q124" s="36"/>
      <c r="R124" s="36"/>
      <c r="S124" s="36"/>
      <c r="T124" s="36"/>
      <c r="U124" s="36"/>
      <c r="V124" s="36"/>
      <c r="W124" s="36"/>
      <c r="X124" s="36"/>
      <c r="Y124" s="36"/>
      <c r="Z124" s="36"/>
      <c r="AA124" s="36"/>
      <c r="AB124" s="2"/>
    </row>
    <row r="125" spans="1:28" ht="8.1" customHeight="1" x14ac:dyDescent="0.25">
      <c r="A125" s="149">
        <f>1</f>
        <v>1</v>
      </c>
      <c r="B125" s="131"/>
      <c r="C125" s="2"/>
      <c r="D125" s="2"/>
      <c r="E125" s="2"/>
      <c r="F125" s="2"/>
      <c r="G125" s="2"/>
      <c r="H125" s="2"/>
      <c r="I125" s="28"/>
      <c r="J125" s="2"/>
      <c r="K125" s="28"/>
      <c r="L125" s="2"/>
      <c r="M125" s="52"/>
      <c r="N125" s="2"/>
      <c r="O125" s="2"/>
      <c r="P125" s="36"/>
      <c r="Q125" s="36"/>
      <c r="R125" s="36"/>
      <c r="S125" s="36"/>
      <c r="T125" s="36"/>
      <c r="U125" s="36"/>
      <c r="V125" s="36"/>
      <c r="W125" s="36"/>
      <c r="X125" s="36"/>
      <c r="Y125" s="36"/>
      <c r="Z125" s="36"/>
      <c r="AA125" s="36"/>
      <c r="AB125" s="2"/>
    </row>
    <row r="126" spans="1:28" ht="3.9" customHeight="1" x14ac:dyDescent="0.25">
      <c r="A126" s="149">
        <f>1</f>
        <v>1</v>
      </c>
      <c r="B126" s="131"/>
      <c r="C126" s="2"/>
      <c r="D126" s="2"/>
      <c r="E126" s="2"/>
      <c r="F126" s="2"/>
      <c r="G126" s="2"/>
      <c r="H126" s="2"/>
      <c r="I126" s="28"/>
      <c r="J126" s="2"/>
      <c r="K126" s="28"/>
      <c r="L126" s="2"/>
      <c r="M126" s="52"/>
      <c r="N126" s="2"/>
      <c r="O126" s="2"/>
      <c r="P126" s="36"/>
      <c r="Q126" s="36"/>
      <c r="R126" s="36"/>
      <c r="S126" s="36"/>
      <c r="T126" s="36"/>
      <c r="U126" s="36"/>
      <c r="V126" s="36"/>
      <c r="W126" s="36"/>
      <c r="X126" s="36"/>
      <c r="Y126" s="36"/>
      <c r="Z126" s="36"/>
      <c r="AA126" s="36"/>
      <c r="AB126" s="2"/>
    </row>
    <row r="127" spans="1:28" s="5" customFormat="1" x14ac:dyDescent="0.25">
      <c r="A127" s="150">
        <f>1</f>
        <v>1</v>
      </c>
      <c r="B127" s="129" t="str">
        <f>структура!$J$12</f>
        <v>ОСНО</v>
      </c>
      <c r="C127" s="3"/>
      <c r="D127" s="3"/>
      <c r="E127" s="89" t="str">
        <f>KPI!$E$86</f>
        <v>налог на прибыль</v>
      </c>
      <c r="F127" s="89"/>
      <c r="G127" s="89" t="str">
        <f>IF($E127="","",INDEX(KPI!$G:$G,SUMIFS(KPI!$B:$B,KPI!$E:$E,$E127)))</f>
        <v>тыс.руб.</v>
      </c>
      <c r="H127" s="89"/>
      <c r="I127" s="90"/>
      <c r="J127" s="89"/>
      <c r="K127" s="90"/>
      <c r="L127" s="89"/>
      <c r="M127" s="92">
        <f>SUM($O127:$AB127)</f>
        <v>7025.6584484746372</v>
      </c>
      <c r="N127" s="3"/>
      <c r="O127" s="3"/>
      <c r="P127" s="93">
        <f>IF(P$1="",0,(P$16-P$26-P$117)*опер1!P$349)</f>
        <v>560.85462957146797</v>
      </c>
      <c r="Q127" s="93">
        <f>IF(Q$1="",0,(Q$16-Q$26-Q$117)*опер1!Q$349)</f>
        <v>650.5933795714684</v>
      </c>
      <c r="R127" s="93">
        <f>IF(R$1="",0,(R$16-R$26-R$117)*опер1!R$349)</f>
        <v>813.95166764839144</v>
      </c>
      <c r="S127" s="93">
        <f>IF(S$1="",0,(S$16-S$26-S$117)*опер1!S$349)</f>
        <v>929.47850841762215</v>
      </c>
      <c r="T127" s="93">
        <f>IF(T$1="",0,(T$16-T$26-T$117)*опер1!T$349)</f>
        <v>1067.2538834176225</v>
      </c>
      <c r="U127" s="93">
        <f>IF(U$1="",0,(U$16-U$26-U$117)*опер1!U$349)</f>
        <v>1335.660479827879</v>
      </c>
      <c r="V127" s="93">
        <f>IF(V$1="",0,(V$16-V$26-V$117)*опер1!V$349)</f>
        <v>1667.865900020186</v>
      </c>
      <c r="W127" s="93">
        <f>IF(W$1="",0,(W$16-W$26-W$117)*опер1!W$349)</f>
        <v>0</v>
      </c>
      <c r="X127" s="93">
        <f>IF(X$1="",0,(X$16-X$26-X$117)*опер1!X$349)</f>
        <v>0</v>
      </c>
      <c r="Y127" s="93">
        <f>IF(Y$1="",0,(Y$16-Y$26-Y$117)*опер1!Y$349)</f>
        <v>0</v>
      </c>
      <c r="Z127" s="93">
        <f>IF(Z$1="",0,(Z$16-Z$26-Z$117)*опер1!Z$349)</f>
        <v>0</v>
      </c>
      <c r="AA127" s="93">
        <f>IF(AA$1="",0,(AA$16-AA$26-AA$117)*опер1!AA$349)</f>
        <v>0</v>
      </c>
      <c r="AB127" s="3"/>
    </row>
    <row r="128" spans="1:28" s="5" customFormat="1" ht="3.9" customHeight="1" x14ac:dyDescent="0.25">
      <c r="A128" s="150">
        <f>1</f>
        <v>1</v>
      </c>
      <c r="B128" s="128"/>
      <c r="C128" s="3"/>
      <c r="D128" s="3"/>
      <c r="E128" s="3"/>
      <c r="F128" s="3"/>
      <c r="G128" s="3"/>
      <c r="H128" s="3"/>
      <c r="I128" s="28"/>
      <c r="J128" s="3"/>
      <c r="K128" s="28"/>
      <c r="L128" s="3"/>
      <c r="M128" s="55"/>
      <c r="N128" s="3"/>
      <c r="O128" s="3"/>
      <c r="P128" s="46"/>
      <c r="Q128" s="46"/>
      <c r="R128" s="46"/>
      <c r="S128" s="46"/>
      <c r="T128" s="46"/>
      <c r="U128" s="46"/>
      <c r="V128" s="46"/>
      <c r="W128" s="46"/>
      <c r="X128" s="46"/>
      <c r="Y128" s="46"/>
      <c r="Z128" s="46"/>
      <c r="AA128" s="46"/>
      <c r="AB128" s="3"/>
    </row>
    <row r="129" spans="1:28" s="5" customFormat="1" x14ac:dyDescent="0.25">
      <c r="A129" s="150">
        <f>1</f>
        <v>1</v>
      </c>
      <c r="B129" s="129" t="str">
        <f>структура!$J$13</f>
        <v>УСН(6%)</v>
      </c>
      <c r="C129" s="3"/>
      <c r="D129" s="3"/>
      <c r="E129" s="89" t="str">
        <f>KPI!$E$87</f>
        <v>налог УСН</v>
      </c>
      <c r="F129" s="89"/>
      <c r="G129" s="89" t="str">
        <f>IF($E129="","",INDEX(KPI!$G:$G,SUMIFS(KPI!$B:$B,KPI!$E:$E,$E129)))</f>
        <v>тыс.руб.</v>
      </c>
      <c r="H129" s="89"/>
      <c r="I129" s="90"/>
      <c r="J129" s="89"/>
      <c r="K129" s="90"/>
      <c r="L129" s="89"/>
      <c r="M129" s="92">
        <f>SUM($O129:$AB129)</f>
        <v>3551.0535</v>
      </c>
      <c r="N129" s="3"/>
      <c r="O129" s="3"/>
      <c r="P129" s="93">
        <f>IF(P$1="",0,IF(P$78&gt;опер1!P$361*опер1!P$352*P$18,опер1!P$361*опер1!P$352*P$18,(P$18-P$78)*опер1!P$352))</f>
        <v>424.33203461538454</v>
      </c>
      <c r="Q129" s="93">
        <f>IF(Q$1="",0,IF(Q$78&gt;опер1!Q$361*опер1!Q$352*Q$18,опер1!Q$361*опер1!Q$352*Q$18,(Q$18-Q$78)*опер1!Q$352))</f>
        <v>443.33553461538457</v>
      </c>
      <c r="R129" s="93">
        <f>IF(R$1="",0,IF(R$78&gt;опер1!R$361*опер1!R$352*R$18,опер1!R$361*опер1!R$352*R$18,(R$18-R$78)*опер1!R$352))</f>
        <v>472.40203846153844</v>
      </c>
      <c r="S129" s="93">
        <f>IF(S$1="",0,IF(S$78&gt;опер1!S$361*опер1!S$352*S$18,опер1!S$361*опер1!S$352*S$18,(S$18-S$78)*опер1!S$352))</f>
        <v>490.84428461538459</v>
      </c>
      <c r="T129" s="93">
        <f>IF(T$1="",0,IF(T$78&gt;опер1!T$361*опер1!T$352*T$18,опер1!T$361*опер1!T$352*T$18,(T$18-T$78)*опер1!T$352))</f>
        <v>519.34953461538464</v>
      </c>
      <c r="U129" s="93">
        <f>IF(U$1="",0,IF(U$78&gt;опер1!U$361*опер1!U$352*U$18,опер1!U$361*опер1!U$352*U$18,(U$18-U$78)*опер1!U$352))</f>
        <v>566.85828461538472</v>
      </c>
      <c r="V129" s="93">
        <f>IF(V$1="",0,IF(V$78&gt;опер1!V$361*опер1!V$352*V$18,опер1!V$361*опер1!V$352*V$18,(V$18-V$78)*опер1!V$352))</f>
        <v>633.9317884615383</v>
      </c>
      <c r="W129" s="93">
        <f>IF(W$1="",0,IF(W$78&gt;опер1!W$361*опер1!W$352*W$18,опер1!W$361*опер1!W$352*W$18,(W$18-W$78)*опер1!W$352))</f>
        <v>0</v>
      </c>
      <c r="X129" s="93">
        <f>IF(X$1="",0,IF(X$78&gt;опер1!X$361*опер1!X$352*X$18,опер1!X$361*опер1!X$352*X$18,(X$18-X$78)*опер1!X$352))</f>
        <v>0</v>
      </c>
      <c r="Y129" s="93">
        <f>IF(Y$1="",0,IF(Y$78&gt;опер1!Y$361*опер1!Y$352*Y$18,опер1!Y$361*опер1!Y$352*Y$18,(Y$18-Y$78)*опер1!Y$352))</f>
        <v>0</v>
      </c>
      <c r="Z129" s="93">
        <f>IF(Z$1="",0,IF(Z$78&gt;опер1!Z$361*опер1!Z$352*Z$18,опер1!Z$361*опер1!Z$352*Z$18,(Z$18-Z$78)*опер1!Z$352))</f>
        <v>0</v>
      </c>
      <c r="AA129" s="93">
        <f>IF(AA$1="",0,IF(AA$78&gt;опер1!AA$361*опер1!AA$352*AA$18,опер1!AA$361*опер1!AA$352*AA$18,(AA$18-AA$78)*опер1!AA$352))</f>
        <v>0</v>
      </c>
      <c r="AB129" s="3"/>
    </row>
    <row r="130" spans="1:28" s="5" customFormat="1" ht="3.9" customHeight="1" x14ac:dyDescent="0.25">
      <c r="A130" s="150">
        <f>1</f>
        <v>1</v>
      </c>
      <c r="B130" s="128"/>
      <c r="C130" s="3"/>
      <c r="D130" s="3"/>
      <c r="E130" s="3"/>
      <c r="F130" s="3"/>
      <c r="G130" s="3"/>
      <c r="H130" s="3"/>
      <c r="I130" s="28"/>
      <c r="J130" s="3"/>
      <c r="K130" s="28"/>
      <c r="L130" s="3"/>
      <c r="M130" s="55"/>
      <c r="N130" s="3"/>
      <c r="O130" s="3"/>
      <c r="P130" s="46"/>
      <c r="Q130" s="46"/>
      <c r="R130" s="46"/>
      <c r="S130" s="46"/>
      <c r="T130" s="46"/>
      <c r="U130" s="46"/>
      <c r="V130" s="46"/>
      <c r="W130" s="46"/>
      <c r="X130" s="46"/>
      <c r="Y130" s="46"/>
      <c r="Z130" s="46"/>
      <c r="AA130" s="46"/>
      <c r="AB130" s="3"/>
    </row>
    <row r="131" spans="1:28" s="5" customFormat="1" x14ac:dyDescent="0.25">
      <c r="A131" s="150">
        <f>1</f>
        <v>1</v>
      </c>
      <c r="B131" s="129" t="str">
        <f>структура!$J$14</f>
        <v>УСН(15%)</v>
      </c>
      <c r="C131" s="3"/>
      <c r="D131" s="3"/>
      <c r="E131" s="89" t="str">
        <f>KPI!$E$87</f>
        <v>налог УСН</v>
      </c>
      <c r="F131" s="89"/>
      <c r="G131" s="89" t="str">
        <f>IF($E131="","",INDEX(KPI!$G:$G,SUMIFS(KPI!$B:$B,KPI!$E:$E,$E131)))</f>
        <v>тыс.руб.</v>
      </c>
      <c r="H131" s="89"/>
      <c r="I131" s="90"/>
      <c r="J131" s="89"/>
      <c r="K131" s="90"/>
      <c r="L131" s="89"/>
      <c r="M131" s="92">
        <f>SUM($O131:$AB131)</f>
        <v>9307.6412296271737</v>
      </c>
      <c r="N131" s="3"/>
      <c r="O131" s="3"/>
      <c r="P131" s="93">
        <f>IF(P$1="",0,IF((P$20-P$30)*опер1!P$355&lt;опер1!P$364*P$20,опер1!P$364*P$20,(P$20-P$30)*опер1!P$355))</f>
        <v>938.67611318574973</v>
      </c>
      <c r="Q131" s="93">
        <f>IF(Q$1="",0,IF((Q$20-Q$30)*опер1!Q$355&lt;опер1!Q$364*Q$20,опер1!Q$364*Q$20,(Q$20-Q$30)*опер1!Q$355))</f>
        <v>1019.4409881857499</v>
      </c>
      <c r="R131" s="93">
        <f>IF(R$1="",0,IF((R$20-R$30)*опер1!R$355&lt;опер1!R$364*R$20,опер1!R$364*R$20,(R$20-R$30)*опер1!R$355))</f>
        <v>1166.4634474549807</v>
      </c>
      <c r="S131" s="93">
        <f>IF(S$1="",0,IF((S$20-S$30)*опер1!S$355&lt;опер1!S$364*S$20,опер1!S$364*S$20,(S$20-S$30)*опер1!S$355))</f>
        <v>1270.4376041472883</v>
      </c>
      <c r="T131" s="93">
        <f>IF(T$1="",0,IF((T$20-T$30)*опер1!T$355&lt;опер1!T$364*T$20,опер1!T$364*T$20,(T$20-T$30)*опер1!T$355))</f>
        <v>1394.4354416472891</v>
      </c>
      <c r="U131" s="93">
        <f>IF(U$1="",0,IF((U$20-U$30)*опер1!U$355&lt;опер1!U$364*U$20,опер1!U$364*U$20,(U$20-U$30)*опер1!U$355))</f>
        <v>1609.6013784165195</v>
      </c>
      <c r="V131" s="93">
        <f>IF(V$1="",0,IF((V$20-V$30)*опер1!V$355&lt;опер1!V$364*V$20,опер1!V$364*V$20,(V$20-V$30)*опер1!V$355))</f>
        <v>1908.5862565895959</v>
      </c>
      <c r="W131" s="93">
        <f>IF(W$1="",0,IF((W$20-W$30)*опер1!W$355&lt;опер1!W$364*W$20,опер1!W$364*W$20,(W$20-W$30)*опер1!W$355))</f>
        <v>0</v>
      </c>
      <c r="X131" s="93">
        <f>IF(X$1="",0,IF((X$20-X$30)*опер1!X$355&lt;опер1!X$364*X$20,опер1!X$364*X$20,(X$20-X$30)*опер1!X$355))</f>
        <v>0</v>
      </c>
      <c r="Y131" s="93">
        <f>IF(Y$1="",0,IF((Y$20-Y$30)*опер1!Y$355&lt;опер1!Y$364*Y$20,опер1!Y$364*Y$20,(Y$20-Y$30)*опер1!Y$355))</f>
        <v>0</v>
      </c>
      <c r="Z131" s="93">
        <f>IF(Z$1="",0,IF((Z$20-Z$30)*опер1!Z$355&lt;опер1!Z$364*Z$20,опер1!Z$364*Z$20,(Z$20-Z$30)*опер1!Z$355))</f>
        <v>0</v>
      </c>
      <c r="AA131" s="93">
        <f>IF(AA$1="",0,IF((AA$20-AA$30)*опер1!AA$355&lt;опер1!AA$364*AA$20,опер1!AA$364*AA$20,(AA$20-AA$30)*опер1!AA$355))</f>
        <v>0</v>
      </c>
      <c r="AB131" s="3"/>
    </row>
    <row r="132" spans="1:28" s="5" customFormat="1" ht="3.9" customHeight="1" x14ac:dyDescent="0.25">
      <c r="A132" s="150">
        <f>1</f>
        <v>1</v>
      </c>
      <c r="B132" s="128"/>
      <c r="C132" s="3"/>
      <c r="D132" s="3"/>
      <c r="E132" s="3"/>
      <c r="F132" s="3"/>
      <c r="G132" s="3"/>
      <c r="H132" s="3"/>
      <c r="I132" s="28"/>
      <c r="J132" s="3"/>
      <c r="K132" s="28"/>
      <c r="L132" s="3"/>
      <c r="M132" s="55"/>
      <c r="N132" s="3"/>
      <c r="O132" s="3"/>
      <c r="P132" s="46"/>
      <c r="Q132" s="46"/>
      <c r="R132" s="46"/>
      <c r="S132" s="46"/>
      <c r="T132" s="46"/>
      <c r="U132" s="46"/>
      <c r="V132" s="46"/>
      <c r="W132" s="46"/>
      <c r="X132" s="46"/>
      <c r="Y132" s="46"/>
      <c r="Z132" s="46"/>
      <c r="AA132" s="46"/>
      <c r="AB132" s="3"/>
    </row>
    <row r="133" spans="1:28" s="5" customFormat="1" x14ac:dyDescent="0.25">
      <c r="A133" s="150">
        <f>1</f>
        <v>1</v>
      </c>
      <c r="B133" s="129" t="str">
        <f>структура!$J$15</f>
        <v>УСН(6%)-ИП</v>
      </c>
      <c r="C133" s="3"/>
      <c r="D133" s="3"/>
      <c r="E133" s="89" t="str">
        <f>KPI!$E$87</f>
        <v>налог УСН</v>
      </c>
      <c r="F133" s="89"/>
      <c r="G133" s="89" t="str">
        <f>IF($E133="","",INDEX(KPI!$G:$G,SUMIFS(KPI!$B:$B,KPI!$E:$E,$E133)))</f>
        <v>тыс.руб.</v>
      </c>
      <c r="H133" s="89"/>
      <c r="I133" s="90"/>
      <c r="J133" s="89"/>
      <c r="K133" s="90"/>
      <c r="L133" s="89"/>
      <c r="M133" s="92">
        <f>SUM($O133:$AB133)</f>
        <v>1720.1396076923079</v>
      </c>
      <c r="N133" s="3"/>
      <c r="O133" s="3"/>
      <c r="P133" s="93">
        <f>IF(P$1="",0,IF(P$78&gt;опер1!P$361*опер1!P$358*P$18,опер1!P$361*опер1!P$358*P$18,(P$18-P$78)*опер1!P$358))</f>
        <v>0</v>
      </c>
      <c r="Q133" s="93">
        <f>IF(Q$1="",0,IF(Q$78&gt;опер1!Q$361*опер1!Q$358*Q$18,опер1!Q$361*опер1!Q$358*Q$18,(Q$18-Q$78)*опер1!Q$358))</f>
        <v>0</v>
      </c>
      <c r="R133" s="93">
        <f>IF(R$1="",0,IF(R$78&gt;опер1!R$361*опер1!R$358*R$18,опер1!R$361*опер1!R$358*R$18,(R$18-R$78)*опер1!R$358))</f>
        <v>0</v>
      </c>
      <c r="S133" s="93">
        <f>IF(S$1="",0,IF(S$78&gt;опер1!S$361*опер1!S$358*S$18,опер1!S$361*опер1!S$358*S$18,(S$18-S$78)*опер1!S$358))</f>
        <v>0</v>
      </c>
      <c r="T133" s="93">
        <f>IF(T$1="",0,IF(T$78&gt;опер1!T$361*опер1!T$358*T$18,опер1!T$361*опер1!T$358*T$18,(T$18-T$78)*опер1!T$358))</f>
        <v>519.34953461538464</v>
      </c>
      <c r="U133" s="93">
        <f>IF(U$1="",0,IF(U$78&gt;опер1!U$361*опер1!U$358*U$18,опер1!U$361*опер1!U$358*U$18,(U$18-U$78)*опер1!U$358))</f>
        <v>566.85828461538472</v>
      </c>
      <c r="V133" s="93">
        <f>IF(V$1="",0,IF(V$78&gt;опер1!V$361*опер1!V$358*V$18,опер1!V$361*опер1!V$358*V$18,(V$18-V$78)*опер1!V$358))</f>
        <v>633.9317884615383</v>
      </c>
      <c r="W133" s="93">
        <f>IF(W$1="",0,IF(W$78&gt;опер1!W$361*опер1!W$358*W$18,опер1!W$361*опер1!W$358*W$18,(W$18-W$78)*опер1!W$358))</f>
        <v>0</v>
      </c>
      <c r="X133" s="93">
        <f>IF(X$1="",0,IF(X$78&gt;опер1!X$361*опер1!X$358*X$18,опер1!X$361*опер1!X$358*X$18,(X$18-X$78)*опер1!X$358))</f>
        <v>0</v>
      </c>
      <c r="Y133" s="93">
        <f>IF(Y$1="",0,IF(Y$78&gt;опер1!Y$361*опер1!Y$358*Y$18,опер1!Y$361*опер1!Y$358*Y$18,(Y$18-Y$78)*опер1!Y$358))</f>
        <v>0</v>
      </c>
      <c r="Z133" s="93">
        <f>IF(Z$1="",0,IF(Z$78&gt;опер1!Z$361*опер1!Z$358*Z$18,опер1!Z$361*опер1!Z$358*Z$18,(Z$18-Z$78)*опер1!Z$358))</f>
        <v>0</v>
      </c>
      <c r="AA133" s="93">
        <f>IF(AA$1="",0,IF(AA$78&gt;опер1!AA$361*опер1!AA$358*AA$18,опер1!AA$361*опер1!AA$358*AA$18,(AA$18-AA$78)*опер1!AA$358))</f>
        <v>0</v>
      </c>
      <c r="AB133" s="3"/>
    </row>
    <row r="134" spans="1:28" ht="3.9" customHeight="1" x14ac:dyDescent="0.25">
      <c r="A134" s="149">
        <f>1</f>
        <v>1</v>
      </c>
      <c r="B134" s="131"/>
      <c r="C134" s="2"/>
      <c r="D134" s="2"/>
      <c r="E134" s="119"/>
      <c r="F134" s="2"/>
      <c r="G134" s="119"/>
      <c r="H134" s="2"/>
      <c r="I134" s="28"/>
      <c r="J134" s="2"/>
      <c r="K134" s="28"/>
      <c r="L134" s="2"/>
      <c r="M134" s="142"/>
      <c r="N134" s="2"/>
      <c r="O134" s="2"/>
      <c r="P134" s="36"/>
      <c r="Q134" s="36"/>
      <c r="R134" s="36"/>
      <c r="S134" s="36"/>
      <c r="T134" s="36"/>
      <c r="U134" s="36"/>
      <c r="V134" s="36"/>
      <c r="W134" s="36"/>
      <c r="X134" s="36"/>
      <c r="Y134" s="36"/>
      <c r="Z134" s="36"/>
      <c r="AA134" s="36"/>
      <c r="AB134" s="2"/>
    </row>
    <row r="135" spans="1:28" ht="8.1" customHeight="1" x14ac:dyDescent="0.25">
      <c r="A135" s="149">
        <f>1</f>
        <v>1</v>
      </c>
      <c r="B135" s="131"/>
      <c r="C135" s="2"/>
      <c r="D135" s="2"/>
      <c r="E135" s="2"/>
      <c r="F135" s="2"/>
      <c r="G135" s="2"/>
      <c r="H135" s="2"/>
      <c r="I135" s="28"/>
      <c r="J135" s="2"/>
      <c r="K135" s="28"/>
      <c r="L135" s="2"/>
      <c r="M135" s="52"/>
      <c r="N135" s="2"/>
      <c r="O135" s="2"/>
      <c r="P135" s="36"/>
      <c r="Q135" s="36"/>
      <c r="R135" s="36"/>
      <c r="S135" s="36"/>
      <c r="T135" s="36"/>
      <c r="U135" s="36"/>
      <c r="V135" s="36"/>
      <c r="W135" s="36"/>
      <c r="X135" s="36"/>
      <c r="Y135" s="36"/>
      <c r="Z135" s="36"/>
      <c r="AA135" s="36"/>
      <c r="AB135" s="2"/>
    </row>
    <row r="136" spans="1:28" ht="3.9" customHeight="1" x14ac:dyDescent="0.25">
      <c r="A136" s="149">
        <f>1</f>
        <v>1</v>
      </c>
      <c r="B136" s="131"/>
      <c r="C136" s="2"/>
      <c r="D136" s="2"/>
      <c r="E136" s="2"/>
      <c r="F136" s="2"/>
      <c r="G136" s="2"/>
      <c r="H136" s="2"/>
      <c r="I136" s="28"/>
      <c r="J136" s="2"/>
      <c r="K136" s="28"/>
      <c r="L136" s="2"/>
      <c r="M136" s="52"/>
      <c r="N136" s="2"/>
      <c r="O136" s="2"/>
      <c r="P136" s="36"/>
      <c r="Q136" s="36"/>
      <c r="R136" s="36"/>
      <c r="S136" s="36"/>
      <c r="T136" s="36"/>
      <c r="U136" s="36"/>
      <c r="V136" s="36"/>
      <c r="W136" s="36"/>
      <c r="X136" s="36"/>
      <c r="Y136" s="36"/>
      <c r="Z136" s="36"/>
      <c r="AA136" s="36"/>
      <c r="AB136" s="2"/>
    </row>
    <row r="137" spans="1:28" s="5" customFormat="1" x14ac:dyDescent="0.25">
      <c r="A137" s="150">
        <f>1</f>
        <v>1</v>
      </c>
      <c r="B137" s="129" t="str">
        <f>структура!$J$12</f>
        <v>ОСНО</v>
      </c>
      <c r="C137" s="3"/>
      <c r="D137" s="3"/>
      <c r="E137" s="89" t="str">
        <f>KPI!$E$88</f>
        <v>прибыль</v>
      </c>
      <c r="F137" s="89"/>
      <c r="G137" s="89" t="str">
        <f>IF($E137="","",INDEX(KPI!$G:$G,SUMIFS(KPI!$B:$B,KPI!$E:$E,$E137)))</f>
        <v>тыс.руб.</v>
      </c>
      <c r="H137" s="89"/>
      <c r="I137" s="90"/>
      <c r="J137" s="89"/>
      <c r="K137" s="90"/>
      <c r="L137" s="89"/>
      <c r="M137" s="92">
        <f>SUM($O137:$AB137)</f>
        <v>28102.633793898549</v>
      </c>
      <c r="N137" s="3"/>
      <c r="O137" s="3"/>
      <c r="P137" s="93">
        <f>IF(P$1="",0,P16-P26-P117-P127)</f>
        <v>2243.4185182858719</v>
      </c>
      <c r="Q137" s="93">
        <f t="shared" ref="Q137:AA137" si="2">IF(Q$1="",0,Q16-Q26-Q117-Q127)</f>
        <v>2602.3735182858736</v>
      </c>
      <c r="R137" s="93">
        <f t="shared" si="2"/>
        <v>3255.8066705935657</v>
      </c>
      <c r="S137" s="93">
        <f t="shared" si="2"/>
        <v>3717.9140336704886</v>
      </c>
      <c r="T137" s="93">
        <f t="shared" si="2"/>
        <v>4269.0155336704902</v>
      </c>
      <c r="U137" s="93">
        <f t="shared" si="2"/>
        <v>5342.6419193115162</v>
      </c>
      <c r="V137" s="93">
        <f t="shared" si="2"/>
        <v>6671.4636000807441</v>
      </c>
      <c r="W137" s="93">
        <f t="shared" si="2"/>
        <v>0</v>
      </c>
      <c r="X137" s="93">
        <f t="shared" si="2"/>
        <v>0</v>
      </c>
      <c r="Y137" s="93">
        <f t="shared" si="2"/>
        <v>0</v>
      </c>
      <c r="Z137" s="93">
        <f t="shared" si="2"/>
        <v>0</v>
      </c>
      <c r="AA137" s="93">
        <f t="shared" si="2"/>
        <v>0</v>
      </c>
      <c r="AB137" s="3"/>
    </row>
    <row r="138" spans="1:28" s="5" customFormat="1" ht="3.9" customHeight="1" x14ac:dyDescent="0.25">
      <c r="A138" s="150">
        <f>1</f>
        <v>1</v>
      </c>
      <c r="B138" s="128"/>
      <c r="C138" s="3"/>
      <c r="D138" s="3"/>
      <c r="E138" s="3"/>
      <c r="F138" s="3"/>
      <c r="G138" s="3"/>
      <c r="H138" s="3"/>
      <c r="I138" s="28"/>
      <c r="J138" s="3"/>
      <c r="K138" s="28"/>
      <c r="L138" s="3"/>
      <c r="M138" s="55"/>
      <c r="N138" s="3"/>
      <c r="O138" s="3"/>
      <c r="P138" s="46"/>
      <c r="Q138" s="46"/>
      <c r="R138" s="46"/>
      <c r="S138" s="46"/>
      <c r="T138" s="46"/>
      <c r="U138" s="46"/>
      <c r="V138" s="46"/>
      <c r="W138" s="46"/>
      <c r="X138" s="46"/>
      <c r="Y138" s="46"/>
      <c r="Z138" s="46"/>
      <c r="AA138" s="46"/>
      <c r="AB138" s="3"/>
    </row>
    <row r="139" spans="1:28" s="5" customFormat="1" x14ac:dyDescent="0.25">
      <c r="A139" s="150">
        <f>1</f>
        <v>1</v>
      </c>
      <c r="B139" s="129" t="str">
        <f>структура!$J$13</f>
        <v>УСН(6%)</v>
      </c>
      <c r="C139" s="3"/>
      <c r="D139" s="3"/>
      <c r="E139" s="89" t="str">
        <f>E137</f>
        <v>прибыль</v>
      </c>
      <c r="F139" s="89"/>
      <c r="G139" s="89" t="str">
        <f>IF($E139="","",INDEX(KPI!$G:$G,SUMIFS(KPI!$B:$B,KPI!$E:$E,$E139)))</f>
        <v>тыс.руб.</v>
      </c>
      <c r="H139" s="89"/>
      <c r="I139" s="90"/>
      <c r="J139" s="89"/>
      <c r="K139" s="90"/>
      <c r="L139" s="89"/>
      <c r="M139" s="92">
        <f>SUM($O139:$AB139)</f>
        <v>42649.513190847822</v>
      </c>
      <c r="N139" s="3"/>
      <c r="O139" s="3"/>
      <c r="P139" s="93">
        <f>IF(P$1="",0,P18-P28-P119-P129)</f>
        <v>3518.8837428134229</v>
      </c>
      <c r="Q139" s="93">
        <f t="shared" ref="Q139:AA139" si="3">IF(Q$1="",0,Q18-Q28-Q119-Q129)</f>
        <v>4038.3127428134244</v>
      </c>
      <c r="R139" s="93">
        <f t="shared" si="3"/>
        <v>4989.395967428808</v>
      </c>
      <c r="S139" s="93">
        <f t="shared" si="3"/>
        <v>5664.1147658903465</v>
      </c>
      <c r="T139" s="93">
        <f t="shared" si="3"/>
        <v>6462.2617658903509</v>
      </c>
      <c r="U139" s="93">
        <f t="shared" si="3"/>
        <v>8025.1925943518881</v>
      </c>
      <c r="V139" s="93">
        <f t="shared" si="3"/>
        <v>9951.3516116595783</v>
      </c>
      <c r="W139" s="93">
        <f t="shared" si="3"/>
        <v>0</v>
      </c>
      <c r="X139" s="93">
        <f t="shared" si="3"/>
        <v>0</v>
      </c>
      <c r="Y139" s="93">
        <f t="shared" si="3"/>
        <v>0</v>
      </c>
      <c r="Z139" s="93">
        <f t="shared" si="3"/>
        <v>0</v>
      </c>
      <c r="AA139" s="93">
        <f t="shared" si="3"/>
        <v>0</v>
      </c>
      <c r="AB139" s="3"/>
    </row>
    <row r="140" spans="1:28" s="5" customFormat="1" ht="3.9" customHeight="1" x14ac:dyDescent="0.25">
      <c r="A140" s="150">
        <f>1</f>
        <v>1</v>
      </c>
      <c r="B140" s="128"/>
      <c r="C140" s="3"/>
      <c r="D140" s="3"/>
      <c r="E140" s="3"/>
      <c r="F140" s="3"/>
      <c r="G140" s="3"/>
      <c r="H140" s="3"/>
      <c r="I140" s="28"/>
      <c r="J140" s="3"/>
      <c r="K140" s="28"/>
      <c r="L140" s="3"/>
      <c r="M140" s="55"/>
      <c r="N140" s="3"/>
      <c r="O140" s="3"/>
      <c r="P140" s="46"/>
      <c r="Q140" s="46"/>
      <c r="R140" s="46"/>
      <c r="S140" s="46"/>
      <c r="T140" s="46"/>
      <c r="U140" s="46"/>
      <c r="V140" s="46"/>
      <c r="W140" s="46"/>
      <c r="X140" s="46"/>
      <c r="Y140" s="46"/>
      <c r="Z140" s="46"/>
      <c r="AA140" s="46"/>
      <c r="AB140" s="3"/>
    </row>
    <row r="141" spans="1:28" s="5" customFormat="1" x14ac:dyDescent="0.25">
      <c r="A141" s="150">
        <f>1</f>
        <v>1</v>
      </c>
      <c r="B141" s="129" t="str">
        <f>структура!$J$14</f>
        <v>УСН(15%)</v>
      </c>
      <c r="C141" s="3"/>
      <c r="D141" s="3"/>
      <c r="E141" s="89" t="str">
        <f>E137</f>
        <v>прибыль</v>
      </c>
      <c r="F141" s="89"/>
      <c r="G141" s="89" t="str">
        <f>IF($E141="","",INDEX(KPI!$G:$G,SUMIFS(KPI!$B:$B,KPI!$E:$E,$E141)))</f>
        <v>тыс.руб.</v>
      </c>
      <c r="H141" s="89"/>
      <c r="I141" s="90"/>
      <c r="J141" s="89"/>
      <c r="K141" s="90"/>
      <c r="L141" s="89"/>
      <c r="M141" s="92">
        <f>SUM($O141:$AB141)</f>
        <v>36892.925461220642</v>
      </c>
      <c r="N141" s="3"/>
      <c r="O141" s="3"/>
      <c r="P141" s="93">
        <f>IF(P$1="",0,P20-P30-P121-P131)</f>
        <v>3004.5396642430578</v>
      </c>
      <c r="Q141" s="93">
        <f t="shared" ref="Q141:AA141" si="4">IF(Q$1="",0,Q20-Q30-Q121-Q131)</f>
        <v>3462.2072892430588</v>
      </c>
      <c r="R141" s="93">
        <f t="shared" si="4"/>
        <v>4295.3345584353665</v>
      </c>
      <c r="S141" s="93">
        <f t="shared" si="4"/>
        <v>4884.5214463584434</v>
      </c>
      <c r="T141" s="93">
        <f t="shared" si="4"/>
        <v>5587.1758588584471</v>
      </c>
      <c r="U141" s="93">
        <f t="shared" si="4"/>
        <v>6982.4495005507533</v>
      </c>
      <c r="V141" s="93">
        <f t="shared" si="4"/>
        <v>8676.6971435315209</v>
      </c>
      <c r="W141" s="93">
        <f t="shared" si="4"/>
        <v>0</v>
      </c>
      <c r="X141" s="93">
        <f t="shared" si="4"/>
        <v>0</v>
      </c>
      <c r="Y141" s="93">
        <f t="shared" si="4"/>
        <v>0</v>
      </c>
      <c r="Z141" s="93">
        <f t="shared" si="4"/>
        <v>0</v>
      </c>
      <c r="AA141" s="93">
        <f t="shared" si="4"/>
        <v>0</v>
      </c>
      <c r="AB141" s="3"/>
    </row>
    <row r="142" spans="1:28" s="5" customFormat="1" ht="3.9" customHeight="1" x14ac:dyDescent="0.25">
      <c r="A142" s="150">
        <f>1</f>
        <v>1</v>
      </c>
      <c r="B142" s="128"/>
      <c r="C142" s="3"/>
      <c r="D142" s="3"/>
      <c r="E142" s="3"/>
      <c r="F142" s="3"/>
      <c r="G142" s="3"/>
      <c r="H142" s="3"/>
      <c r="I142" s="28"/>
      <c r="J142" s="3"/>
      <c r="K142" s="28"/>
      <c r="L142" s="3"/>
      <c r="M142" s="55"/>
      <c r="N142" s="3"/>
      <c r="O142" s="3"/>
      <c r="P142" s="46"/>
      <c r="Q142" s="46"/>
      <c r="R142" s="46"/>
      <c r="S142" s="46"/>
      <c r="T142" s="46"/>
      <c r="U142" s="46"/>
      <c r="V142" s="46"/>
      <c r="W142" s="46"/>
      <c r="X142" s="46"/>
      <c r="Y142" s="46"/>
      <c r="Z142" s="46"/>
      <c r="AA142" s="46"/>
      <c r="AB142" s="3"/>
    </row>
    <row r="143" spans="1:28" s="5" customFormat="1" x14ac:dyDescent="0.25">
      <c r="A143" s="150">
        <f>1</f>
        <v>1</v>
      </c>
      <c r="B143" s="129" t="str">
        <f>структура!$J$15</f>
        <v>УСН(6%)-ИП</v>
      </c>
      <c r="C143" s="3"/>
      <c r="D143" s="3"/>
      <c r="E143" s="89" t="str">
        <f>E137</f>
        <v>прибыль</v>
      </c>
      <c r="F143" s="89"/>
      <c r="G143" s="89" t="str">
        <f>IF($E143="","",INDEX(KPI!$G:$G,SUMIFS(KPI!$B:$B,KPI!$E:$E,$E143)))</f>
        <v>тыс.руб.</v>
      </c>
      <c r="H143" s="89"/>
      <c r="I143" s="90"/>
      <c r="J143" s="89"/>
      <c r="K143" s="90"/>
      <c r="L143" s="89"/>
      <c r="M143" s="92">
        <f>SUM($O143:$AB143)</f>
        <v>44480.427083155511</v>
      </c>
      <c r="N143" s="3"/>
      <c r="O143" s="3"/>
      <c r="P143" s="93">
        <f>IF(P$1="",0,P22-P32-P123-P133)</f>
        <v>3943.2157774288075</v>
      </c>
      <c r="Q143" s="93">
        <f t="shared" ref="Q143:AA143" si="5">IF(Q$1="",0,Q22-Q32-Q123-Q133)</f>
        <v>4481.6482774288088</v>
      </c>
      <c r="R143" s="93">
        <f t="shared" si="5"/>
        <v>5461.7980058903468</v>
      </c>
      <c r="S143" s="93">
        <f t="shared" si="5"/>
        <v>6154.9590505057313</v>
      </c>
      <c r="T143" s="93">
        <f t="shared" si="5"/>
        <v>6462.2617658903509</v>
      </c>
      <c r="U143" s="93">
        <f t="shared" si="5"/>
        <v>8025.1925943518881</v>
      </c>
      <c r="V143" s="93">
        <f t="shared" si="5"/>
        <v>9951.3516116595783</v>
      </c>
      <c r="W143" s="93">
        <f t="shared" si="5"/>
        <v>0</v>
      </c>
      <c r="X143" s="93">
        <f t="shared" si="5"/>
        <v>0</v>
      </c>
      <c r="Y143" s="93">
        <f t="shared" si="5"/>
        <v>0</v>
      </c>
      <c r="Z143" s="93">
        <f t="shared" si="5"/>
        <v>0</v>
      </c>
      <c r="AA143" s="93">
        <f t="shared" si="5"/>
        <v>0</v>
      </c>
      <c r="AB143" s="3"/>
    </row>
    <row r="144" spans="1:28" ht="3.9" customHeight="1" x14ac:dyDescent="0.25">
      <c r="A144" s="149">
        <f>1</f>
        <v>1</v>
      </c>
      <c r="B144" s="131"/>
      <c r="C144" s="2"/>
      <c r="D144" s="2"/>
      <c r="E144" s="117"/>
      <c r="F144" s="2"/>
      <c r="G144" s="117"/>
      <c r="H144" s="2"/>
      <c r="I144" s="28"/>
      <c r="J144" s="2"/>
      <c r="K144" s="28"/>
      <c r="L144" s="2"/>
      <c r="M144" s="138"/>
      <c r="N144" s="2"/>
      <c r="O144" s="2"/>
      <c r="P144" s="36"/>
      <c r="Q144" s="36"/>
      <c r="R144" s="36"/>
      <c r="S144" s="36"/>
      <c r="T144" s="36"/>
      <c r="U144" s="36"/>
      <c r="V144" s="36"/>
      <c r="W144" s="36"/>
      <c r="X144" s="36"/>
      <c r="Y144" s="36"/>
      <c r="Z144" s="36"/>
      <c r="AA144" s="36"/>
      <c r="AB144" s="2"/>
    </row>
    <row r="145" spans="1:28" ht="8.1" customHeight="1" x14ac:dyDescent="0.25">
      <c r="A145" s="149">
        <f>1</f>
        <v>1</v>
      </c>
      <c r="B145" s="131"/>
      <c r="C145" s="2"/>
      <c r="D145" s="2"/>
      <c r="E145" s="2"/>
      <c r="F145" s="2"/>
      <c r="G145" s="2"/>
      <c r="H145" s="2"/>
      <c r="I145" s="28"/>
      <c r="J145" s="2"/>
      <c r="K145" s="28"/>
      <c r="L145" s="2"/>
      <c r="M145" s="52"/>
      <c r="N145" s="2"/>
      <c r="O145" s="2"/>
      <c r="P145" s="36"/>
      <c r="Q145" s="36"/>
      <c r="R145" s="36"/>
      <c r="S145" s="36"/>
      <c r="T145" s="36"/>
      <c r="U145" s="36"/>
      <c r="V145" s="36"/>
      <c r="W145" s="36"/>
      <c r="X145" s="36"/>
      <c r="Y145" s="36"/>
      <c r="Z145" s="36"/>
      <c r="AA145" s="36"/>
      <c r="AB145" s="2"/>
    </row>
    <row r="146" spans="1:28" s="5" customFormat="1" x14ac:dyDescent="0.25">
      <c r="A146" s="150">
        <f>1</f>
        <v>1</v>
      </c>
      <c r="B146" s="131"/>
      <c r="C146" s="3"/>
      <c r="D146" s="3"/>
      <c r="E146" s="3"/>
      <c r="F146" s="3"/>
      <c r="G146" s="3"/>
      <c r="H146" s="3"/>
      <c r="I146" s="28"/>
      <c r="J146" s="3"/>
      <c r="K146" s="28"/>
      <c r="L146" s="3"/>
      <c r="M146" s="55"/>
      <c r="N146" s="3"/>
      <c r="O146" s="3"/>
      <c r="P146" s="46"/>
      <c r="Q146" s="46"/>
      <c r="R146" s="46"/>
      <c r="S146" s="46"/>
      <c r="T146" s="46"/>
      <c r="U146" s="46"/>
      <c r="V146" s="46"/>
      <c r="W146" s="46"/>
      <c r="X146" s="46"/>
      <c r="Y146" s="46"/>
      <c r="Z146" s="46"/>
      <c r="AA146" s="46"/>
      <c r="AB146" s="3"/>
    </row>
    <row r="147" spans="1:28" ht="3.9" customHeight="1" x14ac:dyDescent="0.25">
      <c r="A147" s="149">
        <f>1</f>
        <v>1</v>
      </c>
      <c r="B147" s="131"/>
      <c r="C147" s="2"/>
      <c r="D147" s="2"/>
      <c r="E147" s="2"/>
      <c r="F147" s="2"/>
      <c r="G147" s="2"/>
      <c r="H147" s="2"/>
      <c r="I147" s="28"/>
      <c r="J147" s="2"/>
      <c r="K147" s="28"/>
      <c r="L147" s="2"/>
      <c r="M147" s="52"/>
      <c r="N147" s="2"/>
      <c r="O147" s="2"/>
      <c r="P147" s="36"/>
      <c r="Q147" s="36"/>
      <c r="R147" s="36"/>
      <c r="S147" s="36"/>
      <c r="T147" s="36"/>
      <c r="U147" s="36"/>
      <c r="V147" s="36"/>
      <c r="W147" s="36"/>
      <c r="X147" s="36"/>
      <c r="Y147" s="36"/>
      <c r="Z147" s="36"/>
      <c r="AA147" s="36"/>
      <c r="AB147" s="2"/>
    </row>
    <row r="148" spans="1:28" s="5" customFormat="1" x14ac:dyDescent="0.25">
      <c r="A148" s="150">
        <f>1</f>
        <v>1</v>
      </c>
      <c r="B148" s="131"/>
      <c r="C148" s="3"/>
      <c r="D148" s="3"/>
      <c r="E148" s="181" t="s">
        <v>275</v>
      </c>
      <c r="F148" s="3"/>
      <c r="G148" s="3"/>
      <c r="H148" s="3"/>
      <c r="I148" s="28"/>
      <c r="J148" s="3"/>
      <c r="K148" s="28"/>
      <c r="L148" s="3"/>
      <c r="M148" s="55"/>
      <c r="N148" s="3"/>
      <c r="O148" s="3"/>
      <c r="P148" s="46"/>
      <c r="Q148" s="46"/>
      <c r="R148" s="46"/>
      <c r="S148" s="46"/>
      <c r="T148" s="46"/>
      <c r="U148" s="46"/>
      <c r="V148" s="46"/>
      <c r="W148" s="46"/>
      <c r="X148" s="46"/>
      <c r="Y148" s="46"/>
      <c r="Z148" s="46"/>
      <c r="AA148" s="46"/>
      <c r="AB148" s="3"/>
    </row>
    <row r="149" spans="1:28" ht="3.9" customHeight="1" x14ac:dyDescent="0.25">
      <c r="A149" s="149">
        <f>1</f>
        <v>1</v>
      </c>
      <c r="B149" s="131"/>
      <c r="C149" s="2"/>
      <c r="D149" s="2"/>
      <c r="E149" s="2"/>
      <c r="F149" s="2"/>
      <c r="G149" s="2"/>
      <c r="H149" s="2"/>
      <c r="I149" s="28"/>
      <c r="J149" s="2"/>
      <c r="K149" s="28"/>
      <c r="L149" s="2"/>
      <c r="M149" s="52"/>
      <c r="N149" s="2"/>
      <c r="O149" s="2"/>
      <c r="P149" s="36"/>
      <c r="Q149" s="36"/>
      <c r="R149" s="36"/>
      <c r="S149" s="36"/>
      <c r="T149" s="36"/>
      <c r="U149" s="36"/>
      <c r="V149" s="36"/>
      <c r="W149" s="36"/>
      <c r="X149" s="36"/>
      <c r="Y149" s="36"/>
      <c r="Z149" s="36"/>
      <c r="AA149" s="36"/>
      <c r="AB149" s="2"/>
    </row>
    <row r="150" spans="1:28" ht="8.1" customHeight="1" x14ac:dyDescent="0.25">
      <c r="A150" s="149">
        <f>1</f>
        <v>1</v>
      </c>
      <c r="B150" s="131"/>
      <c r="C150" s="2"/>
      <c r="D150" s="2"/>
      <c r="E150" s="2"/>
      <c r="F150" s="2"/>
      <c r="G150" s="2"/>
      <c r="H150" s="2"/>
      <c r="I150" s="28"/>
      <c r="J150" s="2"/>
      <c r="K150" s="28"/>
      <c r="L150" s="2"/>
      <c r="M150" s="52"/>
      <c r="N150" s="2"/>
      <c r="O150" s="2"/>
      <c r="P150" s="36"/>
      <c r="Q150" s="36"/>
      <c r="R150" s="36"/>
      <c r="S150" s="36"/>
      <c r="T150" s="36"/>
      <c r="U150" s="36"/>
      <c r="V150" s="36"/>
      <c r="W150" s="36"/>
      <c r="X150" s="36"/>
      <c r="Y150" s="36"/>
      <c r="Z150" s="36"/>
      <c r="AA150" s="36"/>
      <c r="AB150" s="2"/>
    </row>
    <row r="151" spans="1:28" ht="3.9" customHeight="1" x14ac:dyDescent="0.25">
      <c r="A151" s="149">
        <f>1</f>
        <v>1</v>
      </c>
      <c r="B151" s="131"/>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2"/>
    </row>
    <row r="152" spans="1:28" s="157" customFormat="1" x14ac:dyDescent="0.25">
      <c r="A152" s="150">
        <f>1</f>
        <v>1</v>
      </c>
      <c r="B152" s="156" t="str">
        <f>структура!$J$12</f>
        <v>ОСНО</v>
      </c>
      <c r="C152" s="155"/>
      <c r="D152" s="155"/>
      <c r="E152" s="220" t="str">
        <f>KPI!$E$97</f>
        <v>Возмещение НДС по кап/затратам</v>
      </c>
      <c r="F152" s="220"/>
      <c r="G152" s="220" t="str">
        <f>IF($E152="","",INDEX(KPI!$G:$G,SUMIFS(KPI!$B:$B,KPI!$E:$E,$E152)))</f>
        <v>тыс.руб.</v>
      </c>
      <c r="H152" s="220"/>
      <c r="I152" s="221"/>
      <c r="J152" s="220"/>
      <c r="K152" s="221"/>
      <c r="L152" s="220"/>
      <c r="M152" s="222">
        <f>SUM($O152:$AB152)</f>
        <v>2641.7291400000004</v>
      </c>
      <c r="N152" s="155"/>
      <c r="O152" s="155"/>
      <c r="P152" s="223">
        <f>IF(P$1="",0,IF(1+опер1!$P$346=0,0,опер1!$P$346*(капитал!$M$102+капитал!$M$109)/(1+опер1!$P$346)))</f>
        <v>2641.7291400000004</v>
      </c>
      <c r="Q152" s="223"/>
      <c r="R152" s="223"/>
      <c r="S152" s="223"/>
      <c r="T152" s="223"/>
      <c r="U152" s="223"/>
      <c r="V152" s="223"/>
      <c r="W152" s="223"/>
      <c r="X152" s="223"/>
      <c r="Y152" s="223"/>
      <c r="Z152" s="223"/>
      <c r="AA152" s="223"/>
      <c r="AB152" s="155"/>
    </row>
    <row r="153" spans="1:28" ht="3.9" customHeight="1" x14ac:dyDescent="0.25">
      <c r="A153" s="149">
        <f>1</f>
        <v>1</v>
      </c>
      <c r="B153" s="131"/>
      <c r="C153" s="2"/>
      <c r="D153" s="2"/>
      <c r="E153" s="117"/>
      <c r="F153" s="2"/>
      <c r="G153" s="117"/>
      <c r="H153" s="2"/>
      <c r="I153" s="28"/>
      <c r="J153" s="2"/>
      <c r="K153" s="28"/>
      <c r="L153" s="2"/>
      <c r="M153" s="138"/>
      <c r="N153" s="2"/>
      <c r="O153" s="2"/>
      <c r="P153" s="36"/>
      <c r="Q153" s="36"/>
      <c r="R153" s="36"/>
      <c r="S153" s="36"/>
      <c r="T153" s="36"/>
      <c r="U153" s="36"/>
      <c r="V153" s="36"/>
      <c r="W153" s="36"/>
      <c r="X153" s="36"/>
      <c r="Y153" s="36"/>
      <c r="Z153" s="36"/>
      <c r="AA153" s="36"/>
      <c r="AB153" s="2"/>
    </row>
    <row r="154" spans="1:28" ht="3.9" customHeight="1" x14ac:dyDescent="0.25">
      <c r="A154" s="149">
        <f>1</f>
        <v>1</v>
      </c>
      <c r="B154" s="131"/>
      <c r="C154" s="2"/>
      <c r="D154" s="2"/>
      <c r="E154" s="2"/>
      <c r="F154" s="2"/>
      <c r="G154" s="2"/>
      <c r="H154" s="2"/>
      <c r="I154" s="28"/>
      <c r="J154" s="2"/>
      <c r="K154" s="28"/>
      <c r="L154" s="2"/>
      <c r="M154" s="52"/>
      <c r="N154" s="2"/>
      <c r="O154" s="2"/>
      <c r="P154" s="36"/>
      <c r="Q154" s="36"/>
      <c r="R154" s="36"/>
      <c r="S154" s="36"/>
      <c r="T154" s="36"/>
      <c r="U154" s="36"/>
      <c r="V154" s="36"/>
      <c r="W154" s="36"/>
      <c r="X154" s="36"/>
      <c r="Y154" s="36"/>
      <c r="Z154" s="36"/>
      <c r="AA154" s="36"/>
      <c r="AB154" s="2"/>
    </row>
    <row r="155" spans="1:28" s="5" customFormat="1" x14ac:dyDescent="0.25">
      <c r="A155" s="150">
        <f>1</f>
        <v>1</v>
      </c>
      <c r="B155" s="129" t="str">
        <f>структура!$J$12</f>
        <v>ОСНО</v>
      </c>
      <c r="C155" s="3"/>
      <c r="D155" s="3"/>
      <c r="E155" s="147" t="str">
        <f>KPI!$E$89</f>
        <v>приток денежных средств</v>
      </c>
      <c r="F155" s="147"/>
      <c r="G155" s="147" t="str">
        <f>IF($E155="","",INDEX(KPI!$G:$G,SUMIFS(KPI!$B:$B,KPI!$E:$E,$E155)))</f>
        <v>тыс.руб.</v>
      </c>
      <c r="H155" s="147"/>
      <c r="I155" s="170"/>
      <c r="J155" s="147"/>
      <c r="K155" s="170"/>
      <c r="L155" s="147"/>
      <c r="M155" s="171">
        <f>SUM($O155:$AB155)</f>
        <v>121010.17913999999</v>
      </c>
      <c r="N155" s="3"/>
      <c r="O155" s="3"/>
      <c r="P155" s="172">
        <f>IF(P$1="",0,P$16*(1+опер1!P$346)+P152)</f>
        <v>16786.130293846152</v>
      </c>
      <c r="Q155" s="172">
        <f>IF(Q$1="",0,Q$16*(1+опер1!Q$346))</f>
        <v>14777.851153846153</v>
      </c>
      <c r="R155" s="172">
        <f>IF(R$1="",0,R$16*(1+опер1!R$346))</f>
        <v>15746.734615384616</v>
      </c>
      <c r="S155" s="172">
        <f>IF(S$1="",0,S$16*(1+опер1!S$346))</f>
        <v>16361.476153846153</v>
      </c>
      <c r="T155" s="172">
        <f>IF(T$1="",0,T$16*(1+опер1!T$346))</f>
        <v>17311.651153846156</v>
      </c>
      <c r="U155" s="172">
        <f>IF(U$1="",0,U$16*(1+опер1!U$346))</f>
        <v>18895.276153846156</v>
      </c>
      <c r="V155" s="172">
        <f>IF(V$1="",0,V$16*(1+опер1!V$346))</f>
        <v>21131.059615384613</v>
      </c>
      <c r="W155" s="172">
        <f>IF(W$1="",0,W$16*(1+опер1!W$346))</f>
        <v>0</v>
      </c>
      <c r="X155" s="172">
        <f>IF(X$1="",0,X$16*(1+опер1!X$346))</f>
        <v>0</v>
      </c>
      <c r="Y155" s="172">
        <f>IF(Y$1="",0,Y$16*(1+опер1!Y$346))</f>
        <v>0</v>
      </c>
      <c r="Z155" s="172">
        <f>IF(Z$1="",0,Z$16*(1+опер1!Z$346))</f>
        <v>0</v>
      </c>
      <c r="AA155" s="172">
        <f>IF(AA$1="",0,AA$16*(1+опер1!AA$346))</f>
        <v>0</v>
      </c>
      <c r="AB155" s="3"/>
    </row>
    <row r="156" spans="1:28" s="5" customFormat="1" ht="3.9" customHeight="1" x14ac:dyDescent="0.25">
      <c r="A156" s="150">
        <f>1</f>
        <v>1</v>
      </c>
      <c r="B156" s="128"/>
      <c r="C156" s="3"/>
      <c r="D156" s="3"/>
      <c r="E156" s="3"/>
      <c r="F156" s="3"/>
      <c r="G156" s="3"/>
      <c r="H156" s="3"/>
      <c r="I156" s="28"/>
      <c r="J156" s="3"/>
      <c r="K156" s="28"/>
      <c r="L156" s="3"/>
      <c r="M156" s="55"/>
      <c r="N156" s="3"/>
      <c r="O156" s="3"/>
      <c r="P156" s="46"/>
      <c r="Q156" s="46"/>
      <c r="R156" s="46"/>
      <c r="S156" s="46"/>
      <c r="T156" s="46"/>
      <c r="U156" s="46"/>
      <c r="V156" s="46"/>
      <c r="W156" s="46"/>
      <c r="X156" s="46"/>
      <c r="Y156" s="46"/>
      <c r="Z156" s="46"/>
      <c r="AA156" s="46"/>
      <c r="AB156" s="3"/>
    </row>
    <row r="157" spans="1:28" s="5" customFormat="1" x14ac:dyDescent="0.25">
      <c r="A157" s="150">
        <f>1</f>
        <v>1</v>
      </c>
      <c r="B157" s="129" t="str">
        <f>структура!$J$13</f>
        <v>УСН(6%)</v>
      </c>
      <c r="C157" s="3"/>
      <c r="D157" s="3"/>
      <c r="E157" s="147" t="str">
        <f>E155</f>
        <v>приток денежных средств</v>
      </c>
      <c r="F157" s="147"/>
      <c r="G157" s="147" t="str">
        <f>IF($E157="","",INDEX(KPI!$G:$G,SUMIFS(KPI!$B:$B,KPI!$E:$E,$E157)))</f>
        <v>тыс.руб.</v>
      </c>
      <c r="H157" s="147"/>
      <c r="I157" s="170"/>
      <c r="J157" s="147"/>
      <c r="K157" s="170"/>
      <c r="L157" s="147"/>
      <c r="M157" s="171">
        <f>SUM($O157:$AB157)</f>
        <v>118368.45000000001</v>
      </c>
      <c r="N157" s="3"/>
      <c r="O157" s="3"/>
      <c r="P157" s="172">
        <f>IF(P$1="",0,P18)</f>
        <v>14144.401153846153</v>
      </c>
      <c r="Q157" s="172">
        <f t="shared" ref="Q157:AA157" si="6">IF(Q$1="",0,Q18)</f>
        <v>14777.851153846153</v>
      </c>
      <c r="R157" s="172">
        <f t="shared" si="6"/>
        <v>15746.734615384616</v>
      </c>
      <c r="S157" s="172">
        <f t="shared" si="6"/>
        <v>16361.476153846153</v>
      </c>
      <c r="T157" s="172">
        <f t="shared" si="6"/>
        <v>17311.651153846156</v>
      </c>
      <c r="U157" s="172">
        <f t="shared" si="6"/>
        <v>18895.276153846156</v>
      </c>
      <c r="V157" s="172">
        <f t="shared" si="6"/>
        <v>21131.059615384613</v>
      </c>
      <c r="W157" s="172">
        <f t="shared" si="6"/>
        <v>0</v>
      </c>
      <c r="X157" s="172">
        <f t="shared" si="6"/>
        <v>0</v>
      </c>
      <c r="Y157" s="172">
        <f t="shared" si="6"/>
        <v>0</v>
      </c>
      <c r="Z157" s="172">
        <f t="shared" si="6"/>
        <v>0</v>
      </c>
      <c r="AA157" s="172">
        <f t="shared" si="6"/>
        <v>0</v>
      </c>
      <c r="AB157" s="3"/>
    </row>
    <row r="158" spans="1:28" s="5" customFormat="1" ht="3.9" customHeight="1" x14ac:dyDescent="0.25">
      <c r="A158" s="150">
        <f>1</f>
        <v>1</v>
      </c>
      <c r="B158" s="128"/>
      <c r="C158" s="3"/>
      <c r="D158" s="3"/>
      <c r="E158" s="3"/>
      <c r="F158" s="3"/>
      <c r="G158" s="3"/>
      <c r="H158" s="3"/>
      <c r="I158" s="28"/>
      <c r="J158" s="3"/>
      <c r="K158" s="28"/>
      <c r="L158" s="3"/>
      <c r="M158" s="55"/>
      <c r="N158" s="3"/>
      <c r="O158" s="3"/>
      <c r="P158" s="46"/>
      <c r="Q158" s="46"/>
      <c r="R158" s="46"/>
      <c r="S158" s="46"/>
      <c r="T158" s="46"/>
      <c r="U158" s="46"/>
      <c r="V158" s="46"/>
      <c r="W158" s="46"/>
      <c r="X158" s="46"/>
      <c r="Y158" s="46"/>
      <c r="Z158" s="46"/>
      <c r="AA158" s="46"/>
      <c r="AB158" s="3"/>
    </row>
    <row r="159" spans="1:28" s="5" customFormat="1" x14ac:dyDescent="0.25">
      <c r="A159" s="150">
        <f>1</f>
        <v>1</v>
      </c>
      <c r="B159" s="129" t="str">
        <f>структура!$J$14</f>
        <v>УСН(15%)</v>
      </c>
      <c r="C159" s="3"/>
      <c r="D159" s="3"/>
      <c r="E159" s="147" t="str">
        <f>E155</f>
        <v>приток денежных средств</v>
      </c>
      <c r="F159" s="147"/>
      <c r="G159" s="147" t="str">
        <f>IF($E159="","",INDEX(KPI!$G:$G,SUMIFS(KPI!$B:$B,KPI!$E:$E,$E159)))</f>
        <v>тыс.руб.</v>
      </c>
      <c r="H159" s="147"/>
      <c r="I159" s="170"/>
      <c r="J159" s="147"/>
      <c r="K159" s="170"/>
      <c r="L159" s="147"/>
      <c r="M159" s="171">
        <f>SUM($O159:$AB159)</f>
        <v>118368.45000000001</v>
      </c>
      <c r="N159" s="3"/>
      <c r="O159" s="3"/>
      <c r="P159" s="172">
        <f>IF(P$1="",0,P20)</f>
        <v>14144.401153846153</v>
      </c>
      <c r="Q159" s="172">
        <f t="shared" ref="Q159:AA159" si="7">IF(Q$1="",0,Q20)</f>
        <v>14777.851153846153</v>
      </c>
      <c r="R159" s="172">
        <f t="shared" si="7"/>
        <v>15746.734615384616</v>
      </c>
      <c r="S159" s="172">
        <f t="shared" si="7"/>
        <v>16361.476153846153</v>
      </c>
      <c r="T159" s="172">
        <f t="shared" si="7"/>
        <v>17311.651153846156</v>
      </c>
      <c r="U159" s="172">
        <f t="shared" si="7"/>
        <v>18895.276153846156</v>
      </c>
      <c r="V159" s="172">
        <f t="shared" si="7"/>
        <v>21131.059615384613</v>
      </c>
      <c r="W159" s="172">
        <f t="shared" si="7"/>
        <v>0</v>
      </c>
      <c r="X159" s="172">
        <f t="shared" si="7"/>
        <v>0</v>
      </c>
      <c r="Y159" s="172">
        <f t="shared" si="7"/>
        <v>0</v>
      </c>
      <c r="Z159" s="172">
        <f t="shared" si="7"/>
        <v>0</v>
      </c>
      <c r="AA159" s="172">
        <f t="shared" si="7"/>
        <v>0</v>
      </c>
      <c r="AB159" s="3"/>
    </row>
    <row r="160" spans="1:28" s="5" customFormat="1" ht="3.9" customHeight="1" x14ac:dyDescent="0.25">
      <c r="A160" s="150">
        <f>1</f>
        <v>1</v>
      </c>
      <c r="B160" s="128"/>
      <c r="C160" s="3"/>
      <c r="D160" s="3"/>
      <c r="E160" s="3"/>
      <c r="F160" s="3"/>
      <c r="G160" s="3"/>
      <c r="H160" s="3"/>
      <c r="I160" s="28"/>
      <c r="J160" s="3"/>
      <c r="K160" s="28"/>
      <c r="L160" s="3"/>
      <c r="M160" s="55"/>
      <c r="N160" s="3"/>
      <c r="O160" s="3"/>
      <c r="P160" s="46"/>
      <c r="Q160" s="46"/>
      <c r="R160" s="46"/>
      <c r="S160" s="46"/>
      <c r="T160" s="46"/>
      <c r="U160" s="46"/>
      <c r="V160" s="46"/>
      <c r="W160" s="46"/>
      <c r="X160" s="46"/>
      <c r="Y160" s="46"/>
      <c r="Z160" s="46"/>
      <c r="AA160" s="46"/>
      <c r="AB160" s="3"/>
    </row>
    <row r="161" spans="1:28" s="5" customFormat="1" x14ac:dyDescent="0.25">
      <c r="A161" s="150">
        <f>1</f>
        <v>1</v>
      </c>
      <c r="B161" s="129" t="str">
        <f>структура!$J$15</f>
        <v>УСН(6%)-ИП</v>
      </c>
      <c r="C161" s="3"/>
      <c r="D161" s="3"/>
      <c r="E161" s="147" t="str">
        <f>E155</f>
        <v>приток денежных средств</v>
      </c>
      <c r="F161" s="147"/>
      <c r="G161" s="147" t="str">
        <f>IF($E161="","",INDEX(KPI!$G:$G,SUMIFS(KPI!$B:$B,KPI!$E:$E,$E161)))</f>
        <v>тыс.руб.</v>
      </c>
      <c r="H161" s="147"/>
      <c r="I161" s="170"/>
      <c r="J161" s="147"/>
      <c r="K161" s="170"/>
      <c r="L161" s="147"/>
      <c r="M161" s="171">
        <f>SUM($O161:$AB161)</f>
        <v>118368.45000000001</v>
      </c>
      <c r="N161" s="3"/>
      <c r="O161" s="3"/>
      <c r="P161" s="172">
        <f>IF(P$1="",0,P22)</f>
        <v>14144.401153846153</v>
      </c>
      <c r="Q161" s="172">
        <f t="shared" ref="Q161:AA161" si="8">IF(Q$1="",0,Q22)</f>
        <v>14777.851153846153</v>
      </c>
      <c r="R161" s="172">
        <f t="shared" si="8"/>
        <v>15746.734615384616</v>
      </c>
      <c r="S161" s="172">
        <f t="shared" si="8"/>
        <v>16361.476153846153</v>
      </c>
      <c r="T161" s="172">
        <f t="shared" si="8"/>
        <v>17311.651153846156</v>
      </c>
      <c r="U161" s="172">
        <f t="shared" si="8"/>
        <v>18895.276153846156</v>
      </c>
      <c r="V161" s="172">
        <f t="shared" si="8"/>
        <v>21131.059615384613</v>
      </c>
      <c r="W161" s="172">
        <f t="shared" si="8"/>
        <v>0</v>
      </c>
      <c r="X161" s="172">
        <f t="shared" si="8"/>
        <v>0</v>
      </c>
      <c r="Y161" s="172">
        <f t="shared" si="8"/>
        <v>0</v>
      </c>
      <c r="Z161" s="172">
        <f t="shared" si="8"/>
        <v>0</v>
      </c>
      <c r="AA161" s="172">
        <f t="shared" si="8"/>
        <v>0</v>
      </c>
      <c r="AB161" s="3"/>
    </row>
    <row r="162" spans="1:28" ht="3.9" customHeight="1" x14ac:dyDescent="0.25">
      <c r="A162" s="149">
        <f>1</f>
        <v>1</v>
      </c>
      <c r="B162" s="131"/>
      <c r="C162" s="2"/>
      <c r="D162" s="2"/>
      <c r="E162" s="117"/>
      <c r="F162" s="2"/>
      <c r="G162" s="117"/>
      <c r="H162" s="2"/>
      <c r="I162" s="28"/>
      <c r="J162" s="2"/>
      <c r="K162" s="28"/>
      <c r="L162" s="2"/>
      <c r="M162" s="138"/>
      <c r="N162" s="2"/>
      <c r="O162" s="2"/>
      <c r="P162" s="36"/>
      <c r="Q162" s="36"/>
      <c r="R162" s="36"/>
      <c r="S162" s="36"/>
      <c r="T162" s="36"/>
      <c r="U162" s="36"/>
      <c r="V162" s="36"/>
      <c r="W162" s="36"/>
      <c r="X162" s="36"/>
      <c r="Y162" s="36"/>
      <c r="Z162" s="36"/>
      <c r="AA162" s="36"/>
      <c r="AB162" s="2"/>
    </row>
    <row r="163" spans="1:28" ht="8.1" customHeight="1" x14ac:dyDescent="0.25">
      <c r="A163" s="149">
        <f>1</f>
        <v>1</v>
      </c>
      <c r="B163" s="131"/>
      <c r="C163" s="2"/>
      <c r="D163" s="2"/>
      <c r="E163" s="2"/>
      <c r="F163" s="2"/>
      <c r="G163" s="2"/>
      <c r="H163" s="2"/>
      <c r="I163" s="28"/>
      <c r="J163" s="2"/>
      <c r="K163" s="28"/>
      <c r="L163" s="2"/>
      <c r="M163" s="52"/>
      <c r="N163" s="2"/>
      <c r="O163" s="2"/>
      <c r="P163" s="36"/>
      <c r="Q163" s="36"/>
      <c r="R163" s="36"/>
      <c r="S163" s="36"/>
      <c r="T163" s="36"/>
      <c r="U163" s="36"/>
      <c r="V163" s="36"/>
      <c r="W163" s="36"/>
      <c r="X163" s="36"/>
      <c r="Y163" s="36"/>
      <c r="Z163" s="36"/>
      <c r="AA163" s="36"/>
      <c r="AB163" s="2"/>
    </row>
    <row r="164" spans="1:28" ht="3.9" customHeight="1" x14ac:dyDescent="0.25">
      <c r="A164" s="149">
        <f>1</f>
        <v>1</v>
      </c>
      <c r="B164" s="131"/>
      <c r="C164" s="2"/>
      <c r="D164" s="2"/>
      <c r="E164" s="2"/>
      <c r="F164" s="2"/>
      <c r="G164" s="2"/>
      <c r="H164" s="2"/>
      <c r="I164" s="28"/>
      <c r="J164" s="2"/>
      <c r="K164" s="28"/>
      <c r="L164" s="2"/>
      <c r="M164" s="52"/>
      <c r="N164" s="2"/>
      <c r="O164" s="2"/>
      <c r="P164" s="36"/>
      <c r="Q164" s="36"/>
      <c r="R164" s="36"/>
      <c r="S164" s="36"/>
      <c r="T164" s="36"/>
      <c r="U164" s="36"/>
      <c r="V164" s="36"/>
      <c r="W164" s="36"/>
      <c r="X164" s="36"/>
      <c r="Y164" s="36"/>
      <c r="Z164" s="36"/>
      <c r="AA164" s="36"/>
      <c r="AB164" s="2"/>
    </row>
    <row r="165" spans="1:28" s="5" customFormat="1" x14ac:dyDescent="0.25">
      <c r="A165" s="150">
        <f>1</f>
        <v>1</v>
      </c>
      <c r="B165" s="129" t="str">
        <f>структура!$J$12</f>
        <v>ОСНО</v>
      </c>
      <c r="C165" s="3"/>
      <c r="D165" s="3"/>
      <c r="E165" s="173" t="str">
        <f>KPI!$E$90</f>
        <v>отток денежных средств</v>
      </c>
      <c r="F165" s="173"/>
      <c r="G165" s="173" t="str">
        <f>IF($E165="","",INDEX(KPI!$G:$G,SUMIFS(KPI!$B:$B,KPI!$E:$E,$E165)))</f>
        <v>тыс.руб.</v>
      </c>
      <c r="H165" s="173"/>
      <c r="I165" s="174"/>
      <c r="J165" s="173"/>
      <c r="K165" s="174"/>
      <c r="L165" s="173"/>
      <c r="M165" s="175">
        <f>SUM($O165:$AB165)</f>
        <v>72704.117849870599</v>
      </c>
      <c r="N165" s="3"/>
      <c r="O165" s="3"/>
      <c r="P165" s="176">
        <f>IF(P$1="",0,опер1!P$157+опер1!P$190+опер1!P$240+опер1!P$260+опер1!P$293+опер1!P$311+опер1!P$329)</f>
        <v>7803.7650392744872</v>
      </c>
      <c r="Q165" s="176">
        <f>IF(Q$1="",0,опер1!Q$157+опер1!Q$190+опер1!Q$240+опер1!Q$260+опер1!Q$293+опер1!Q$311+опер1!Q$329+P$16*опер1!P$346-P$107+P$127)</f>
        <v>10067.145987941232</v>
      </c>
      <c r="R165" s="176">
        <f>IF(R$1="",0,опер1!R$157+опер1!R$190+опер1!R$240+опер1!R$260+опер1!R$293+опер1!R$311+опер1!R$329+Q$16*опер1!Q$346-Q$107+Q$127)</f>
        <v>10235.357221018156</v>
      </c>
      <c r="S165" s="176">
        <f>IF(S$1="",0,опер1!S$157+опер1!S$190+опер1!S$240+опер1!S$260+опер1!S$293+опер1!S$311+опер1!S$329+R$16*опер1!R$346-R$107+R$127)</f>
        <v>10483.654291018156</v>
      </c>
      <c r="T165" s="176">
        <f>IF(T$1="",0,опер1!T$157+опер1!T$190+опер1!T$240+опер1!T$260+опер1!T$293+опер1!T$311+опер1!T$329+S$16*опер1!S$346-S$107+S$127)</f>
        <v>10838.230722556616</v>
      </c>
      <c r="U165" s="176">
        <f>IF(U$1="",0,опер1!U$157+опер1!U$190+опер1!U$240+опер1!U$260+опер1!U$293+опер1!U$311+опер1!U$329+T$16*опер1!T$346-T$107+T$127)</f>
        <v>11262.96689409508</v>
      </c>
      <c r="V165" s="176">
        <f>IF(V$1="",0,опер1!V$157+опер1!V$190+опер1!V$240+опер1!V$260+опер1!V$293+опер1!V$311+опер1!V$329+U$16*опер1!U$346-U$107+U$127)</f>
        <v>12012.997693966876</v>
      </c>
      <c r="W165" s="176">
        <f>IF(W$1="",0,опер1!W$157+опер1!W$190+опер1!W$240+опер1!W$260+опер1!W$293+опер1!W$311+опер1!W$329+V$16*опер1!V$346-V$107+V$127)</f>
        <v>0</v>
      </c>
      <c r="X165" s="176">
        <f>IF(X$1="",0,опер1!X$157+опер1!X$190+опер1!X$240+опер1!X$260+опер1!X$293+опер1!X$311+опер1!X$329+W$16*опер1!W$346-W$107+W$127)</f>
        <v>0</v>
      </c>
      <c r="Y165" s="176">
        <f>IF(Y$1="",0,опер1!Y$157+опер1!Y$190+опер1!Y$240+опер1!Y$260+опер1!Y$293+опер1!Y$311+опер1!Y$329+X$16*опер1!X$346-X$107+X$127)</f>
        <v>0</v>
      </c>
      <c r="Z165" s="176">
        <f>IF(Z$1="",0,опер1!Z$157+опер1!Z$190+опер1!Z$240+опер1!Z$260+опер1!Z$293+опер1!Z$311+опер1!Z$329+Y$16*опер1!Y$346-Y$107+Y$127)</f>
        <v>0</v>
      </c>
      <c r="AA165" s="176">
        <f>IF(AA$1="",0,опер1!AA$157+опер1!AA$190+опер1!AA$240+опер1!AA$260+опер1!AA$293+опер1!AA$311+опер1!AA$329+Z$16*опер1!Z$346-Z$107+Z$127)</f>
        <v>0</v>
      </c>
      <c r="AB165" s="3"/>
    </row>
    <row r="166" spans="1:28" s="5" customFormat="1" ht="3.9" customHeight="1" x14ac:dyDescent="0.25">
      <c r="A166" s="150">
        <f>1</f>
        <v>1</v>
      </c>
      <c r="B166" s="128"/>
      <c r="C166" s="3"/>
      <c r="D166" s="3"/>
      <c r="E166" s="3"/>
      <c r="F166" s="3"/>
      <c r="G166" s="3"/>
      <c r="H166" s="3"/>
      <c r="I166" s="28"/>
      <c r="J166" s="3"/>
      <c r="K166" s="28"/>
      <c r="L166" s="3"/>
      <c r="M166" s="55"/>
      <c r="N166" s="3"/>
      <c r="O166" s="3"/>
      <c r="P166" s="46"/>
      <c r="Q166" s="46"/>
      <c r="R166" s="46"/>
      <c r="S166" s="46"/>
      <c r="T166" s="46"/>
      <c r="U166" s="46"/>
      <c r="V166" s="46"/>
      <c r="W166" s="46"/>
      <c r="X166" s="46"/>
      <c r="Y166" s="46"/>
      <c r="Z166" s="46"/>
      <c r="AA166" s="46"/>
      <c r="AB166" s="3"/>
    </row>
    <row r="167" spans="1:28" s="5" customFormat="1" x14ac:dyDescent="0.25">
      <c r="A167" s="150">
        <f>1</f>
        <v>1</v>
      </c>
      <c r="B167" s="129" t="str">
        <f>структура!$J$13</f>
        <v>УСН(6%)</v>
      </c>
      <c r="C167" s="3"/>
      <c r="D167" s="3"/>
      <c r="E167" s="173" t="str">
        <f>E165</f>
        <v>отток денежных средств</v>
      </c>
      <c r="F167" s="173"/>
      <c r="G167" s="173" t="str">
        <f>IF($E167="","",INDEX(KPI!$G:$G,SUMIFS(KPI!$B:$B,KPI!$E:$E,$E167)))</f>
        <v>тыс.руб.</v>
      </c>
      <c r="H167" s="173"/>
      <c r="I167" s="174"/>
      <c r="J167" s="173"/>
      <c r="K167" s="174"/>
      <c r="L167" s="173"/>
      <c r="M167" s="175">
        <f>SUM($O167:$AB167)</f>
        <v>59151.834820690638</v>
      </c>
      <c r="N167" s="3"/>
      <c r="O167" s="3"/>
      <c r="P167" s="176">
        <f>IF(P$1="",0,опер1!P$157+опер1!P$190+опер1!P$240+опер1!P$260+опер1!P$293+опер1!P$311+опер1!P$329)</f>
        <v>7803.7650392744872</v>
      </c>
      <c r="Q167" s="176">
        <f>IF(Q$1="",0,опер1!Q$157+опер1!Q$190+опер1!Q$240+опер1!Q$260+опер1!Q$293+опер1!Q$311+опер1!Q$329+P$129)</f>
        <v>8405.9099338898704</v>
      </c>
      <c r="R167" s="176">
        <f>IF(R$1="",0,опер1!R$157+опер1!R$190+опер1!R$240+опер1!R$260+опер1!R$293+опер1!R$311+опер1!R$329+Q$129)</f>
        <v>8413.6471669667935</v>
      </c>
      <c r="S167" s="176">
        <f>IF(S$1="",0,опер1!S$157+опер1!S$190+опер1!S$240+опер1!S$260+опер1!S$293+опер1!S$311+опер1!S$329+R$129)</f>
        <v>8364.2941646591007</v>
      </c>
      <c r="T167" s="176">
        <f>IF(T$1="",0,опер1!T$157+опер1!T$190+опер1!T$240+опер1!T$260+опер1!T$293+опер1!T$311+опер1!T$329+S$129)</f>
        <v>8506.2591608129478</v>
      </c>
      <c r="U167" s="176">
        <f>IF(U$1="",0,опер1!U$157+опер1!U$190+опер1!U$240+опер1!U$260+опер1!U$293+опер1!U$311+опер1!U$329+T$129)</f>
        <v>8683.949832351409</v>
      </c>
      <c r="V167" s="176">
        <f>IF(V$1="",0,опер1!V$157+опер1!V$190+опер1!V$240+опер1!V$260+опер1!V$293+опер1!V$311+опер1!V$329+U$129)</f>
        <v>8974.0095227360252</v>
      </c>
      <c r="W167" s="176">
        <f>IF(W$1="",0,опер1!W$157+опер1!W$190+опер1!W$240+опер1!W$260+опер1!W$293+опер1!W$311+опер1!W$329+V$129)</f>
        <v>0</v>
      </c>
      <c r="X167" s="176">
        <f>IF(X$1="",0,опер1!X$157+опер1!X$190+опер1!X$240+опер1!X$260+опер1!X$293+опер1!X$311+опер1!X$329+W$129)</f>
        <v>0</v>
      </c>
      <c r="Y167" s="176">
        <f>IF(Y$1="",0,опер1!Y$157+опер1!Y$190+опер1!Y$240+опер1!Y$260+опер1!Y$293+опер1!Y$311+опер1!Y$329+X$129)</f>
        <v>0</v>
      </c>
      <c r="Z167" s="176">
        <f>IF(Z$1="",0,опер1!Z$157+опер1!Z$190+опер1!Z$240+опер1!Z$260+опер1!Z$293+опер1!Z$311+опер1!Z$329+Y$129)</f>
        <v>0</v>
      </c>
      <c r="AA167" s="176">
        <f>IF(AA$1="",0,опер1!AA$157+опер1!AA$190+опер1!AA$240+опер1!AA$260+опер1!AA$293+опер1!AA$311+опер1!AA$329+Z$129)</f>
        <v>0</v>
      </c>
      <c r="AB167" s="3"/>
    </row>
    <row r="168" spans="1:28" s="5" customFormat="1" ht="3.9" customHeight="1" x14ac:dyDescent="0.25">
      <c r="A168" s="150">
        <f>1</f>
        <v>1</v>
      </c>
      <c r="B168" s="128"/>
      <c r="C168" s="3"/>
      <c r="D168" s="3"/>
      <c r="E168" s="3"/>
      <c r="F168" s="3"/>
      <c r="G168" s="3"/>
      <c r="H168" s="3"/>
      <c r="I168" s="28"/>
      <c r="J168" s="3"/>
      <c r="K168" s="28"/>
      <c r="L168" s="3"/>
      <c r="M168" s="55"/>
      <c r="N168" s="3"/>
      <c r="O168" s="3"/>
      <c r="P168" s="46"/>
      <c r="Q168" s="46"/>
      <c r="R168" s="46"/>
      <c r="S168" s="46"/>
      <c r="T168" s="46"/>
      <c r="U168" s="46"/>
      <c r="V168" s="46"/>
      <c r="W168" s="46"/>
      <c r="X168" s="46"/>
      <c r="Y168" s="46"/>
      <c r="Z168" s="46"/>
      <c r="AA168" s="46"/>
      <c r="AB168" s="3"/>
    </row>
    <row r="169" spans="1:28" s="5" customFormat="1" x14ac:dyDescent="0.25">
      <c r="A169" s="150">
        <f>1</f>
        <v>1</v>
      </c>
      <c r="B169" s="129" t="str">
        <f>структура!$J$14</f>
        <v>УСН(15%)</v>
      </c>
      <c r="C169" s="3"/>
      <c r="D169" s="3"/>
      <c r="E169" s="173" t="str">
        <f>E165</f>
        <v>отток денежных средств</v>
      </c>
      <c r="F169" s="173"/>
      <c r="G169" s="173" t="str">
        <f>IF($E169="","",INDEX(KPI!$G:$G,SUMIFS(KPI!$B:$B,KPI!$E:$E,$E169)))</f>
        <v>тыс.руб.</v>
      </c>
      <c r="H169" s="173"/>
      <c r="I169" s="174"/>
      <c r="J169" s="173"/>
      <c r="K169" s="174"/>
      <c r="L169" s="173"/>
      <c r="M169" s="175">
        <f>SUM($O169:$AB169)</f>
        <v>63633.768082189759</v>
      </c>
      <c r="N169" s="3"/>
      <c r="O169" s="3"/>
      <c r="P169" s="176">
        <f>IF(P$1="",0,опер1!P$157+опер1!P$190+опер1!P$240+опер1!P$260+опер1!P$293+опер1!P$311+опер1!P$329)</f>
        <v>7803.7650392744872</v>
      </c>
      <c r="Q169" s="176">
        <f>IF(Q$1="",0,опер1!Q$157+опер1!Q$190+опер1!Q$240+опер1!Q$260+опер1!Q$293+опер1!Q$311+опер1!Q$329+P$131)</f>
        <v>8920.2540124602365</v>
      </c>
      <c r="R169" s="176">
        <f>IF(R$1="",0,опер1!R$157+опер1!R$190+опер1!R$240+опер1!R$260+опер1!R$293+опер1!R$311+опер1!R$329+Q$131)</f>
        <v>8989.7526205371596</v>
      </c>
      <c r="S169" s="176">
        <f>IF(S$1="",0,опер1!S$157+опер1!S$190+опер1!S$240+опер1!S$260+опер1!S$293+опер1!S$311+опер1!S$329+R$131)</f>
        <v>9058.3555736525432</v>
      </c>
      <c r="T169" s="176">
        <f>IF(T$1="",0,опер1!T$157+опер1!T$190+опер1!T$240+опер1!T$260+опер1!T$293+опер1!T$311+опер1!T$329+S$131)</f>
        <v>9285.8524803448508</v>
      </c>
      <c r="U169" s="176">
        <f>IF(U$1="",0,опер1!U$157+опер1!U$190+опер1!U$240+опер1!U$260+опер1!U$293+опер1!U$311+опер1!U$329+T$131)</f>
        <v>9559.0357393833146</v>
      </c>
      <c r="V169" s="176">
        <f>IF(V$1="",0,опер1!V$157+опер1!V$190+опер1!V$240+опер1!V$260+опер1!V$293+опер1!V$311+опер1!V$329+U$131)</f>
        <v>10016.75261653716</v>
      </c>
      <c r="W169" s="176">
        <f>IF(W$1="",0,опер1!W$157+опер1!W$190+опер1!W$240+опер1!W$260+опер1!W$293+опер1!W$311+опер1!W$329+V$131)</f>
        <v>0</v>
      </c>
      <c r="X169" s="176">
        <f>IF(X$1="",0,опер1!X$157+опер1!X$190+опер1!X$240+опер1!X$260+опер1!X$293+опер1!X$311+опер1!X$329+W$131)</f>
        <v>0</v>
      </c>
      <c r="Y169" s="176">
        <f>IF(Y$1="",0,опер1!Y$157+опер1!Y$190+опер1!Y$240+опер1!Y$260+опер1!Y$293+опер1!Y$311+опер1!Y$329+X$131)</f>
        <v>0</v>
      </c>
      <c r="Z169" s="176">
        <f>IF(Z$1="",0,опер1!Z$157+опер1!Z$190+опер1!Z$240+опер1!Z$260+опер1!Z$293+опер1!Z$311+опер1!Z$329+Y$131)</f>
        <v>0</v>
      </c>
      <c r="AA169" s="176">
        <f>IF(AA$1="",0,опер1!AA$157+опер1!AA$190+опер1!AA$240+опер1!AA$260+опер1!AA$293+опер1!AA$311+опер1!AA$329+Z$131)</f>
        <v>0</v>
      </c>
      <c r="AB169" s="3"/>
    </row>
    <row r="170" spans="1:28" s="5" customFormat="1" ht="3.9" customHeight="1" x14ac:dyDescent="0.25">
      <c r="A170" s="150">
        <f>1</f>
        <v>1</v>
      </c>
      <c r="B170" s="128"/>
      <c r="C170" s="3"/>
      <c r="D170" s="3"/>
      <c r="E170" s="3"/>
      <c r="F170" s="3"/>
      <c r="G170" s="3"/>
      <c r="H170" s="3"/>
      <c r="I170" s="28"/>
      <c r="J170" s="3"/>
      <c r="K170" s="28"/>
      <c r="L170" s="3"/>
      <c r="M170" s="55"/>
      <c r="N170" s="3"/>
      <c r="O170" s="3"/>
      <c r="P170" s="46"/>
      <c r="Q170" s="46"/>
      <c r="R170" s="46"/>
      <c r="S170" s="46"/>
      <c r="T170" s="46"/>
      <c r="U170" s="46"/>
      <c r="V170" s="46"/>
      <c r="W170" s="46"/>
      <c r="X170" s="46"/>
      <c r="Y170" s="46"/>
      <c r="Z170" s="46"/>
      <c r="AA170" s="46"/>
      <c r="AB170" s="3"/>
    </row>
    <row r="171" spans="1:28" s="5" customFormat="1" x14ac:dyDescent="0.25">
      <c r="A171" s="150">
        <f>1</f>
        <v>1</v>
      </c>
      <c r="B171" s="129" t="str">
        <f>структура!$J$15</f>
        <v>УСН(6%)-ИП</v>
      </c>
      <c r="C171" s="3"/>
      <c r="D171" s="3"/>
      <c r="E171" s="173" t="str">
        <f>E165</f>
        <v>отток денежных средств</v>
      </c>
      <c r="F171" s="173"/>
      <c r="G171" s="173" t="str">
        <f>IF($E171="","",INDEX(KPI!$G:$G,SUMIFS(KPI!$B:$B,KPI!$E:$E,$E171)))</f>
        <v>тыс.руб.</v>
      </c>
      <c r="H171" s="173"/>
      <c r="I171" s="174"/>
      <c r="J171" s="173"/>
      <c r="K171" s="174"/>
      <c r="L171" s="173"/>
      <c r="M171" s="175">
        <f>SUM($O171:$AB171)</f>
        <v>57320.920928382955</v>
      </c>
      <c r="N171" s="3"/>
      <c r="O171" s="3"/>
      <c r="P171" s="176">
        <f>IF(P$1="",0,опер1!P$157+опер1!P$190+опер1!P$240+опер1!P$260+опер1!P$293+опер1!P$311+опер1!P$329)</f>
        <v>7803.7650392744872</v>
      </c>
      <c r="Q171" s="176">
        <f>IF(Q$1="",0,опер1!Q$157+опер1!Q$190+опер1!Q$240+опер1!Q$260+опер1!Q$293+опер1!Q$311+опер1!Q$329+P$133)</f>
        <v>7981.5778992744863</v>
      </c>
      <c r="R171" s="176">
        <f>IF(R$1="",0,опер1!R$157+опер1!R$190+опер1!R$240+опер1!R$260+опер1!R$293+опер1!R$311+опер1!R$329+Q$133)</f>
        <v>7970.3116323514096</v>
      </c>
      <c r="S171" s="176">
        <f>IF(S$1="",0,опер1!S$157+опер1!S$190+опер1!S$240+опер1!S$260+опер1!S$293+опер1!S$311+опер1!S$329+R$133)</f>
        <v>7891.8921261975629</v>
      </c>
      <c r="T171" s="176">
        <f>IF(T$1="",0,опер1!T$157+опер1!T$190+опер1!T$240+опер1!T$260+опер1!T$293+опер1!T$311+опер1!T$329+S$133)</f>
        <v>8015.414876197563</v>
      </c>
      <c r="U171" s="176">
        <f>IF(U$1="",0,опер1!U$157+опер1!U$190+опер1!U$240+опер1!U$260+опер1!U$293+опер1!U$311+опер1!U$329+T$133)</f>
        <v>8683.949832351409</v>
      </c>
      <c r="V171" s="176">
        <f>IF(V$1="",0,опер1!V$157+опер1!V$190+опер1!V$240+опер1!V$260+опер1!V$293+опер1!V$311+опер1!V$329+U$133)</f>
        <v>8974.0095227360252</v>
      </c>
      <c r="W171" s="176">
        <f>IF(W$1="",0,опер1!W$157+опер1!W$190+опер1!W$240+опер1!W$260+опер1!W$293+опер1!W$311+опер1!W$329+V$133)</f>
        <v>0</v>
      </c>
      <c r="X171" s="176">
        <f>IF(X$1="",0,опер1!X$157+опер1!X$190+опер1!X$240+опер1!X$260+опер1!X$293+опер1!X$311+опер1!X$329+W$133)</f>
        <v>0</v>
      </c>
      <c r="Y171" s="176">
        <f>IF(Y$1="",0,опер1!Y$157+опер1!Y$190+опер1!Y$240+опер1!Y$260+опер1!Y$293+опер1!Y$311+опер1!Y$329+X$133)</f>
        <v>0</v>
      </c>
      <c r="Z171" s="176">
        <f>IF(Z$1="",0,опер1!Z$157+опер1!Z$190+опер1!Z$240+опер1!Z$260+опер1!Z$293+опер1!Z$311+опер1!Z$329+Y$133)</f>
        <v>0</v>
      </c>
      <c r="AA171" s="176">
        <f>IF(AA$1="",0,опер1!AA$157+опер1!AA$190+опер1!AA$240+опер1!AA$260+опер1!AA$293+опер1!AA$311+опер1!AA$329+Z$133)</f>
        <v>0</v>
      </c>
      <c r="AB171" s="3"/>
    </row>
    <row r="172" spans="1:28" ht="3.9" customHeight="1" x14ac:dyDescent="0.25">
      <c r="A172" s="149">
        <f>1</f>
        <v>1</v>
      </c>
      <c r="B172" s="131"/>
      <c r="C172" s="2"/>
      <c r="D172" s="2"/>
      <c r="E172" s="118"/>
      <c r="F172" s="2"/>
      <c r="G172" s="118"/>
      <c r="H172" s="2"/>
      <c r="I172" s="28"/>
      <c r="J172" s="2"/>
      <c r="K172" s="28"/>
      <c r="L172" s="2"/>
      <c r="M172" s="139"/>
      <c r="N172" s="2"/>
      <c r="O172" s="2"/>
      <c r="P172" s="36"/>
      <c r="Q172" s="36"/>
      <c r="R172" s="36"/>
      <c r="S172" s="36"/>
      <c r="T172" s="36"/>
      <c r="U172" s="36"/>
      <c r="V172" s="36"/>
      <c r="W172" s="36"/>
      <c r="X172" s="36"/>
      <c r="Y172" s="36"/>
      <c r="Z172" s="36"/>
      <c r="AA172" s="36"/>
      <c r="AB172" s="2"/>
    </row>
    <row r="173" spans="1:28" ht="8.1" customHeight="1" x14ac:dyDescent="0.25">
      <c r="A173" s="149">
        <f>1</f>
        <v>1</v>
      </c>
      <c r="B173" s="131"/>
      <c r="C173" s="2"/>
      <c r="D173" s="2"/>
      <c r="E173" s="2"/>
      <c r="F173" s="2"/>
      <c r="G173" s="2"/>
      <c r="H173" s="2"/>
      <c r="I173" s="28"/>
      <c r="J173" s="2"/>
      <c r="K173" s="28"/>
      <c r="L173" s="2"/>
      <c r="M173" s="52"/>
      <c r="N173" s="2"/>
      <c r="O173" s="2"/>
      <c r="P173" s="36"/>
      <c r="Q173" s="36"/>
      <c r="R173" s="36"/>
      <c r="S173" s="36"/>
      <c r="T173" s="36"/>
      <c r="U173" s="36"/>
      <c r="V173" s="36"/>
      <c r="W173" s="36"/>
      <c r="X173" s="36"/>
      <c r="Y173" s="36"/>
      <c r="Z173" s="36"/>
      <c r="AA173" s="36"/>
      <c r="AB173" s="2"/>
    </row>
    <row r="174" spans="1:28" ht="3.9" customHeight="1" x14ac:dyDescent="0.25">
      <c r="A174" s="149">
        <f>1</f>
        <v>1</v>
      </c>
      <c r="B174" s="131"/>
      <c r="C174" s="2"/>
      <c r="D174" s="2"/>
      <c r="E174" s="2"/>
      <c r="F174" s="2"/>
      <c r="G174" s="2"/>
      <c r="H174" s="2"/>
      <c r="I174" s="28"/>
      <c r="J174" s="2"/>
      <c r="K174" s="28"/>
      <c r="L174" s="2"/>
      <c r="M174" s="52"/>
      <c r="N174" s="2"/>
      <c r="O174" s="2"/>
      <c r="P174" s="36"/>
      <c r="Q174" s="36"/>
      <c r="R174" s="36"/>
      <c r="S174" s="36"/>
      <c r="T174" s="36"/>
      <c r="U174" s="36"/>
      <c r="V174" s="36"/>
      <c r="W174" s="36"/>
      <c r="X174" s="36"/>
      <c r="Y174" s="36"/>
      <c r="Z174" s="36"/>
      <c r="AA174" s="36"/>
      <c r="AB174" s="2"/>
    </row>
    <row r="175" spans="1:28" s="5" customFormat="1" x14ac:dyDescent="0.25">
      <c r="A175" s="150">
        <f>1</f>
        <v>1</v>
      </c>
      <c r="B175" s="129" t="str">
        <f>структура!$J$12</f>
        <v>ОСНО</v>
      </c>
      <c r="C175" s="3"/>
      <c r="D175" s="3"/>
      <c r="E175" s="146" t="str">
        <f>KPI!$E$91</f>
        <v>финансовый поток (CF)</v>
      </c>
      <c r="F175" s="146"/>
      <c r="G175" s="146" t="str">
        <f>IF($E175="","",INDEX(KPI!$G:$G,SUMIFS(KPI!$B:$B,KPI!$E:$E,$E175)))</f>
        <v>тыс.руб.</v>
      </c>
      <c r="H175" s="146"/>
      <c r="I175" s="177"/>
      <c r="J175" s="146"/>
      <c r="K175" s="177"/>
      <c r="L175" s="146"/>
      <c r="M175" s="178">
        <f>SUM($O175:$AB175)</f>
        <v>48306.061290129393</v>
      </c>
      <c r="N175" s="3"/>
      <c r="O175" s="3"/>
      <c r="P175" s="179">
        <f>IF(P$1="",0,P155-P165)</f>
        <v>8982.365254571665</v>
      </c>
      <c r="Q175" s="179">
        <f>IF(Q$1="",0,Q155-Q165)</f>
        <v>4710.7051659049212</v>
      </c>
      <c r="R175" s="179">
        <f t="shared" ref="R175:AA175" si="9">IF(R$1="",0,R155-R165)</f>
        <v>5511.3773943664601</v>
      </c>
      <c r="S175" s="179">
        <f t="shared" si="9"/>
        <v>5877.8218628279974</v>
      </c>
      <c r="T175" s="179">
        <f t="shared" si="9"/>
        <v>6473.4204312895399</v>
      </c>
      <c r="U175" s="179">
        <f t="shared" si="9"/>
        <v>7632.3092597510768</v>
      </c>
      <c r="V175" s="179">
        <f t="shared" si="9"/>
        <v>9118.0619214177368</v>
      </c>
      <c r="W175" s="179">
        <f t="shared" si="9"/>
        <v>0</v>
      </c>
      <c r="X175" s="179">
        <f t="shared" si="9"/>
        <v>0</v>
      </c>
      <c r="Y175" s="179">
        <f t="shared" si="9"/>
        <v>0</v>
      </c>
      <c r="Z175" s="179">
        <f t="shared" si="9"/>
        <v>0</v>
      </c>
      <c r="AA175" s="179">
        <f t="shared" si="9"/>
        <v>0</v>
      </c>
      <c r="AB175" s="3"/>
    </row>
    <row r="176" spans="1:28" s="5" customFormat="1" ht="3.9" customHeight="1" x14ac:dyDescent="0.25">
      <c r="A176" s="150">
        <f>1</f>
        <v>1</v>
      </c>
      <c r="B176" s="128"/>
      <c r="C176" s="3"/>
      <c r="D176" s="3"/>
      <c r="E176" s="3"/>
      <c r="F176" s="3"/>
      <c r="G176" s="3"/>
      <c r="H176" s="3"/>
      <c r="I176" s="28"/>
      <c r="J176" s="3"/>
      <c r="K176" s="28"/>
      <c r="L176" s="3"/>
      <c r="M176" s="55"/>
      <c r="N176" s="3"/>
      <c r="O176" s="3"/>
      <c r="P176" s="46"/>
      <c r="Q176" s="46"/>
      <c r="R176" s="46"/>
      <c r="S176" s="46"/>
      <c r="T176" s="46"/>
      <c r="U176" s="46"/>
      <c r="V176" s="46"/>
      <c r="W176" s="46"/>
      <c r="X176" s="46"/>
      <c r="Y176" s="46"/>
      <c r="Z176" s="46"/>
      <c r="AA176" s="46"/>
      <c r="AB176" s="3"/>
    </row>
    <row r="177" spans="1:28" s="5" customFormat="1" x14ac:dyDescent="0.25">
      <c r="A177" s="150">
        <f>1</f>
        <v>1</v>
      </c>
      <c r="B177" s="129" t="str">
        <f>структура!$J$13</f>
        <v>УСН(6%)</v>
      </c>
      <c r="C177" s="3"/>
      <c r="D177" s="3"/>
      <c r="E177" s="146" t="str">
        <f>E175</f>
        <v>финансовый поток (CF)</v>
      </c>
      <c r="F177" s="146"/>
      <c r="G177" s="146" t="str">
        <f>IF($E177="","",INDEX(KPI!$G:$G,SUMIFS(KPI!$B:$B,KPI!$E:$E,$E177)))</f>
        <v>тыс.руб.</v>
      </c>
      <c r="H177" s="146"/>
      <c r="I177" s="177"/>
      <c r="J177" s="146"/>
      <c r="K177" s="177"/>
      <c r="L177" s="146"/>
      <c r="M177" s="178">
        <f>SUM($O177:$AB177)</f>
        <v>59216.615179309374</v>
      </c>
      <c r="N177" s="3"/>
      <c r="O177" s="3"/>
      <c r="P177" s="179">
        <f>IF(P$1="",0,P157-P167)</f>
        <v>6340.6361145716655</v>
      </c>
      <c r="Q177" s="179">
        <f>IF(Q$1="",0,Q157-Q167)</f>
        <v>6371.941219956283</v>
      </c>
      <c r="R177" s="179">
        <f t="shared" ref="R177:AA177" si="10">IF(R$1="",0,R157-R167)</f>
        <v>7333.0874484178221</v>
      </c>
      <c r="S177" s="179">
        <f t="shared" si="10"/>
        <v>7997.1819891870527</v>
      </c>
      <c r="T177" s="179">
        <f t="shared" si="10"/>
        <v>8805.3919930332086</v>
      </c>
      <c r="U177" s="179">
        <f t="shared" si="10"/>
        <v>10211.326321494747</v>
      </c>
      <c r="V177" s="179">
        <f t="shared" si="10"/>
        <v>12157.050092648587</v>
      </c>
      <c r="W177" s="179">
        <f t="shared" si="10"/>
        <v>0</v>
      </c>
      <c r="X177" s="179">
        <f t="shared" si="10"/>
        <v>0</v>
      </c>
      <c r="Y177" s="179">
        <f t="shared" si="10"/>
        <v>0</v>
      </c>
      <c r="Z177" s="179">
        <f t="shared" si="10"/>
        <v>0</v>
      </c>
      <c r="AA177" s="179">
        <f t="shared" si="10"/>
        <v>0</v>
      </c>
      <c r="AB177" s="3"/>
    </row>
    <row r="178" spans="1:28" s="5" customFormat="1" ht="3.9" customHeight="1" x14ac:dyDescent="0.25">
      <c r="A178" s="150">
        <f>1</f>
        <v>1</v>
      </c>
      <c r="B178" s="128"/>
      <c r="C178" s="3"/>
      <c r="D178" s="3"/>
      <c r="E178" s="3"/>
      <c r="F178" s="3"/>
      <c r="G178" s="3"/>
      <c r="H178" s="3"/>
      <c r="I178" s="28"/>
      <c r="J178" s="3"/>
      <c r="K178" s="28"/>
      <c r="L178" s="3"/>
      <c r="M178" s="55"/>
      <c r="N178" s="3"/>
      <c r="O178" s="3"/>
      <c r="P178" s="46"/>
      <c r="Q178" s="46"/>
      <c r="R178" s="46"/>
      <c r="S178" s="46"/>
      <c r="T178" s="46"/>
      <c r="U178" s="46"/>
      <c r="V178" s="46"/>
      <c r="W178" s="46"/>
      <c r="X178" s="46"/>
      <c r="Y178" s="46"/>
      <c r="Z178" s="46"/>
      <c r="AA178" s="46"/>
      <c r="AB178" s="3"/>
    </row>
    <row r="179" spans="1:28" s="5" customFormat="1" x14ac:dyDescent="0.25">
      <c r="A179" s="150">
        <f>1</f>
        <v>1</v>
      </c>
      <c r="B179" s="129" t="str">
        <f>структура!$J$14</f>
        <v>УСН(15%)</v>
      </c>
      <c r="C179" s="3"/>
      <c r="D179" s="3"/>
      <c r="E179" s="146" t="str">
        <f>E175</f>
        <v>финансовый поток (CF)</v>
      </c>
      <c r="F179" s="146"/>
      <c r="G179" s="146" t="str">
        <f>IF($E179="","",INDEX(KPI!$G:$G,SUMIFS(KPI!$B:$B,KPI!$E:$E,$E179)))</f>
        <v>тыс.руб.</v>
      </c>
      <c r="H179" s="146"/>
      <c r="I179" s="177"/>
      <c r="J179" s="146"/>
      <c r="K179" s="177"/>
      <c r="L179" s="146"/>
      <c r="M179" s="178">
        <f>SUM($O179:$AB179)</f>
        <v>54734.681917810252</v>
      </c>
      <c r="N179" s="3"/>
      <c r="O179" s="3"/>
      <c r="P179" s="179">
        <f>IF(P$1="",0,P159-P169)</f>
        <v>6340.6361145716655</v>
      </c>
      <c r="Q179" s="179">
        <f t="shared" ref="Q179:AA179" si="11">IF(Q$1="",0,Q159-Q169)</f>
        <v>5857.597141385917</v>
      </c>
      <c r="R179" s="179">
        <f t="shared" si="11"/>
        <v>6756.981994847456</v>
      </c>
      <c r="S179" s="179">
        <f t="shared" si="11"/>
        <v>7303.1205801936103</v>
      </c>
      <c r="T179" s="179">
        <f t="shared" si="11"/>
        <v>8025.7986735013055</v>
      </c>
      <c r="U179" s="179">
        <f t="shared" si="11"/>
        <v>9336.2404144628417</v>
      </c>
      <c r="V179" s="179">
        <f t="shared" si="11"/>
        <v>11114.306998847453</v>
      </c>
      <c r="W179" s="179">
        <f t="shared" si="11"/>
        <v>0</v>
      </c>
      <c r="X179" s="179">
        <f t="shared" si="11"/>
        <v>0</v>
      </c>
      <c r="Y179" s="179">
        <f t="shared" si="11"/>
        <v>0</v>
      </c>
      <c r="Z179" s="179">
        <f t="shared" si="11"/>
        <v>0</v>
      </c>
      <c r="AA179" s="179">
        <f t="shared" si="11"/>
        <v>0</v>
      </c>
      <c r="AB179" s="3"/>
    </row>
    <row r="180" spans="1:28" s="5" customFormat="1" ht="3.9" customHeight="1" x14ac:dyDescent="0.25">
      <c r="A180" s="150">
        <f>1</f>
        <v>1</v>
      </c>
      <c r="B180" s="128"/>
      <c r="C180" s="3"/>
      <c r="D180" s="3"/>
      <c r="E180" s="3"/>
      <c r="F180" s="3"/>
      <c r="G180" s="3"/>
      <c r="H180" s="3"/>
      <c r="I180" s="28"/>
      <c r="J180" s="3"/>
      <c r="K180" s="28"/>
      <c r="L180" s="3"/>
      <c r="M180" s="55"/>
      <c r="N180" s="3"/>
      <c r="O180" s="3"/>
      <c r="P180" s="46"/>
      <c r="Q180" s="46"/>
      <c r="R180" s="46"/>
      <c r="S180" s="46"/>
      <c r="T180" s="46"/>
      <c r="U180" s="46"/>
      <c r="V180" s="46"/>
      <c r="W180" s="46"/>
      <c r="X180" s="46"/>
      <c r="Y180" s="46"/>
      <c r="Z180" s="46"/>
      <c r="AA180" s="46"/>
      <c r="AB180" s="3"/>
    </row>
    <row r="181" spans="1:28" s="5" customFormat="1" x14ac:dyDescent="0.25">
      <c r="A181" s="150">
        <f>1</f>
        <v>1</v>
      </c>
      <c r="B181" s="129" t="str">
        <f>структура!$J$15</f>
        <v>УСН(6%)-ИП</v>
      </c>
      <c r="C181" s="3"/>
      <c r="D181" s="3"/>
      <c r="E181" s="146" t="str">
        <f>E175</f>
        <v>финансовый поток (CF)</v>
      </c>
      <c r="F181" s="146"/>
      <c r="G181" s="146" t="str">
        <f>IF($E181="","",INDEX(KPI!$G:$G,SUMIFS(KPI!$B:$B,KPI!$E:$E,$E181)))</f>
        <v>тыс.руб.</v>
      </c>
      <c r="H181" s="146"/>
      <c r="I181" s="177"/>
      <c r="J181" s="146"/>
      <c r="K181" s="177"/>
      <c r="L181" s="146"/>
      <c r="M181" s="178">
        <f>SUM($O181:$AB181)</f>
        <v>61047.529071617057</v>
      </c>
      <c r="N181" s="3"/>
      <c r="O181" s="3"/>
      <c r="P181" s="179">
        <f>IF(P$1="",0,P161-P171)</f>
        <v>6340.6361145716655</v>
      </c>
      <c r="Q181" s="179">
        <f t="shared" ref="Q181:AA181" si="12">IF(Q$1="",0,Q161-Q171)</f>
        <v>6796.2732545716672</v>
      </c>
      <c r="R181" s="179">
        <f t="shared" si="12"/>
        <v>7776.422983033206</v>
      </c>
      <c r="S181" s="179">
        <f t="shared" si="12"/>
        <v>8469.5840276485906</v>
      </c>
      <c r="T181" s="179">
        <f t="shared" si="12"/>
        <v>9296.2362776485934</v>
      </c>
      <c r="U181" s="179">
        <f t="shared" si="12"/>
        <v>10211.326321494747</v>
      </c>
      <c r="V181" s="179">
        <f t="shared" si="12"/>
        <v>12157.050092648587</v>
      </c>
      <c r="W181" s="179">
        <f t="shared" si="12"/>
        <v>0</v>
      </c>
      <c r="X181" s="179">
        <f t="shared" si="12"/>
        <v>0</v>
      </c>
      <c r="Y181" s="179">
        <f t="shared" si="12"/>
        <v>0</v>
      </c>
      <c r="Z181" s="179">
        <f t="shared" si="12"/>
        <v>0</v>
      </c>
      <c r="AA181" s="179">
        <f t="shared" si="12"/>
        <v>0</v>
      </c>
      <c r="AB181" s="3"/>
    </row>
    <row r="182" spans="1:28" ht="3.9" customHeight="1" x14ac:dyDescent="0.25">
      <c r="A182" s="149">
        <f>1</f>
        <v>1</v>
      </c>
      <c r="B182" s="131"/>
      <c r="C182" s="2"/>
      <c r="D182" s="2"/>
      <c r="E182" s="119"/>
      <c r="F182" s="2"/>
      <c r="G182" s="119"/>
      <c r="H182" s="2"/>
      <c r="I182" s="28"/>
      <c r="J182" s="2"/>
      <c r="K182" s="28"/>
      <c r="L182" s="2"/>
      <c r="M182" s="142"/>
      <c r="N182" s="2"/>
      <c r="O182" s="2"/>
      <c r="P182" s="36"/>
      <c r="Q182" s="36"/>
      <c r="R182" s="36"/>
      <c r="S182" s="36"/>
      <c r="T182" s="36"/>
      <c r="U182" s="36"/>
      <c r="V182" s="36"/>
      <c r="W182" s="36"/>
      <c r="X182" s="36"/>
      <c r="Y182" s="36"/>
      <c r="Z182" s="36"/>
      <c r="AA182" s="36"/>
      <c r="AB182" s="2"/>
    </row>
    <row r="183" spans="1:28" ht="8.1" customHeight="1" x14ac:dyDescent="0.25">
      <c r="A183" s="149">
        <f>1</f>
        <v>1</v>
      </c>
      <c r="B183" s="131"/>
      <c r="C183" s="2"/>
      <c r="D183" s="2"/>
      <c r="E183" s="2"/>
      <c r="F183" s="2"/>
      <c r="G183" s="2"/>
      <c r="H183" s="2"/>
      <c r="I183" s="28"/>
      <c r="J183" s="2"/>
      <c r="K183" s="28"/>
      <c r="L183" s="2"/>
      <c r="M183" s="52"/>
      <c r="N183" s="2"/>
      <c r="O183" s="2"/>
      <c r="P183" s="36"/>
      <c r="Q183" s="36"/>
      <c r="R183" s="36"/>
      <c r="S183" s="36"/>
      <c r="T183" s="36"/>
      <c r="U183" s="36"/>
      <c r="V183" s="36"/>
      <c r="W183" s="36"/>
      <c r="X183" s="36"/>
      <c r="Y183" s="36"/>
      <c r="Z183" s="36"/>
      <c r="AA183" s="36"/>
      <c r="AB183" s="2"/>
    </row>
    <row r="184" spans="1:28" s="5" customFormat="1" x14ac:dyDescent="0.25">
      <c r="A184" s="150">
        <f>1</f>
        <v>1</v>
      </c>
      <c r="B184" s="131"/>
      <c r="C184" s="3"/>
      <c r="D184" s="3"/>
      <c r="E184" s="3"/>
      <c r="F184" s="3"/>
      <c r="G184" s="3"/>
      <c r="H184" s="3"/>
      <c r="I184" s="28"/>
      <c r="J184" s="3"/>
      <c r="K184" s="28"/>
      <c r="L184" s="3"/>
      <c r="M184" s="55"/>
      <c r="N184" s="3"/>
      <c r="O184" s="3"/>
      <c r="P184" s="46"/>
      <c r="Q184" s="46"/>
      <c r="R184" s="46"/>
      <c r="S184" s="46"/>
      <c r="T184" s="46"/>
      <c r="U184" s="46"/>
      <c r="V184" s="46"/>
      <c r="W184" s="46"/>
      <c r="X184" s="46"/>
      <c r="Y184" s="46"/>
      <c r="Z184" s="46"/>
      <c r="AA184" s="46"/>
      <c r="AB184" s="3"/>
    </row>
    <row r="185" spans="1:28" ht="3.9" customHeight="1" x14ac:dyDescent="0.25">
      <c r="A185" s="149">
        <f>1</f>
        <v>1</v>
      </c>
      <c r="B185" s="131"/>
      <c r="C185" s="2"/>
      <c r="D185" s="2"/>
      <c r="E185" s="2"/>
      <c r="F185" s="2"/>
      <c r="G185" s="2"/>
      <c r="H185" s="2"/>
      <c r="I185" s="28"/>
      <c r="J185" s="2"/>
      <c r="K185" s="28"/>
      <c r="L185" s="2"/>
      <c r="M185" s="52"/>
      <c r="N185" s="2"/>
      <c r="O185" s="2"/>
      <c r="P185" s="36"/>
      <c r="Q185" s="36"/>
      <c r="R185" s="36"/>
      <c r="S185" s="36"/>
      <c r="T185" s="36"/>
      <c r="U185" s="36"/>
      <c r="V185" s="36"/>
      <c r="W185" s="36"/>
      <c r="X185" s="36"/>
      <c r="Y185" s="36"/>
      <c r="Z185" s="36"/>
      <c r="AA185" s="36"/>
      <c r="AB185" s="2"/>
    </row>
    <row r="186" spans="1:28" s="5" customFormat="1" x14ac:dyDescent="0.25">
      <c r="A186" s="150">
        <f>1</f>
        <v>1</v>
      </c>
      <c r="B186" s="131"/>
      <c r="C186" s="3"/>
      <c r="D186" s="3"/>
      <c r="E186" s="181" t="s">
        <v>286</v>
      </c>
      <c r="F186" s="3"/>
      <c r="G186" s="3"/>
      <c r="H186" s="3"/>
      <c r="I186" s="28"/>
      <c r="J186" s="3"/>
      <c r="K186" s="28"/>
      <c r="L186" s="3"/>
      <c r="M186" s="55"/>
      <c r="N186" s="3"/>
      <c r="O186" s="3"/>
      <c r="P186" s="46"/>
      <c r="Q186" s="46"/>
      <c r="R186" s="46"/>
      <c r="S186" s="46"/>
      <c r="T186" s="46"/>
      <c r="U186" s="46"/>
      <c r="V186" s="46"/>
      <c r="W186" s="46"/>
      <c r="X186" s="46"/>
      <c r="Y186" s="46"/>
      <c r="Z186" s="46"/>
      <c r="AA186" s="46"/>
      <c r="AB186" s="3"/>
    </row>
    <row r="187" spans="1:28" ht="3.9" customHeight="1" x14ac:dyDescent="0.25">
      <c r="A187" s="149">
        <f>1</f>
        <v>1</v>
      </c>
      <c r="B187" s="131"/>
      <c r="C187" s="2"/>
      <c r="D187" s="2"/>
      <c r="E187" s="2"/>
      <c r="F187" s="2"/>
      <c r="G187" s="2"/>
      <c r="H187" s="2"/>
      <c r="I187" s="28"/>
      <c r="J187" s="2"/>
      <c r="K187" s="28"/>
      <c r="L187" s="2"/>
      <c r="M187" s="52"/>
      <c r="N187" s="2"/>
      <c r="O187" s="2"/>
      <c r="P187" s="36"/>
      <c r="Q187" s="36"/>
      <c r="R187" s="36"/>
      <c r="S187" s="36"/>
      <c r="T187" s="36"/>
      <c r="U187" s="36"/>
      <c r="V187" s="36"/>
      <c r="W187" s="36"/>
      <c r="X187" s="36"/>
      <c r="Y187" s="36"/>
      <c r="Z187" s="36"/>
      <c r="AA187" s="36"/>
      <c r="AB187" s="2"/>
    </row>
    <row r="188" spans="1:28" ht="8.1" customHeight="1" x14ac:dyDescent="0.25">
      <c r="A188" s="149">
        <f>1</f>
        <v>1</v>
      </c>
      <c r="B188" s="131"/>
      <c r="C188" s="2"/>
      <c r="D188" s="2"/>
      <c r="E188" s="2"/>
      <c r="F188" s="2"/>
      <c r="G188" s="2"/>
      <c r="H188" s="2"/>
      <c r="I188" s="28"/>
      <c r="J188" s="2"/>
      <c r="K188" s="28"/>
      <c r="L188" s="2"/>
      <c r="M188" s="52"/>
      <c r="N188" s="2"/>
      <c r="O188" s="2"/>
      <c r="P188" s="36"/>
      <c r="Q188" s="36"/>
      <c r="R188" s="36"/>
      <c r="S188" s="36"/>
      <c r="T188" s="36"/>
      <c r="U188" s="36"/>
      <c r="V188" s="36"/>
      <c r="W188" s="36"/>
      <c r="X188" s="36"/>
      <c r="Y188" s="36"/>
      <c r="Z188" s="36"/>
      <c r="AA188" s="36"/>
      <c r="AB188" s="2"/>
    </row>
    <row r="189" spans="1:28" ht="3.9" customHeight="1" thickBot="1" x14ac:dyDescent="0.3">
      <c r="A189" s="149">
        <f>1</f>
        <v>1</v>
      </c>
      <c r="B189" s="131"/>
      <c r="C189" s="2"/>
      <c r="D189" s="2"/>
      <c r="E189" s="2"/>
      <c r="F189" s="2"/>
      <c r="G189" s="2"/>
      <c r="H189" s="2"/>
      <c r="I189" s="28"/>
      <c r="J189" s="2"/>
      <c r="K189" s="28"/>
      <c r="L189" s="2"/>
      <c r="M189" s="52"/>
      <c r="N189" s="2"/>
      <c r="O189" s="2"/>
      <c r="P189" s="36"/>
      <c r="Q189" s="36"/>
      <c r="R189" s="36"/>
      <c r="S189" s="36"/>
      <c r="T189" s="36"/>
      <c r="U189" s="36"/>
      <c r="V189" s="36"/>
      <c r="W189" s="36"/>
      <c r="X189" s="36"/>
      <c r="Y189" s="36"/>
      <c r="Z189" s="36"/>
      <c r="AA189" s="36"/>
      <c r="AB189" s="2"/>
    </row>
    <row r="190" spans="1:28" s="5" customFormat="1" ht="12.6" thickBot="1" x14ac:dyDescent="0.3">
      <c r="A190" s="150">
        <f>1</f>
        <v>1</v>
      </c>
      <c r="B190" s="129"/>
      <c r="C190" s="3"/>
      <c r="D190" s="3"/>
      <c r="E190" s="183" t="str">
        <f>KPI!$E$98</f>
        <v>Инвестиционные вложения</v>
      </c>
      <c r="F190" s="183"/>
      <c r="G190" s="183" t="str">
        <f>IF($E190="","",INDEX(KPI!$G:$G,SUMIFS(KPI!$B:$B,KPI!$E:$E,$E190)))</f>
        <v>тыс.руб.</v>
      </c>
      <c r="H190" s="183"/>
      <c r="I190" s="184"/>
      <c r="J190" s="183"/>
      <c r="K190" s="184"/>
      <c r="L190" s="183"/>
      <c r="M190" s="186">
        <f>капитал!$J$20+капитал!$M$102+капитал!$M$109</f>
        <v>28550.37484</v>
      </c>
      <c r="N190" s="3"/>
      <c r="O190" s="3"/>
      <c r="P190" s="46"/>
      <c r="Q190" s="46"/>
      <c r="R190" s="46"/>
      <c r="S190" s="46"/>
      <c r="T190" s="46"/>
      <c r="U190" s="46"/>
      <c r="V190" s="46"/>
      <c r="W190" s="46"/>
      <c r="X190" s="46"/>
      <c r="Y190" s="46"/>
      <c r="Z190" s="46"/>
      <c r="AA190" s="46"/>
      <c r="AB190" s="3"/>
    </row>
    <row r="191" spans="1:28" ht="3.9" customHeight="1" x14ac:dyDescent="0.25">
      <c r="A191" s="149">
        <f>1</f>
        <v>1</v>
      </c>
      <c r="B191" s="131"/>
      <c r="C191" s="2"/>
      <c r="D191" s="2"/>
      <c r="E191" s="140"/>
      <c r="F191" s="2"/>
      <c r="G191" s="140"/>
      <c r="H191" s="2"/>
      <c r="I191" s="28"/>
      <c r="J191" s="2"/>
      <c r="K191" s="28"/>
      <c r="L191" s="2"/>
      <c r="M191" s="141"/>
      <c r="N191" s="2"/>
      <c r="O191" s="2"/>
      <c r="P191" s="36"/>
      <c r="Q191" s="36"/>
      <c r="R191" s="36"/>
      <c r="S191" s="36"/>
      <c r="T191" s="36"/>
      <c r="U191" s="36"/>
      <c r="V191" s="36"/>
      <c r="W191" s="36"/>
      <c r="X191" s="36"/>
      <c r="Y191" s="36"/>
      <c r="Z191" s="36"/>
      <c r="AA191" s="36"/>
      <c r="AB191" s="2"/>
    </row>
    <row r="192" spans="1:28" ht="3.9" customHeight="1" x14ac:dyDescent="0.25">
      <c r="A192" s="149">
        <f>1</f>
        <v>1</v>
      </c>
      <c r="B192" s="131"/>
      <c r="C192" s="2"/>
      <c r="D192" s="2"/>
      <c r="E192" s="2"/>
      <c r="F192" s="2"/>
      <c r="G192" s="2"/>
      <c r="H192" s="2"/>
      <c r="I192" s="28"/>
      <c r="J192" s="2"/>
      <c r="K192" s="28"/>
      <c r="L192" s="2"/>
      <c r="M192" s="52"/>
      <c r="N192" s="2"/>
      <c r="O192" s="2"/>
      <c r="P192" s="36"/>
      <c r="Q192" s="36"/>
      <c r="R192" s="36"/>
      <c r="S192" s="36"/>
      <c r="T192" s="36"/>
      <c r="U192" s="36"/>
      <c r="V192" s="36"/>
      <c r="W192" s="36"/>
      <c r="X192" s="36"/>
      <c r="Y192" s="36"/>
      <c r="Z192" s="36"/>
      <c r="AA192" s="36"/>
      <c r="AB192" s="2"/>
    </row>
    <row r="193" spans="1:28" s="5" customFormat="1" x14ac:dyDescent="0.25">
      <c r="A193" s="150">
        <f>1</f>
        <v>1</v>
      </c>
      <c r="B193" s="129"/>
      <c r="C193" s="3"/>
      <c r="D193" s="3"/>
      <c r="E193" s="3" t="str">
        <f>KPI!$E$99</f>
        <v>Коэффициент дисконтиования</v>
      </c>
      <c r="F193" s="3"/>
      <c r="G193" s="3" t="str">
        <f>IF($E193="","",INDEX(KPI!$G:$G,SUMIFS(KPI!$B:$B,KPI!$E:$E,$E193)))</f>
        <v>%</v>
      </c>
      <c r="H193" s="3"/>
      <c r="I193" s="28"/>
      <c r="J193" s="3"/>
      <c r="K193" s="28"/>
      <c r="L193" s="3"/>
      <c r="M193" s="55"/>
      <c r="N193" s="3"/>
      <c r="O193" s="3"/>
      <c r="P193" s="185">
        <f>IF(P$1="",0,(1+опер1!P$370))</f>
        <v>1.1000000000000001</v>
      </c>
      <c r="Q193" s="185">
        <f>IF(Q$1="",0,P193*(1+опер1!Q$370))</f>
        <v>1.2100000000000002</v>
      </c>
      <c r="R193" s="185">
        <f>IF(R$1="",0,Q193*(1+опер1!R$370))</f>
        <v>1.3310000000000004</v>
      </c>
      <c r="S193" s="185">
        <f>IF(S$1="",0,R193*(1+опер1!S$370))</f>
        <v>1.4641000000000006</v>
      </c>
      <c r="T193" s="185">
        <f>IF(T$1="",0,S193*(1+опер1!T$370))</f>
        <v>1.6105100000000008</v>
      </c>
      <c r="U193" s="185">
        <f>IF(U$1="",0,T193*(1+опер1!U$370))</f>
        <v>1.7715610000000011</v>
      </c>
      <c r="V193" s="185">
        <f>IF(V$1="",0,U193*(1+опер1!V$370))</f>
        <v>1.9487171000000014</v>
      </c>
      <c r="W193" s="185">
        <f>IF(W$1="",0,V193*(1+опер1!W$370))</f>
        <v>0</v>
      </c>
      <c r="X193" s="185">
        <f>IF(X$1="",0,W193*(1+опер1!X$370))</f>
        <v>0</v>
      </c>
      <c r="Y193" s="185">
        <f>IF(Y$1="",0,X193*(1+опер1!Y$370))</f>
        <v>0</v>
      </c>
      <c r="Z193" s="185">
        <f>IF(Z$1="",0,Y193*(1+опер1!Z$370))</f>
        <v>0</v>
      </c>
      <c r="AA193" s="185">
        <f>IF(AA$1="",0,Z193*(1+опер1!AA$370))</f>
        <v>0</v>
      </c>
      <c r="AB193" s="3"/>
    </row>
    <row r="194" spans="1:28" s="5" customFormat="1" ht="3.9" customHeight="1" x14ac:dyDescent="0.25">
      <c r="A194" s="150">
        <f>1</f>
        <v>1</v>
      </c>
      <c r="B194" s="128"/>
      <c r="C194" s="3"/>
      <c r="D194" s="3"/>
      <c r="E194" s="3"/>
      <c r="F194" s="3"/>
      <c r="G194" s="3"/>
      <c r="H194" s="3"/>
      <c r="I194" s="28"/>
      <c r="J194" s="3"/>
      <c r="K194" s="28"/>
      <c r="L194" s="3"/>
      <c r="M194" s="55"/>
      <c r="N194" s="3"/>
      <c r="O194" s="3"/>
      <c r="P194" s="46"/>
      <c r="Q194" s="46"/>
      <c r="R194" s="46"/>
      <c r="S194" s="46"/>
      <c r="T194" s="46"/>
      <c r="U194" s="46"/>
      <c r="V194" s="46"/>
      <c r="W194" s="46"/>
      <c r="X194" s="46"/>
      <c r="Y194" s="46"/>
      <c r="Z194" s="46"/>
      <c r="AA194" s="46"/>
      <c r="AB194" s="3"/>
    </row>
    <row r="195" spans="1:28" ht="3.9" customHeight="1" x14ac:dyDescent="0.25">
      <c r="A195" s="149">
        <f>1</f>
        <v>1</v>
      </c>
      <c r="B195" s="131"/>
      <c r="C195" s="2"/>
      <c r="D195" s="2"/>
      <c r="E195" s="2"/>
      <c r="F195" s="2"/>
      <c r="G195" s="2"/>
      <c r="H195" s="2"/>
      <c r="I195" s="28"/>
      <c r="J195" s="2"/>
      <c r="K195" s="28"/>
      <c r="L195" s="2"/>
      <c r="M195" s="52"/>
      <c r="N195" s="2"/>
      <c r="O195" s="2"/>
      <c r="P195" s="36"/>
      <c r="Q195" s="36"/>
      <c r="R195" s="36"/>
      <c r="S195" s="36"/>
      <c r="T195" s="36"/>
      <c r="U195" s="36"/>
      <c r="V195" s="36"/>
      <c r="W195" s="36"/>
      <c r="X195" s="36"/>
      <c r="Y195" s="36"/>
      <c r="Z195" s="36"/>
      <c r="AA195" s="36"/>
      <c r="AB195" s="2"/>
    </row>
    <row r="196" spans="1:28" s="5" customFormat="1" x14ac:dyDescent="0.25">
      <c r="A196" s="150">
        <f>1</f>
        <v>1</v>
      </c>
      <c r="B196" s="129" t="str">
        <f>структура!$J$12</f>
        <v>ОСНО</v>
      </c>
      <c r="C196" s="3"/>
      <c r="D196" s="3"/>
      <c r="E196" s="146" t="str">
        <f>KPI!$E$100</f>
        <v>NPV(CF)</v>
      </c>
      <c r="F196" s="146"/>
      <c r="G196" s="146" t="str">
        <f>IF($E196="","",INDEX(KPI!$G:$G,SUMIFS(KPI!$B:$B,KPI!$E:$E,$E196)))</f>
        <v>тыс.руб.</v>
      </c>
      <c r="H196" s="146"/>
      <c r="I196" s="177"/>
      <c r="J196" s="146"/>
      <c r="K196" s="177"/>
      <c r="L196" s="146"/>
      <c r="M196" s="178">
        <f>SUM($O196:$AB196)</f>
        <v>33221.074070226001</v>
      </c>
      <c r="N196" s="3"/>
      <c r="O196" s="3"/>
      <c r="P196" s="179">
        <f>IF(P$1="",0,IF(P$193=0,0,P175/P$193))</f>
        <v>8165.7865950651494</v>
      </c>
      <c r="Q196" s="179">
        <f t="shared" ref="Q196:AA196" si="13">IF(Q$1="",0,IF(Q$193=0,0,Q175/Q$193))</f>
        <v>3893.1447652106781</v>
      </c>
      <c r="R196" s="179">
        <f t="shared" si="13"/>
        <v>4140.7794097418919</v>
      </c>
      <c r="S196" s="179">
        <f t="shared" si="13"/>
        <v>4014.6314205505055</v>
      </c>
      <c r="T196" s="179">
        <f t="shared" si="13"/>
        <v>4019.484778914466</v>
      </c>
      <c r="U196" s="179">
        <f t="shared" si="13"/>
        <v>4308.2396032375245</v>
      </c>
      <c r="V196" s="179">
        <f t="shared" si="13"/>
        <v>4679.0074975057851</v>
      </c>
      <c r="W196" s="179">
        <f t="shared" si="13"/>
        <v>0</v>
      </c>
      <c r="X196" s="179">
        <f t="shared" si="13"/>
        <v>0</v>
      </c>
      <c r="Y196" s="179">
        <f t="shared" si="13"/>
        <v>0</v>
      </c>
      <c r="Z196" s="179">
        <f t="shared" si="13"/>
        <v>0</v>
      </c>
      <c r="AA196" s="179">
        <f t="shared" si="13"/>
        <v>0</v>
      </c>
      <c r="AB196" s="3"/>
    </row>
    <row r="197" spans="1:28" s="5" customFormat="1" ht="3.9" customHeight="1" x14ac:dyDescent="0.25">
      <c r="A197" s="150">
        <f>1</f>
        <v>1</v>
      </c>
      <c r="B197" s="128"/>
      <c r="C197" s="3"/>
      <c r="D197" s="3"/>
      <c r="E197" s="3"/>
      <c r="F197" s="3"/>
      <c r="G197" s="3"/>
      <c r="H197" s="3"/>
      <c r="I197" s="28"/>
      <c r="J197" s="3"/>
      <c r="K197" s="28"/>
      <c r="L197" s="3"/>
      <c r="M197" s="55"/>
      <c r="N197" s="3"/>
      <c r="O197" s="3"/>
      <c r="P197" s="46"/>
      <c r="Q197" s="46"/>
      <c r="R197" s="46"/>
      <c r="S197" s="46"/>
      <c r="T197" s="46"/>
      <c r="U197" s="46"/>
      <c r="V197" s="46"/>
      <c r="W197" s="46"/>
      <c r="X197" s="46"/>
      <c r="Y197" s="46"/>
      <c r="Z197" s="46"/>
      <c r="AA197" s="46"/>
      <c r="AB197" s="3"/>
    </row>
    <row r="198" spans="1:28" s="5" customFormat="1" x14ac:dyDescent="0.25">
      <c r="A198" s="150">
        <f>1</f>
        <v>1</v>
      </c>
      <c r="B198" s="129" t="str">
        <f>структура!$J$13</f>
        <v>УСН(6%)</v>
      </c>
      <c r="C198" s="3"/>
      <c r="D198" s="3"/>
      <c r="E198" s="146" t="str">
        <f>E196</f>
        <v>NPV(CF)</v>
      </c>
      <c r="F198" s="146"/>
      <c r="G198" s="146" t="str">
        <f>IF($E198="","",INDEX(KPI!$G:$G,SUMIFS(KPI!$B:$B,KPI!$E:$E,$E198)))</f>
        <v>тыс.руб.</v>
      </c>
      <c r="H198" s="146"/>
      <c r="I198" s="177"/>
      <c r="J198" s="146"/>
      <c r="K198" s="177"/>
      <c r="L198" s="146"/>
      <c r="M198" s="178">
        <f>SUM($O198:$AB198)</f>
        <v>39471.89390836563</v>
      </c>
      <c r="N198" s="3"/>
      <c r="O198" s="3"/>
      <c r="P198" s="179">
        <f>IF(P$1="",0,IF(P$193=0,0,P177/P$193))</f>
        <v>5764.2146496106043</v>
      </c>
      <c r="Q198" s="179">
        <f t="shared" ref="Q198:AA198" si="14">IF(Q$1="",0,IF(Q$193=0,0,Q177/Q$193))</f>
        <v>5266.0671239308112</v>
      </c>
      <c r="R198" s="179">
        <f t="shared" si="14"/>
        <v>5509.4571363018931</v>
      </c>
      <c r="S198" s="179">
        <f t="shared" si="14"/>
        <v>5462.1829036179561</v>
      </c>
      <c r="T198" s="179">
        <f t="shared" si="14"/>
        <v>5467.4556463686686</v>
      </c>
      <c r="U198" s="179">
        <f t="shared" si="14"/>
        <v>5764.027499755719</v>
      </c>
      <c r="V198" s="179">
        <f t="shared" si="14"/>
        <v>6238.4889487799837</v>
      </c>
      <c r="W198" s="179">
        <f t="shared" si="14"/>
        <v>0</v>
      </c>
      <c r="X198" s="179">
        <f t="shared" si="14"/>
        <v>0</v>
      </c>
      <c r="Y198" s="179">
        <f t="shared" si="14"/>
        <v>0</v>
      </c>
      <c r="Z198" s="179">
        <f t="shared" si="14"/>
        <v>0</v>
      </c>
      <c r="AA198" s="179">
        <f t="shared" si="14"/>
        <v>0</v>
      </c>
      <c r="AB198" s="3"/>
    </row>
    <row r="199" spans="1:28" s="5" customFormat="1" ht="3.9" customHeight="1" x14ac:dyDescent="0.25">
      <c r="A199" s="150">
        <f>1</f>
        <v>1</v>
      </c>
      <c r="B199" s="128"/>
      <c r="C199" s="3"/>
      <c r="D199" s="3"/>
      <c r="E199" s="3"/>
      <c r="F199" s="3"/>
      <c r="G199" s="3"/>
      <c r="H199" s="3"/>
      <c r="I199" s="28"/>
      <c r="J199" s="3"/>
      <c r="K199" s="28"/>
      <c r="L199" s="3"/>
      <c r="M199" s="55"/>
      <c r="N199" s="3"/>
      <c r="O199" s="3"/>
      <c r="P199" s="46"/>
      <c r="Q199" s="46"/>
      <c r="R199" s="46"/>
      <c r="S199" s="46"/>
      <c r="T199" s="46"/>
      <c r="U199" s="46"/>
      <c r="V199" s="46"/>
      <c r="W199" s="46"/>
      <c r="X199" s="46"/>
      <c r="Y199" s="46"/>
      <c r="Z199" s="46"/>
      <c r="AA199" s="46"/>
      <c r="AB199" s="3"/>
    </row>
    <row r="200" spans="1:28" s="5" customFormat="1" x14ac:dyDescent="0.25">
      <c r="A200" s="150">
        <f>1</f>
        <v>1</v>
      </c>
      <c r="B200" s="129" t="str">
        <f>структура!$J$14</f>
        <v>УСН(15%)</v>
      </c>
      <c r="C200" s="3"/>
      <c r="D200" s="3"/>
      <c r="E200" s="146" t="str">
        <f>E196</f>
        <v>NPV(CF)</v>
      </c>
      <c r="F200" s="146"/>
      <c r="G200" s="146" t="str">
        <f>IF($E200="","",INDEX(KPI!$G:$G,SUMIFS(KPI!$B:$B,KPI!$E:$E,$E200)))</f>
        <v>тыс.руб.</v>
      </c>
      <c r="H200" s="146"/>
      <c r="I200" s="177"/>
      <c r="J200" s="146"/>
      <c r="K200" s="177"/>
      <c r="L200" s="146"/>
      <c r="M200" s="178">
        <f>SUM($O200:$AB200)</f>
        <v>36626.804941839488</v>
      </c>
      <c r="N200" s="3"/>
      <c r="O200" s="3"/>
      <c r="P200" s="179">
        <f>IF(P$1="",0,IF(P$193=0,0,P179/P$193))</f>
        <v>5764.2146496106043</v>
      </c>
      <c r="Q200" s="179">
        <f t="shared" ref="Q200:AA200" si="15">IF(Q$1="",0,IF(Q$193=0,0,Q179/Q$193))</f>
        <v>4840.9893730462118</v>
      </c>
      <c r="R200" s="179">
        <f t="shared" si="15"/>
        <v>5076.6205821543608</v>
      </c>
      <c r="S200" s="179">
        <f t="shared" si="15"/>
        <v>4988.1296224257958</v>
      </c>
      <c r="T200" s="179">
        <f t="shared" si="15"/>
        <v>4983.3895309568406</v>
      </c>
      <c r="U200" s="179">
        <f t="shared" si="15"/>
        <v>5270.0643186787447</v>
      </c>
      <c r="V200" s="179">
        <f t="shared" si="15"/>
        <v>5703.3968649669287</v>
      </c>
      <c r="W200" s="179">
        <f t="shared" si="15"/>
        <v>0</v>
      </c>
      <c r="X200" s="179">
        <f t="shared" si="15"/>
        <v>0</v>
      </c>
      <c r="Y200" s="179">
        <f t="shared" si="15"/>
        <v>0</v>
      </c>
      <c r="Z200" s="179">
        <f t="shared" si="15"/>
        <v>0</v>
      </c>
      <c r="AA200" s="179">
        <f t="shared" si="15"/>
        <v>0</v>
      </c>
      <c r="AB200" s="3"/>
    </row>
    <row r="201" spans="1:28" s="5" customFormat="1" ht="3.9" customHeight="1" x14ac:dyDescent="0.25">
      <c r="A201" s="150">
        <f>1</f>
        <v>1</v>
      </c>
      <c r="B201" s="128"/>
      <c r="C201" s="3"/>
      <c r="D201" s="3"/>
      <c r="E201" s="3"/>
      <c r="F201" s="3"/>
      <c r="G201" s="3"/>
      <c r="H201" s="3"/>
      <c r="I201" s="28"/>
      <c r="J201" s="3"/>
      <c r="K201" s="28"/>
      <c r="L201" s="3"/>
      <c r="M201" s="55"/>
      <c r="N201" s="3"/>
      <c r="O201" s="3"/>
      <c r="P201" s="46"/>
      <c r="Q201" s="46"/>
      <c r="R201" s="46"/>
      <c r="S201" s="46"/>
      <c r="T201" s="46"/>
      <c r="U201" s="46"/>
      <c r="V201" s="46"/>
      <c r="W201" s="46"/>
      <c r="X201" s="46"/>
      <c r="Y201" s="46"/>
      <c r="Z201" s="46"/>
      <c r="AA201" s="46"/>
      <c r="AB201" s="3"/>
    </row>
    <row r="202" spans="1:28" s="5" customFormat="1" x14ac:dyDescent="0.25">
      <c r="A202" s="150">
        <f>1</f>
        <v>1</v>
      </c>
      <c r="B202" s="129" t="str">
        <f>структура!$J$15</f>
        <v>УСН(6%)-ИП</v>
      </c>
      <c r="C202" s="3"/>
      <c r="D202" s="3"/>
      <c r="E202" s="146" t="str">
        <f>E196</f>
        <v>NPV(CF)</v>
      </c>
      <c r="F202" s="146"/>
      <c r="G202" s="146" t="str">
        <f>IF($E202="","",INDEX(KPI!$G:$G,SUMIFS(KPI!$B:$B,KPI!$E:$E,$E202)))</f>
        <v>тыс.руб.</v>
      </c>
      <c r="H202" s="146"/>
      <c r="I202" s="177"/>
      <c r="J202" s="146"/>
      <c r="K202" s="177"/>
      <c r="L202" s="146"/>
      <c r="M202" s="178">
        <f>SUM($O202:$AB202)</f>
        <v>40783.098720431852</v>
      </c>
      <c r="N202" s="3"/>
      <c r="O202" s="3"/>
      <c r="P202" s="179">
        <f>IF(P$1="",0,IF(P$193=0,0,P181/P$193))</f>
        <v>5764.2146496106043</v>
      </c>
      <c r="Q202" s="179">
        <f t="shared" ref="Q202:AA202" si="16">IF(Q$1="",0,IF(Q$193=0,0,Q181/Q$193))</f>
        <v>5616.7547558443521</v>
      </c>
      <c r="R202" s="179">
        <f t="shared" si="16"/>
        <v>5842.5416852240451</v>
      </c>
      <c r="S202" s="179">
        <f t="shared" si="16"/>
        <v>5784.8398522290736</v>
      </c>
      <c r="T202" s="179">
        <f t="shared" si="16"/>
        <v>5772.2313289880776</v>
      </c>
      <c r="U202" s="179">
        <f t="shared" si="16"/>
        <v>5764.027499755719</v>
      </c>
      <c r="V202" s="179">
        <f t="shared" si="16"/>
        <v>6238.4889487799837</v>
      </c>
      <c r="W202" s="179">
        <f t="shared" si="16"/>
        <v>0</v>
      </c>
      <c r="X202" s="179">
        <f t="shared" si="16"/>
        <v>0</v>
      </c>
      <c r="Y202" s="179">
        <f t="shared" si="16"/>
        <v>0</v>
      </c>
      <c r="Z202" s="179">
        <f t="shared" si="16"/>
        <v>0</v>
      </c>
      <c r="AA202" s="179">
        <f t="shared" si="16"/>
        <v>0</v>
      </c>
      <c r="AB202" s="3"/>
    </row>
    <row r="203" spans="1:28" ht="3.9" customHeight="1" x14ac:dyDescent="0.25">
      <c r="A203" s="149">
        <f>1</f>
        <v>1</v>
      </c>
      <c r="B203" s="131"/>
      <c r="C203" s="2"/>
      <c r="D203" s="2"/>
      <c r="E203" s="119"/>
      <c r="F203" s="2"/>
      <c r="G203" s="119"/>
      <c r="H203" s="2"/>
      <c r="I203" s="28"/>
      <c r="J203" s="2"/>
      <c r="K203" s="28"/>
      <c r="L203" s="2"/>
      <c r="M203" s="142"/>
      <c r="N203" s="2"/>
      <c r="O203" s="2"/>
      <c r="P203" s="36"/>
      <c r="Q203" s="36"/>
      <c r="R203" s="36"/>
      <c r="S203" s="36"/>
      <c r="T203" s="36"/>
      <c r="U203" s="36"/>
      <c r="V203" s="36"/>
      <c r="W203" s="36"/>
      <c r="X203" s="36"/>
      <c r="Y203" s="36"/>
      <c r="Z203" s="36"/>
      <c r="AA203" s="36"/>
      <c r="AB203" s="2"/>
    </row>
    <row r="204" spans="1:28" ht="8.1" customHeight="1" x14ac:dyDescent="0.25">
      <c r="A204" s="149">
        <f>1</f>
        <v>1</v>
      </c>
      <c r="B204" s="131"/>
      <c r="C204" s="2"/>
      <c r="D204" s="2"/>
      <c r="E204" s="2"/>
      <c r="F204" s="2"/>
      <c r="G204" s="2"/>
      <c r="H204" s="2"/>
      <c r="I204" s="28"/>
      <c r="J204" s="2"/>
      <c r="K204" s="28"/>
      <c r="L204" s="2"/>
      <c r="M204" s="52"/>
      <c r="N204" s="2"/>
      <c r="O204" s="2"/>
      <c r="P204" s="36"/>
      <c r="Q204" s="36"/>
      <c r="R204" s="36"/>
      <c r="S204" s="36"/>
      <c r="T204" s="36"/>
      <c r="U204" s="36"/>
      <c r="V204" s="36"/>
      <c r="W204" s="36"/>
      <c r="X204" s="36"/>
      <c r="Y204" s="36"/>
      <c r="Z204" s="36"/>
      <c r="AA204" s="36"/>
      <c r="AB204" s="2"/>
    </row>
    <row r="205" spans="1:28" ht="3.9" customHeight="1" x14ac:dyDescent="0.25">
      <c r="A205" s="149">
        <f>1</f>
        <v>1</v>
      </c>
      <c r="B205" s="131"/>
      <c r="C205" s="2"/>
      <c r="D205" s="2"/>
      <c r="E205" s="2"/>
      <c r="F205" s="2"/>
      <c r="G205" s="2"/>
      <c r="H205" s="2"/>
      <c r="I205" s="28"/>
      <c r="J205" s="2"/>
      <c r="K205" s="28"/>
      <c r="L205" s="2"/>
      <c r="M205" s="52"/>
      <c r="N205" s="2"/>
      <c r="O205" s="2"/>
      <c r="P205" s="36"/>
      <c r="Q205" s="36"/>
      <c r="R205" s="36"/>
      <c r="S205" s="36"/>
      <c r="T205" s="36"/>
      <c r="U205" s="36"/>
      <c r="V205" s="36"/>
      <c r="W205" s="36"/>
      <c r="X205" s="36"/>
      <c r="Y205" s="36"/>
      <c r="Z205" s="36"/>
      <c r="AA205" s="36"/>
      <c r="AB205" s="2"/>
    </row>
    <row r="206" spans="1:28" s="5" customFormat="1" x14ac:dyDescent="0.25">
      <c r="A206" s="150">
        <f>1</f>
        <v>1</v>
      </c>
      <c r="B206" s="129" t="str">
        <f>структура!$J$12</f>
        <v>ОСНО</v>
      </c>
      <c r="C206" s="3"/>
      <c r="D206" s="3"/>
      <c r="E206" s="147" t="str">
        <f>KPI!$E$101</f>
        <v>NPV(CF)-Inv</v>
      </c>
      <c r="F206" s="147"/>
      <c r="G206" s="147" t="str">
        <f>IF($E206="","",INDEX(KPI!$G:$G,SUMIFS(KPI!$B:$B,KPI!$E:$E,$E206)))</f>
        <v>тыс.руб.</v>
      </c>
      <c r="H206" s="147"/>
      <c r="I206" s="170"/>
      <c r="J206" s="147"/>
      <c r="K206" s="170"/>
      <c r="L206" s="147"/>
      <c r="M206" s="171">
        <f>M196-M$190</f>
        <v>4670.6992302260005</v>
      </c>
      <c r="N206" s="3"/>
      <c r="O206" s="3"/>
      <c r="P206" s="46"/>
      <c r="Q206" s="46"/>
      <c r="R206" s="46"/>
      <c r="S206" s="46"/>
      <c r="T206" s="46"/>
      <c r="U206" s="46"/>
      <c r="V206" s="46"/>
      <c r="W206" s="46"/>
      <c r="X206" s="46"/>
      <c r="Y206" s="46"/>
      <c r="Z206" s="46"/>
      <c r="AA206" s="46"/>
      <c r="AB206" s="3"/>
    </row>
    <row r="207" spans="1:28" s="5" customFormat="1" ht="3.9" customHeight="1" x14ac:dyDescent="0.25">
      <c r="A207" s="150">
        <f>1</f>
        <v>1</v>
      </c>
      <c r="B207" s="128"/>
      <c r="C207" s="3"/>
      <c r="D207" s="3"/>
      <c r="E207" s="3"/>
      <c r="F207" s="3"/>
      <c r="G207" s="3"/>
      <c r="H207" s="3"/>
      <c r="I207" s="28"/>
      <c r="J207" s="3"/>
      <c r="K207" s="28"/>
      <c r="L207" s="3"/>
      <c r="M207" s="55"/>
      <c r="N207" s="3"/>
      <c r="O207" s="3"/>
      <c r="P207" s="46"/>
      <c r="Q207" s="46"/>
      <c r="R207" s="46"/>
      <c r="S207" s="46"/>
      <c r="T207" s="46"/>
      <c r="U207" s="46"/>
      <c r="V207" s="46"/>
      <c r="W207" s="46"/>
      <c r="X207" s="46"/>
      <c r="Y207" s="46"/>
      <c r="Z207" s="46"/>
      <c r="AA207" s="46"/>
      <c r="AB207" s="3"/>
    </row>
    <row r="208" spans="1:28" s="5" customFormat="1" x14ac:dyDescent="0.25">
      <c r="A208" s="150">
        <f>1</f>
        <v>1</v>
      </c>
      <c r="B208" s="129" t="str">
        <f>структура!$J$13</f>
        <v>УСН(6%)</v>
      </c>
      <c r="C208" s="3"/>
      <c r="D208" s="3"/>
      <c r="E208" s="147" t="str">
        <f>E206</f>
        <v>NPV(CF)-Inv</v>
      </c>
      <c r="F208" s="147"/>
      <c r="G208" s="147" t="str">
        <f>IF($E208="","",INDEX(KPI!$G:$G,SUMIFS(KPI!$B:$B,KPI!$E:$E,$E208)))</f>
        <v>тыс.руб.</v>
      </c>
      <c r="H208" s="147"/>
      <c r="I208" s="170"/>
      <c r="J208" s="147"/>
      <c r="K208" s="170"/>
      <c r="L208" s="147"/>
      <c r="M208" s="171">
        <f>M198-M$190</f>
        <v>10921.519068365629</v>
      </c>
      <c r="N208" s="3"/>
      <c r="O208" s="3"/>
      <c r="P208" s="46"/>
      <c r="Q208" s="46"/>
      <c r="R208" s="46"/>
      <c r="S208" s="46"/>
      <c r="T208" s="46"/>
      <c r="U208" s="46"/>
      <c r="V208" s="46"/>
      <c r="W208" s="46"/>
      <c r="X208" s="46"/>
      <c r="Y208" s="46"/>
      <c r="Z208" s="46"/>
      <c r="AA208" s="46"/>
      <c r="AB208" s="3"/>
    </row>
    <row r="209" spans="1:28" s="5" customFormat="1" ht="3.9" customHeight="1" x14ac:dyDescent="0.25">
      <c r="A209" s="150">
        <f>1</f>
        <v>1</v>
      </c>
      <c r="B209" s="128"/>
      <c r="C209" s="3"/>
      <c r="D209" s="3"/>
      <c r="E209" s="3"/>
      <c r="F209" s="3"/>
      <c r="G209" s="3"/>
      <c r="H209" s="3"/>
      <c r="I209" s="28"/>
      <c r="J209" s="3"/>
      <c r="K209" s="28"/>
      <c r="L209" s="3"/>
      <c r="M209" s="55"/>
      <c r="N209" s="3"/>
      <c r="O209" s="3"/>
      <c r="P209" s="46"/>
      <c r="Q209" s="46"/>
      <c r="R209" s="46"/>
      <c r="S209" s="46"/>
      <c r="T209" s="46"/>
      <c r="U209" s="46"/>
      <c r="V209" s="46"/>
      <c r="W209" s="46"/>
      <c r="X209" s="46"/>
      <c r="Y209" s="46"/>
      <c r="Z209" s="46"/>
      <c r="AA209" s="46"/>
      <c r="AB209" s="3"/>
    </row>
    <row r="210" spans="1:28" s="5" customFormat="1" x14ac:dyDescent="0.25">
      <c r="A210" s="150">
        <f>1</f>
        <v>1</v>
      </c>
      <c r="B210" s="129" t="str">
        <f>структура!$J$14</f>
        <v>УСН(15%)</v>
      </c>
      <c r="C210" s="3"/>
      <c r="D210" s="3"/>
      <c r="E210" s="147" t="str">
        <f>E206</f>
        <v>NPV(CF)-Inv</v>
      </c>
      <c r="F210" s="147"/>
      <c r="G210" s="147" t="str">
        <f>IF($E210="","",INDEX(KPI!$G:$G,SUMIFS(KPI!$B:$B,KPI!$E:$E,$E210)))</f>
        <v>тыс.руб.</v>
      </c>
      <c r="H210" s="147"/>
      <c r="I210" s="170"/>
      <c r="J210" s="147"/>
      <c r="K210" s="170"/>
      <c r="L210" s="147"/>
      <c r="M210" s="171">
        <f>M200-M$190</f>
        <v>8076.4301018394872</v>
      </c>
      <c r="N210" s="3"/>
      <c r="O210" s="3"/>
      <c r="P210" s="46"/>
      <c r="Q210" s="46"/>
      <c r="R210" s="46"/>
      <c r="S210" s="46"/>
      <c r="T210" s="46"/>
      <c r="U210" s="46"/>
      <c r="V210" s="46"/>
      <c r="W210" s="46"/>
      <c r="X210" s="46"/>
      <c r="Y210" s="46"/>
      <c r="Z210" s="46"/>
      <c r="AA210" s="46"/>
      <c r="AB210" s="3"/>
    </row>
    <row r="211" spans="1:28" s="5" customFormat="1" ht="3.9" customHeight="1" x14ac:dyDescent="0.25">
      <c r="A211" s="150">
        <f>1</f>
        <v>1</v>
      </c>
      <c r="B211" s="128"/>
      <c r="C211" s="3"/>
      <c r="D211" s="3"/>
      <c r="E211" s="3"/>
      <c r="F211" s="3"/>
      <c r="G211" s="3"/>
      <c r="H211" s="3"/>
      <c r="I211" s="28"/>
      <c r="J211" s="3"/>
      <c r="K211" s="28"/>
      <c r="L211" s="3"/>
      <c r="M211" s="55"/>
      <c r="N211" s="3"/>
      <c r="O211" s="3"/>
      <c r="P211" s="46"/>
      <c r="Q211" s="46"/>
      <c r="R211" s="46"/>
      <c r="S211" s="46"/>
      <c r="T211" s="46"/>
      <c r="U211" s="46"/>
      <c r="V211" s="46"/>
      <c r="W211" s="46"/>
      <c r="X211" s="46"/>
      <c r="Y211" s="46"/>
      <c r="Z211" s="46"/>
      <c r="AA211" s="46"/>
      <c r="AB211" s="3"/>
    </row>
    <row r="212" spans="1:28" s="5" customFormat="1" x14ac:dyDescent="0.25">
      <c r="A212" s="150">
        <f>1</f>
        <v>1</v>
      </c>
      <c r="B212" s="129" t="str">
        <f>структура!$J$15</f>
        <v>УСН(6%)-ИП</v>
      </c>
      <c r="C212" s="3"/>
      <c r="D212" s="3"/>
      <c r="E212" s="147" t="str">
        <f>E206</f>
        <v>NPV(CF)-Inv</v>
      </c>
      <c r="F212" s="147"/>
      <c r="G212" s="147" t="str">
        <f>IF($E212="","",INDEX(KPI!$G:$G,SUMIFS(KPI!$B:$B,KPI!$E:$E,$E212)))</f>
        <v>тыс.руб.</v>
      </c>
      <c r="H212" s="147"/>
      <c r="I212" s="170"/>
      <c r="J212" s="147"/>
      <c r="K212" s="170"/>
      <c r="L212" s="147"/>
      <c r="M212" s="171">
        <f>M202-M$190</f>
        <v>12232.723880431851</v>
      </c>
      <c r="N212" s="3"/>
      <c r="O212" s="3"/>
      <c r="P212" s="46"/>
      <c r="Q212" s="46"/>
      <c r="R212" s="46"/>
      <c r="S212" s="46"/>
      <c r="T212" s="46"/>
      <c r="U212" s="46"/>
      <c r="V212" s="46"/>
      <c r="W212" s="46"/>
      <c r="X212" s="46"/>
      <c r="Y212" s="46"/>
      <c r="Z212" s="46"/>
      <c r="AA212" s="46"/>
      <c r="AB212" s="3"/>
    </row>
    <row r="213" spans="1:28" ht="3.9" customHeight="1" x14ac:dyDescent="0.25">
      <c r="A213" s="149">
        <f>1</f>
        <v>1</v>
      </c>
      <c r="B213" s="131"/>
      <c r="C213" s="2"/>
      <c r="D213" s="2"/>
      <c r="E213" s="117"/>
      <c r="F213" s="2"/>
      <c r="G213" s="117"/>
      <c r="H213" s="2"/>
      <c r="I213" s="28"/>
      <c r="J213" s="2"/>
      <c r="K213" s="28"/>
      <c r="L213" s="2"/>
      <c r="M213" s="138"/>
      <c r="N213" s="2"/>
      <c r="O213" s="2"/>
      <c r="P213" s="36"/>
      <c r="Q213" s="36"/>
      <c r="R213" s="36"/>
      <c r="S213" s="36"/>
      <c r="T213" s="36"/>
      <c r="U213" s="36"/>
      <c r="V213" s="36"/>
      <c r="W213" s="36"/>
      <c r="X213" s="36"/>
      <c r="Y213" s="36"/>
      <c r="Z213" s="36"/>
      <c r="AA213" s="36"/>
      <c r="AB213" s="2"/>
    </row>
    <row r="214" spans="1:28" ht="8.1" customHeight="1" x14ac:dyDescent="0.25">
      <c r="A214" s="149">
        <f>1</f>
        <v>1</v>
      </c>
      <c r="B214" s="131"/>
      <c r="C214" s="2"/>
      <c r="D214" s="2"/>
      <c r="E214" s="2"/>
      <c r="F214" s="2"/>
      <c r="G214" s="2"/>
      <c r="H214" s="2"/>
      <c r="I214" s="28"/>
      <c r="J214" s="2"/>
      <c r="K214" s="28"/>
      <c r="L214" s="2"/>
      <c r="M214" s="52"/>
      <c r="N214" s="2"/>
      <c r="O214" s="2"/>
      <c r="P214" s="36"/>
      <c r="Q214" s="36"/>
      <c r="R214" s="36"/>
      <c r="S214" s="36"/>
      <c r="T214" s="36"/>
      <c r="U214" s="36"/>
      <c r="V214" s="36"/>
      <c r="W214" s="36"/>
      <c r="X214" s="36"/>
      <c r="Y214" s="36"/>
      <c r="Z214" s="36"/>
      <c r="AA214" s="36"/>
      <c r="AB214" s="2"/>
    </row>
    <row r="215" spans="1:28" ht="3.9" customHeight="1" x14ac:dyDescent="0.25">
      <c r="A215" s="149">
        <f>1</f>
        <v>1</v>
      </c>
      <c r="B215" s="131"/>
      <c r="C215" s="2"/>
      <c r="D215" s="2"/>
      <c r="E215" s="2"/>
      <c r="F215" s="2"/>
      <c r="G215" s="2"/>
      <c r="H215" s="2"/>
      <c r="I215" s="28"/>
      <c r="J215" s="2"/>
      <c r="K215" s="28"/>
      <c r="L215" s="2"/>
      <c r="M215" s="52"/>
      <c r="N215" s="2"/>
      <c r="O215" s="2"/>
      <c r="P215" s="36"/>
      <c r="Q215" s="36"/>
      <c r="R215" s="36"/>
      <c r="S215" s="36"/>
      <c r="T215" s="36"/>
      <c r="U215" s="36"/>
      <c r="V215" s="36"/>
      <c r="W215" s="36"/>
      <c r="X215" s="36"/>
      <c r="Y215" s="36"/>
      <c r="Z215" s="36"/>
      <c r="AA215" s="36"/>
      <c r="AB215" s="2"/>
    </row>
    <row r="216" spans="1:28" s="5" customFormat="1" x14ac:dyDescent="0.25">
      <c r="A216" s="150">
        <f>1</f>
        <v>1</v>
      </c>
      <c r="B216" s="129" t="str">
        <f>структура!$J$12</f>
        <v>ОСНО</v>
      </c>
      <c r="C216" s="3"/>
      <c r="D216" s="3"/>
      <c r="E216" s="147" t="str">
        <f>KPI!$E$102</f>
        <v>PI</v>
      </c>
      <c r="F216" s="147"/>
      <c r="G216" s="147" t="str">
        <f>IF($E216="","",INDEX(KPI!$G:$G,SUMIFS(KPI!$B:$B,KPI!$E:$E,$E216)))</f>
        <v>разы</v>
      </c>
      <c r="H216" s="147"/>
      <c r="I216" s="170"/>
      <c r="J216" s="147"/>
      <c r="K216" s="170"/>
      <c r="L216" s="147"/>
      <c r="M216" s="187">
        <f>IF(M$190=0,0,M196/M$190)</f>
        <v>1.163595023056657</v>
      </c>
      <c r="N216" s="3"/>
      <c r="O216" s="3"/>
      <c r="P216" s="46"/>
      <c r="Q216" s="46"/>
      <c r="R216" s="46"/>
      <c r="S216" s="46"/>
      <c r="T216" s="46"/>
      <c r="U216" s="46"/>
      <c r="V216" s="46"/>
      <c r="W216" s="46"/>
      <c r="X216" s="46"/>
      <c r="Y216" s="46"/>
      <c r="Z216" s="46"/>
      <c r="AA216" s="46"/>
      <c r="AB216" s="3"/>
    </row>
    <row r="217" spans="1:28" s="5" customFormat="1" ht="3.9" customHeight="1" x14ac:dyDescent="0.25">
      <c r="A217" s="150">
        <f>1</f>
        <v>1</v>
      </c>
      <c r="B217" s="128"/>
      <c r="C217" s="3"/>
      <c r="D217" s="3"/>
      <c r="E217" s="3"/>
      <c r="F217" s="3"/>
      <c r="G217" s="3"/>
      <c r="H217" s="3"/>
      <c r="I217" s="28"/>
      <c r="J217" s="3"/>
      <c r="K217" s="28"/>
      <c r="L217" s="3"/>
      <c r="M217" s="55"/>
      <c r="N217" s="3"/>
      <c r="O217" s="3"/>
      <c r="P217" s="46"/>
      <c r="Q217" s="46"/>
      <c r="R217" s="46"/>
      <c r="S217" s="46"/>
      <c r="T217" s="46"/>
      <c r="U217" s="46"/>
      <c r="V217" s="46"/>
      <c r="W217" s="46"/>
      <c r="X217" s="46"/>
      <c r="Y217" s="46"/>
      <c r="Z217" s="46"/>
      <c r="AA217" s="46"/>
      <c r="AB217" s="3"/>
    </row>
    <row r="218" spans="1:28" s="5" customFormat="1" x14ac:dyDescent="0.25">
      <c r="A218" s="150">
        <f>1</f>
        <v>1</v>
      </c>
      <c r="B218" s="129" t="str">
        <f>структура!$J$13</f>
        <v>УСН(6%)</v>
      </c>
      <c r="C218" s="3"/>
      <c r="D218" s="3"/>
      <c r="E218" s="147" t="str">
        <f>E216</f>
        <v>PI</v>
      </c>
      <c r="F218" s="147"/>
      <c r="G218" s="147" t="str">
        <f>IF($E218="","",INDEX(KPI!$G:$G,SUMIFS(KPI!$B:$B,KPI!$E:$E,$E218)))</f>
        <v>разы</v>
      </c>
      <c r="H218" s="147"/>
      <c r="I218" s="170"/>
      <c r="J218" s="147"/>
      <c r="K218" s="170"/>
      <c r="L218" s="147"/>
      <c r="M218" s="187">
        <f>IF(M$190=0,0,M198/M$190)</f>
        <v>1.3825350500499989</v>
      </c>
      <c r="N218" s="3"/>
      <c r="O218" s="3"/>
      <c r="P218" s="46"/>
      <c r="Q218" s="46"/>
      <c r="R218" s="46"/>
      <c r="S218" s="46"/>
      <c r="T218" s="46"/>
      <c r="U218" s="46"/>
      <c r="V218" s="46"/>
      <c r="W218" s="46"/>
      <c r="X218" s="46"/>
      <c r="Y218" s="46"/>
      <c r="Z218" s="46"/>
      <c r="AA218" s="46"/>
      <c r="AB218" s="3"/>
    </row>
    <row r="219" spans="1:28" s="5" customFormat="1" ht="3.9" customHeight="1" x14ac:dyDescent="0.25">
      <c r="A219" s="150">
        <f>1</f>
        <v>1</v>
      </c>
      <c r="B219" s="128"/>
      <c r="C219" s="3"/>
      <c r="D219" s="3"/>
      <c r="E219" s="3"/>
      <c r="F219" s="3"/>
      <c r="G219" s="3"/>
      <c r="H219" s="3"/>
      <c r="I219" s="28"/>
      <c r="J219" s="3"/>
      <c r="K219" s="28"/>
      <c r="L219" s="3"/>
      <c r="M219" s="55"/>
      <c r="N219" s="3"/>
      <c r="O219" s="3"/>
      <c r="P219" s="46"/>
      <c r="Q219" s="46"/>
      <c r="R219" s="46"/>
      <c r="S219" s="46"/>
      <c r="T219" s="46"/>
      <c r="U219" s="46"/>
      <c r="V219" s="46"/>
      <c r="W219" s="46"/>
      <c r="X219" s="46"/>
      <c r="Y219" s="46"/>
      <c r="Z219" s="46"/>
      <c r="AA219" s="46"/>
      <c r="AB219" s="3"/>
    </row>
    <row r="220" spans="1:28" s="5" customFormat="1" x14ac:dyDescent="0.25">
      <c r="A220" s="150">
        <f>1</f>
        <v>1</v>
      </c>
      <c r="B220" s="129" t="str">
        <f>структура!$J$14</f>
        <v>УСН(15%)</v>
      </c>
      <c r="C220" s="3"/>
      <c r="D220" s="3"/>
      <c r="E220" s="147" t="str">
        <f>E216</f>
        <v>PI</v>
      </c>
      <c r="F220" s="147"/>
      <c r="G220" s="147" t="str">
        <f>IF($E220="","",INDEX(KPI!$G:$G,SUMIFS(KPI!$B:$B,KPI!$E:$E,$E220)))</f>
        <v>разы</v>
      </c>
      <c r="H220" s="147"/>
      <c r="I220" s="170"/>
      <c r="J220" s="147"/>
      <c r="K220" s="170"/>
      <c r="L220" s="147"/>
      <c r="M220" s="187">
        <f>IF(M$190=0,0,M200/M$190)</f>
        <v>1.2828835049312259</v>
      </c>
      <c r="N220" s="3"/>
      <c r="O220" s="3"/>
      <c r="P220" s="46"/>
      <c r="Q220" s="46"/>
      <c r="R220" s="46"/>
      <c r="S220" s="46"/>
      <c r="T220" s="46"/>
      <c r="U220" s="46"/>
      <c r="V220" s="46"/>
      <c r="W220" s="46"/>
      <c r="X220" s="46"/>
      <c r="Y220" s="46"/>
      <c r="Z220" s="46"/>
      <c r="AA220" s="46"/>
      <c r="AB220" s="3"/>
    </row>
    <row r="221" spans="1:28" s="5" customFormat="1" ht="3.9" customHeight="1" x14ac:dyDescent="0.25">
      <c r="A221" s="150">
        <f>1</f>
        <v>1</v>
      </c>
      <c r="B221" s="128"/>
      <c r="C221" s="3"/>
      <c r="D221" s="3"/>
      <c r="E221" s="3"/>
      <c r="F221" s="3"/>
      <c r="G221" s="3"/>
      <c r="H221" s="3"/>
      <c r="I221" s="28"/>
      <c r="J221" s="3"/>
      <c r="K221" s="28"/>
      <c r="L221" s="3"/>
      <c r="M221" s="55"/>
      <c r="N221" s="3"/>
      <c r="O221" s="3"/>
      <c r="P221" s="46"/>
      <c r="Q221" s="46"/>
      <c r="R221" s="46"/>
      <c r="S221" s="46"/>
      <c r="T221" s="46"/>
      <c r="U221" s="46"/>
      <c r="V221" s="46"/>
      <c r="W221" s="46"/>
      <c r="X221" s="46"/>
      <c r="Y221" s="46"/>
      <c r="Z221" s="46"/>
      <c r="AA221" s="46"/>
      <c r="AB221" s="3"/>
    </row>
    <row r="222" spans="1:28" s="5" customFormat="1" x14ac:dyDescent="0.25">
      <c r="A222" s="150">
        <f>1</f>
        <v>1</v>
      </c>
      <c r="B222" s="129" t="str">
        <f>структура!$J$15</f>
        <v>УСН(6%)-ИП</v>
      </c>
      <c r="C222" s="3"/>
      <c r="D222" s="3"/>
      <c r="E222" s="147" t="str">
        <f>E216</f>
        <v>PI</v>
      </c>
      <c r="F222" s="147"/>
      <c r="G222" s="147" t="str">
        <f>IF($E222="","",INDEX(KPI!$G:$G,SUMIFS(KPI!$B:$B,KPI!$E:$E,$E222)))</f>
        <v>разы</v>
      </c>
      <c r="H222" s="147"/>
      <c r="I222" s="170"/>
      <c r="J222" s="147"/>
      <c r="K222" s="170"/>
      <c r="L222" s="147"/>
      <c r="M222" s="187">
        <f>IF(M$190=0,0,M202/M$190)</f>
        <v>1.428461060458422</v>
      </c>
      <c r="N222" s="3"/>
      <c r="O222" s="3"/>
      <c r="P222" s="46"/>
      <c r="Q222" s="46"/>
      <c r="R222" s="46"/>
      <c r="S222" s="46"/>
      <c r="T222" s="46"/>
      <c r="U222" s="46"/>
      <c r="V222" s="46"/>
      <c r="W222" s="46"/>
      <c r="X222" s="46"/>
      <c r="Y222" s="46"/>
      <c r="Z222" s="46"/>
      <c r="AA222" s="46"/>
      <c r="AB222" s="3"/>
    </row>
    <row r="223" spans="1:28" ht="3.9" customHeight="1" x14ac:dyDescent="0.25">
      <c r="A223" s="149">
        <f>1</f>
        <v>1</v>
      </c>
      <c r="B223" s="131"/>
      <c r="C223" s="2"/>
      <c r="D223" s="2"/>
      <c r="E223" s="117"/>
      <c r="F223" s="2"/>
      <c r="G223" s="117"/>
      <c r="H223" s="2"/>
      <c r="I223" s="28"/>
      <c r="J223" s="2"/>
      <c r="K223" s="28"/>
      <c r="L223" s="2"/>
      <c r="M223" s="138"/>
      <c r="N223" s="2"/>
      <c r="O223" s="2"/>
      <c r="P223" s="36"/>
      <c r="Q223" s="36"/>
      <c r="R223" s="36"/>
      <c r="S223" s="36"/>
      <c r="T223" s="36"/>
      <c r="U223" s="36"/>
      <c r="V223" s="36"/>
      <c r="W223" s="36"/>
      <c r="X223" s="36"/>
      <c r="Y223" s="36"/>
      <c r="Z223" s="36"/>
      <c r="AA223" s="36"/>
      <c r="AB223" s="2"/>
    </row>
    <row r="224" spans="1:28" ht="8.1" customHeight="1" x14ac:dyDescent="0.25">
      <c r="A224" s="149">
        <f>1</f>
        <v>1</v>
      </c>
      <c r="B224" s="131"/>
      <c r="C224" s="2"/>
      <c r="D224" s="2"/>
      <c r="E224" s="2"/>
      <c r="F224" s="2"/>
      <c r="G224" s="2"/>
      <c r="H224" s="2"/>
      <c r="I224" s="28"/>
      <c r="J224" s="2"/>
      <c r="K224" s="28"/>
      <c r="L224" s="2"/>
      <c r="M224" s="52"/>
      <c r="N224" s="2"/>
      <c r="O224" s="2"/>
      <c r="P224" s="36"/>
      <c r="Q224" s="36"/>
      <c r="R224" s="36"/>
      <c r="S224" s="36"/>
      <c r="T224" s="36"/>
      <c r="U224" s="36"/>
      <c r="V224" s="36"/>
      <c r="W224" s="36"/>
      <c r="X224" s="36"/>
      <c r="Y224" s="36"/>
      <c r="Z224" s="36"/>
      <c r="AA224" s="36"/>
      <c r="AB224" s="2"/>
    </row>
    <row r="225" spans="1:28" ht="3.9" customHeight="1" x14ac:dyDescent="0.25">
      <c r="A225" s="149">
        <f>1</f>
        <v>1</v>
      </c>
      <c r="B225" s="131"/>
      <c r="C225" s="2"/>
      <c r="D225" s="2"/>
      <c r="E225" s="2"/>
      <c r="F225" s="2"/>
      <c r="G225" s="2"/>
      <c r="H225" s="2"/>
      <c r="I225" s="28"/>
      <c r="J225" s="2"/>
      <c r="K225" s="28"/>
      <c r="L225" s="2"/>
      <c r="M225" s="52"/>
      <c r="N225" s="2"/>
      <c r="O225" s="2"/>
      <c r="P225" s="36"/>
      <c r="Q225" s="36"/>
      <c r="R225" s="36"/>
      <c r="S225" s="36"/>
      <c r="T225" s="36"/>
      <c r="U225" s="36"/>
      <c r="V225" s="36"/>
      <c r="W225" s="36"/>
      <c r="X225" s="36"/>
      <c r="Y225" s="36"/>
      <c r="Z225" s="36"/>
      <c r="AA225" s="36"/>
      <c r="AB225" s="2"/>
    </row>
    <row r="226" spans="1:28" s="5" customFormat="1" x14ac:dyDescent="0.25">
      <c r="A226" s="150">
        <f>1</f>
        <v>1</v>
      </c>
      <c r="B226" s="129" t="str">
        <f>структура!$J$12</f>
        <v>ОСНО</v>
      </c>
      <c r="C226" s="3"/>
      <c r="D226" s="3"/>
      <c r="E226" s="147" t="str">
        <f>KPI!$E$103</f>
        <v>ROI</v>
      </c>
      <c r="F226" s="147"/>
      <c r="G226" s="147" t="str">
        <f>IF($E226="","",INDEX(KPI!$G:$G,SUMIFS(KPI!$B:$B,KPI!$E:$E,$E226)))</f>
        <v>%</v>
      </c>
      <c r="H226" s="147"/>
      <c r="I226" s="170"/>
      <c r="J226" s="147"/>
      <c r="K226" s="170"/>
      <c r="L226" s="147"/>
      <c r="M226" s="188">
        <f>IF(M$190=0,0,M206/M$190)</f>
        <v>0.16359502305665702</v>
      </c>
      <c r="N226" s="3"/>
      <c r="O226" s="3"/>
      <c r="P226" s="46"/>
      <c r="Q226" s="46"/>
      <c r="R226" s="46"/>
      <c r="S226" s="46"/>
      <c r="T226" s="46"/>
      <c r="U226" s="46"/>
      <c r="V226" s="46"/>
      <c r="W226" s="46"/>
      <c r="X226" s="46"/>
      <c r="Y226" s="46"/>
      <c r="Z226" s="46"/>
      <c r="AA226" s="46"/>
      <c r="AB226" s="3"/>
    </row>
    <row r="227" spans="1:28" s="5" customFormat="1" ht="3.9" customHeight="1" x14ac:dyDescent="0.25">
      <c r="A227" s="150">
        <f>1</f>
        <v>1</v>
      </c>
      <c r="B227" s="128"/>
      <c r="C227" s="3"/>
      <c r="D227" s="3"/>
      <c r="E227" s="3"/>
      <c r="F227" s="3"/>
      <c r="G227" s="3"/>
      <c r="H227" s="3"/>
      <c r="I227" s="28"/>
      <c r="J227" s="3"/>
      <c r="K227" s="28"/>
      <c r="L227" s="3"/>
      <c r="M227" s="55"/>
      <c r="N227" s="3"/>
      <c r="O227" s="3"/>
      <c r="P227" s="46"/>
      <c r="Q227" s="46"/>
      <c r="R227" s="46"/>
      <c r="S227" s="46"/>
      <c r="T227" s="46"/>
      <c r="U227" s="46"/>
      <c r="V227" s="46"/>
      <c r="W227" s="46"/>
      <c r="X227" s="46"/>
      <c r="Y227" s="46"/>
      <c r="Z227" s="46"/>
      <c r="AA227" s="46"/>
      <c r="AB227" s="3"/>
    </row>
    <row r="228" spans="1:28" s="5" customFormat="1" x14ac:dyDescent="0.25">
      <c r="A228" s="150">
        <f>1</f>
        <v>1</v>
      </c>
      <c r="B228" s="129" t="str">
        <f>структура!$J$13</f>
        <v>УСН(6%)</v>
      </c>
      <c r="C228" s="3"/>
      <c r="D228" s="3"/>
      <c r="E228" s="147" t="str">
        <f>E226</f>
        <v>ROI</v>
      </c>
      <c r="F228" s="147"/>
      <c r="G228" s="147" t="str">
        <f>IF($E228="","",INDEX(KPI!$G:$G,SUMIFS(KPI!$B:$B,KPI!$E:$E,$E228)))</f>
        <v>%</v>
      </c>
      <c r="H228" s="147"/>
      <c r="I228" s="170"/>
      <c r="J228" s="147"/>
      <c r="K228" s="170"/>
      <c r="L228" s="147"/>
      <c r="M228" s="188">
        <f>IF(M$190=0,0,M208/M$190)</f>
        <v>0.38253505004999888</v>
      </c>
      <c r="N228" s="3"/>
      <c r="O228" s="3"/>
      <c r="P228" s="46"/>
      <c r="Q228" s="46"/>
      <c r="R228" s="46"/>
      <c r="S228" s="46"/>
      <c r="T228" s="46"/>
      <c r="U228" s="46"/>
      <c r="V228" s="46"/>
      <c r="W228" s="46"/>
      <c r="X228" s="46"/>
      <c r="Y228" s="46"/>
      <c r="Z228" s="46"/>
      <c r="AA228" s="46"/>
      <c r="AB228" s="3"/>
    </row>
    <row r="229" spans="1:28" s="5" customFormat="1" ht="3.9" customHeight="1" x14ac:dyDescent="0.25">
      <c r="A229" s="150">
        <f>1</f>
        <v>1</v>
      </c>
      <c r="B229" s="128"/>
      <c r="C229" s="3"/>
      <c r="D229" s="3"/>
      <c r="E229" s="3"/>
      <c r="F229" s="3"/>
      <c r="G229" s="3"/>
      <c r="H229" s="3"/>
      <c r="I229" s="28"/>
      <c r="J229" s="3"/>
      <c r="K229" s="28"/>
      <c r="L229" s="3"/>
      <c r="M229" s="55"/>
      <c r="N229" s="3"/>
      <c r="O229" s="3"/>
      <c r="P229" s="46"/>
      <c r="Q229" s="46"/>
      <c r="R229" s="46"/>
      <c r="S229" s="46"/>
      <c r="T229" s="46"/>
      <c r="U229" s="46"/>
      <c r="V229" s="46"/>
      <c r="W229" s="46"/>
      <c r="X229" s="46"/>
      <c r="Y229" s="46"/>
      <c r="Z229" s="46"/>
      <c r="AA229" s="46"/>
      <c r="AB229" s="3"/>
    </row>
    <row r="230" spans="1:28" s="5" customFormat="1" x14ac:dyDescent="0.25">
      <c r="A230" s="150">
        <f>1</f>
        <v>1</v>
      </c>
      <c r="B230" s="129" t="str">
        <f>структура!$J$14</f>
        <v>УСН(15%)</v>
      </c>
      <c r="C230" s="3"/>
      <c r="D230" s="3"/>
      <c r="E230" s="147" t="str">
        <f>E226</f>
        <v>ROI</v>
      </c>
      <c r="F230" s="147"/>
      <c r="G230" s="147" t="str">
        <f>IF($E230="","",INDEX(KPI!$G:$G,SUMIFS(KPI!$B:$B,KPI!$E:$E,$E230)))</f>
        <v>%</v>
      </c>
      <c r="H230" s="147"/>
      <c r="I230" s="170"/>
      <c r="J230" s="147"/>
      <c r="K230" s="170"/>
      <c r="L230" s="147"/>
      <c r="M230" s="188">
        <f>IF(M$190=0,0,M210/M$190)</f>
        <v>0.28288350493122588</v>
      </c>
      <c r="N230" s="3"/>
      <c r="O230" s="3"/>
      <c r="P230" s="46"/>
      <c r="Q230" s="46"/>
      <c r="R230" s="46"/>
      <c r="S230" s="46"/>
      <c r="T230" s="46"/>
      <c r="U230" s="46"/>
      <c r="V230" s="46"/>
      <c r="W230" s="46"/>
      <c r="X230" s="46"/>
      <c r="Y230" s="46"/>
      <c r="Z230" s="46"/>
      <c r="AA230" s="46"/>
      <c r="AB230" s="3"/>
    </row>
    <row r="231" spans="1:28" s="5" customFormat="1" ht="3.9" customHeight="1" x14ac:dyDescent="0.25">
      <c r="A231" s="150">
        <f>1</f>
        <v>1</v>
      </c>
      <c r="B231" s="128"/>
      <c r="C231" s="3"/>
      <c r="D231" s="3"/>
      <c r="E231" s="3"/>
      <c r="F231" s="3"/>
      <c r="G231" s="3"/>
      <c r="H231" s="3"/>
      <c r="I231" s="28"/>
      <c r="J231" s="3"/>
      <c r="K231" s="28"/>
      <c r="L231" s="3"/>
      <c r="M231" s="55"/>
      <c r="N231" s="3"/>
      <c r="O231" s="3"/>
      <c r="P231" s="46"/>
      <c r="Q231" s="46"/>
      <c r="R231" s="46"/>
      <c r="S231" s="46"/>
      <c r="T231" s="46"/>
      <c r="U231" s="46"/>
      <c r="V231" s="46"/>
      <c r="W231" s="46"/>
      <c r="X231" s="46"/>
      <c r="Y231" s="46"/>
      <c r="Z231" s="46"/>
      <c r="AA231" s="46"/>
      <c r="AB231" s="3"/>
    </row>
    <row r="232" spans="1:28" s="5" customFormat="1" x14ac:dyDescent="0.25">
      <c r="A232" s="150">
        <f>1</f>
        <v>1</v>
      </c>
      <c r="B232" s="129" t="str">
        <f>структура!$J$15</f>
        <v>УСН(6%)-ИП</v>
      </c>
      <c r="C232" s="3"/>
      <c r="D232" s="3"/>
      <c r="E232" s="147" t="str">
        <f>E226</f>
        <v>ROI</v>
      </c>
      <c r="F232" s="147"/>
      <c r="G232" s="147" t="str">
        <f>IF($E232="","",INDEX(KPI!$G:$G,SUMIFS(KPI!$B:$B,KPI!$E:$E,$E232)))</f>
        <v>%</v>
      </c>
      <c r="H232" s="147"/>
      <c r="I232" s="170"/>
      <c r="J232" s="147"/>
      <c r="K232" s="170"/>
      <c r="L232" s="147"/>
      <c r="M232" s="188">
        <f>IF(M$190=0,0,M212/M$190)</f>
        <v>0.42846106045842203</v>
      </c>
      <c r="N232" s="3"/>
      <c r="O232" s="3"/>
      <c r="P232" s="46"/>
      <c r="Q232" s="46"/>
      <c r="R232" s="46"/>
      <c r="S232" s="46"/>
      <c r="T232" s="46"/>
      <c r="U232" s="46"/>
      <c r="V232" s="46"/>
      <c r="W232" s="46"/>
      <c r="X232" s="46"/>
      <c r="Y232" s="46"/>
      <c r="Z232" s="46"/>
      <c r="AA232" s="46"/>
      <c r="AB232" s="3"/>
    </row>
    <row r="233" spans="1:28" ht="3.9" customHeight="1" x14ac:dyDescent="0.25">
      <c r="A233" s="149">
        <f>1</f>
        <v>1</v>
      </c>
      <c r="B233" s="131"/>
      <c r="C233" s="2"/>
      <c r="D233" s="2"/>
      <c r="E233" s="117"/>
      <c r="F233" s="2"/>
      <c r="G233" s="117"/>
      <c r="H233" s="2"/>
      <c r="I233" s="28"/>
      <c r="J233" s="2"/>
      <c r="K233" s="28"/>
      <c r="L233" s="2"/>
      <c r="M233" s="138"/>
      <c r="N233" s="2"/>
      <c r="O233" s="2"/>
      <c r="P233" s="36"/>
      <c r="Q233" s="36"/>
      <c r="R233" s="36"/>
      <c r="S233" s="36"/>
      <c r="T233" s="36"/>
      <c r="U233" s="36"/>
      <c r="V233" s="36"/>
      <c r="W233" s="36"/>
      <c r="X233" s="36"/>
      <c r="Y233" s="36"/>
      <c r="Z233" s="36"/>
      <c r="AA233" s="36"/>
      <c r="AB233" s="2"/>
    </row>
    <row r="234" spans="1:28" ht="8.1" customHeight="1" x14ac:dyDescent="0.25">
      <c r="A234" s="149">
        <f>1</f>
        <v>1</v>
      </c>
      <c r="B234" s="131"/>
      <c r="C234" s="2"/>
      <c r="D234" s="2"/>
      <c r="E234" s="2"/>
      <c r="F234" s="2"/>
      <c r="G234" s="2"/>
      <c r="H234" s="2"/>
      <c r="I234" s="28"/>
      <c r="J234" s="2"/>
      <c r="K234" s="28"/>
      <c r="L234" s="2"/>
      <c r="M234" s="52"/>
      <c r="N234" s="2"/>
      <c r="O234" s="2"/>
      <c r="P234" s="36"/>
      <c r="Q234" s="36"/>
      <c r="R234" s="36"/>
      <c r="S234" s="36"/>
      <c r="T234" s="36"/>
      <c r="U234" s="36"/>
      <c r="V234" s="36"/>
      <c r="W234" s="36"/>
      <c r="X234" s="36"/>
      <c r="Y234" s="36"/>
      <c r="Z234" s="36"/>
      <c r="AA234" s="36"/>
      <c r="AB234" s="2"/>
    </row>
    <row r="235" spans="1:28" ht="3.9" customHeight="1" x14ac:dyDescent="0.25">
      <c r="A235" s="149">
        <f>1</f>
        <v>1</v>
      </c>
      <c r="B235" s="131"/>
      <c r="C235" s="2"/>
      <c r="D235" s="2"/>
      <c r="E235" s="2"/>
      <c r="F235" s="2"/>
      <c r="G235" s="2"/>
      <c r="H235" s="2"/>
      <c r="I235" s="28"/>
      <c r="J235" s="2"/>
      <c r="K235" s="28"/>
      <c r="L235" s="2"/>
      <c r="M235" s="52"/>
      <c r="N235" s="2"/>
      <c r="O235" s="2"/>
      <c r="P235" s="36"/>
      <c r="Q235" s="36"/>
      <c r="R235" s="36"/>
      <c r="S235" s="36"/>
      <c r="T235" s="36"/>
      <c r="U235" s="36"/>
      <c r="V235" s="36"/>
      <c r="W235" s="36"/>
      <c r="X235" s="36"/>
      <c r="Y235" s="36"/>
      <c r="Z235" s="36"/>
      <c r="AA235" s="36"/>
      <c r="AB235" s="2"/>
    </row>
    <row r="236" spans="1:28" s="157" customFormat="1" x14ac:dyDescent="0.25">
      <c r="A236" s="155">
        <f>1</f>
        <v>1</v>
      </c>
      <c r="B236" s="156" t="str">
        <f>структура!$J$12</f>
        <v>ОСНО</v>
      </c>
      <c r="C236" s="155"/>
      <c r="D236" s="155"/>
      <c r="E236" s="189" t="str">
        <f>KPI!$E$104</f>
        <v>График возврата инвестиций (приведенный)</v>
      </c>
      <c r="F236" s="189"/>
      <c r="G236" s="189" t="str">
        <f>IF($E236="","",INDEX(KPI!$G:$G,SUMIFS(KPI!$B:$B,KPI!$E:$E,$E236)))</f>
        <v>тыс.руб.</v>
      </c>
      <c r="H236" s="189"/>
      <c r="I236" s="190"/>
      <c r="J236" s="189"/>
      <c r="K236" s="190"/>
      <c r="L236" s="189"/>
      <c r="M236" s="191">
        <f>SUM($O236:$AB236)</f>
        <v>28550.37484</v>
      </c>
      <c r="N236" s="155"/>
      <c r="O236" s="155"/>
      <c r="P236" s="192">
        <f>IF(P$1="",0,IF($M206&lt;0,0,IF(SUM($O236:O236)=$M$190,0,IF(SUM($O196:P196)&lt;=$M$190,P196,$M$190-SUM($O196:O196)))))</f>
        <v>8165.7865950651494</v>
      </c>
      <c r="Q236" s="192">
        <f>IF(Q$1="",0,IF($M206&lt;0,0,IF(SUM($O236:P236)=$M$190,0,IF(SUM($O196:Q196)&lt;=$M$190,Q196,$M$190-SUM($O196:P196)))))</f>
        <v>3893.1447652106781</v>
      </c>
      <c r="R236" s="192">
        <f>IF(R$1="",0,IF($M206&lt;0,0,IF(SUM($O236:Q236)=$M$190,0,IF(SUM($O196:R196)&lt;=$M$190,R196,$M$190-SUM($O196:Q196)))))</f>
        <v>4140.7794097418919</v>
      </c>
      <c r="S236" s="192">
        <f>IF(S$1="",0,IF($M206&lt;0,0,IF(SUM($O236:R236)=$M$190,0,IF(SUM($O196:S196)&lt;=$M$190,S196,$M$190-SUM($O196:R196)))))</f>
        <v>4014.6314205505055</v>
      </c>
      <c r="T236" s="192">
        <f>IF(T$1="",0,IF($M206&lt;0,0,IF(SUM($O236:S236)=$M$190,0,IF(SUM($O196:T196)&lt;=$M$190,T196,$M$190-SUM($O196:S196)))))</f>
        <v>4019.484778914466</v>
      </c>
      <c r="U236" s="192">
        <f>IF(U$1="",0,IF($M206&lt;0,0,IF(SUM($O236:T236)=$M$190,0,IF(SUM($O196:U196)&lt;=$M$190,U196,$M$190-SUM($O196:T196)))))</f>
        <v>4308.2396032375245</v>
      </c>
      <c r="V236" s="192">
        <f>IF(V$1="",0,IF($M206&lt;0,0,IF(SUM($O236:U236)=$M$190,0,IF(SUM($O196:V196)&lt;=$M$190,V196,$M$190-SUM($O196:U196)))))</f>
        <v>8.3082672797863779</v>
      </c>
      <c r="W236" s="192">
        <f>IF(W$1="",0,IF($M206&lt;0,0,IF(SUM($O236:V236)=$M$190,0,IF(SUM($O196:W196)&lt;=$M$190,W196,$M$190-SUM($O196:V196)))))</f>
        <v>0</v>
      </c>
      <c r="X236" s="192">
        <f>IF(X$1="",0,IF($M206&lt;0,0,IF(SUM($O236:W236)=$M$190,0,IF(SUM($O196:X196)&lt;=$M$190,X196,$M$190-SUM($O196:W196)))))</f>
        <v>0</v>
      </c>
      <c r="Y236" s="192">
        <f>IF(Y$1="",0,IF($M206&lt;0,0,IF(SUM($O236:X236)=$M$190,0,IF(SUM($O196:Y196)&lt;=$M$190,Y196,$M$190-SUM($O196:X196)))))</f>
        <v>0</v>
      </c>
      <c r="Z236" s="192">
        <f>IF(Z$1="",0,IF($M206&lt;0,0,IF(SUM($O236:Y236)=$M$190,0,IF(SUM($O196:Z196)&lt;=$M$190,Z196,$M$190-SUM($O196:Y196)))))</f>
        <v>0</v>
      </c>
      <c r="AA236" s="192">
        <f>IF(AA$1="",0,IF($M206&lt;0,0,IF(SUM($O236:Z236)=$M$190,0,IF(SUM($O196:AA196)&lt;=$M$190,AA196,$M$190-SUM($O196:Z196)))))</f>
        <v>0</v>
      </c>
      <c r="AB236" s="155"/>
    </row>
    <row r="237" spans="1:28" s="5" customFormat="1" ht="3.9" customHeight="1" x14ac:dyDescent="0.25">
      <c r="A237" s="150">
        <f>1</f>
        <v>1</v>
      </c>
      <c r="B237" s="128"/>
      <c r="C237" s="3"/>
      <c r="D237" s="3"/>
      <c r="E237" s="3"/>
      <c r="F237" s="3"/>
      <c r="G237" s="3"/>
      <c r="H237" s="3"/>
      <c r="I237" s="28"/>
      <c r="J237" s="3"/>
      <c r="K237" s="28"/>
      <c r="L237" s="3"/>
      <c r="M237" s="55"/>
      <c r="N237" s="3"/>
      <c r="O237" s="3"/>
      <c r="P237" s="46"/>
      <c r="Q237" s="46"/>
      <c r="R237" s="46"/>
      <c r="S237" s="46"/>
      <c r="T237" s="46"/>
      <c r="U237" s="46"/>
      <c r="V237" s="46"/>
      <c r="W237" s="46"/>
      <c r="X237" s="46"/>
      <c r="Y237" s="46"/>
      <c r="Z237" s="46"/>
      <c r="AA237" s="46"/>
      <c r="AB237" s="3"/>
    </row>
    <row r="238" spans="1:28" s="157" customFormat="1" x14ac:dyDescent="0.25">
      <c r="A238" s="155">
        <f>1</f>
        <v>1</v>
      </c>
      <c r="B238" s="156" t="str">
        <f>структура!$J$13</f>
        <v>УСН(6%)</v>
      </c>
      <c r="C238" s="155"/>
      <c r="D238" s="155"/>
      <c r="E238" s="189" t="str">
        <f>E236</f>
        <v>График возврата инвестиций (приведенный)</v>
      </c>
      <c r="F238" s="189"/>
      <c r="G238" s="189" t="str">
        <f>IF($E238="","",INDEX(KPI!$G:$G,SUMIFS(KPI!$B:$B,KPI!$E:$E,$E238)))</f>
        <v>тыс.руб.</v>
      </c>
      <c r="H238" s="189"/>
      <c r="I238" s="190"/>
      <c r="J238" s="189"/>
      <c r="K238" s="190"/>
      <c r="L238" s="189"/>
      <c r="M238" s="191">
        <f>SUM($O238:$AB238)</f>
        <v>28550.37484</v>
      </c>
      <c r="N238" s="155"/>
      <c r="O238" s="155"/>
      <c r="P238" s="192">
        <f>IF(P$1="",0,IF($M208&lt;0,0,IF(SUM($O238:O238)=$M$190,0,IF(SUM($O198:P198)&lt;=$M$190,P198,$M$190-SUM($O198:O198)))))</f>
        <v>5764.2146496106043</v>
      </c>
      <c r="Q238" s="192">
        <f>IF(Q$1="",0,IF($M208&lt;0,0,IF(SUM($O238:P238)=$M$190,0,IF(SUM($O198:Q198)&lt;=$M$190,Q198,$M$190-SUM($O198:P198)))))</f>
        <v>5266.0671239308112</v>
      </c>
      <c r="R238" s="192">
        <f>IF(R$1="",0,IF($M208&lt;0,0,IF(SUM($O238:Q238)=$M$190,0,IF(SUM($O198:R198)&lt;=$M$190,R198,$M$190-SUM($O198:Q198)))))</f>
        <v>5509.4571363018931</v>
      </c>
      <c r="S238" s="192">
        <f>IF(S$1="",0,IF($M208&lt;0,0,IF(SUM($O238:R238)=$M$190,0,IF(SUM($O198:S198)&lt;=$M$190,S198,$M$190-SUM($O198:R198)))))</f>
        <v>5462.1829036179561</v>
      </c>
      <c r="T238" s="192">
        <f>IF(T$1="",0,IF($M208&lt;0,0,IF(SUM($O238:S238)=$M$190,0,IF(SUM($O198:T198)&lt;=$M$190,T198,$M$190-SUM($O198:S198)))))</f>
        <v>5467.4556463686686</v>
      </c>
      <c r="U238" s="192">
        <f>IF(U$1="",0,IF($M208&lt;0,0,IF(SUM($O238:T238)=$M$190,0,IF(SUM($O198:U198)&lt;=$M$190,U198,$M$190-SUM($O198:T198)))))</f>
        <v>1080.9973801700689</v>
      </c>
      <c r="V238" s="192">
        <f>IF(V$1="",0,IF($M208&lt;0,0,IF(SUM($O238:U238)=$M$190,0,IF(SUM($O198:V198)&lt;=$M$190,V198,$M$190-SUM($O198:U198)))))</f>
        <v>0</v>
      </c>
      <c r="W238" s="192">
        <f>IF(W$1="",0,IF($M208&lt;0,0,IF(SUM($O238:V238)=$M$190,0,IF(SUM($O198:W198)&lt;=$M$190,W198,$M$190-SUM($O198:V198)))))</f>
        <v>0</v>
      </c>
      <c r="X238" s="192">
        <f>IF(X$1="",0,IF($M208&lt;0,0,IF(SUM($O238:W238)=$M$190,0,IF(SUM($O198:X198)&lt;=$M$190,X198,$M$190-SUM($O198:W198)))))</f>
        <v>0</v>
      </c>
      <c r="Y238" s="192">
        <f>IF(Y$1="",0,IF($M208&lt;0,0,IF(SUM($O238:X238)=$M$190,0,IF(SUM($O198:Y198)&lt;=$M$190,Y198,$M$190-SUM($O198:X198)))))</f>
        <v>0</v>
      </c>
      <c r="Z238" s="192">
        <f>IF(Z$1="",0,IF($M208&lt;0,0,IF(SUM($O238:Y238)=$M$190,0,IF(SUM($O198:Z198)&lt;=$M$190,Z198,$M$190-SUM($O198:Y198)))))</f>
        <v>0</v>
      </c>
      <c r="AA238" s="192">
        <f>IF(AA$1="",0,IF($M208&lt;0,0,IF(SUM($O238:Z238)=$M$190,0,IF(SUM($O198:AA198)&lt;=$M$190,AA198,$M$190-SUM($O198:Z198)))))</f>
        <v>0</v>
      </c>
      <c r="AB238" s="155"/>
    </row>
    <row r="239" spans="1:28" s="5" customFormat="1" ht="3.9" customHeight="1" x14ac:dyDescent="0.25">
      <c r="A239" s="150">
        <f>1</f>
        <v>1</v>
      </c>
      <c r="B239" s="128"/>
      <c r="C239" s="3"/>
      <c r="D239" s="3"/>
      <c r="E239" s="3"/>
      <c r="F239" s="3"/>
      <c r="G239" s="3"/>
      <c r="H239" s="3"/>
      <c r="I239" s="28"/>
      <c r="J239" s="3"/>
      <c r="K239" s="28"/>
      <c r="L239" s="3"/>
      <c r="M239" s="55"/>
      <c r="N239" s="3"/>
      <c r="O239" s="3"/>
      <c r="P239" s="46"/>
      <c r="Q239" s="46"/>
      <c r="R239" s="46"/>
      <c r="S239" s="46"/>
      <c r="T239" s="46"/>
      <c r="U239" s="46"/>
      <c r="V239" s="46"/>
      <c r="W239" s="46"/>
      <c r="X239" s="46"/>
      <c r="Y239" s="46"/>
      <c r="Z239" s="46"/>
      <c r="AA239" s="46"/>
      <c r="AB239" s="3"/>
    </row>
    <row r="240" spans="1:28" s="157" customFormat="1" x14ac:dyDescent="0.25">
      <c r="A240" s="155">
        <f>1</f>
        <v>1</v>
      </c>
      <c r="B240" s="156" t="str">
        <f>структура!$J$14</f>
        <v>УСН(15%)</v>
      </c>
      <c r="C240" s="155"/>
      <c r="D240" s="155"/>
      <c r="E240" s="189" t="str">
        <f>E236</f>
        <v>График возврата инвестиций (приведенный)</v>
      </c>
      <c r="F240" s="189"/>
      <c r="G240" s="189" t="str">
        <f>IF($E240="","",INDEX(KPI!$G:$G,SUMIFS(KPI!$B:$B,KPI!$E:$E,$E240)))</f>
        <v>тыс.руб.</v>
      </c>
      <c r="H240" s="189"/>
      <c r="I240" s="190"/>
      <c r="J240" s="189"/>
      <c r="K240" s="190"/>
      <c r="L240" s="189"/>
      <c r="M240" s="191">
        <f>SUM($O240:$AB240)</f>
        <v>28550.37484</v>
      </c>
      <c r="N240" s="155"/>
      <c r="O240" s="155"/>
      <c r="P240" s="192">
        <f>IF(P$1="",0,IF($M210&lt;0,0,IF(SUM($O240:O240)=$M$190,0,IF(SUM($O200:P200)&lt;=$M$190,P200,$M$190-SUM($O200:O200)))))</f>
        <v>5764.2146496106043</v>
      </c>
      <c r="Q240" s="192">
        <f>IF(Q$1="",0,IF($M210&lt;0,0,IF(SUM($O240:P240)=$M$190,0,IF(SUM($O200:Q200)&lt;=$M$190,Q200,$M$190-SUM($O200:P200)))))</f>
        <v>4840.9893730462118</v>
      </c>
      <c r="R240" s="192">
        <f>IF(R$1="",0,IF($M210&lt;0,0,IF(SUM($O240:Q240)=$M$190,0,IF(SUM($O200:R200)&lt;=$M$190,R200,$M$190-SUM($O200:Q200)))))</f>
        <v>5076.6205821543608</v>
      </c>
      <c r="S240" s="192">
        <f>IF(S$1="",0,IF($M210&lt;0,0,IF(SUM($O240:R240)=$M$190,0,IF(SUM($O200:S200)&lt;=$M$190,S200,$M$190-SUM($O200:R200)))))</f>
        <v>4988.1296224257958</v>
      </c>
      <c r="T240" s="192">
        <f>IF(T$1="",0,IF($M210&lt;0,0,IF(SUM($O240:S240)=$M$190,0,IF(SUM($O200:T200)&lt;=$M$190,T200,$M$190-SUM($O200:S200)))))</f>
        <v>4983.3895309568406</v>
      </c>
      <c r="U240" s="192">
        <f>IF(U$1="",0,IF($M210&lt;0,0,IF(SUM($O240:T240)=$M$190,0,IF(SUM($O200:U200)&lt;=$M$190,U200,$M$190-SUM($O200:T200)))))</f>
        <v>2897.031081806188</v>
      </c>
      <c r="V240" s="192">
        <f>IF(V$1="",0,IF($M210&lt;0,0,IF(SUM($O240:U240)=$M$190,0,IF(SUM($O200:V200)&lt;=$M$190,V200,$M$190-SUM($O200:U200)))))</f>
        <v>0</v>
      </c>
      <c r="W240" s="192">
        <f>IF(W$1="",0,IF($M210&lt;0,0,IF(SUM($O240:V240)=$M$190,0,IF(SUM($O200:W200)&lt;=$M$190,W200,$M$190-SUM($O200:V200)))))</f>
        <v>0</v>
      </c>
      <c r="X240" s="192">
        <f>IF(X$1="",0,IF($M210&lt;0,0,IF(SUM($O240:W240)=$M$190,0,IF(SUM($O200:X200)&lt;=$M$190,X200,$M$190-SUM($O200:W200)))))</f>
        <v>0</v>
      </c>
      <c r="Y240" s="192">
        <f>IF(Y$1="",0,IF($M210&lt;0,0,IF(SUM($O240:X240)=$M$190,0,IF(SUM($O200:Y200)&lt;=$M$190,Y200,$M$190-SUM($O200:X200)))))</f>
        <v>0</v>
      </c>
      <c r="Z240" s="192">
        <f>IF(Z$1="",0,IF($M210&lt;0,0,IF(SUM($O240:Y240)=$M$190,0,IF(SUM($O200:Z200)&lt;=$M$190,Z200,$M$190-SUM($O200:Y200)))))</f>
        <v>0</v>
      </c>
      <c r="AA240" s="192">
        <f>IF(AA$1="",0,IF($M210&lt;0,0,IF(SUM($O240:Z240)=$M$190,0,IF(SUM($O200:AA200)&lt;=$M$190,AA200,$M$190-SUM($O200:Z200)))))</f>
        <v>0</v>
      </c>
      <c r="AB240" s="155"/>
    </row>
    <row r="241" spans="1:28" s="5" customFormat="1" ht="3.9" customHeight="1" x14ac:dyDescent="0.25">
      <c r="A241" s="150">
        <f>1</f>
        <v>1</v>
      </c>
      <c r="B241" s="128"/>
      <c r="C241" s="3"/>
      <c r="D241" s="3"/>
      <c r="E241" s="3"/>
      <c r="F241" s="3"/>
      <c r="G241" s="3"/>
      <c r="H241" s="3"/>
      <c r="I241" s="28"/>
      <c r="J241" s="3"/>
      <c r="K241" s="28"/>
      <c r="L241" s="3"/>
      <c r="M241" s="55"/>
      <c r="N241" s="3"/>
      <c r="O241" s="3"/>
      <c r="P241" s="46"/>
      <c r="Q241" s="46"/>
      <c r="R241" s="46"/>
      <c r="S241" s="46"/>
      <c r="T241" s="46"/>
      <c r="U241" s="46"/>
      <c r="V241" s="46"/>
      <c r="W241" s="46"/>
      <c r="X241" s="46"/>
      <c r="Y241" s="46"/>
      <c r="Z241" s="46"/>
      <c r="AA241" s="46"/>
      <c r="AB241" s="3"/>
    </row>
    <row r="242" spans="1:28" s="157" customFormat="1" x14ac:dyDescent="0.25">
      <c r="A242" s="155">
        <f>1</f>
        <v>1</v>
      </c>
      <c r="B242" s="156" t="str">
        <f>структура!$J$15</f>
        <v>УСН(6%)-ИП</v>
      </c>
      <c r="C242" s="155"/>
      <c r="D242" s="155"/>
      <c r="E242" s="189" t="str">
        <f>E236</f>
        <v>График возврата инвестиций (приведенный)</v>
      </c>
      <c r="F242" s="189"/>
      <c r="G242" s="189" t="str">
        <f>IF($E242="","",INDEX(KPI!$G:$G,SUMIFS(KPI!$B:$B,KPI!$E:$E,$E242)))</f>
        <v>тыс.руб.</v>
      </c>
      <c r="H242" s="189"/>
      <c r="I242" s="190"/>
      <c r="J242" s="189"/>
      <c r="K242" s="190"/>
      <c r="L242" s="189"/>
      <c r="M242" s="191">
        <f>SUM($O242:$AB242)</f>
        <v>28550.37484</v>
      </c>
      <c r="N242" s="155"/>
      <c r="O242" s="155"/>
      <c r="P242" s="192">
        <f>IF(P$1="",0,IF($M212&lt;0,0,IF(SUM($O242:O242)=$M$190,0,IF(SUM($O202:P202)&lt;=$M$190,P202,$M$190-SUM($O202:O202)))))</f>
        <v>5764.2146496106043</v>
      </c>
      <c r="Q242" s="192">
        <f>IF(Q$1="",0,IF($M212&lt;0,0,IF(SUM($O242:P242)=$M$190,0,IF(SUM($O202:Q202)&lt;=$M$190,Q202,$M$190-SUM($O202:P202)))))</f>
        <v>5616.7547558443521</v>
      </c>
      <c r="R242" s="192">
        <f>IF(R$1="",0,IF($M212&lt;0,0,IF(SUM($O242:Q242)=$M$190,0,IF(SUM($O202:R202)&lt;=$M$190,R202,$M$190-SUM($O202:Q202)))))</f>
        <v>5842.5416852240451</v>
      </c>
      <c r="S242" s="192">
        <f>IF(S$1="",0,IF($M212&lt;0,0,IF(SUM($O242:R242)=$M$190,0,IF(SUM($O202:S202)&lt;=$M$190,S202,$M$190-SUM($O202:R202)))))</f>
        <v>5784.8398522290736</v>
      </c>
      <c r="T242" s="192">
        <f>IF(T$1="",0,IF($M212&lt;0,0,IF(SUM($O242:S242)=$M$190,0,IF(SUM($O202:T202)&lt;=$M$190,T202,$M$190-SUM($O202:S202)))))</f>
        <v>5542.0238970919272</v>
      </c>
      <c r="U242" s="192">
        <f>IF(U$1="",0,IF($M212&lt;0,0,IF(SUM($O242:T242)=$M$190,0,IF(SUM($O202:U202)&lt;=$M$190,U202,$M$190-SUM($O202:T202)))))</f>
        <v>0</v>
      </c>
      <c r="V242" s="192">
        <f>IF(V$1="",0,IF($M212&lt;0,0,IF(SUM($O242:U242)=$M$190,0,IF(SUM($O202:V202)&lt;=$M$190,V202,$M$190-SUM($O202:U202)))))</f>
        <v>0</v>
      </c>
      <c r="W242" s="192">
        <f>IF(W$1="",0,IF($M212&lt;0,0,IF(SUM($O242:V242)=$M$190,0,IF(SUM($O202:W202)&lt;=$M$190,W202,$M$190-SUM($O202:V202)))))</f>
        <v>0</v>
      </c>
      <c r="X242" s="192">
        <f>IF(X$1="",0,IF($M212&lt;0,0,IF(SUM($O242:W242)=$M$190,0,IF(SUM($O202:X202)&lt;=$M$190,X202,$M$190-SUM($O202:W202)))))</f>
        <v>0</v>
      </c>
      <c r="Y242" s="192">
        <f>IF(Y$1="",0,IF($M212&lt;0,0,IF(SUM($O242:X242)=$M$190,0,IF(SUM($O202:Y202)&lt;=$M$190,Y202,$M$190-SUM($O202:X202)))))</f>
        <v>0</v>
      </c>
      <c r="Z242" s="192">
        <f>IF(Z$1="",0,IF($M212&lt;0,0,IF(SUM($O242:Y242)=$M$190,0,IF(SUM($O202:Z202)&lt;=$M$190,Z202,$M$190-SUM($O202:Y202)))))</f>
        <v>0</v>
      </c>
      <c r="AA242" s="192">
        <f>IF(AA$1="",0,IF($M212&lt;0,0,IF(SUM($O242:Z242)=$M$190,0,IF(SUM($O202:AA202)&lt;=$M$190,AA202,$M$190-SUM($O202:Z202)))))</f>
        <v>0</v>
      </c>
      <c r="AB242" s="155"/>
    </row>
    <row r="243" spans="1:28" ht="3.9" customHeight="1" x14ac:dyDescent="0.25">
      <c r="A243" s="149">
        <f>1</f>
        <v>1</v>
      </c>
      <c r="B243" s="131"/>
      <c r="C243" s="2"/>
      <c r="D243" s="2"/>
      <c r="E243" s="119"/>
      <c r="F243" s="2"/>
      <c r="G243" s="119"/>
      <c r="H243" s="2"/>
      <c r="I243" s="28"/>
      <c r="J243" s="2"/>
      <c r="K243" s="28"/>
      <c r="L243" s="2"/>
      <c r="M243" s="142"/>
      <c r="N243" s="2"/>
      <c r="O243" s="2"/>
      <c r="P243" s="36"/>
      <c r="Q243" s="36"/>
      <c r="R243" s="36"/>
      <c r="S243" s="36"/>
      <c r="T243" s="36"/>
      <c r="U243" s="36"/>
      <c r="V243" s="36"/>
      <c r="W243" s="36"/>
      <c r="X243" s="36"/>
      <c r="Y243" s="36"/>
      <c r="Z243" s="36"/>
      <c r="AA243" s="36"/>
      <c r="AB243" s="2"/>
    </row>
    <row r="244" spans="1:28" ht="8.1" customHeight="1" x14ac:dyDescent="0.25">
      <c r="A244" s="149">
        <f>1</f>
        <v>1</v>
      </c>
      <c r="B244" s="131"/>
      <c r="C244" s="2"/>
      <c r="D244" s="2"/>
      <c r="E244" s="2"/>
      <c r="F244" s="2"/>
      <c r="G244" s="2"/>
      <c r="H244" s="2"/>
      <c r="I244" s="28"/>
      <c r="J244" s="2"/>
      <c r="K244" s="28"/>
      <c r="L244" s="2"/>
      <c r="M244" s="52"/>
      <c r="N244" s="2"/>
      <c r="O244" s="2"/>
      <c r="P244" s="36"/>
      <c r="Q244" s="36"/>
      <c r="R244" s="36"/>
      <c r="S244" s="36"/>
      <c r="T244" s="36"/>
      <c r="U244" s="36"/>
      <c r="V244" s="36"/>
      <c r="W244" s="36"/>
      <c r="X244" s="36"/>
      <c r="Y244" s="36"/>
      <c r="Z244" s="36"/>
      <c r="AA244" s="36"/>
      <c r="AB244" s="2"/>
    </row>
    <row r="245" spans="1:28" ht="3.9" customHeight="1" x14ac:dyDescent="0.25">
      <c r="A245" s="149">
        <f>1</f>
        <v>1</v>
      </c>
      <c r="B245" s="131"/>
      <c r="C245" s="2"/>
      <c r="D245" s="2"/>
      <c r="E245" s="2"/>
      <c r="F245" s="2"/>
      <c r="G245" s="2"/>
      <c r="H245" s="2"/>
      <c r="I245" s="28"/>
      <c r="J245" s="2"/>
      <c r="K245" s="28"/>
      <c r="L245" s="2"/>
      <c r="M245" s="52"/>
      <c r="N245" s="2"/>
      <c r="O245" s="2"/>
      <c r="P245" s="36"/>
      <c r="Q245" s="36"/>
      <c r="R245" s="36"/>
      <c r="S245" s="36"/>
      <c r="T245" s="36"/>
      <c r="U245" s="36"/>
      <c r="V245" s="36"/>
      <c r="W245" s="36"/>
      <c r="X245" s="36"/>
      <c r="Y245" s="36"/>
      <c r="Z245" s="36"/>
      <c r="AA245" s="36"/>
      <c r="AB245" s="2"/>
    </row>
    <row r="246" spans="1:28" s="5" customFormat="1" x14ac:dyDescent="0.25">
      <c r="A246" s="150">
        <f>1</f>
        <v>1</v>
      </c>
      <c r="B246" s="129" t="str">
        <f>структура!$J$12</f>
        <v>ОСНО</v>
      </c>
      <c r="C246" s="3"/>
      <c r="D246" s="3"/>
      <c r="E246" s="147" t="str">
        <f>KPI!$E$105</f>
        <v>приведенный средневзвешенный срок окуп-ти</v>
      </c>
      <c r="F246" s="147"/>
      <c r="G246" s="147" t="str">
        <f>IF($E246="","",INDEX(KPI!$G:$G,SUMIFS(KPI!$B:$B,KPI!$E:$E,$E246)))</f>
        <v>лет</v>
      </c>
      <c r="H246" s="147"/>
      <c r="I246" s="170"/>
      <c r="J246" s="147"/>
      <c r="K246" s="170"/>
      <c r="L246" s="147"/>
      <c r="M246" s="187">
        <f>IF(OR($M206&lt;0,$M236=0),"&gt;"&amp;MAX($1:$1),SUMPRODUCT($O$2:$AB$2,$O236:$AB236)/$M236)</f>
        <v>3.1676627690072801</v>
      </c>
      <c r="N246" s="3"/>
      <c r="O246" s="3"/>
      <c r="P246" s="46"/>
      <c r="Q246" s="46"/>
      <c r="R246" s="46"/>
      <c r="S246" s="46"/>
      <c r="T246" s="46"/>
      <c r="U246" s="46"/>
      <c r="V246" s="46"/>
      <c r="W246" s="46"/>
      <c r="X246" s="46"/>
      <c r="Y246" s="46"/>
      <c r="Z246" s="46"/>
      <c r="AA246" s="46"/>
      <c r="AB246" s="3"/>
    </row>
    <row r="247" spans="1:28" s="5" customFormat="1" ht="3.9" customHeight="1" x14ac:dyDescent="0.25">
      <c r="A247" s="150">
        <f>1</f>
        <v>1</v>
      </c>
      <c r="B247" s="128"/>
      <c r="C247" s="3"/>
      <c r="D247" s="3"/>
      <c r="E247" s="3"/>
      <c r="F247" s="3"/>
      <c r="G247" s="3"/>
      <c r="H247" s="3"/>
      <c r="I247" s="28"/>
      <c r="J247" s="3"/>
      <c r="K247" s="28"/>
      <c r="L247" s="3"/>
      <c r="M247" s="55"/>
      <c r="N247" s="3"/>
      <c r="O247" s="3"/>
      <c r="P247" s="46"/>
      <c r="Q247" s="46"/>
      <c r="R247" s="46"/>
      <c r="S247" s="46"/>
      <c r="T247" s="46"/>
      <c r="U247" s="46"/>
      <c r="V247" s="46"/>
      <c r="W247" s="46"/>
      <c r="X247" s="46"/>
      <c r="Y247" s="46"/>
      <c r="Z247" s="46"/>
      <c r="AA247" s="46"/>
      <c r="AB247" s="3"/>
    </row>
    <row r="248" spans="1:28" s="5" customFormat="1" x14ac:dyDescent="0.25">
      <c r="A248" s="150">
        <f>1</f>
        <v>1</v>
      </c>
      <c r="B248" s="129" t="str">
        <f>структура!$J$13</f>
        <v>УСН(6%)</v>
      </c>
      <c r="C248" s="3"/>
      <c r="D248" s="3"/>
      <c r="E248" s="147" t="str">
        <f>E246</f>
        <v>приведенный средневзвешенный срок окуп-ти</v>
      </c>
      <c r="F248" s="147"/>
      <c r="G248" s="147" t="str">
        <f>IF($E248="","",INDEX(KPI!$G:$G,SUMIFS(KPI!$B:$B,KPI!$E:$E,$E248)))</f>
        <v>лет</v>
      </c>
      <c r="H248" s="147"/>
      <c r="I248" s="170"/>
      <c r="J248" s="147"/>
      <c r="K248" s="170"/>
      <c r="L248" s="147"/>
      <c r="M248" s="187">
        <f>IF(OR($M208&lt;0,$M238=0),"&gt;"&amp;MAX($1:$1),SUMPRODUCT($O$2:$AB$2,$O238:$AB238)/$M238)</f>
        <v>3.0996690911996971</v>
      </c>
      <c r="N248" s="3"/>
      <c r="O248" s="3"/>
      <c r="P248" s="46"/>
      <c r="Q248" s="46"/>
      <c r="R248" s="46"/>
      <c r="S248" s="46"/>
      <c r="T248" s="46"/>
      <c r="U248" s="46"/>
      <c r="V248" s="46"/>
      <c r="W248" s="46"/>
      <c r="X248" s="46"/>
      <c r="Y248" s="46"/>
      <c r="Z248" s="46"/>
      <c r="AA248" s="46"/>
      <c r="AB248" s="3"/>
    </row>
    <row r="249" spans="1:28" s="5" customFormat="1" ht="3.9" customHeight="1" x14ac:dyDescent="0.25">
      <c r="A249" s="150">
        <f>1</f>
        <v>1</v>
      </c>
      <c r="B249" s="128"/>
      <c r="C249" s="3"/>
      <c r="D249" s="3"/>
      <c r="E249" s="3"/>
      <c r="F249" s="3"/>
      <c r="G249" s="3"/>
      <c r="H249" s="3"/>
      <c r="I249" s="28"/>
      <c r="J249" s="3"/>
      <c r="K249" s="28"/>
      <c r="L249" s="3"/>
      <c r="M249" s="55"/>
      <c r="N249" s="3"/>
      <c r="O249" s="3"/>
      <c r="P249" s="46"/>
      <c r="Q249" s="46"/>
      <c r="R249" s="46"/>
      <c r="S249" s="46"/>
      <c r="T249" s="46"/>
      <c r="U249" s="46"/>
      <c r="V249" s="46"/>
      <c r="W249" s="46"/>
      <c r="X249" s="46"/>
      <c r="Y249" s="46"/>
      <c r="Z249" s="46"/>
      <c r="AA249" s="46"/>
      <c r="AB249" s="3"/>
    </row>
    <row r="250" spans="1:28" s="5" customFormat="1" x14ac:dyDescent="0.25">
      <c r="A250" s="150">
        <f>1</f>
        <v>1</v>
      </c>
      <c r="B250" s="129" t="str">
        <f>структура!$J$14</f>
        <v>УСН(15%)</v>
      </c>
      <c r="C250" s="3"/>
      <c r="D250" s="3"/>
      <c r="E250" s="147" t="str">
        <f>E246</f>
        <v>приведенный средневзвешенный срок окуп-ти</v>
      </c>
      <c r="F250" s="147"/>
      <c r="G250" s="147" t="str">
        <f>IF($E250="","",INDEX(KPI!$G:$G,SUMIFS(KPI!$B:$B,KPI!$E:$E,$E250)))</f>
        <v>лет</v>
      </c>
      <c r="H250" s="147"/>
      <c r="I250" s="170"/>
      <c r="J250" s="147"/>
      <c r="K250" s="170"/>
      <c r="L250" s="147"/>
      <c r="M250" s="187">
        <f>IF(OR($M210&lt;0,$M240=0),"&gt;"&amp;MAX($1:$1),SUMPRODUCT($O$2:$AB$2,$O240:$AB240)/$M240)</f>
        <v>3.2548682214601228</v>
      </c>
      <c r="N250" s="3"/>
      <c r="O250" s="3"/>
      <c r="P250" s="46"/>
      <c r="Q250" s="46"/>
      <c r="R250" s="46"/>
      <c r="S250" s="46"/>
      <c r="T250" s="46"/>
      <c r="U250" s="46"/>
      <c r="V250" s="46"/>
      <c r="W250" s="46"/>
      <c r="X250" s="46"/>
      <c r="Y250" s="46"/>
      <c r="Z250" s="46"/>
      <c r="AA250" s="46"/>
      <c r="AB250" s="3"/>
    </row>
    <row r="251" spans="1:28" s="5" customFormat="1" ht="3.9" customHeight="1" x14ac:dyDescent="0.25">
      <c r="A251" s="150">
        <f>1</f>
        <v>1</v>
      </c>
      <c r="B251" s="128"/>
      <c r="C251" s="3"/>
      <c r="D251" s="3"/>
      <c r="E251" s="3"/>
      <c r="F251" s="3"/>
      <c r="G251" s="3"/>
      <c r="H251" s="3"/>
      <c r="I251" s="28"/>
      <c r="J251" s="3"/>
      <c r="K251" s="28"/>
      <c r="L251" s="3"/>
      <c r="M251" s="55"/>
      <c r="N251" s="3"/>
      <c r="O251" s="3"/>
      <c r="P251" s="46"/>
      <c r="Q251" s="46"/>
      <c r="R251" s="46"/>
      <c r="S251" s="46"/>
      <c r="T251" s="46"/>
      <c r="U251" s="46"/>
      <c r="V251" s="46"/>
      <c r="W251" s="46"/>
      <c r="X251" s="46"/>
      <c r="Y251" s="46"/>
      <c r="Z251" s="46"/>
      <c r="AA251" s="46"/>
      <c r="AB251" s="3"/>
    </row>
    <row r="252" spans="1:28" s="5" customFormat="1" x14ac:dyDescent="0.25">
      <c r="A252" s="150">
        <f>1</f>
        <v>1</v>
      </c>
      <c r="B252" s="129" t="str">
        <f>структура!$J$15</f>
        <v>УСН(6%)-ИП</v>
      </c>
      <c r="C252" s="3"/>
      <c r="D252" s="3"/>
      <c r="E252" s="147" t="str">
        <f>E246</f>
        <v>приведенный средневзвешенный срок окуп-ти</v>
      </c>
      <c r="F252" s="147"/>
      <c r="G252" s="147" t="str">
        <f>IF($E252="","",INDEX(KPI!$G:$G,SUMIFS(KPI!$B:$B,KPI!$E:$E,$E252)))</f>
        <v>лет</v>
      </c>
      <c r="H252" s="147"/>
      <c r="I252" s="170"/>
      <c r="J252" s="147"/>
      <c r="K252" s="170"/>
      <c r="L252" s="147"/>
      <c r="M252" s="187">
        <f>IF(OR($M212&lt;0,$M242=0),"&gt;"&amp;MAX($1:$1),SUMPRODUCT($O$2:$AB$2,$O242:$AB242)/$M242)</f>
        <v>2.9903224945311218</v>
      </c>
      <c r="N252" s="3"/>
      <c r="O252" s="3"/>
      <c r="P252" s="46"/>
      <c r="Q252" s="46"/>
      <c r="R252" s="46"/>
      <c r="S252" s="46"/>
      <c r="T252" s="46"/>
      <c r="U252" s="46"/>
      <c r="V252" s="46"/>
      <c r="W252" s="46"/>
      <c r="X252" s="46"/>
      <c r="Y252" s="46"/>
      <c r="Z252" s="46"/>
      <c r="AA252" s="46"/>
      <c r="AB252" s="3"/>
    </row>
    <row r="253" spans="1:28" ht="3.9" customHeight="1" x14ac:dyDescent="0.25">
      <c r="A253" s="149">
        <f>1</f>
        <v>1</v>
      </c>
      <c r="B253" s="131"/>
      <c r="C253" s="2"/>
      <c r="D253" s="2"/>
      <c r="E253" s="117"/>
      <c r="F253" s="2"/>
      <c r="G253" s="117"/>
      <c r="H253" s="2"/>
      <c r="I253" s="28"/>
      <c r="J253" s="2"/>
      <c r="K253" s="28"/>
      <c r="L253" s="2"/>
      <c r="M253" s="138"/>
      <c r="N253" s="2"/>
      <c r="O253" s="2"/>
      <c r="P253" s="36"/>
      <c r="Q253" s="36"/>
      <c r="R253" s="36"/>
      <c r="S253" s="36"/>
      <c r="T253" s="36"/>
      <c r="U253" s="36"/>
      <c r="V253" s="36"/>
      <c r="W253" s="36"/>
      <c r="X253" s="36"/>
      <c r="Y253" s="36"/>
      <c r="Z253" s="36"/>
      <c r="AA253" s="36"/>
      <c r="AB253" s="2"/>
    </row>
    <row r="254" spans="1:28" ht="8.1" customHeight="1" x14ac:dyDescent="0.25">
      <c r="A254" s="149">
        <f>1</f>
        <v>1</v>
      </c>
      <c r="B254" s="131"/>
      <c r="C254" s="2"/>
      <c r="D254" s="2"/>
      <c r="E254" s="2"/>
      <c r="F254" s="2"/>
      <c r="G254" s="2"/>
      <c r="H254" s="2"/>
      <c r="I254" s="28"/>
      <c r="J254" s="2"/>
      <c r="K254" s="28"/>
      <c r="L254" s="2"/>
      <c r="M254" s="52"/>
      <c r="N254" s="2"/>
      <c r="O254" s="2"/>
      <c r="P254" s="36"/>
      <c r="Q254" s="36"/>
      <c r="R254" s="36"/>
      <c r="S254" s="36"/>
      <c r="T254" s="36"/>
      <c r="U254" s="36"/>
      <c r="V254" s="36"/>
      <c r="W254" s="36"/>
      <c r="X254" s="36"/>
      <c r="Y254" s="36"/>
      <c r="Z254" s="36"/>
      <c r="AA254" s="36"/>
      <c r="AB254" s="2"/>
    </row>
    <row r="255" spans="1:28" ht="3.9" customHeight="1" x14ac:dyDescent="0.25">
      <c r="A255" s="149">
        <f>1</f>
        <v>1</v>
      </c>
      <c r="B255" s="131"/>
      <c r="C255" s="2"/>
      <c r="D255" s="2"/>
      <c r="E255" s="2"/>
      <c r="F255" s="2"/>
      <c r="G255" s="2"/>
      <c r="H255" s="2"/>
      <c r="I255" s="28"/>
      <c r="J255" s="2"/>
      <c r="K255" s="28"/>
      <c r="L255" s="2"/>
      <c r="M255" s="52"/>
      <c r="N255" s="2"/>
      <c r="O255" s="2"/>
      <c r="P255" s="36"/>
      <c r="Q255" s="36"/>
      <c r="R255" s="36"/>
      <c r="S255" s="36"/>
      <c r="T255" s="36"/>
      <c r="U255" s="36"/>
      <c r="V255" s="36"/>
      <c r="W255" s="36"/>
      <c r="X255" s="36"/>
      <c r="Y255" s="36"/>
      <c r="Z255" s="36"/>
      <c r="AA255" s="36"/>
      <c r="AB255" s="2"/>
    </row>
    <row r="256" spans="1:28" s="5" customFormat="1" x14ac:dyDescent="0.25">
      <c r="A256" s="150">
        <f>1</f>
        <v>1</v>
      </c>
      <c r="B256" s="129" t="str">
        <f>структура!$J$12</f>
        <v>ОСНО</v>
      </c>
      <c r="C256" s="3"/>
      <c r="D256" s="3"/>
      <c r="E256" s="146" t="str">
        <f>KPI!$E$107</f>
        <v>IRR</v>
      </c>
      <c r="F256" s="146"/>
      <c r="G256" s="146" t="str">
        <f>IF($E256="","",INDEX(KPI!$G:$G,SUMIFS(KPI!$B:$B,KPI!$E:$E,$E256)))</f>
        <v>%</v>
      </c>
      <c r="H256" s="146"/>
      <c r="I256" s="177"/>
      <c r="J256" s="146"/>
      <c r="K256" s="177"/>
      <c r="L256" s="146"/>
      <c r="M256" s="292">
        <f>IRR(P256:AA256)</f>
        <v>0.1471522348783294</v>
      </c>
      <c r="N256" s="3"/>
      <c r="O256" s="3"/>
      <c r="P256" s="179">
        <f>-$M$190</f>
        <v>-28550.37484</v>
      </c>
      <c r="Q256" s="179">
        <f>P175</f>
        <v>8982.365254571665</v>
      </c>
      <c r="R256" s="179">
        <f>Q175</f>
        <v>4710.7051659049212</v>
      </c>
      <c r="S256" s="179">
        <f t="shared" ref="S256:AA256" si="17">R175</f>
        <v>5511.3773943664601</v>
      </c>
      <c r="T256" s="179">
        <f t="shared" si="17"/>
        <v>5877.8218628279974</v>
      </c>
      <c r="U256" s="179">
        <f t="shared" si="17"/>
        <v>6473.4204312895399</v>
      </c>
      <c r="V256" s="179">
        <f t="shared" si="17"/>
        <v>7632.3092597510768</v>
      </c>
      <c r="W256" s="179">
        <f t="shared" si="17"/>
        <v>9118.0619214177368</v>
      </c>
      <c r="X256" s="179">
        <f t="shared" si="17"/>
        <v>0</v>
      </c>
      <c r="Y256" s="179">
        <f t="shared" si="17"/>
        <v>0</v>
      </c>
      <c r="Z256" s="179">
        <f t="shared" si="17"/>
        <v>0</v>
      </c>
      <c r="AA256" s="179">
        <f t="shared" si="17"/>
        <v>0</v>
      </c>
      <c r="AB256" s="3"/>
    </row>
    <row r="257" spans="1:28" s="5" customFormat="1" ht="3.9" customHeight="1" x14ac:dyDescent="0.25">
      <c r="A257" s="150">
        <f>1</f>
        <v>1</v>
      </c>
      <c r="B257" s="128"/>
      <c r="C257" s="3"/>
      <c r="D257" s="3"/>
      <c r="E257" s="3"/>
      <c r="F257" s="3"/>
      <c r="G257" s="3"/>
      <c r="H257" s="3"/>
      <c r="I257" s="28"/>
      <c r="J257" s="3"/>
      <c r="K257" s="28"/>
      <c r="L257" s="3"/>
      <c r="M257" s="55"/>
      <c r="N257" s="3"/>
      <c r="O257" s="3"/>
      <c r="P257" s="46"/>
      <c r="Q257" s="46"/>
      <c r="R257" s="46"/>
      <c r="S257" s="46"/>
      <c r="T257" s="46"/>
      <c r="U257" s="46"/>
      <c r="V257" s="46"/>
      <c r="W257" s="46"/>
      <c r="X257" s="46"/>
      <c r="Y257" s="46"/>
      <c r="Z257" s="46"/>
      <c r="AA257" s="46"/>
      <c r="AB257" s="3"/>
    </row>
    <row r="258" spans="1:28" s="5" customFormat="1" x14ac:dyDescent="0.25">
      <c r="A258" s="150">
        <f>1</f>
        <v>1</v>
      </c>
      <c r="B258" s="129" t="str">
        <f>структура!$J$13</f>
        <v>УСН(6%)</v>
      </c>
      <c r="C258" s="3"/>
      <c r="D258" s="3"/>
      <c r="E258" s="146" t="str">
        <f>E256</f>
        <v>IRR</v>
      </c>
      <c r="F258" s="146"/>
      <c r="G258" s="146" t="str">
        <f>IF($E258="","",INDEX(KPI!$G:$G,SUMIFS(KPI!$B:$B,KPI!$E:$E,$E258)))</f>
        <v>%</v>
      </c>
      <c r="H258" s="146"/>
      <c r="I258" s="177"/>
      <c r="J258" s="146"/>
      <c r="K258" s="177"/>
      <c r="L258" s="146"/>
      <c r="M258" s="292">
        <f>IRR(P258:AA258)</f>
        <v>0.19555961089276197</v>
      </c>
      <c r="N258" s="3"/>
      <c r="O258" s="3"/>
      <c r="P258" s="179">
        <f>-$M$190</f>
        <v>-28550.37484</v>
      </c>
      <c r="Q258" s="179">
        <f>P177</f>
        <v>6340.6361145716655</v>
      </c>
      <c r="R258" s="179">
        <f t="shared" ref="R258:AA258" si="18">Q177</f>
        <v>6371.941219956283</v>
      </c>
      <c r="S258" s="179">
        <f t="shared" si="18"/>
        <v>7333.0874484178221</v>
      </c>
      <c r="T258" s="179">
        <f t="shared" si="18"/>
        <v>7997.1819891870527</v>
      </c>
      <c r="U258" s="179">
        <f t="shared" si="18"/>
        <v>8805.3919930332086</v>
      </c>
      <c r="V258" s="179">
        <f t="shared" si="18"/>
        <v>10211.326321494747</v>
      </c>
      <c r="W258" s="179">
        <f t="shared" si="18"/>
        <v>12157.050092648587</v>
      </c>
      <c r="X258" s="179">
        <f t="shared" si="18"/>
        <v>0</v>
      </c>
      <c r="Y258" s="179">
        <f t="shared" si="18"/>
        <v>0</v>
      </c>
      <c r="Z258" s="179">
        <f t="shared" si="18"/>
        <v>0</v>
      </c>
      <c r="AA258" s="179">
        <f t="shared" si="18"/>
        <v>0</v>
      </c>
      <c r="AB258" s="3"/>
    </row>
    <row r="259" spans="1:28" s="5" customFormat="1" ht="3.9" customHeight="1" x14ac:dyDescent="0.25">
      <c r="A259" s="150">
        <f>1</f>
        <v>1</v>
      </c>
      <c r="B259" s="128"/>
      <c r="C259" s="3"/>
      <c r="D259" s="3"/>
      <c r="E259" s="3"/>
      <c r="F259" s="3"/>
      <c r="G259" s="3"/>
      <c r="H259" s="3"/>
      <c r="I259" s="28"/>
      <c r="J259" s="3"/>
      <c r="K259" s="28"/>
      <c r="L259" s="3"/>
      <c r="M259" s="55"/>
      <c r="N259" s="3"/>
      <c r="O259" s="3"/>
      <c r="P259" s="46"/>
      <c r="Q259" s="46"/>
      <c r="R259" s="46"/>
      <c r="S259" s="46"/>
      <c r="T259" s="46"/>
      <c r="U259" s="46"/>
      <c r="V259" s="46"/>
      <c r="W259" s="46"/>
      <c r="X259" s="46"/>
      <c r="Y259" s="46"/>
      <c r="Z259" s="46"/>
      <c r="AA259" s="46"/>
      <c r="AB259" s="3"/>
    </row>
    <row r="260" spans="1:28" s="5" customFormat="1" x14ac:dyDescent="0.25">
      <c r="A260" s="150">
        <f>1</f>
        <v>1</v>
      </c>
      <c r="B260" s="129" t="str">
        <f>структура!$J$14</f>
        <v>УСН(15%)</v>
      </c>
      <c r="C260" s="3"/>
      <c r="D260" s="3"/>
      <c r="E260" s="146" t="str">
        <f>E256</f>
        <v>IRR</v>
      </c>
      <c r="F260" s="146"/>
      <c r="G260" s="146" t="str">
        <f>IF($E260="","",INDEX(KPI!$G:$G,SUMIFS(KPI!$B:$B,KPI!$E:$E,$E260)))</f>
        <v>%</v>
      </c>
      <c r="H260" s="146"/>
      <c r="I260" s="177"/>
      <c r="J260" s="146"/>
      <c r="K260" s="177"/>
      <c r="L260" s="146"/>
      <c r="M260" s="292">
        <f>IRR(P260:AA260)</f>
        <v>0.17291372538502814</v>
      </c>
      <c r="N260" s="3"/>
      <c r="O260" s="3"/>
      <c r="P260" s="179">
        <f>-$M$190</f>
        <v>-28550.37484</v>
      </c>
      <c r="Q260" s="179">
        <f>P179</f>
        <v>6340.6361145716655</v>
      </c>
      <c r="R260" s="179">
        <f t="shared" ref="R260:AA260" si="19">Q179</f>
        <v>5857.597141385917</v>
      </c>
      <c r="S260" s="179">
        <f t="shared" si="19"/>
        <v>6756.981994847456</v>
      </c>
      <c r="T260" s="179">
        <f t="shared" si="19"/>
        <v>7303.1205801936103</v>
      </c>
      <c r="U260" s="179">
        <f t="shared" si="19"/>
        <v>8025.7986735013055</v>
      </c>
      <c r="V260" s="179">
        <f t="shared" si="19"/>
        <v>9336.2404144628417</v>
      </c>
      <c r="W260" s="179">
        <f t="shared" si="19"/>
        <v>11114.306998847453</v>
      </c>
      <c r="X260" s="179">
        <f t="shared" si="19"/>
        <v>0</v>
      </c>
      <c r="Y260" s="179">
        <f t="shared" si="19"/>
        <v>0</v>
      </c>
      <c r="Z260" s="179">
        <f t="shared" si="19"/>
        <v>0</v>
      </c>
      <c r="AA260" s="179">
        <f t="shared" si="19"/>
        <v>0</v>
      </c>
      <c r="AB260" s="3"/>
    </row>
    <row r="261" spans="1:28" s="5" customFormat="1" ht="3.9" customHeight="1" x14ac:dyDescent="0.25">
      <c r="A261" s="150">
        <f>1</f>
        <v>1</v>
      </c>
      <c r="B261" s="128"/>
      <c r="C261" s="3"/>
      <c r="D261" s="3"/>
      <c r="E261" s="3"/>
      <c r="F261" s="3"/>
      <c r="G261" s="3"/>
      <c r="H261" s="3"/>
      <c r="I261" s="28"/>
      <c r="J261" s="3"/>
      <c r="K261" s="28"/>
      <c r="L261" s="3"/>
      <c r="M261" s="55"/>
      <c r="N261" s="3"/>
      <c r="O261" s="3"/>
      <c r="P261" s="46"/>
      <c r="Q261" s="46"/>
      <c r="R261" s="46"/>
      <c r="S261" s="46"/>
      <c r="T261" s="46"/>
      <c r="U261" s="46"/>
      <c r="V261" s="46"/>
      <c r="W261" s="46"/>
      <c r="X261" s="46"/>
      <c r="Y261" s="46"/>
      <c r="Z261" s="46"/>
      <c r="AA261" s="46"/>
      <c r="AB261" s="3"/>
    </row>
    <row r="262" spans="1:28" s="5" customFormat="1" x14ac:dyDescent="0.25">
      <c r="A262" s="150">
        <f>1</f>
        <v>1</v>
      </c>
      <c r="B262" s="129" t="str">
        <f>структура!$J$15</f>
        <v>УСН(6%)-ИП</v>
      </c>
      <c r="C262" s="3"/>
      <c r="D262" s="3"/>
      <c r="E262" s="146" t="str">
        <f>E256</f>
        <v>IRR</v>
      </c>
      <c r="F262" s="146"/>
      <c r="G262" s="146" t="str">
        <f>IF($E262="","",INDEX(KPI!$G:$G,SUMIFS(KPI!$B:$B,KPI!$E:$E,$E262)))</f>
        <v>%</v>
      </c>
      <c r="H262" s="146"/>
      <c r="I262" s="177"/>
      <c r="J262" s="146"/>
      <c r="K262" s="177"/>
      <c r="L262" s="146"/>
      <c r="M262" s="292">
        <f>IRR(P262:AA262)</f>
        <v>0.20664971767188356</v>
      </c>
      <c r="N262" s="3"/>
      <c r="O262" s="3"/>
      <c r="P262" s="179">
        <f>-$M$190</f>
        <v>-28550.37484</v>
      </c>
      <c r="Q262" s="179">
        <f>P181</f>
        <v>6340.6361145716655</v>
      </c>
      <c r="R262" s="179">
        <f t="shared" ref="R262:AA262" si="20">Q181</f>
        <v>6796.2732545716672</v>
      </c>
      <c r="S262" s="179">
        <f t="shared" si="20"/>
        <v>7776.422983033206</v>
      </c>
      <c r="T262" s="179">
        <f t="shared" si="20"/>
        <v>8469.5840276485906</v>
      </c>
      <c r="U262" s="179">
        <f t="shared" si="20"/>
        <v>9296.2362776485934</v>
      </c>
      <c r="V262" s="179">
        <f t="shared" si="20"/>
        <v>10211.326321494747</v>
      </c>
      <c r="W262" s="179">
        <f t="shared" si="20"/>
        <v>12157.050092648587</v>
      </c>
      <c r="X262" s="179">
        <f t="shared" si="20"/>
        <v>0</v>
      </c>
      <c r="Y262" s="179">
        <f t="shared" si="20"/>
        <v>0</v>
      </c>
      <c r="Z262" s="179">
        <f t="shared" si="20"/>
        <v>0</v>
      </c>
      <c r="AA262" s="179">
        <f t="shared" si="20"/>
        <v>0</v>
      </c>
      <c r="AB262" s="3"/>
    </row>
    <row r="263" spans="1:28" ht="3.9" customHeight="1" x14ac:dyDescent="0.25">
      <c r="A263" s="149">
        <f>1</f>
        <v>1</v>
      </c>
      <c r="B263" s="131"/>
      <c r="C263" s="2"/>
      <c r="D263" s="2"/>
      <c r="E263" s="119"/>
      <c r="F263" s="2"/>
      <c r="G263" s="119"/>
      <c r="H263" s="2"/>
      <c r="I263" s="28"/>
      <c r="J263" s="2"/>
      <c r="K263" s="28"/>
      <c r="L263" s="2"/>
      <c r="M263" s="142"/>
      <c r="N263" s="2"/>
      <c r="O263" s="2"/>
      <c r="P263" s="36"/>
      <c r="Q263" s="36"/>
      <c r="R263" s="36"/>
      <c r="S263" s="36"/>
      <c r="T263" s="36"/>
      <c r="U263" s="36"/>
      <c r="V263" s="36"/>
      <c r="W263" s="36"/>
      <c r="X263" s="36"/>
      <c r="Y263" s="36"/>
      <c r="Z263" s="36"/>
      <c r="AA263" s="36"/>
      <c r="AB263" s="2"/>
    </row>
    <row r="264" spans="1:28" ht="8.1" customHeight="1" x14ac:dyDescent="0.25">
      <c r="A264" s="149">
        <f>1</f>
        <v>1</v>
      </c>
      <c r="B264" s="131"/>
      <c r="C264" s="2"/>
      <c r="D264" s="2"/>
      <c r="E264" s="2"/>
      <c r="F264" s="2"/>
      <c r="G264" s="2"/>
      <c r="H264" s="2"/>
      <c r="I264" s="28"/>
      <c r="J264" s="2"/>
      <c r="K264" s="28"/>
      <c r="L264" s="2"/>
      <c r="M264" s="52"/>
      <c r="N264" s="2"/>
      <c r="O264" s="2"/>
      <c r="P264" s="36"/>
      <c r="Q264" s="36"/>
      <c r="R264" s="36"/>
      <c r="S264" s="36"/>
      <c r="T264" s="36"/>
      <c r="U264" s="36"/>
      <c r="V264" s="36"/>
      <c r="W264" s="36"/>
      <c r="X264" s="36"/>
      <c r="Y264" s="36"/>
      <c r="Z264" s="36"/>
      <c r="AA264" s="36"/>
      <c r="AB264" s="2"/>
    </row>
    <row r="265" spans="1:28" s="5" customFormat="1" x14ac:dyDescent="0.25">
      <c r="A265" s="150">
        <f>1</f>
        <v>1</v>
      </c>
      <c r="B265" s="131"/>
      <c r="C265" s="3"/>
      <c r="D265" s="3"/>
      <c r="E265" s="3"/>
      <c r="F265" s="3"/>
      <c r="G265" s="3"/>
      <c r="H265" s="3"/>
      <c r="I265" s="28"/>
      <c r="J265" s="3"/>
      <c r="K265" s="28"/>
      <c r="L265" s="3"/>
      <c r="M265" s="55"/>
      <c r="N265" s="3"/>
      <c r="O265" s="3"/>
      <c r="P265" s="46"/>
      <c r="Q265" s="46"/>
      <c r="R265" s="46"/>
      <c r="S265" s="46"/>
      <c r="T265" s="46"/>
      <c r="U265" s="46"/>
      <c r="V265" s="46"/>
      <c r="W265" s="46"/>
      <c r="X265" s="46"/>
      <c r="Y265" s="46"/>
      <c r="Z265" s="46"/>
      <c r="AA265" s="46"/>
      <c r="AB265" s="3"/>
    </row>
    <row r="266" spans="1:28" ht="3.9" customHeight="1" x14ac:dyDescent="0.25">
      <c r="A266" s="149">
        <f>1</f>
        <v>1</v>
      </c>
      <c r="B266" s="131"/>
      <c r="C266" s="2"/>
      <c r="D266" s="2"/>
      <c r="E266" s="2"/>
      <c r="F266" s="2"/>
      <c r="G266" s="2"/>
      <c r="H266" s="2"/>
      <c r="I266" s="28"/>
      <c r="J266" s="2"/>
      <c r="K266" s="28"/>
      <c r="L266" s="2"/>
      <c r="M266" s="52"/>
      <c r="N266" s="2"/>
      <c r="O266" s="2"/>
      <c r="P266" s="36"/>
      <c r="Q266" s="36"/>
      <c r="R266" s="36"/>
      <c r="S266" s="36"/>
      <c r="T266" s="36"/>
      <c r="U266" s="36"/>
      <c r="V266" s="36"/>
      <c r="W266" s="36"/>
      <c r="X266" s="36"/>
      <c r="Y266" s="36"/>
      <c r="Z266" s="36"/>
      <c r="AA266" s="36"/>
      <c r="AB266" s="2"/>
    </row>
    <row r="267" spans="1:28" s="5" customFormat="1" x14ac:dyDescent="0.25">
      <c r="A267" s="150">
        <f>1</f>
        <v>1</v>
      </c>
      <c r="B267" s="131"/>
      <c r="C267" s="3"/>
      <c r="D267" s="3"/>
      <c r="E267" s="181" t="s">
        <v>278</v>
      </c>
      <c r="F267" s="3"/>
      <c r="G267" s="3"/>
      <c r="H267" s="3"/>
      <c r="I267" s="28"/>
      <c r="J267" s="3"/>
      <c r="K267" s="28"/>
      <c r="L267" s="3"/>
      <c r="M267" s="55"/>
      <c r="N267" s="3"/>
      <c r="O267" s="3"/>
      <c r="P267" s="46"/>
      <c r="Q267" s="46"/>
      <c r="R267" s="46"/>
      <c r="S267" s="46"/>
      <c r="T267" s="46"/>
      <c r="U267" s="46"/>
      <c r="V267" s="46"/>
      <c r="W267" s="46"/>
      <c r="X267" s="46"/>
      <c r="Y267" s="46"/>
      <c r="Z267" s="46"/>
      <c r="AA267" s="46"/>
      <c r="AB267" s="3"/>
    </row>
    <row r="268" spans="1:28" ht="3.9" customHeight="1" x14ac:dyDescent="0.25">
      <c r="A268" s="149">
        <f>1</f>
        <v>1</v>
      </c>
      <c r="B268" s="131"/>
      <c r="C268" s="2"/>
      <c r="D268" s="2"/>
      <c r="E268" s="2"/>
      <c r="F268" s="2"/>
      <c r="G268" s="2"/>
      <c r="H268" s="2"/>
      <c r="I268" s="28"/>
      <c r="J268" s="2"/>
      <c r="K268" s="28"/>
      <c r="L268" s="2"/>
      <c r="M268" s="52"/>
      <c r="N268" s="2"/>
      <c r="O268" s="2"/>
      <c r="P268" s="36"/>
      <c r="Q268" s="36"/>
      <c r="R268" s="36"/>
      <c r="S268" s="36"/>
      <c r="T268" s="36"/>
      <c r="U268" s="36"/>
      <c r="V268" s="36"/>
      <c r="W268" s="36"/>
      <c r="X268" s="36"/>
      <c r="Y268" s="36"/>
      <c r="Z268" s="36"/>
      <c r="AA268" s="36"/>
      <c r="AB268" s="2"/>
    </row>
    <row r="269" spans="1:28" ht="8.1" customHeight="1" x14ac:dyDescent="0.25">
      <c r="A269" s="149">
        <f>1</f>
        <v>1</v>
      </c>
      <c r="B269" s="131"/>
      <c r="C269" s="2"/>
      <c r="D269" s="2"/>
      <c r="E269" s="2"/>
      <c r="F269" s="2"/>
      <c r="G269" s="2"/>
      <c r="H269" s="2"/>
      <c r="I269" s="28"/>
      <c r="J269" s="2"/>
      <c r="K269" s="28"/>
      <c r="L269" s="2"/>
      <c r="M269" s="52"/>
      <c r="N269" s="2"/>
      <c r="O269" s="2"/>
      <c r="P269" s="36"/>
      <c r="Q269" s="36"/>
      <c r="R269" s="36"/>
      <c r="S269" s="36"/>
      <c r="T269" s="36"/>
      <c r="U269" s="36"/>
      <c r="V269" s="36"/>
      <c r="W269" s="36"/>
      <c r="X269" s="36"/>
      <c r="Y269" s="36"/>
      <c r="Z269" s="36"/>
      <c r="AA269" s="36"/>
      <c r="AB269" s="2"/>
    </row>
    <row r="270" spans="1:28" ht="3.9" customHeight="1" x14ac:dyDescent="0.25">
      <c r="A270" s="149">
        <f>1</f>
        <v>1</v>
      </c>
      <c r="B270" s="131"/>
      <c r="C270" s="2"/>
      <c r="D270" s="2"/>
      <c r="E270" s="2"/>
      <c r="F270" s="2"/>
      <c r="G270" s="2"/>
      <c r="H270" s="2"/>
      <c r="I270" s="28"/>
      <c r="J270" s="2"/>
      <c r="K270" s="28"/>
      <c r="L270" s="2"/>
      <c r="M270" s="52"/>
      <c r="N270" s="2"/>
      <c r="O270" s="2"/>
      <c r="P270" s="36"/>
      <c r="Q270" s="36"/>
      <c r="R270" s="36"/>
      <c r="S270" s="36"/>
      <c r="T270" s="36"/>
      <c r="U270" s="36"/>
      <c r="V270" s="36"/>
      <c r="W270" s="36"/>
      <c r="X270" s="36"/>
      <c r="Y270" s="36"/>
      <c r="Z270" s="36"/>
      <c r="AA270" s="36"/>
      <c r="AB270" s="2"/>
    </row>
    <row r="271" spans="1:28" s="163" customFormat="1" x14ac:dyDescent="0.25">
      <c r="A271" s="149">
        <f>1</f>
        <v>1</v>
      </c>
      <c r="B271" s="159" t="str">
        <f>структура!$J$12</f>
        <v>ОСНО</v>
      </c>
      <c r="C271" s="158"/>
      <c r="D271" s="158"/>
      <c r="E271" s="160" t="str">
        <f>KPI!$E$94</f>
        <v>БАЛАНС</v>
      </c>
      <c r="F271" s="160"/>
      <c r="G271" s="160" t="str">
        <f>IF($E271="","",INDEX(KPI!$G:$G,SUMIFS(KPI!$B:$B,KPI!$E:$E,$E271)))</f>
        <v>тыс.руб.</v>
      </c>
      <c r="H271" s="160"/>
      <c r="I271" s="161"/>
      <c r="J271" s="160" t="str">
        <f>структура!$AL$13</f>
        <v>контроль</v>
      </c>
      <c r="K271" s="161"/>
      <c r="L271" s="160"/>
      <c r="M271" s="180">
        <f>SUM($O271:$AB271)</f>
        <v>391.08999999999151</v>
      </c>
      <c r="N271" s="158"/>
      <c r="O271" s="158"/>
      <c r="P271" s="162">
        <f>IF(P$1="",0,P281+P291-P301-P311)</f>
        <v>55.87000000000171</v>
      </c>
      <c r="Q271" s="162">
        <f t="shared" ref="Q271:AA277" si="21">IF(Q$1="",0,Q281+Q291-Q301-Q311)</f>
        <v>55.869999999997617</v>
      </c>
      <c r="R271" s="162">
        <f t="shared" si="21"/>
        <v>55.870000000000346</v>
      </c>
      <c r="S271" s="162">
        <f t="shared" si="21"/>
        <v>55.870000000001255</v>
      </c>
      <c r="T271" s="162">
        <f t="shared" si="21"/>
        <v>55.869999999995343</v>
      </c>
      <c r="U271" s="162">
        <f t="shared" si="21"/>
        <v>55.869999999998981</v>
      </c>
      <c r="V271" s="162">
        <f t="shared" si="21"/>
        <v>55.869999999996253</v>
      </c>
      <c r="W271" s="162">
        <f t="shared" si="21"/>
        <v>0</v>
      </c>
      <c r="X271" s="162">
        <f t="shared" si="21"/>
        <v>0</v>
      </c>
      <c r="Y271" s="162">
        <f t="shared" si="21"/>
        <v>0</v>
      </c>
      <c r="Z271" s="162">
        <f t="shared" si="21"/>
        <v>0</v>
      </c>
      <c r="AA271" s="162">
        <f t="shared" si="21"/>
        <v>0</v>
      </c>
      <c r="AB271" s="158"/>
    </row>
    <row r="272" spans="1:28" s="163" customFormat="1" ht="3.9" customHeight="1" x14ac:dyDescent="0.25">
      <c r="A272" s="149">
        <f>1</f>
        <v>1</v>
      </c>
      <c r="B272" s="164"/>
      <c r="C272" s="158"/>
      <c r="D272" s="158"/>
      <c r="E272" s="158"/>
      <c r="F272" s="158"/>
      <c r="G272" s="158"/>
      <c r="H272" s="158"/>
      <c r="I272" s="165"/>
      <c r="J272" s="158"/>
      <c r="K272" s="165"/>
      <c r="L272" s="158"/>
      <c r="M272" s="166"/>
      <c r="N272" s="158"/>
      <c r="O272" s="158"/>
      <c r="P272" s="167"/>
      <c r="Q272" s="167"/>
      <c r="R272" s="167"/>
      <c r="S272" s="167"/>
      <c r="T272" s="167"/>
      <c r="U272" s="167"/>
      <c r="V272" s="167"/>
      <c r="W272" s="167"/>
      <c r="X272" s="167"/>
      <c r="Y272" s="167"/>
      <c r="Z272" s="167"/>
      <c r="AA272" s="167"/>
      <c r="AB272" s="158"/>
    </row>
    <row r="273" spans="1:28" s="163" customFormat="1" x14ac:dyDescent="0.25">
      <c r="A273" s="149">
        <f>1</f>
        <v>1</v>
      </c>
      <c r="B273" s="159" t="str">
        <f>структура!$J$13</f>
        <v>УСН(6%)</v>
      </c>
      <c r="C273" s="158"/>
      <c r="D273" s="158"/>
      <c r="E273" s="160" t="str">
        <f>E271</f>
        <v>БАЛАНС</v>
      </c>
      <c r="F273" s="160"/>
      <c r="G273" s="160" t="str">
        <f>IF($E273="","",INDEX(KPI!$G:$G,SUMIFS(KPI!$B:$B,KPI!$E:$E,$E273)))</f>
        <v>тыс.руб.</v>
      </c>
      <c r="H273" s="160"/>
      <c r="I273" s="161"/>
      <c r="J273" s="160" t="str">
        <f>структура!$AL$13</f>
        <v>контроль</v>
      </c>
      <c r="K273" s="161"/>
      <c r="L273" s="160"/>
      <c r="M273" s="180">
        <f>SUM($O273:$AB273)</f>
        <v>391.09000000000606</v>
      </c>
      <c r="N273" s="158"/>
      <c r="O273" s="158"/>
      <c r="P273" s="162">
        <f>IF(P$1="",0,P283+P293-P303-P313)</f>
        <v>55.869999999996935</v>
      </c>
      <c r="Q273" s="162">
        <f t="shared" si="21"/>
        <v>55.869999999995798</v>
      </c>
      <c r="R273" s="162">
        <f t="shared" si="21"/>
        <v>55.870000000001255</v>
      </c>
      <c r="S273" s="162">
        <f t="shared" si="21"/>
        <v>55.869999999996708</v>
      </c>
      <c r="T273" s="162">
        <f t="shared" si="21"/>
        <v>55.870000000005803</v>
      </c>
      <c r="U273" s="162">
        <f t="shared" si="21"/>
        <v>55.870000000013988</v>
      </c>
      <c r="V273" s="162">
        <f t="shared" si="21"/>
        <v>55.869999999995571</v>
      </c>
      <c r="W273" s="162">
        <f t="shared" si="21"/>
        <v>0</v>
      </c>
      <c r="X273" s="162">
        <f t="shared" si="21"/>
        <v>0</v>
      </c>
      <c r="Y273" s="162">
        <f t="shared" si="21"/>
        <v>0</v>
      </c>
      <c r="Z273" s="162">
        <f t="shared" si="21"/>
        <v>0</v>
      </c>
      <c r="AA273" s="162">
        <f t="shared" si="21"/>
        <v>0</v>
      </c>
      <c r="AB273" s="158"/>
    </row>
    <row r="274" spans="1:28" s="163" customFormat="1" ht="3.9" customHeight="1" x14ac:dyDescent="0.25">
      <c r="A274" s="149">
        <f>1</f>
        <v>1</v>
      </c>
      <c r="B274" s="164"/>
      <c r="C274" s="158"/>
      <c r="D274" s="158"/>
      <c r="E274" s="158"/>
      <c r="F274" s="158"/>
      <c r="G274" s="158"/>
      <c r="H274" s="158"/>
      <c r="I274" s="165"/>
      <c r="J274" s="158"/>
      <c r="K274" s="165"/>
      <c r="L274" s="158"/>
      <c r="M274" s="166"/>
      <c r="N274" s="158"/>
      <c r="O274" s="158"/>
      <c r="P274" s="167"/>
      <c r="Q274" s="167"/>
      <c r="R274" s="167"/>
      <c r="S274" s="167"/>
      <c r="T274" s="167"/>
      <c r="U274" s="167"/>
      <c r="V274" s="167"/>
      <c r="W274" s="167"/>
      <c r="X274" s="167"/>
      <c r="Y274" s="167"/>
      <c r="Z274" s="167"/>
      <c r="AA274" s="167"/>
      <c r="AB274" s="158"/>
    </row>
    <row r="275" spans="1:28" s="163" customFormat="1" x14ac:dyDescent="0.25">
      <c r="A275" s="149">
        <f>1</f>
        <v>1</v>
      </c>
      <c r="B275" s="159" t="str">
        <f>структура!$J$14</f>
        <v>УСН(15%)</v>
      </c>
      <c r="C275" s="158"/>
      <c r="D275" s="158"/>
      <c r="E275" s="160" t="str">
        <f>E271</f>
        <v>БАЛАНС</v>
      </c>
      <c r="F275" s="160"/>
      <c r="G275" s="160" t="str">
        <f>IF($E275="","",INDEX(KPI!$G:$G,SUMIFS(KPI!$B:$B,KPI!$E:$E,$E275)))</f>
        <v>тыс.руб.</v>
      </c>
      <c r="H275" s="160"/>
      <c r="I275" s="161"/>
      <c r="J275" s="160" t="str">
        <f>структура!$AL$13</f>
        <v>контроль</v>
      </c>
      <c r="K275" s="161"/>
      <c r="L275" s="160"/>
      <c r="M275" s="180">
        <f>SUM($O275:$AB275)</f>
        <v>391.08999999997218</v>
      </c>
      <c r="N275" s="158"/>
      <c r="O275" s="158"/>
      <c r="P275" s="162">
        <f>IF(P$1="",0,P285+P295-P305-P315)</f>
        <v>55.869999999999663</v>
      </c>
      <c r="Q275" s="162">
        <f t="shared" si="21"/>
        <v>55.86999999999648</v>
      </c>
      <c r="R275" s="162">
        <f t="shared" si="21"/>
        <v>55.869999999990569</v>
      </c>
      <c r="S275" s="162">
        <f t="shared" si="21"/>
        <v>55.870000000001482</v>
      </c>
      <c r="T275" s="162">
        <f t="shared" si="21"/>
        <v>55.869999999992615</v>
      </c>
      <c r="U275" s="162">
        <f t="shared" si="21"/>
        <v>55.869999999995798</v>
      </c>
      <c r="V275" s="162">
        <f t="shared" si="21"/>
        <v>55.869999999995571</v>
      </c>
      <c r="W275" s="162">
        <f t="shared" si="21"/>
        <v>0</v>
      </c>
      <c r="X275" s="162">
        <f t="shared" si="21"/>
        <v>0</v>
      </c>
      <c r="Y275" s="162">
        <f t="shared" si="21"/>
        <v>0</v>
      </c>
      <c r="Z275" s="162">
        <f t="shared" si="21"/>
        <v>0</v>
      </c>
      <c r="AA275" s="162">
        <f t="shared" si="21"/>
        <v>0</v>
      </c>
      <c r="AB275" s="158"/>
    </row>
    <row r="276" spans="1:28" s="163" customFormat="1" ht="3.9" customHeight="1" x14ac:dyDescent="0.25">
      <c r="A276" s="149">
        <f>1</f>
        <v>1</v>
      </c>
      <c r="B276" s="164"/>
      <c r="C276" s="158"/>
      <c r="D276" s="158"/>
      <c r="E276" s="158"/>
      <c r="F276" s="158"/>
      <c r="G276" s="158"/>
      <c r="H276" s="158"/>
      <c r="I276" s="165"/>
      <c r="J276" s="158"/>
      <c r="K276" s="165"/>
      <c r="L276" s="158"/>
      <c r="M276" s="166"/>
      <c r="N276" s="158"/>
      <c r="O276" s="158"/>
      <c r="P276" s="167"/>
      <c r="Q276" s="167"/>
      <c r="R276" s="167"/>
      <c r="S276" s="167"/>
      <c r="T276" s="167"/>
      <c r="U276" s="167"/>
      <c r="V276" s="167"/>
      <c r="W276" s="167"/>
      <c r="X276" s="167"/>
      <c r="Y276" s="167"/>
      <c r="Z276" s="167"/>
      <c r="AA276" s="167"/>
      <c r="AB276" s="158"/>
    </row>
    <row r="277" spans="1:28" s="163" customFormat="1" x14ac:dyDescent="0.25">
      <c r="A277" s="149">
        <f>1</f>
        <v>1</v>
      </c>
      <c r="B277" s="159" t="str">
        <f>структура!$J$15</f>
        <v>УСН(6%)-ИП</v>
      </c>
      <c r="C277" s="158"/>
      <c r="D277" s="158"/>
      <c r="E277" s="160" t="str">
        <f>E271</f>
        <v>БАЛАНС</v>
      </c>
      <c r="F277" s="160"/>
      <c r="G277" s="160" t="str">
        <f>IF($E277="","",INDEX(KPI!$G:$G,SUMIFS(KPI!$B:$B,KPI!$E:$E,$E277)))</f>
        <v>тыс.руб.</v>
      </c>
      <c r="H277" s="160"/>
      <c r="I277" s="161"/>
      <c r="J277" s="160" t="str">
        <f>структура!$AL$13</f>
        <v>контроль</v>
      </c>
      <c r="K277" s="161"/>
      <c r="L277" s="160"/>
      <c r="M277" s="180">
        <f>SUM($O277:$AB277)</f>
        <v>391.09000000004107</v>
      </c>
      <c r="N277" s="158"/>
      <c r="O277" s="158"/>
      <c r="P277" s="162">
        <f>IF(P$1="",0,P287+P297-P307-P317)</f>
        <v>55.870000000000061</v>
      </c>
      <c r="Q277" s="162">
        <f t="shared" si="21"/>
        <v>55.870000000003699</v>
      </c>
      <c r="R277" s="162">
        <f t="shared" si="21"/>
        <v>55.870000000003699</v>
      </c>
      <c r="S277" s="162">
        <f t="shared" si="21"/>
        <v>55.870000000003699</v>
      </c>
      <c r="T277" s="162">
        <f t="shared" si="21"/>
        <v>55.870000000005803</v>
      </c>
      <c r="U277" s="162">
        <f t="shared" si="21"/>
        <v>55.870000000013988</v>
      </c>
      <c r="V277" s="162">
        <f t="shared" si="21"/>
        <v>55.870000000010123</v>
      </c>
      <c r="W277" s="162">
        <f t="shared" si="21"/>
        <v>0</v>
      </c>
      <c r="X277" s="162">
        <f t="shared" si="21"/>
        <v>0</v>
      </c>
      <c r="Y277" s="162">
        <f t="shared" si="21"/>
        <v>0</v>
      </c>
      <c r="Z277" s="162">
        <f t="shared" si="21"/>
        <v>0</v>
      </c>
      <c r="AA277" s="162">
        <f t="shared" si="21"/>
        <v>0</v>
      </c>
      <c r="AB277" s="158"/>
    </row>
    <row r="278" spans="1:28" s="163" customFormat="1" ht="3.9" customHeight="1" x14ac:dyDescent="0.25">
      <c r="A278" s="149">
        <f>1</f>
        <v>1</v>
      </c>
      <c r="B278" s="164"/>
      <c r="C278" s="158"/>
      <c r="D278" s="158"/>
      <c r="E278" s="168"/>
      <c r="F278" s="158"/>
      <c r="G278" s="168"/>
      <c r="H278" s="158"/>
      <c r="I278" s="165"/>
      <c r="J278" s="158"/>
      <c r="K278" s="165"/>
      <c r="L278" s="158"/>
      <c r="M278" s="169"/>
      <c r="N278" s="158"/>
      <c r="O278" s="158"/>
      <c r="P278" s="167"/>
      <c r="Q278" s="167"/>
      <c r="R278" s="167"/>
      <c r="S278" s="167"/>
      <c r="T278" s="167"/>
      <c r="U278" s="167"/>
      <c r="V278" s="167"/>
      <c r="W278" s="167"/>
      <c r="X278" s="167"/>
      <c r="Y278" s="167"/>
      <c r="Z278" s="167"/>
      <c r="AA278" s="167"/>
      <c r="AB278" s="158"/>
    </row>
    <row r="279" spans="1:28" ht="8.1" customHeight="1" x14ac:dyDescent="0.25">
      <c r="A279" s="149">
        <f>1</f>
        <v>1</v>
      </c>
      <c r="B279" s="131"/>
      <c r="C279" s="2"/>
      <c r="D279" s="2"/>
      <c r="E279" s="2"/>
      <c r="F279" s="2"/>
      <c r="G279" s="2"/>
      <c r="H279" s="2"/>
      <c r="I279" s="28"/>
      <c r="J279" s="2"/>
      <c r="K279" s="28"/>
      <c r="L279" s="2"/>
      <c r="M279" s="52"/>
      <c r="N279" s="2"/>
      <c r="O279" s="2"/>
      <c r="P279" s="36"/>
      <c r="Q279" s="36"/>
      <c r="R279" s="36"/>
      <c r="S279" s="36"/>
      <c r="T279" s="36"/>
      <c r="U279" s="36"/>
      <c r="V279" s="36"/>
      <c r="W279" s="36"/>
      <c r="X279" s="36"/>
      <c r="Y279" s="36"/>
      <c r="Z279" s="36"/>
      <c r="AA279" s="36"/>
      <c r="AB279" s="2"/>
    </row>
    <row r="280" spans="1:28" ht="3.9" customHeight="1" x14ac:dyDescent="0.25">
      <c r="A280" s="149">
        <f>1</f>
        <v>1</v>
      </c>
      <c r="B280" s="131"/>
      <c r="C280" s="2"/>
      <c r="D280" s="2"/>
      <c r="E280" s="2"/>
      <c r="F280" s="2"/>
      <c r="G280" s="2"/>
      <c r="H280" s="2"/>
      <c r="I280" s="28"/>
      <c r="J280" s="2"/>
      <c r="K280" s="28"/>
      <c r="L280" s="2"/>
      <c r="M280" s="52"/>
      <c r="N280" s="2"/>
      <c r="O280" s="2"/>
      <c r="P280" s="36"/>
      <c r="Q280" s="36"/>
      <c r="R280" s="36"/>
      <c r="S280" s="36"/>
      <c r="T280" s="36"/>
      <c r="U280" s="36"/>
      <c r="V280" s="36"/>
      <c r="W280" s="36"/>
      <c r="X280" s="36"/>
      <c r="Y280" s="36"/>
      <c r="Z280" s="36"/>
      <c r="AA280" s="36"/>
      <c r="AB280" s="2"/>
    </row>
    <row r="281" spans="1:28" s="5" customFormat="1" x14ac:dyDescent="0.25">
      <c r="A281" s="150">
        <f>1</f>
        <v>1</v>
      </c>
      <c r="B281" s="129" t="str">
        <f>структура!$J$12</f>
        <v>ОСНО</v>
      </c>
      <c r="C281" s="3"/>
      <c r="D281" s="3"/>
      <c r="E281" s="89" t="str">
        <f>KPI!$E$92</f>
        <v>ВНЕОБОРОТНЫЕ АКТИВЫ</v>
      </c>
      <c r="F281" s="89"/>
      <c r="G281" s="89" t="str">
        <f>IF($E281="","",INDEX(KPI!$G:$G,SUMIFS(KPI!$B:$B,KPI!$E:$E,$E281)))</f>
        <v>тыс.руб.</v>
      </c>
      <c r="H281" s="89"/>
      <c r="I281" s="90"/>
      <c r="J281" s="89"/>
      <c r="K281" s="90"/>
      <c r="L281" s="89"/>
      <c r="M281" s="92"/>
      <c r="N281" s="3"/>
      <c r="O281" s="3"/>
      <c r="P281" s="93">
        <f>IF(P$1="",0,IF(1+опер1!P$346=0,0,капитал!$J$20+(капитал!$M$102+капитал!$M$109)/(1+опер1!P$346)-P$117))</f>
        <v>23979.791552380953</v>
      </c>
      <c r="Q281" s="93">
        <f>IF(Q$1="",0,P281-Q$117)</f>
        <v>22050.937404761906</v>
      </c>
      <c r="R281" s="93">
        <f t="shared" ref="R281:AA281" si="22">IF(R$1="",0,Q281-R$117)</f>
        <v>20122.083257142858</v>
      </c>
      <c r="S281" s="93">
        <f t="shared" si="22"/>
        <v>18193.229109523811</v>
      </c>
      <c r="T281" s="93">
        <f t="shared" si="22"/>
        <v>16264.374961904763</v>
      </c>
      <c r="U281" s="93">
        <f t="shared" si="22"/>
        <v>14482.187480952382</v>
      </c>
      <c r="V281" s="93">
        <f t="shared" si="22"/>
        <v>12700</v>
      </c>
      <c r="W281" s="93">
        <f t="shared" si="22"/>
        <v>0</v>
      </c>
      <c r="X281" s="93">
        <f t="shared" si="22"/>
        <v>0</v>
      </c>
      <c r="Y281" s="93">
        <f t="shared" si="22"/>
        <v>0</v>
      </c>
      <c r="Z281" s="93">
        <f t="shared" si="22"/>
        <v>0</v>
      </c>
      <c r="AA281" s="93">
        <f t="shared" si="22"/>
        <v>0</v>
      </c>
      <c r="AB281" s="3"/>
    </row>
    <row r="282" spans="1:28" s="5" customFormat="1" ht="3.9" customHeight="1" x14ac:dyDescent="0.25">
      <c r="A282" s="150">
        <f>1</f>
        <v>1</v>
      </c>
      <c r="B282" s="128"/>
      <c r="C282" s="3"/>
      <c r="D282" s="3"/>
      <c r="E282" s="3"/>
      <c r="F282" s="3"/>
      <c r="G282" s="3"/>
      <c r="H282" s="3"/>
      <c r="I282" s="28"/>
      <c r="J282" s="3"/>
      <c r="K282" s="28"/>
      <c r="L282" s="3"/>
      <c r="M282" s="55"/>
      <c r="N282" s="3"/>
      <c r="O282" s="3"/>
      <c r="P282" s="46"/>
      <c r="Q282" s="46"/>
      <c r="R282" s="46"/>
      <c r="S282" s="46"/>
      <c r="T282" s="46"/>
      <c r="U282" s="46"/>
      <c r="V282" s="46"/>
      <c r="W282" s="46"/>
      <c r="X282" s="46"/>
      <c r="Y282" s="46"/>
      <c r="Z282" s="46"/>
      <c r="AA282" s="46"/>
      <c r="AB282" s="3"/>
    </row>
    <row r="283" spans="1:28" s="5" customFormat="1" x14ac:dyDescent="0.25">
      <c r="A283" s="150">
        <f>1</f>
        <v>1</v>
      </c>
      <c r="B283" s="129" t="str">
        <f>структура!$J$13</f>
        <v>УСН(6%)</v>
      </c>
      <c r="C283" s="3"/>
      <c r="D283" s="3"/>
      <c r="E283" s="89" t="str">
        <f>E281</f>
        <v>ВНЕОБОРОТНЫЕ АКТИВЫ</v>
      </c>
      <c r="F283" s="89"/>
      <c r="G283" s="89" t="str">
        <f>IF($E283="","",INDEX(KPI!$G:$G,SUMIFS(KPI!$B:$B,KPI!$E:$E,$E283)))</f>
        <v>тыс.руб.</v>
      </c>
      <c r="H283" s="89"/>
      <c r="I283" s="90"/>
      <c r="J283" s="89"/>
      <c r="K283" s="90"/>
      <c r="L283" s="89"/>
      <c r="M283" s="92"/>
      <c r="N283" s="3"/>
      <c r="O283" s="3"/>
      <c r="P283" s="93">
        <f>IF(P$1="",0,капитал!$J$20+капитал!$M$102+капитал!$M$109-P119)</f>
        <v>26235.749862857141</v>
      </c>
      <c r="Q283" s="93">
        <f t="shared" ref="Q283:AA283" si="23">IF(Q$1="",0,P283-Q119)</f>
        <v>23921.124885714282</v>
      </c>
      <c r="R283" s="93">
        <f t="shared" si="23"/>
        <v>21606.499908571423</v>
      </c>
      <c r="S283" s="93">
        <f t="shared" si="23"/>
        <v>19291.874931428563</v>
      </c>
      <c r="T283" s="93">
        <f t="shared" si="23"/>
        <v>16977.249954285704</v>
      </c>
      <c r="U283" s="93">
        <f t="shared" si="23"/>
        <v>14838.624977142847</v>
      </c>
      <c r="V283" s="93">
        <f t="shared" si="23"/>
        <v>12699.999999999989</v>
      </c>
      <c r="W283" s="93">
        <f t="shared" si="23"/>
        <v>0</v>
      </c>
      <c r="X283" s="93">
        <f t="shared" si="23"/>
        <v>0</v>
      </c>
      <c r="Y283" s="93">
        <f t="shared" si="23"/>
        <v>0</v>
      </c>
      <c r="Z283" s="93">
        <f t="shared" si="23"/>
        <v>0</v>
      </c>
      <c r="AA283" s="93">
        <f t="shared" si="23"/>
        <v>0</v>
      </c>
      <c r="AB283" s="3"/>
    </row>
    <row r="284" spans="1:28" s="5" customFormat="1" ht="3.9" customHeight="1" x14ac:dyDescent="0.25">
      <c r="A284" s="150">
        <f>1</f>
        <v>1</v>
      </c>
      <c r="B284" s="128"/>
      <c r="C284" s="3"/>
      <c r="D284" s="3"/>
      <c r="E284" s="3"/>
      <c r="F284" s="3"/>
      <c r="G284" s="3"/>
      <c r="H284" s="3"/>
      <c r="I284" s="28"/>
      <c r="J284" s="3"/>
      <c r="K284" s="28"/>
      <c r="L284" s="3"/>
      <c r="M284" s="55"/>
      <c r="N284" s="3"/>
      <c r="O284" s="3"/>
      <c r="P284" s="46"/>
      <c r="Q284" s="46"/>
      <c r="R284" s="46"/>
      <c r="S284" s="46"/>
      <c r="T284" s="46"/>
      <c r="U284" s="46"/>
      <c r="V284" s="46"/>
      <c r="W284" s="46"/>
      <c r="X284" s="46"/>
      <c r="Y284" s="46"/>
      <c r="Z284" s="46"/>
      <c r="AA284" s="46"/>
      <c r="AB284" s="3"/>
    </row>
    <row r="285" spans="1:28" s="5" customFormat="1" x14ac:dyDescent="0.25">
      <c r="A285" s="150">
        <f>1</f>
        <v>1</v>
      </c>
      <c r="B285" s="129" t="str">
        <f>структура!$J$14</f>
        <v>УСН(15%)</v>
      </c>
      <c r="C285" s="3"/>
      <c r="D285" s="3"/>
      <c r="E285" s="89" t="str">
        <f>E281</f>
        <v>ВНЕОБОРОТНЫЕ АКТИВЫ</v>
      </c>
      <c r="F285" s="89"/>
      <c r="G285" s="89" t="str">
        <f>IF($E285="","",INDEX(KPI!$G:$G,SUMIFS(KPI!$B:$B,KPI!$E:$E,$E285)))</f>
        <v>тыс.руб.</v>
      </c>
      <c r="H285" s="89"/>
      <c r="I285" s="90"/>
      <c r="J285" s="89"/>
      <c r="K285" s="90"/>
      <c r="L285" s="89"/>
      <c r="M285" s="92"/>
      <c r="N285" s="3"/>
      <c r="O285" s="3"/>
      <c r="P285" s="93">
        <f>IF(P$1="",0,капитал!$J$20+капитал!$M$102+капитал!$M$109-P121)</f>
        <v>26235.749862857141</v>
      </c>
      <c r="Q285" s="93">
        <f t="shared" ref="Q285:AA285" si="24">IF(Q$1="",0,P285-Q121)</f>
        <v>23921.124885714282</v>
      </c>
      <c r="R285" s="93">
        <f t="shared" si="24"/>
        <v>21606.499908571423</v>
      </c>
      <c r="S285" s="93">
        <f t="shared" si="24"/>
        <v>19291.874931428563</v>
      </c>
      <c r="T285" s="93">
        <f t="shared" si="24"/>
        <v>16977.249954285704</v>
      </c>
      <c r="U285" s="93">
        <f t="shared" si="24"/>
        <v>14838.624977142847</v>
      </c>
      <c r="V285" s="93">
        <f t="shared" si="24"/>
        <v>12699.999999999989</v>
      </c>
      <c r="W285" s="93">
        <f t="shared" si="24"/>
        <v>0</v>
      </c>
      <c r="X285" s="93">
        <f t="shared" si="24"/>
        <v>0</v>
      </c>
      <c r="Y285" s="93">
        <f t="shared" si="24"/>
        <v>0</v>
      </c>
      <c r="Z285" s="93">
        <f t="shared" si="24"/>
        <v>0</v>
      </c>
      <c r="AA285" s="93">
        <f t="shared" si="24"/>
        <v>0</v>
      </c>
      <c r="AB285" s="3"/>
    </row>
    <row r="286" spans="1:28" s="5" customFormat="1" ht="3.9" customHeight="1" x14ac:dyDescent="0.25">
      <c r="A286" s="150">
        <f>1</f>
        <v>1</v>
      </c>
      <c r="B286" s="128"/>
      <c r="C286" s="3"/>
      <c r="D286" s="3"/>
      <c r="E286" s="3"/>
      <c r="F286" s="3"/>
      <c r="G286" s="3"/>
      <c r="H286" s="3"/>
      <c r="I286" s="28"/>
      <c r="J286" s="3"/>
      <c r="K286" s="28"/>
      <c r="L286" s="3"/>
      <c r="M286" s="55"/>
      <c r="N286" s="3"/>
      <c r="O286" s="3"/>
      <c r="P286" s="46"/>
      <c r="Q286" s="46"/>
      <c r="R286" s="46"/>
      <c r="S286" s="46"/>
      <c r="T286" s="46"/>
      <c r="U286" s="46"/>
      <c r="V286" s="46"/>
      <c r="W286" s="46"/>
      <c r="X286" s="46"/>
      <c r="Y286" s="46"/>
      <c r="Z286" s="46"/>
      <c r="AA286" s="46"/>
      <c r="AB286" s="3"/>
    </row>
    <row r="287" spans="1:28" s="5" customFormat="1" x14ac:dyDescent="0.25">
      <c r="A287" s="150">
        <f>1</f>
        <v>1</v>
      </c>
      <c r="B287" s="129" t="str">
        <f>структура!$J$15</f>
        <v>УСН(6%)-ИП</v>
      </c>
      <c r="C287" s="3"/>
      <c r="D287" s="3"/>
      <c r="E287" s="89" t="str">
        <f>E281</f>
        <v>ВНЕОБОРОТНЫЕ АКТИВЫ</v>
      </c>
      <c r="F287" s="89"/>
      <c r="G287" s="89" t="str">
        <f>IF($E287="","",INDEX(KPI!$G:$G,SUMIFS(KPI!$B:$B,KPI!$E:$E,$E287)))</f>
        <v>тыс.руб.</v>
      </c>
      <c r="H287" s="89"/>
      <c r="I287" s="90"/>
      <c r="J287" s="89"/>
      <c r="K287" s="90"/>
      <c r="L287" s="89"/>
      <c r="M287" s="92"/>
      <c r="N287" s="3"/>
      <c r="O287" s="3"/>
      <c r="P287" s="93">
        <f>IF(P$1="",0,капитал!$J$20+капитал!$M$102+капитал!$M$109-P123)</f>
        <v>26235.749862857141</v>
      </c>
      <c r="Q287" s="93">
        <f t="shared" ref="Q287:AA287" si="25">IF(Q$1="",0,P287-Q123)</f>
        <v>23921.124885714282</v>
      </c>
      <c r="R287" s="93">
        <f t="shared" si="25"/>
        <v>21606.499908571423</v>
      </c>
      <c r="S287" s="93">
        <f t="shared" si="25"/>
        <v>19291.874931428563</v>
      </c>
      <c r="T287" s="93">
        <f t="shared" si="25"/>
        <v>16977.249954285704</v>
      </c>
      <c r="U287" s="93">
        <f t="shared" si="25"/>
        <v>14838.624977142847</v>
      </c>
      <c r="V287" s="93">
        <f t="shared" si="25"/>
        <v>12699.999999999989</v>
      </c>
      <c r="W287" s="93">
        <f t="shared" si="25"/>
        <v>0</v>
      </c>
      <c r="X287" s="93">
        <f t="shared" si="25"/>
        <v>0</v>
      </c>
      <c r="Y287" s="93">
        <f t="shared" si="25"/>
        <v>0</v>
      </c>
      <c r="Z287" s="93">
        <f t="shared" si="25"/>
        <v>0</v>
      </c>
      <c r="AA287" s="93">
        <f t="shared" si="25"/>
        <v>0</v>
      </c>
      <c r="AB287" s="3"/>
    </row>
    <row r="288" spans="1:28" ht="3.9" customHeight="1" x14ac:dyDescent="0.25">
      <c r="A288" s="149">
        <f>1</f>
        <v>1</v>
      </c>
      <c r="B288" s="131"/>
      <c r="C288" s="2"/>
      <c r="D288" s="2"/>
      <c r="E288" s="118"/>
      <c r="F288" s="2"/>
      <c r="G288" s="118"/>
      <c r="H288" s="2"/>
      <c r="I288" s="28"/>
      <c r="J288" s="2"/>
      <c r="K288" s="28"/>
      <c r="L288" s="2"/>
      <c r="M288" s="139"/>
      <c r="N288" s="2"/>
      <c r="O288" s="2"/>
      <c r="P288" s="36"/>
      <c r="Q288" s="36"/>
      <c r="R288" s="36"/>
      <c r="S288" s="36"/>
      <c r="T288" s="36"/>
      <c r="U288" s="36"/>
      <c r="V288" s="36"/>
      <c r="W288" s="36"/>
      <c r="X288" s="36"/>
      <c r="Y288" s="36"/>
      <c r="Z288" s="36"/>
      <c r="AA288" s="36"/>
      <c r="AB288" s="2"/>
    </row>
    <row r="289" spans="1:28" ht="8.1" customHeight="1" x14ac:dyDescent="0.25">
      <c r="A289" s="149">
        <f>1</f>
        <v>1</v>
      </c>
      <c r="B289" s="131"/>
      <c r="C289" s="2"/>
      <c r="D289" s="2"/>
      <c r="E289" s="2"/>
      <c r="F289" s="2"/>
      <c r="G289" s="2"/>
      <c r="H289" s="2"/>
      <c r="I289" s="28"/>
      <c r="J289" s="2"/>
      <c r="K289" s="28"/>
      <c r="L289" s="2"/>
      <c r="M289" s="52"/>
      <c r="N289" s="2"/>
      <c r="O289" s="2"/>
      <c r="P289" s="36"/>
      <c r="Q289" s="36"/>
      <c r="R289" s="36"/>
      <c r="S289" s="36"/>
      <c r="T289" s="36"/>
      <c r="U289" s="36"/>
      <c r="V289" s="36"/>
      <c r="W289" s="36"/>
      <c r="X289" s="36"/>
      <c r="Y289" s="36"/>
      <c r="Z289" s="36"/>
      <c r="AA289" s="36"/>
      <c r="AB289" s="2"/>
    </row>
    <row r="290" spans="1:28" ht="3.9" customHeight="1" x14ac:dyDescent="0.25">
      <c r="A290" s="149">
        <f>1</f>
        <v>1</v>
      </c>
      <c r="B290" s="131"/>
      <c r="C290" s="2"/>
      <c r="D290" s="2"/>
      <c r="E290" s="2"/>
      <c r="F290" s="2"/>
      <c r="G290" s="2"/>
      <c r="H290" s="2"/>
      <c r="I290" s="28"/>
      <c r="J290" s="2"/>
      <c r="K290" s="28"/>
      <c r="L290" s="2"/>
      <c r="M290" s="52"/>
      <c r="N290" s="2"/>
      <c r="O290" s="2"/>
      <c r="P290" s="36"/>
      <c r="Q290" s="36"/>
      <c r="R290" s="36"/>
      <c r="S290" s="36"/>
      <c r="T290" s="36"/>
      <c r="U290" s="36"/>
      <c r="V290" s="36"/>
      <c r="W290" s="36"/>
      <c r="X290" s="36"/>
      <c r="Y290" s="36"/>
      <c r="Z290" s="36"/>
      <c r="AA290" s="36"/>
      <c r="AB290" s="2"/>
    </row>
    <row r="291" spans="1:28" s="5" customFormat="1" x14ac:dyDescent="0.25">
      <c r="A291" s="150">
        <f>1</f>
        <v>1</v>
      </c>
      <c r="B291" s="129" t="str">
        <f>структура!$J$12</f>
        <v>ОСНО</v>
      </c>
      <c r="C291" s="3"/>
      <c r="D291" s="3"/>
      <c r="E291" s="146" t="str">
        <f>KPI!$E$93</f>
        <v>ДЕНЕЖНЫЕ СРЕДСТВА</v>
      </c>
      <c r="F291" s="146"/>
      <c r="G291" s="146" t="str">
        <f>IF($E291="","",INDEX(KPI!$G:$G,SUMIFS(KPI!$B:$B,KPI!$E:$E,$E291)))</f>
        <v>тыс.руб.</v>
      </c>
      <c r="H291" s="146"/>
      <c r="I291" s="177"/>
      <c r="J291" s="146"/>
      <c r="K291" s="177"/>
      <c r="L291" s="146"/>
      <c r="M291" s="178"/>
      <c r="N291" s="3"/>
      <c r="O291" s="3"/>
      <c r="P291" s="179">
        <f>IF(P$1="",0,P175)</f>
        <v>8982.365254571665</v>
      </c>
      <c r="Q291" s="179">
        <f t="shared" ref="Q291:AA291" si="26">IF(Q$1="",0,P291+Q175)</f>
        <v>13693.070420476586</v>
      </c>
      <c r="R291" s="179">
        <f t="shared" si="26"/>
        <v>19204.447814843046</v>
      </c>
      <c r="S291" s="179">
        <f t="shared" si="26"/>
        <v>25082.269677671044</v>
      </c>
      <c r="T291" s="179">
        <f t="shared" si="26"/>
        <v>31555.690108960582</v>
      </c>
      <c r="U291" s="179">
        <f t="shared" si="26"/>
        <v>39187.999368711658</v>
      </c>
      <c r="V291" s="179">
        <f t="shared" si="26"/>
        <v>48306.061290129393</v>
      </c>
      <c r="W291" s="179">
        <f t="shared" si="26"/>
        <v>0</v>
      </c>
      <c r="X291" s="179">
        <f t="shared" si="26"/>
        <v>0</v>
      </c>
      <c r="Y291" s="179">
        <f t="shared" si="26"/>
        <v>0</v>
      </c>
      <c r="Z291" s="179">
        <f t="shared" si="26"/>
        <v>0</v>
      </c>
      <c r="AA291" s="179">
        <f t="shared" si="26"/>
        <v>0</v>
      </c>
      <c r="AB291" s="3"/>
    </row>
    <row r="292" spans="1:28" s="5" customFormat="1" ht="3.9" customHeight="1" x14ac:dyDescent="0.25">
      <c r="A292" s="150">
        <f>1</f>
        <v>1</v>
      </c>
      <c r="B292" s="128"/>
      <c r="C292" s="3"/>
      <c r="D292" s="3"/>
      <c r="E292" s="3"/>
      <c r="F292" s="3"/>
      <c r="G292" s="3"/>
      <c r="H292" s="3"/>
      <c r="I292" s="28"/>
      <c r="J292" s="3"/>
      <c r="K292" s="28"/>
      <c r="L292" s="3"/>
      <c r="M292" s="55"/>
      <c r="N292" s="3"/>
      <c r="O292" s="3"/>
      <c r="P292" s="46"/>
      <c r="Q292" s="46"/>
      <c r="R292" s="46"/>
      <c r="S292" s="46"/>
      <c r="T292" s="46"/>
      <c r="U292" s="46"/>
      <c r="V292" s="46"/>
      <c r="W292" s="46"/>
      <c r="X292" s="46"/>
      <c r="Y292" s="46"/>
      <c r="Z292" s="46"/>
      <c r="AA292" s="46"/>
      <c r="AB292" s="3"/>
    </row>
    <row r="293" spans="1:28" s="5" customFormat="1" x14ac:dyDescent="0.25">
      <c r="A293" s="150">
        <f>1</f>
        <v>1</v>
      </c>
      <c r="B293" s="129" t="str">
        <f>структура!$J$13</f>
        <v>УСН(6%)</v>
      </c>
      <c r="C293" s="3"/>
      <c r="D293" s="3"/>
      <c r="E293" s="146" t="str">
        <f>E291</f>
        <v>ДЕНЕЖНЫЕ СРЕДСТВА</v>
      </c>
      <c r="F293" s="146"/>
      <c r="G293" s="146" t="str">
        <f>IF($E293="","",INDEX(KPI!$G:$G,SUMIFS(KPI!$B:$B,KPI!$E:$E,$E293)))</f>
        <v>тыс.руб.</v>
      </c>
      <c r="H293" s="146"/>
      <c r="I293" s="177"/>
      <c r="J293" s="146"/>
      <c r="K293" s="177"/>
      <c r="L293" s="146"/>
      <c r="M293" s="178"/>
      <c r="N293" s="3"/>
      <c r="O293" s="3"/>
      <c r="P293" s="179">
        <f>IF(P$1="",0,P177)</f>
        <v>6340.6361145716655</v>
      </c>
      <c r="Q293" s="179">
        <f t="shared" ref="Q293:AA293" si="27">IF(Q$1="",0,P293+Q177)</f>
        <v>12712.577334527949</v>
      </c>
      <c r="R293" s="179">
        <f t="shared" si="27"/>
        <v>20045.664782945772</v>
      </c>
      <c r="S293" s="179">
        <f t="shared" si="27"/>
        <v>28042.846772132827</v>
      </c>
      <c r="T293" s="179">
        <f t="shared" si="27"/>
        <v>36848.238765166039</v>
      </c>
      <c r="U293" s="179">
        <f t="shared" si="27"/>
        <v>47059.56508666079</v>
      </c>
      <c r="V293" s="179">
        <f t="shared" si="27"/>
        <v>59216.615179309374</v>
      </c>
      <c r="W293" s="179">
        <f t="shared" si="27"/>
        <v>0</v>
      </c>
      <c r="X293" s="179">
        <f t="shared" si="27"/>
        <v>0</v>
      </c>
      <c r="Y293" s="179">
        <f t="shared" si="27"/>
        <v>0</v>
      </c>
      <c r="Z293" s="179">
        <f t="shared" si="27"/>
        <v>0</v>
      </c>
      <c r="AA293" s="179">
        <f t="shared" si="27"/>
        <v>0</v>
      </c>
      <c r="AB293" s="3"/>
    </row>
    <row r="294" spans="1:28" s="5" customFormat="1" ht="3.9" customHeight="1" x14ac:dyDescent="0.25">
      <c r="A294" s="150">
        <f>1</f>
        <v>1</v>
      </c>
      <c r="B294" s="128"/>
      <c r="C294" s="3"/>
      <c r="D294" s="3"/>
      <c r="E294" s="3"/>
      <c r="F294" s="3"/>
      <c r="G294" s="3"/>
      <c r="H294" s="3"/>
      <c r="I294" s="28"/>
      <c r="J294" s="3"/>
      <c r="K294" s="28"/>
      <c r="L294" s="3"/>
      <c r="M294" s="55"/>
      <c r="N294" s="3"/>
      <c r="O294" s="3"/>
      <c r="P294" s="46"/>
      <c r="Q294" s="46"/>
      <c r="R294" s="46"/>
      <c r="S294" s="46"/>
      <c r="T294" s="46"/>
      <c r="U294" s="46"/>
      <c r="V294" s="46"/>
      <c r="W294" s="46"/>
      <c r="X294" s="46"/>
      <c r="Y294" s="46"/>
      <c r="Z294" s="46"/>
      <c r="AA294" s="46"/>
      <c r="AB294" s="3"/>
    </row>
    <row r="295" spans="1:28" s="5" customFormat="1" x14ac:dyDescent="0.25">
      <c r="A295" s="150">
        <f>1</f>
        <v>1</v>
      </c>
      <c r="B295" s="129" t="str">
        <f>структура!$J$14</f>
        <v>УСН(15%)</v>
      </c>
      <c r="C295" s="3"/>
      <c r="D295" s="3"/>
      <c r="E295" s="146" t="str">
        <f>E291</f>
        <v>ДЕНЕЖНЫЕ СРЕДСТВА</v>
      </c>
      <c r="F295" s="146"/>
      <c r="G295" s="146" t="str">
        <f>IF($E295="","",INDEX(KPI!$G:$G,SUMIFS(KPI!$B:$B,KPI!$E:$E,$E295)))</f>
        <v>тыс.руб.</v>
      </c>
      <c r="H295" s="146"/>
      <c r="I295" s="177"/>
      <c r="J295" s="146"/>
      <c r="K295" s="177"/>
      <c r="L295" s="146"/>
      <c r="M295" s="178"/>
      <c r="N295" s="3"/>
      <c r="O295" s="3"/>
      <c r="P295" s="179">
        <f>IF(P$1="",0,P179)</f>
        <v>6340.6361145716655</v>
      </c>
      <c r="Q295" s="179">
        <f t="shared" ref="Q295:AA295" si="28">IF(Q$1="",0,P295+Q179)</f>
        <v>12198.233255957583</v>
      </c>
      <c r="R295" s="179">
        <f t="shared" si="28"/>
        <v>18955.215250805039</v>
      </c>
      <c r="S295" s="179">
        <f t="shared" si="28"/>
        <v>26258.335830998651</v>
      </c>
      <c r="T295" s="179">
        <f t="shared" si="28"/>
        <v>34284.134504499954</v>
      </c>
      <c r="U295" s="179">
        <f t="shared" si="28"/>
        <v>43620.3749189628</v>
      </c>
      <c r="V295" s="179">
        <f t="shared" si="28"/>
        <v>54734.681917810252</v>
      </c>
      <c r="W295" s="179">
        <f t="shared" si="28"/>
        <v>0</v>
      </c>
      <c r="X295" s="179">
        <f t="shared" si="28"/>
        <v>0</v>
      </c>
      <c r="Y295" s="179">
        <f t="shared" si="28"/>
        <v>0</v>
      </c>
      <c r="Z295" s="179">
        <f t="shared" si="28"/>
        <v>0</v>
      </c>
      <c r="AA295" s="179">
        <f t="shared" si="28"/>
        <v>0</v>
      </c>
      <c r="AB295" s="3"/>
    </row>
    <row r="296" spans="1:28" s="5" customFormat="1" ht="3.9" customHeight="1" x14ac:dyDescent="0.25">
      <c r="A296" s="150">
        <f>1</f>
        <v>1</v>
      </c>
      <c r="B296" s="128"/>
      <c r="C296" s="3"/>
      <c r="D296" s="3"/>
      <c r="E296" s="3"/>
      <c r="F296" s="3"/>
      <c r="G296" s="3"/>
      <c r="H296" s="3"/>
      <c r="I296" s="28"/>
      <c r="J296" s="3"/>
      <c r="K296" s="28"/>
      <c r="L296" s="3"/>
      <c r="M296" s="55"/>
      <c r="N296" s="3"/>
      <c r="O296" s="3"/>
      <c r="P296" s="46"/>
      <c r="Q296" s="46"/>
      <c r="R296" s="46"/>
      <c r="S296" s="46"/>
      <c r="T296" s="46"/>
      <c r="U296" s="46"/>
      <c r="V296" s="46"/>
      <c r="W296" s="46"/>
      <c r="X296" s="46"/>
      <c r="Y296" s="46"/>
      <c r="Z296" s="46"/>
      <c r="AA296" s="46"/>
      <c r="AB296" s="3"/>
    </row>
    <row r="297" spans="1:28" s="5" customFormat="1" x14ac:dyDescent="0.25">
      <c r="A297" s="150">
        <f>1</f>
        <v>1</v>
      </c>
      <c r="B297" s="129" t="str">
        <f>структура!$J$15</f>
        <v>УСН(6%)-ИП</v>
      </c>
      <c r="C297" s="3"/>
      <c r="D297" s="3"/>
      <c r="E297" s="146" t="str">
        <f>E291</f>
        <v>ДЕНЕЖНЫЕ СРЕДСТВА</v>
      </c>
      <c r="F297" s="146"/>
      <c r="G297" s="146" t="str">
        <f>IF($E297="","",INDEX(KPI!$G:$G,SUMIFS(KPI!$B:$B,KPI!$E:$E,$E297)))</f>
        <v>тыс.руб.</v>
      </c>
      <c r="H297" s="146"/>
      <c r="I297" s="177"/>
      <c r="J297" s="146"/>
      <c r="K297" s="177"/>
      <c r="L297" s="146"/>
      <c r="M297" s="178"/>
      <c r="N297" s="3"/>
      <c r="O297" s="3"/>
      <c r="P297" s="179">
        <f>IF(P$1="",0,P181)</f>
        <v>6340.6361145716655</v>
      </c>
      <c r="Q297" s="179">
        <f t="shared" ref="Q297:AA297" si="29">IF(Q$1="",0,P297+Q181)</f>
        <v>13136.909369143334</v>
      </c>
      <c r="R297" s="179">
        <f t="shared" si="29"/>
        <v>20913.332352176541</v>
      </c>
      <c r="S297" s="179">
        <f t="shared" si="29"/>
        <v>29382.916379825132</v>
      </c>
      <c r="T297" s="179">
        <f t="shared" si="29"/>
        <v>38679.152657473722</v>
      </c>
      <c r="U297" s="179">
        <f t="shared" si="29"/>
        <v>48890.478978968473</v>
      </c>
      <c r="V297" s="179">
        <f t="shared" si="29"/>
        <v>61047.529071617057</v>
      </c>
      <c r="W297" s="179">
        <f t="shared" si="29"/>
        <v>0</v>
      </c>
      <c r="X297" s="179">
        <f t="shared" si="29"/>
        <v>0</v>
      </c>
      <c r="Y297" s="179">
        <f t="shared" si="29"/>
        <v>0</v>
      </c>
      <c r="Z297" s="179">
        <f t="shared" si="29"/>
        <v>0</v>
      </c>
      <c r="AA297" s="179">
        <f t="shared" si="29"/>
        <v>0</v>
      </c>
      <c r="AB297" s="3"/>
    </row>
    <row r="298" spans="1:28" ht="3.9" customHeight="1" x14ac:dyDescent="0.25">
      <c r="A298" s="149">
        <f>1</f>
        <v>1</v>
      </c>
      <c r="B298" s="131"/>
      <c r="C298" s="2"/>
      <c r="D298" s="2"/>
      <c r="E298" s="119"/>
      <c r="F298" s="2"/>
      <c r="G298" s="119"/>
      <c r="H298" s="2"/>
      <c r="I298" s="28"/>
      <c r="J298" s="2"/>
      <c r="K298" s="28"/>
      <c r="L298" s="2"/>
      <c r="M298" s="142"/>
      <c r="N298" s="2"/>
      <c r="O298" s="2"/>
      <c r="P298" s="36"/>
      <c r="Q298" s="36"/>
      <c r="R298" s="36"/>
      <c r="S298" s="36"/>
      <c r="T298" s="36"/>
      <c r="U298" s="36"/>
      <c r="V298" s="36"/>
      <c r="W298" s="36"/>
      <c r="X298" s="36"/>
      <c r="Y298" s="36"/>
      <c r="Z298" s="36"/>
      <c r="AA298" s="36"/>
      <c r="AB298" s="2"/>
    </row>
    <row r="299" spans="1:28" ht="8.1" customHeight="1" x14ac:dyDescent="0.25">
      <c r="A299" s="149">
        <f>1</f>
        <v>1</v>
      </c>
      <c r="B299" s="131"/>
      <c r="C299" s="2"/>
      <c r="D299" s="2"/>
      <c r="E299" s="2"/>
      <c r="F299" s="2"/>
      <c r="G299" s="2"/>
      <c r="H299" s="2"/>
      <c r="I299" s="28"/>
      <c r="J299" s="2"/>
      <c r="K299" s="28"/>
      <c r="L299" s="2"/>
      <c r="M299" s="52"/>
      <c r="N299" s="2"/>
      <c r="O299" s="2"/>
      <c r="P299" s="36"/>
      <c r="Q299" s="36"/>
      <c r="R299" s="36"/>
      <c r="S299" s="36"/>
      <c r="T299" s="36"/>
      <c r="U299" s="36"/>
      <c r="V299" s="36"/>
      <c r="W299" s="36"/>
      <c r="X299" s="36"/>
      <c r="Y299" s="36"/>
      <c r="Z299" s="36"/>
      <c r="AA299" s="36"/>
      <c r="AB299" s="2"/>
    </row>
    <row r="300" spans="1:28" ht="3.9" customHeight="1" x14ac:dyDescent="0.25">
      <c r="A300" s="149">
        <f>1</f>
        <v>1</v>
      </c>
      <c r="B300" s="131"/>
      <c r="C300" s="2"/>
      <c r="D300" s="2"/>
      <c r="E300" s="2"/>
      <c r="F300" s="2"/>
      <c r="G300" s="2"/>
      <c r="H300" s="2"/>
      <c r="I300" s="28"/>
      <c r="J300" s="2"/>
      <c r="K300" s="28"/>
      <c r="L300" s="2"/>
      <c r="M300" s="52"/>
      <c r="N300" s="2"/>
      <c r="O300" s="2"/>
      <c r="P300" s="36"/>
      <c r="Q300" s="36"/>
      <c r="R300" s="36"/>
      <c r="S300" s="36"/>
      <c r="T300" s="36"/>
      <c r="U300" s="36"/>
      <c r="V300" s="36"/>
      <c r="W300" s="36"/>
      <c r="X300" s="36"/>
      <c r="Y300" s="36"/>
      <c r="Z300" s="36"/>
      <c r="AA300" s="36"/>
      <c r="AB300" s="2"/>
    </row>
    <row r="301" spans="1:28" s="5" customFormat="1" x14ac:dyDescent="0.25">
      <c r="A301" s="150">
        <f>1</f>
        <v>1</v>
      </c>
      <c r="B301" s="129" t="str">
        <f>структура!$J$12</f>
        <v>ОСНО</v>
      </c>
      <c r="C301" s="3"/>
      <c r="D301" s="3"/>
      <c r="E301" s="147" t="str">
        <f>KPI!$E$95</f>
        <v>СОБСТВЕННЫЙ КАПИТАЛ</v>
      </c>
      <c r="F301" s="147"/>
      <c r="G301" s="147" t="str">
        <f>IF($E301="","",INDEX(KPI!$G:$G,SUMIFS(KPI!$B:$B,KPI!$E:$E,$E301)))</f>
        <v>тыс.руб.</v>
      </c>
      <c r="H301" s="147"/>
      <c r="I301" s="170"/>
      <c r="J301" s="147"/>
      <c r="K301" s="170"/>
      <c r="L301" s="147"/>
      <c r="M301" s="171"/>
      <c r="N301" s="3"/>
      <c r="O301" s="3"/>
      <c r="P301" s="172">
        <f>IF(P$1="",0,капитал!$J$20+капитал!$M$102+капитал!$M$109+P$137)</f>
        <v>30793.793358285871</v>
      </c>
      <c r="Q301" s="172">
        <f t="shared" ref="Q301:AA301" si="30">IF(Q$1="",0,P301+Q137)</f>
        <v>33396.166876571748</v>
      </c>
      <c r="R301" s="172">
        <f t="shared" si="30"/>
        <v>36651.973547165311</v>
      </c>
      <c r="S301" s="172">
        <f t="shared" si="30"/>
        <v>40369.887580835799</v>
      </c>
      <c r="T301" s="172">
        <f t="shared" si="30"/>
        <v>44638.903114506291</v>
      </c>
      <c r="U301" s="172">
        <f t="shared" si="30"/>
        <v>49981.545033817805</v>
      </c>
      <c r="V301" s="172">
        <f t="shared" si="30"/>
        <v>56653.008633898549</v>
      </c>
      <c r="W301" s="172">
        <f t="shared" si="30"/>
        <v>0</v>
      </c>
      <c r="X301" s="172">
        <f t="shared" si="30"/>
        <v>0</v>
      </c>
      <c r="Y301" s="172">
        <f t="shared" si="30"/>
        <v>0</v>
      </c>
      <c r="Z301" s="172">
        <f t="shared" si="30"/>
        <v>0</v>
      </c>
      <c r="AA301" s="172">
        <f t="shared" si="30"/>
        <v>0</v>
      </c>
      <c r="AB301" s="3"/>
    </row>
    <row r="302" spans="1:28" s="5" customFormat="1" ht="3.9" customHeight="1" x14ac:dyDescent="0.25">
      <c r="A302" s="150">
        <f>1</f>
        <v>1</v>
      </c>
      <c r="B302" s="128"/>
      <c r="C302" s="3"/>
      <c r="D302" s="3"/>
      <c r="E302" s="3"/>
      <c r="F302" s="3"/>
      <c r="G302" s="3"/>
      <c r="H302" s="3"/>
      <c r="I302" s="28"/>
      <c r="J302" s="3"/>
      <c r="K302" s="28"/>
      <c r="L302" s="3"/>
      <c r="M302" s="55"/>
      <c r="N302" s="3"/>
      <c r="O302" s="3"/>
      <c r="P302" s="46"/>
      <c r="Q302" s="46"/>
      <c r="R302" s="46"/>
      <c r="S302" s="46"/>
      <c r="T302" s="46"/>
      <c r="U302" s="46"/>
      <c r="V302" s="46"/>
      <c r="W302" s="46"/>
      <c r="X302" s="46"/>
      <c r="Y302" s="46"/>
      <c r="Z302" s="46"/>
      <c r="AA302" s="46"/>
      <c r="AB302" s="3"/>
    </row>
    <row r="303" spans="1:28" s="5" customFormat="1" x14ac:dyDescent="0.25">
      <c r="A303" s="150">
        <f>1</f>
        <v>1</v>
      </c>
      <c r="B303" s="129" t="str">
        <f>структура!$J$13</f>
        <v>УСН(6%)</v>
      </c>
      <c r="C303" s="3"/>
      <c r="D303" s="3"/>
      <c r="E303" s="147" t="str">
        <f>E301</f>
        <v>СОБСТВЕННЫЙ КАПИТАЛ</v>
      </c>
      <c r="F303" s="147"/>
      <c r="G303" s="147" t="str">
        <f>IF($E303="","",INDEX(KPI!$G:$G,SUMIFS(KPI!$B:$B,KPI!$E:$E,$E303)))</f>
        <v>тыс.руб.</v>
      </c>
      <c r="H303" s="147"/>
      <c r="I303" s="170"/>
      <c r="J303" s="147"/>
      <c r="K303" s="170"/>
      <c r="L303" s="147"/>
      <c r="M303" s="171"/>
      <c r="N303" s="3"/>
      <c r="O303" s="3"/>
      <c r="P303" s="172">
        <f>IF(P$1="",0,капитал!$J$20+капитал!$M$102+капитал!$M$109+P139)</f>
        <v>32069.258582813425</v>
      </c>
      <c r="Q303" s="172">
        <f t="shared" ref="Q303:AA303" si="31">IF(Q$1="",0,P303+Q139)</f>
        <v>36107.57132562685</v>
      </c>
      <c r="R303" s="172">
        <f t="shared" si="31"/>
        <v>41096.967293055655</v>
      </c>
      <c r="S303" s="172">
        <f t="shared" si="31"/>
        <v>46761.082058946005</v>
      </c>
      <c r="T303" s="172">
        <f t="shared" si="31"/>
        <v>53223.343824836353</v>
      </c>
      <c r="U303" s="172">
        <f t="shared" si="31"/>
        <v>61248.53641918824</v>
      </c>
      <c r="V303" s="172">
        <f t="shared" si="31"/>
        <v>71199.888030847826</v>
      </c>
      <c r="W303" s="172">
        <f t="shared" si="31"/>
        <v>0</v>
      </c>
      <c r="X303" s="172">
        <f t="shared" si="31"/>
        <v>0</v>
      </c>
      <c r="Y303" s="172">
        <f t="shared" si="31"/>
        <v>0</v>
      </c>
      <c r="Z303" s="172">
        <f t="shared" si="31"/>
        <v>0</v>
      </c>
      <c r="AA303" s="172">
        <f t="shared" si="31"/>
        <v>0</v>
      </c>
      <c r="AB303" s="3"/>
    </row>
    <row r="304" spans="1:28" s="5" customFormat="1" ht="3.9" customHeight="1" x14ac:dyDescent="0.25">
      <c r="A304" s="150">
        <f>1</f>
        <v>1</v>
      </c>
      <c r="B304" s="128"/>
      <c r="C304" s="3"/>
      <c r="D304" s="3"/>
      <c r="E304" s="3"/>
      <c r="F304" s="3"/>
      <c r="G304" s="3"/>
      <c r="H304" s="3"/>
      <c r="I304" s="28"/>
      <c r="J304" s="3"/>
      <c r="K304" s="28"/>
      <c r="L304" s="3"/>
      <c r="M304" s="55"/>
      <c r="N304" s="3"/>
      <c r="O304" s="3"/>
      <c r="P304" s="46"/>
      <c r="Q304" s="46"/>
      <c r="R304" s="46"/>
      <c r="S304" s="46"/>
      <c r="T304" s="46"/>
      <c r="U304" s="46"/>
      <c r="V304" s="46"/>
      <c r="W304" s="46"/>
      <c r="X304" s="46"/>
      <c r="Y304" s="46"/>
      <c r="Z304" s="46"/>
      <c r="AA304" s="46"/>
      <c r="AB304" s="3"/>
    </row>
    <row r="305" spans="1:28" s="5" customFormat="1" x14ac:dyDescent="0.25">
      <c r="A305" s="150">
        <f>1</f>
        <v>1</v>
      </c>
      <c r="B305" s="129" t="str">
        <f>структура!$J$14</f>
        <v>УСН(15%)</v>
      </c>
      <c r="C305" s="3"/>
      <c r="D305" s="3"/>
      <c r="E305" s="147" t="str">
        <f>E301</f>
        <v>СОБСТВЕННЫЙ КАПИТАЛ</v>
      </c>
      <c r="F305" s="147"/>
      <c r="G305" s="147" t="str">
        <f>IF($E305="","",INDEX(KPI!$G:$G,SUMIFS(KPI!$B:$B,KPI!$E:$E,$E305)))</f>
        <v>тыс.руб.</v>
      </c>
      <c r="H305" s="147"/>
      <c r="I305" s="170"/>
      <c r="J305" s="147"/>
      <c r="K305" s="170"/>
      <c r="L305" s="147"/>
      <c r="M305" s="171"/>
      <c r="N305" s="3"/>
      <c r="O305" s="3"/>
      <c r="P305" s="172">
        <f>IF(P$1="",0,капитал!$J$20+капитал!$M$102+капитал!$M$109+P141)</f>
        <v>31554.914504243057</v>
      </c>
      <c r="Q305" s="172">
        <f t="shared" ref="Q305:AA305" si="32">IF(Q$1="",0,P305+Q141)</f>
        <v>35017.12179348612</v>
      </c>
      <c r="R305" s="172">
        <f t="shared" si="32"/>
        <v>39312.456351921486</v>
      </c>
      <c r="S305" s="172">
        <f t="shared" si="32"/>
        <v>44196.977798279928</v>
      </c>
      <c r="T305" s="172">
        <f t="shared" si="32"/>
        <v>49784.153657138377</v>
      </c>
      <c r="U305" s="172">
        <f t="shared" si="32"/>
        <v>56766.603157689133</v>
      </c>
      <c r="V305" s="172">
        <f t="shared" si="32"/>
        <v>65443.300301220654</v>
      </c>
      <c r="W305" s="172">
        <f t="shared" si="32"/>
        <v>0</v>
      </c>
      <c r="X305" s="172">
        <f t="shared" si="32"/>
        <v>0</v>
      </c>
      <c r="Y305" s="172">
        <f t="shared" si="32"/>
        <v>0</v>
      </c>
      <c r="Z305" s="172">
        <f t="shared" si="32"/>
        <v>0</v>
      </c>
      <c r="AA305" s="172">
        <f t="shared" si="32"/>
        <v>0</v>
      </c>
      <c r="AB305" s="3"/>
    </row>
    <row r="306" spans="1:28" s="5" customFormat="1" ht="3.9" customHeight="1" x14ac:dyDescent="0.25">
      <c r="A306" s="150">
        <f>1</f>
        <v>1</v>
      </c>
      <c r="B306" s="128"/>
      <c r="C306" s="3"/>
      <c r="D306" s="3"/>
      <c r="E306" s="3"/>
      <c r="F306" s="3"/>
      <c r="G306" s="3"/>
      <c r="H306" s="3"/>
      <c r="I306" s="28"/>
      <c r="J306" s="3"/>
      <c r="K306" s="28"/>
      <c r="L306" s="3"/>
      <c r="M306" s="55"/>
      <c r="N306" s="3"/>
      <c r="O306" s="3"/>
      <c r="P306" s="46"/>
      <c r="Q306" s="46"/>
      <c r="R306" s="46"/>
      <c r="S306" s="46"/>
      <c r="T306" s="46"/>
      <c r="U306" s="46"/>
      <c r="V306" s="46"/>
      <c r="W306" s="46"/>
      <c r="X306" s="46"/>
      <c r="Y306" s="46"/>
      <c r="Z306" s="46"/>
      <c r="AA306" s="46"/>
      <c r="AB306" s="3"/>
    </row>
    <row r="307" spans="1:28" s="5" customFormat="1" x14ac:dyDescent="0.25">
      <c r="A307" s="150">
        <f>1</f>
        <v>1</v>
      </c>
      <c r="B307" s="129" t="str">
        <f>структура!$J$15</f>
        <v>УСН(6%)-ИП</v>
      </c>
      <c r="C307" s="3"/>
      <c r="D307" s="3"/>
      <c r="E307" s="147" t="str">
        <f>E301</f>
        <v>СОБСТВЕННЫЙ КАПИТАЛ</v>
      </c>
      <c r="F307" s="147"/>
      <c r="G307" s="147" t="str">
        <f>IF($E307="","",INDEX(KPI!$G:$G,SUMIFS(KPI!$B:$B,KPI!$E:$E,$E307)))</f>
        <v>тыс.руб.</v>
      </c>
      <c r="H307" s="147"/>
      <c r="I307" s="170"/>
      <c r="J307" s="147"/>
      <c r="K307" s="170"/>
      <c r="L307" s="147"/>
      <c r="M307" s="171"/>
      <c r="N307" s="3"/>
      <c r="O307" s="3"/>
      <c r="P307" s="172">
        <f>IF(P$1="",0,капитал!$J$20+капитал!$M$102+капитал!$M$109+P143)</f>
        <v>32493.590617428807</v>
      </c>
      <c r="Q307" s="172">
        <f t="shared" ref="Q307:AA307" si="33">IF(Q$1="",0,P307+Q143)</f>
        <v>36975.238894857612</v>
      </c>
      <c r="R307" s="172">
        <f t="shared" si="33"/>
        <v>42437.03690074796</v>
      </c>
      <c r="S307" s="172">
        <f t="shared" si="33"/>
        <v>48591.995951253688</v>
      </c>
      <c r="T307" s="172">
        <f t="shared" si="33"/>
        <v>55054.257717144035</v>
      </c>
      <c r="U307" s="172">
        <f t="shared" si="33"/>
        <v>63079.450311495923</v>
      </c>
      <c r="V307" s="172">
        <f t="shared" si="33"/>
        <v>73030.801923155494</v>
      </c>
      <c r="W307" s="172">
        <f t="shared" si="33"/>
        <v>0</v>
      </c>
      <c r="X307" s="172">
        <f t="shared" si="33"/>
        <v>0</v>
      </c>
      <c r="Y307" s="172">
        <f t="shared" si="33"/>
        <v>0</v>
      </c>
      <c r="Z307" s="172">
        <f t="shared" si="33"/>
        <v>0</v>
      </c>
      <c r="AA307" s="172">
        <f t="shared" si="33"/>
        <v>0</v>
      </c>
      <c r="AB307" s="3"/>
    </row>
    <row r="308" spans="1:28" ht="3.9" customHeight="1" x14ac:dyDescent="0.25">
      <c r="A308" s="149">
        <f>1</f>
        <v>1</v>
      </c>
      <c r="B308" s="131"/>
      <c r="C308" s="2"/>
      <c r="D308" s="2"/>
      <c r="E308" s="117"/>
      <c r="F308" s="2"/>
      <c r="G308" s="117"/>
      <c r="H308" s="2"/>
      <c r="I308" s="28"/>
      <c r="J308" s="2"/>
      <c r="K308" s="28"/>
      <c r="L308" s="2"/>
      <c r="M308" s="138"/>
      <c r="N308" s="2"/>
      <c r="O308" s="2"/>
      <c r="P308" s="36"/>
      <c r="Q308" s="36"/>
      <c r="R308" s="36"/>
      <c r="S308" s="36"/>
      <c r="T308" s="36"/>
      <c r="U308" s="36"/>
      <c r="V308" s="36"/>
      <c r="W308" s="36"/>
      <c r="X308" s="36"/>
      <c r="Y308" s="36"/>
      <c r="Z308" s="36"/>
      <c r="AA308" s="36"/>
      <c r="AB308" s="2"/>
    </row>
    <row r="309" spans="1:28" ht="8.1" customHeight="1" x14ac:dyDescent="0.25">
      <c r="A309" s="149">
        <f>1</f>
        <v>1</v>
      </c>
      <c r="B309" s="131"/>
      <c r="C309" s="2"/>
      <c r="D309" s="2"/>
      <c r="E309" s="2"/>
      <c r="F309" s="2"/>
      <c r="G309" s="2"/>
      <c r="H309" s="2"/>
      <c r="I309" s="28"/>
      <c r="J309" s="2"/>
      <c r="K309" s="28"/>
      <c r="L309" s="2"/>
      <c r="M309" s="52"/>
      <c r="N309" s="2"/>
      <c r="O309" s="2"/>
      <c r="P309" s="36"/>
      <c r="Q309" s="36"/>
      <c r="R309" s="36"/>
      <c r="S309" s="36"/>
      <c r="T309" s="36"/>
      <c r="U309" s="36"/>
      <c r="V309" s="36"/>
      <c r="W309" s="36"/>
      <c r="X309" s="36"/>
      <c r="Y309" s="36"/>
      <c r="Z309" s="36"/>
      <c r="AA309" s="36"/>
      <c r="AB309" s="2"/>
    </row>
    <row r="310" spans="1:28" ht="3.9" customHeight="1" x14ac:dyDescent="0.25">
      <c r="A310" s="149">
        <f>1</f>
        <v>1</v>
      </c>
      <c r="B310" s="131"/>
      <c r="C310" s="2"/>
      <c r="D310" s="2"/>
      <c r="E310" s="2"/>
      <c r="F310" s="2"/>
      <c r="G310" s="2"/>
      <c r="H310" s="2"/>
      <c r="I310" s="28"/>
      <c r="J310" s="2"/>
      <c r="K310" s="28"/>
      <c r="L310" s="2"/>
      <c r="M310" s="52"/>
      <c r="N310" s="2"/>
      <c r="O310" s="2"/>
      <c r="P310" s="36"/>
      <c r="Q310" s="36"/>
      <c r="R310" s="36"/>
      <c r="S310" s="36"/>
      <c r="T310" s="36"/>
      <c r="U310" s="36"/>
      <c r="V310" s="36"/>
      <c r="W310" s="36"/>
      <c r="X310" s="36"/>
      <c r="Y310" s="36"/>
      <c r="Z310" s="36"/>
      <c r="AA310" s="36"/>
      <c r="AB310" s="2"/>
    </row>
    <row r="311" spans="1:28" s="5" customFormat="1" x14ac:dyDescent="0.25">
      <c r="A311" s="150">
        <f>1</f>
        <v>1</v>
      </c>
      <c r="B311" s="129" t="str">
        <f>структура!$J$12</f>
        <v>ОСНО</v>
      </c>
      <c r="C311" s="3"/>
      <c r="D311" s="3"/>
      <c r="E311" s="89" t="str">
        <f>KPI!$E$96</f>
        <v>КРЕДИТОРСКАЯ ЗАДОЛЖЕННОСТЬ</v>
      </c>
      <c r="F311" s="89"/>
      <c r="G311" s="89" t="str">
        <f>IF($E311="","",INDEX(KPI!$G:$G,SUMIFS(KPI!$B:$B,KPI!$E:$E,$E311)))</f>
        <v>тыс.руб.</v>
      </c>
      <c r="H311" s="89"/>
      <c r="I311" s="90"/>
      <c r="J311" s="89"/>
      <c r="K311" s="90"/>
      <c r="L311" s="89"/>
      <c r="M311" s="92"/>
      <c r="N311" s="3"/>
      <c r="O311" s="3"/>
      <c r="P311" s="93">
        <f>IF(P$1="",0,опер1!$P$225-опер1!$P$240+P127+P16*опер1!P$346-P107)</f>
        <v>2112.4934486667453</v>
      </c>
      <c r="Q311" s="93">
        <f>IF(Q$1="",0,опер1!$P$225-опер1!$P$240+Q127+Q16*опер1!Q$346-Q107)</f>
        <v>2291.9709486667466</v>
      </c>
      <c r="R311" s="93">
        <f>IF(R$1="",0,опер1!$P$225-опер1!$P$240+R127+R16*опер1!R$346-R107)</f>
        <v>2618.6875248205929</v>
      </c>
      <c r="S311" s="93">
        <f>IF(S$1="",0,опер1!$P$225-опер1!$P$240+S127+S16*опер1!S$346-S107)</f>
        <v>2849.7412063590541</v>
      </c>
      <c r="T311" s="93">
        <f>IF(T$1="",0,опер1!$P$225-опер1!$P$240+T127+T16*опер1!T$346-T107)</f>
        <v>3125.2919563590549</v>
      </c>
      <c r="U311" s="93">
        <f>IF(U$1="",0,опер1!$P$225-опер1!$P$240+U127+U16*опер1!U$346-U107)</f>
        <v>3632.7718158462339</v>
      </c>
      <c r="V311" s="93">
        <f>IF(V$1="",0,опер1!$P$225-опер1!$P$240+V127+V16*опер1!V$346-V107)</f>
        <v>4297.1826562308479</v>
      </c>
      <c r="W311" s="93">
        <f>IF(W$1="",0,опер1!$P$225-опер1!$P$240+W127+W16*опер1!W$346-W107)</f>
        <v>0</v>
      </c>
      <c r="X311" s="93">
        <f>IF(X$1="",0,опер1!$P$225-опер1!$P$240+X127+X16*опер1!X$346-X107)</f>
        <v>0</v>
      </c>
      <c r="Y311" s="93">
        <f>IF(Y$1="",0,опер1!$P$225-опер1!$P$240+Y127+Y16*опер1!Y$346-Y107)</f>
        <v>0</v>
      </c>
      <c r="Z311" s="93">
        <f>IF(Z$1="",0,опер1!$P$225-опер1!$P$240+Z127+Z16*опер1!Z$346-Z107)</f>
        <v>0</v>
      </c>
      <c r="AA311" s="93">
        <f>IF(AA$1="",0,опер1!$P$225-опер1!$P$240+AA127+AA16*опер1!AA$346-AA107)</f>
        <v>0</v>
      </c>
      <c r="AB311" s="3"/>
    </row>
    <row r="312" spans="1:28" s="5" customFormat="1" ht="3.9" customHeight="1" x14ac:dyDescent="0.25">
      <c r="A312" s="150">
        <f>1</f>
        <v>1</v>
      </c>
      <c r="B312" s="128"/>
      <c r="C312" s="3"/>
      <c r="D312" s="3"/>
      <c r="E312" s="3"/>
      <c r="F312" s="3"/>
      <c r="G312" s="3"/>
      <c r="H312" s="3"/>
      <c r="I312" s="28"/>
      <c r="J312" s="3"/>
      <c r="K312" s="28"/>
      <c r="L312" s="3"/>
      <c r="M312" s="55"/>
      <c r="N312" s="3"/>
      <c r="O312" s="3"/>
      <c r="P312" s="46"/>
      <c r="Q312" s="46"/>
      <c r="R312" s="46"/>
      <c r="S312" s="46"/>
      <c r="T312" s="46"/>
      <c r="U312" s="46"/>
      <c r="V312" s="46"/>
      <c r="W312" s="46"/>
      <c r="X312" s="46"/>
      <c r="Y312" s="46"/>
      <c r="Z312" s="46"/>
      <c r="AA312" s="46"/>
      <c r="AB312" s="3"/>
    </row>
    <row r="313" spans="1:28" s="5" customFormat="1" x14ac:dyDescent="0.25">
      <c r="A313" s="150">
        <f>1</f>
        <v>1</v>
      </c>
      <c r="B313" s="129" t="str">
        <f>структура!$J$13</f>
        <v>УСН(6%)</v>
      </c>
      <c r="C313" s="3"/>
      <c r="D313" s="3"/>
      <c r="E313" s="89" t="str">
        <f>E311</f>
        <v>КРЕДИТОРСКАЯ ЗАДОЛЖЕННОСТЬ</v>
      </c>
      <c r="F313" s="89"/>
      <c r="G313" s="89" t="str">
        <f>IF($E313="","",INDEX(KPI!$G:$G,SUMIFS(KPI!$B:$B,KPI!$E:$E,$E313)))</f>
        <v>тыс.руб.</v>
      </c>
      <c r="H313" s="89"/>
      <c r="I313" s="90"/>
      <c r="J313" s="89"/>
      <c r="K313" s="90"/>
      <c r="L313" s="89"/>
      <c r="M313" s="92"/>
      <c r="N313" s="3"/>
      <c r="O313" s="3"/>
      <c r="P313" s="93">
        <f>IF(P$1="",0,опер1!$P$225-опер1!$P$240+P129)</f>
        <v>451.25739461538456</v>
      </c>
      <c r="Q313" s="93">
        <f>IF(Q$1="",0,опер1!$P$225-опер1!$P$240+Q129)</f>
        <v>470.26089461538459</v>
      </c>
      <c r="R313" s="93">
        <f>IF(R$1="",0,опер1!$P$225-опер1!$P$240+R129)</f>
        <v>499.32739846153845</v>
      </c>
      <c r="S313" s="93">
        <f>IF(S$1="",0,опер1!$P$225-опер1!$P$240+S129)</f>
        <v>517.76964461538455</v>
      </c>
      <c r="T313" s="93">
        <f>IF(T$1="",0,опер1!$P$225-опер1!$P$240+T129)</f>
        <v>546.27489461538471</v>
      </c>
      <c r="U313" s="93">
        <f>IF(U$1="",0,опер1!$P$225-опер1!$P$240+U129)</f>
        <v>593.78364461538467</v>
      </c>
      <c r="V313" s="93">
        <f>IF(V$1="",0,опер1!$P$225-опер1!$P$240+V129)</f>
        <v>660.85714846153837</v>
      </c>
      <c r="W313" s="93">
        <f>IF(W$1="",0,опер1!$P$225-опер1!$P$240+W129)</f>
        <v>0</v>
      </c>
      <c r="X313" s="93">
        <f>IF(X$1="",0,опер1!$P$225-опер1!$P$240+X129)</f>
        <v>0</v>
      </c>
      <c r="Y313" s="93">
        <f>IF(Y$1="",0,опер1!$P$225-опер1!$P$240+Y129)</f>
        <v>0</v>
      </c>
      <c r="Z313" s="93">
        <f>IF(Z$1="",0,опер1!$P$225-опер1!$P$240+Z129)</f>
        <v>0</v>
      </c>
      <c r="AA313" s="93">
        <f>IF(AA$1="",0,опер1!$P$225-опер1!$P$240+AA129)</f>
        <v>0</v>
      </c>
      <c r="AB313" s="3"/>
    </row>
    <row r="314" spans="1:28" s="5" customFormat="1" ht="3.9" customHeight="1" x14ac:dyDescent="0.25">
      <c r="A314" s="150">
        <f>1</f>
        <v>1</v>
      </c>
      <c r="B314" s="128"/>
      <c r="C314" s="3"/>
      <c r="D314" s="3"/>
      <c r="E314" s="3"/>
      <c r="F314" s="3"/>
      <c r="G314" s="3"/>
      <c r="H314" s="3"/>
      <c r="I314" s="28"/>
      <c r="J314" s="3"/>
      <c r="K314" s="28"/>
      <c r="L314" s="3"/>
      <c r="M314" s="55"/>
      <c r="N314" s="3"/>
      <c r="O314" s="3"/>
      <c r="P314" s="46"/>
      <c r="Q314" s="46"/>
      <c r="R314" s="46"/>
      <c r="S314" s="46"/>
      <c r="T314" s="46"/>
      <c r="U314" s="46"/>
      <c r="V314" s="46"/>
      <c r="W314" s="46"/>
      <c r="X314" s="46"/>
      <c r="Y314" s="46"/>
      <c r="Z314" s="46"/>
      <c r="AA314" s="46"/>
      <c r="AB314" s="3"/>
    </row>
    <row r="315" spans="1:28" s="5" customFormat="1" x14ac:dyDescent="0.25">
      <c r="A315" s="150">
        <f>1</f>
        <v>1</v>
      </c>
      <c r="B315" s="129" t="str">
        <f>структура!$J$14</f>
        <v>УСН(15%)</v>
      </c>
      <c r="C315" s="3"/>
      <c r="D315" s="3"/>
      <c r="E315" s="89" t="str">
        <f>E311</f>
        <v>КРЕДИТОРСКАЯ ЗАДОЛЖЕННОСТЬ</v>
      </c>
      <c r="F315" s="89"/>
      <c r="G315" s="89" t="str">
        <f>IF($E315="","",INDEX(KPI!$G:$G,SUMIFS(KPI!$B:$B,KPI!$E:$E,$E315)))</f>
        <v>тыс.руб.</v>
      </c>
      <c r="H315" s="89"/>
      <c r="I315" s="90"/>
      <c r="J315" s="89"/>
      <c r="K315" s="90"/>
      <c r="L315" s="89"/>
      <c r="M315" s="92"/>
      <c r="N315" s="3"/>
      <c r="O315" s="3"/>
      <c r="P315" s="93">
        <f>IF(P$1="",0,опер1!$P$225-опер1!$P$240+P131)</f>
        <v>965.60147318574968</v>
      </c>
      <c r="Q315" s="93">
        <f>IF(Q$1="",0,опер1!$P$225-опер1!$P$240+Q131)</f>
        <v>1046.36634818575</v>
      </c>
      <c r="R315" s="93">
        <f>IF(R$1="",0,опер1!$P$225-опер1!$P$240+R131)</f>
        <v>1193.3888074549807</v>
      </c>
      <c r="S315" s="93">
        <f>IF(S$1="",0,опер1!$P$225-опер1!$P$240+S131)</f>
        <v>1297.3629641472883</v>
      </c>
      <c r="T315" s="93">
        <f>IF(T$1="",0,опер1!$P$225-опер1!$P$240+T131)</f>
        <v>1421.360801647289</v>
      </c>
      <c r="U315" s="93">
        <f>IF(U$1="",0,опер1!$P$225-опер1!$P$240+U131)</f>
        <v>1636.5267384165195</v>
      </c>
      <c r="V315" s="93">
        <f>IF(V$1="",0,опер1!$P$225-опер1!$P$240+V131)</f>
        <v>1935.5116165895959</v>
      </c>
      <c r="W315" s="93">
        <f>IF(W$1="",0,опер1!$P$225-опер1!$P$240+W131)</f>
        <v>0</v>
      </c>
      <c r="X315" s="93">
        <f>IF(X$1="",0,опер1!$P$225-опер1!$P$240+X131)</f>
        <v>0</v>
      </c>
      <c r="Y315" s="93">
        <f>IF(Y$1="",0,опер1!$P$225-опер1!$P$240+Y131)</f>
        <v>0</v>
      </c>
      <c r="Z315" s="93">
        <f>IF(Z$1="",0,опер1!$P$225-опер1!$P$240+Z131)</f>
        <v>0</v>
      </c>
      <c r="AA315" s="93">
        <f>IF(AA$1="",0,опер1!$P$225-опер1!$P$240+AA131)</f>
        <v>0</v>
      </c>
      <c r="AB315" s="3"/>
    </row>
    <row r="316" spans="1:28" s="5" customFormat="1" ht="3.9" customHeight="1" x14ac:dyDescent="0.25">
      <c r="A316" s="150">
        <f>1</f>
        <v>1</v>
      </c>
      <c r="B316" s="128"/>
      <c r="C316" s="3"/>
      <c r="D316" s="3"/>
      <c r="E316" s="3"/>
      <c r="F316" s="3"/>
      <c r="G316" s="3"/>
      <c r="H316" s="3"/>
      <c r="I316" s="28"/>
      <c r="J316" s="3"/>
      <c r="K316" s="28"/>
      <c r="L316" s="3"/>
      <c r="M316" s="55"/>
      <c r="N316" s="3"/>
      <c r="O316" s="3"/>
      <c r="P316" s="46"/>
      <c r="Q316" s="46"/>
      <c r="R316" s="46"/>
      <c r="S316" s="46"/>
      <c r="T316" s="46"/>
      <c r="U316" s="46"/>
      <c r="V316" s="46"/>
      <c r="W316" s="46"/>
      <c r="X316" s="46"/>
      <c r="Y316" s="46"/>
      <c r="Z316" s="46"/>
      <c r="AA316" s="46"/>
      <c r="AB316" s="3"/>
    </row>
    <row r="317" spans="1:28" s="5" customFormat="1" x14ac:dyDescent="0.25">
      <c r="A317" s="150">
        <f>1</f>
        <v>1</v>
      </c>
      <c r="B317" s="129" t="str">
        <f>структура!$J$15</f>
        <v>УСН(6%)-ИП</v>
      </c>
      <c r="C317" s="3"/>
      <c r="D317" s="3"/>
      <c r="E317" s="89" t="str">
        <f>E311</f>
        <v>КРЕДИТОРСКАЯ ЗАДОЛЖЕННОСТЬ</v>
      </c>
      <c r="F317" s="89"/>
      <c r="G317" s="89" t="str">
        <f>IF($E317="","",INDEX(KPI!$G:$G,SUMIFS(KPI!$B:$B,KPI!$E:$E,$E317)))</f>
        <v>тыс.руб.</v>
      </c>
      <c r="H317" s="89"/>
      <c r="I317" s="90"/>
      <c r="J317" s="89"/>
      <c r="K317" s="90"/>
      <c r="L317" s="89"/>
      <c r="M317" s="92"/>
      <c r="N317" s="3"/>
      <c r="O317" s="3"/>
      <c r="P317" s="93">
        <f>IF(P$1="",0,опер1!$P$225-опер1!$P$240+P133)</f>
        <v>26.925360000000012</v>
      </c>
      <c r="Q317" s="93">
        <f>IF(Q$1="",0,опер1!$P$225-опер1!$P$240+Q133)</f>
        <v>26.925360000000012</v>
      </c>
      <c r="R317" s="93">
        <f>IF(R$1="",0,опер1!$P$225-опер1!$P$240+R133)</f>
        <v>26.925360000000012</v>
      </c>
      <c r="S317" s="93">
        <f>IF(S$1="",0,опер1!$P$225-опер1!$P$240+S133)</f>
        <v>26.925360000000012</v>
      </c>
      <c r="T317" s="93">
        <f>IF(T$1="",0,опер1!$P$225-опер1!$P$240+T133)</f>
        <v>546.27489461538471</v>
      </c>
      <c r="U317" s="93">
        <f>IF(U$1="",0,опер1!$P$225-опер1!$P$240+U133)</f>
        <v>593.78364461538467</v>
      </c>
      <c r="V317" s="93">
        <f>IF(V$1="",0,опер1!$P$225-опер1!$P$240+V133)</f>
        <v>660.85714846153837</v>
      </c>
      <c r="W317" s="93">
        <f>IF(W$1="",0,опер1!$P$225-опер1!$P$240+W133)</f>
        <v>0</v>
      </c>
      <c r="X317" s="93">
        <f>IF(X$1="",0,опер1!$P$225-опер1!$P$240+X133)</f>
        <v>0</v>
      </c>
      <c r="Y317" s="93">
        <f>IF(Y$1="",0,опер1!$P$225-опер1!$P$240+Y133)</f>
        <v>0</v>
      </c>
      <c r="Z317" s="93">
        <f>IF(Z$1="",0,опер1!$P$225-опер1!$P$240+Z133)</f>
        <v>0</v>
      </c>
      <c r="AA317" s="93">
        <f>IF(AA$1="",0,опер1!$P$225-опер1!$P$240+AA133)</f>
        <v>0</v>
      </c>
      <c r="AB317" s="3"/>
    </row>
    <row r="318" spans="1:28" ht="3.9" customHeight="1" x14ac:dyDescent="0.25">
      <c r="A318" s="149">
        <f>1</f>
        <v>1</v>
      </c>
      <c r="B318" s="131"/>
      <c r="C318" s="2"/>
      <c r="D318" s="2"/>
      <c r="E318" s="118"/>
      <c r="F318" s="2"/>
      <c r="G318" s="118"/>
      <c r="H318" s="2"/>
      <c r="I318" s="28"/>
      <c r="J318" s="2"/>
      <c r="K318" s="28"/>
      <c r="L318" s="2"/>
      <c r="M318" s="139"/>
      <c r="N318" s="2"/>
      <c r="O318" s="2"/>
      <c r="P318" s="36"/>
      <c r="Q318" s="36"/>
      <c r="R318" s="36"/>
      <c r="S318" s="36"/>
      <c r="T318" s="36"/>
      <c r="U318" s="36"/>
      <c r="V318" s="36"/>
      <c r="W318" s="36"/>
      <c r="X318" s="36"/>
      <c r="Y318" s="36"/>
      <c r="Z318" s="36"/>
      <c r="AA318" s="36"/>
      <c r="AB318" s="2"/>
    </row>
    <row r="319" spans="1:28" x14ac:dyDescent="0.25">
      <c r="A319" s="149">
        <f>1</f>
        <v>1</v>
      </c>
      <c r="B319" s="131"/>
      <c r="C319" s="2"/>
      <c r="D319" s="2"/>
      <c r="E319" s="2"/>
      <c r="F319" s="2"/>
      <c r="G319" s="2"/>
      <c r="H319" s="2"/>
      <c r="I319" s="28"/>
      <c r="J319" s="2"/>
      <c r="K319" s="28"/>
      <c r="L319" s="2"/>
      <c r="M319" s="52"/>
      <c r="N319" s="2"/>
      <c r="O319" s="2"/>
      <c r="P319" s="36"/>
      <c r="Q319" s="36"/>
      <c r="R319" s="36"/>
      <c r="S319" s="36"/>
      <c r="T319" s="36"/>
      <c r="U319" s="36"/>
      <c r="V319" s="36"/>
      <c r="W319" s="36"/>
      <c r="X319" s="36"/>
      <c r="Y319" s="36"/>
      <c r="Z319" s="36"/>
      <c r="AA319" s="36"/>
      <c r="AB319" s="2"/>
    </row>
    <row r="320" spans="1:28" x14ac:dyDescent="0.25">
      <c r="A320" s="149">
        <f>1</f>
        <v>1</v>
      </c>
      <c r="B320" s="131"/>
      <c r="C320" s="2"/>
      <c r="D320" s="2"/>
      <c r="E320" s="2"/>
      <c r="F320" s="2"/>
      <c r="G320" s="2"/>
      <c r="H320" s="2"/>
      <c r="I320" s="28"/>
      <c r="J320" s="2"/>
      <c r="K320" s="28"/>
      <c r="L320" s="2"/>
      <c r="M320" s="52"/>
      <c r="N320" s="2"/>
      <c r="O320" s="2"/>
      <c r="P320" s="36"/>
      <c r="Q320" s="36"/>
      <c r="R320" s="36"/>
      <c r="S320" s="36"/>
      <c r="T320" s="36"/>
      <c r="U320" s="36"/>
      <c r="V320" s="36"/>
      <c r="W320" s="36"/>
      <c r="X320" s="36"/>
      <c r="Y320" s="36"/>
      <c r="Z320" s="36"/>
      <c r="AA320" s="36"/>
      <c r="AB320" s="2"/>
    </row>
    <row r="321" spans="1:28" x14ac:dyDescent="0.25">
      <c r="A321" s="149">
        <f>1</f>
        <v>1</v>
      </c>
      <c r="B321" s="131"/>
      <c r="C321" s="2"/>
      <c r="D321" s="2"/>
      <c r="E321" s="2"/>
      <c r="F321" s="2"/>
      <c r="G321" s="2"/>
      <c r="H321" s="2"/>
      <c r="I321" s="28"/>
      <c r="J321" s="2"/>
      <c r="K321" s="28"/>
      <c r="L321" s="2"/>
      <c r="M321" s="52"/>
      <c r="N321" s="2"/>
      <c r="O321" s="2"/>
      <c r="P321" s="36"/>
      <c r="Q321" s="36"/>
      <c r="R321" s="36"/>
      <c r="S321" s="36"/>
      <c r="T321" s="36"/>
      <c r="U321" s="36"/>
      <c r="V321" s="36"/>
      <c r="W321" s="36"/>
      <c r="X321" s="36"/>
      <c r="Y321" s="36"/>
      <c r="Z321" s="36"/>
      <c r="AA321" s="36"/>
      <c r="AB321" s="2"/>
    </row>
    <row r="322" spans="1:28" x14ac:dyDescent="0.25">
      <c r="A322" s="149">
        <f>1</f>
        <v>1</v>
      </c>
      <c r="B322" s="131"/>
      <c r="C322" s="2"/>
      <c r="D322" s="2"/>
      <c r="E322" s="2"/>
      <c r="F322" s="2"/>
      <c r="G322" s="2"/>
      <c r="H322" s="2"/>
      <c r="I322" s="28"/>
      <c r="J322" s="2"/>
      <c r="K322" s="28"/>
      <c r="L322" s="2"/>
      <c r="M322" s="52"/>
      <c r="N322" s="2"/>
      <c r="O322" s="2"/>
      <c r="P322" s="36"/>
      <c r="Q322" s="36"/>
      <c r="R322" s="36"/>
      <c r="S322" s="36"/>
      <c r="T322" s="36"/>
      <c r="U322" s="36"/>
      <c r="V322" s="36"/>
      <c r="W322" s="36"/>
      <c r="X322" s="36"/>
      <c r="Y322" s="36"/>
      <c r="Z322" s="36"/>
      <c r="AA322" s="36"/>
      <c r="AB322" s="2"/>
    </row>
    <row r="323" spans="1:28" x14ac:dyDescent="0.25">
      <c r="A323" s="149">
        <f>1</f>
        <v>1</v>
      </c>
      <c r="B323" s="131"/>
      <c r="C323" s="2"/>
      <c r="D323" s="2"/>
      <c r="E323" s="2"/>
      <c r="F323" s="2"/>
      <c r="G323" s="2"/>
      <c r="H323" s="2"/>
      <c r="I323" s="28"/>
      <c r="J323" s="2"/>
      <c r="K323" s="28"/>
      <c r="L323" s="2"/>
      <c r="M323" s="52"/>
      <c r="N323" s="2"/>
      <c r="O323" s="2"/>
      <c r="P323" s="36"/>
      <c r="Q323" s="36"/>
      <c r="R323" s="36"/>
      <c r="S323" s="36"/>
      <c r="T323" s="36"/>
      <c r="U323" s="36"/>
      <c r="V323" s="36"/>
      <c r="W323" s="36"/>
      <c r="X323" s="36"/>
      <c r="Y323" s="36"/>
      <c r="Z323" s="36"/>
      <c r="AA323" s="36"/>
      <c r="AB323" s="2"/>
    </row>
    <row r="324" spans="1:28" x14ac:dyDescent="0.25">
      <c r="A324" s="149">
        <f>1</f>
        <v>1</v>
      </c>
      <c r="B324" s="131"/>
      <c r="C324" s="2"/>
      <c r="D324" s="2"/>
      <c r="E324" s="2"/>
      <c r="F324" s="2"/>
      <c r="G324" s="2"/>
      <c r="H324" s="2"/>
      <c r="I324" s="28"/>
      <c r="J324" s="2"/>
      <c r="K324" s="28"/>
      <c r="L324" s="2"/>
      <c r="M324" s="52"/>
      <c r="N324" s="2"/>
      <c r="O324" s="2"/>
      <c r="P324" s="36"/>
      <c r="Q324" s="36"/>
      <c r="R324" s="36"/>
      <c r="S324" s="36"/>
      <c r="T324" s="36"/>
      <c r="U324" s="36"/>
      <c r="V324" s="36"/>
      <c r="W324" s="36"/>
      <c r="X324" s="36"/>
      <c r="Y324" s="36"/>
      <c r="Z324" s="36"/>
      <c r="AA324" s="36"/>
      <c r="AB324" s="2"/>
    </row>
    <row r="325" spans="1:28" x14ac:dyDescent="0.25">
      <c r="A325" s="149">
        <f>1</f>
        <v>1</v>
      </c>
      <c r="B325" s="131"/>
      <c r="C325" s="2"/>
      <c r="D325" s="2"/>
      <c r="E325" s="2"/>
      <c r="F325" s="2"/>
      <c r="G325" s="2"/>
      <c r="H325" s="2"/>
      <c r="I325" s="28"/>
      <c r="J325" s="2"/>
      <c r="K325" s="28"/>
      <c r="L325" s="2"/>
      <c r="M325" s="52"/>
      <c r="N325" s="2"/>
      <c r="O325" s="2"/>
      <c r="P325" s="36"/>
      <c r="Q325" s="36"/>
      <c r="R325" s="36"/>
      <c r="S325" s="36"/>
      <c r="T325" s="36"/>
      <c r="U325" s="36"/>
      <c r="V325" s="36"/>
      <c r="W325" s="36"/>
      <c r="X325" s="36"/>
      <c r="Y325" s="36"/>
      <c r="Z325" s="36"/>
      <c r="AA325" s="36"/>
      <c r="AB325" s="2"/>
    </row>
    <row r="326" spans="1:28" x14ac:dyDescent="0.25">
      <c r="A326" s="149">
        <f>1</f>
        <v>1</v>
      </c>
      <c r="B326" s="131"/>
      <c r="C326" s="2"/>
      <c r="D326" s="2"/>
      <c r="E326" s="2"/>
      <c r="F326" s="2"/>
      <c r="G326" s="2"/>
      <c r="H326" s="2"/>
      <c r="I326" s="28"/>
      <c r="J326" s="2"/>
      <c r="K326" s="28"/>
      <c r="L326" s="2"/>
      <c r="M326" s="52"/>
      <c r="N326" s="2"/>
      <c r="O326" s="2"/>
      <c r="P326" s="36"/>
      <c r="Q326" s="36"/>
      <c r="R326" s="36"/>
      <c r="S326" s="36"/>
      <c r="T326" s="36"/>
      <c r="U326" s="36"/>
      <c r="V326" s="36"/>
      <c r="W326" s="36"/>
      <c r="X326" s="36"/>
      <c r="Y326" s="36"/>
      <c r="Z326" s="36"/>
      <c r="AA326" s="36"/>
      <c r="AB326" s="2"/>
    </row>
    <row r="327" spans="1:28" x14ac:dyDescent="0.25">
      <c r="A327" s="149">
        <f>1</f>
        <v>1</v>
      </c>
      <c r="B327" s="131"/>
      <c r="C327" s="2"/>
      <c r="D327" s="2"/>
      <c r="E327" s="2"/>
      <c r="F327" s="2"/>
      <c r="G327" s="2"/>
      <c r="H327" s="2"/>
      <c r="I327" s="28"/>
      <c r="J327" s="2"/>
      <c r="K327" s="28"/>
      <c r="L327" s="2"/>
      <c r="M327" s="52"/>
      <c r="N327" s="2"/>
      <c r="O327" s="2"/>
      <c r="P327" s="36"/>
      <c r="Q327" s="36"/>
      <c r="R327" s="36"/>
      <c r="S327" s="36"/>
      <c r="T327" s="36"/>
      <c r="U327" s="36"/>
      <c r="V327" s="36"/>
      <c r="W327" s="36"/>
      <c r="X327" s="36"/>
      <c r="Y327" s="36"/>
      <c r="Z327" s="36"/>
      <c r="AA327" s="36"/>
      <c r="AB327" s="2"/>
    </row>
    <row r="328" spans="1:28" x14ac:dyDescent="0.25">
      <c r="A328" s="149">
        <f>1</f>
        <v>1</v>
      </c>
      <c r="B328" s="131"/>
      <c r="C328" s="2"/>
      <c r="D328" s="2"/>
      <c r="E328" s="2"/>
      <c r="F328" s="2"/>
      <c r="G328" s="2"/>
      <c r="H328" s="2"/>
      <c r="I328" s="28"/>
      <c r="J328" s="2"/>
      <c r="K328" s="28"/>
      <c r="L328" s="2"/>
      <c r="M328" s="52"/>
      <c r="N328" s="2"/>
      <c r="O328" s="2"/>
      <c r="P328" s="36"/>
      <c r="Q328" s="36"/>
      <c r="R328" s="36"/>
      <c r="S328" s="36"/>
      <c r="T328" s="36"/>
      <c r="U328" s="36"/>
      <c r="V328" s="36"/>
      <c r="W328" s="36"/>
      <c r="X328" s="36"/>
      <c r="Y328" s="36"/>
      <c r="Z328" s="36"/>
      <c r="AA328" s="36"/>
      <c r="AB328" s="2"/>
    </row>
    <row r="329" spans="1:28" x14ac:dyDescent="0.25">
      <c r="A329" s="149">
        <f>1</f>
        <v>1</v>
      </c>
      <c r="B329" s="131"/>
      <c r="C329" s="2"/>
      <c r="D329" s="2"/>
      <c r="E329" s="2"/>
      <c r="F329" s="2"/>
      <c r="G329" s="2"/>
      <c r="H329" s="2"/>
      <c r="I329" s="28"/>
      <c r="J329" s="2"/>
      <c r="K329" s="28"/>
      <c r="L329" s="2"/>
      <c r="M329" s="52"/>
      <c r="N329" s="2"/>
      <c r="O329" s="2"/>
      <c r="P329" s="36"/>
      <c r="Q329" s="36"/>
      <c r="R329" s="36"/>
      <c r="S329" s="36"/>
      <c r="T329" s="36"/>
      <c r="U329" s="36"/>
      <c r="V329" s="36"/>
      <c r="W329" s="36"/>
      <c r="X329" s="36"/>
      <c r="Y329" s="36"/>
      <c r="Z329" s="36"/>
      <c r="AA329" s="36"/>
      <c r="AB329" s="2"/>
    </row>
    <row r="330" spans="1:28" x14ac:dyDescent="0.25">
      <c r="A330" s="149">
        <f>1</f>
        <v>1</v>
      </c>
      <c r="B330" s="131"/>
      <c r="C330" s="2"/>
      <c r="D330" s="2"/>
      <c r="E330" s="2"/>
      <c r="F330" s="2"/>
      <c r="G330" s="2"/>
      <c r="H330" s="2"/>
      <c r="I330" s="28"/>
      <c r="J330" s="2"/>
      <c r="K330" s="28"/>
      <c r="L330" s="2"/>
      <c r="M330" s="52"/>
      <c r="N330" s="2"/>
      <c r="O330" s="2"/>
      <c r="P330" s="36"/>
      <c r="Q330" s="36"/>
      <c r="R330" s="36"/>
      <c r="S330" s="36"/>
      <c r="T330" s="36"/>
      <c r="U330" s="36"/>
      <c r="V330" s="36"/>
      <c r="W330" s="36"/>
      <c r="X330" s="36"/>
      <c r="Y330" s="36"/>
      <c r="Z330" s="36"/>
      <c r="AA330" s="36"/>
      <c r="AB330" s="2"/>
    </row>
    <row r="331" spans="1:28" x14ac:dyDescent="0.25">
      <c r="P331" s="57"/>
      <c r="Q331" s="57"/>
      <c r="R331" s="57"/>
      <c r="S331" s="57"/>
      <c r="T331" s="57"/>
      <c r="U331" s="57"/>
      <c r="V331" s="57"/>
      <c r="W331" s="57"/>
      <c r="X331" s="57"/>
      <c r="Y331" s="57"/>
      <c r="Z331" s="57"/>
      <c r="AA331" s="57"/>
    </row>
  </sheetData>
  <autoFilter ref="A8:B330"/>
  <conditionalFormatting sqref="A2:XFD2 A7:XFD253 A3:B6 F3:XFD5 F6 H6:XFD6 E1:XFD1 A265:XFD1048576">
    <cfRule type="cellIs" dxfId="5283" priority="1812" operator="equal">
      <formula>0</formula>
    </cfRule>
  </conditionalFormatting>
  <conditionalFormatting sqref="P16:AA16">
    <cfRule type="expression" dxfId="5282" priority="1811">
      <formula>P$1=""</formula>
    </cfRule>
  </conditionalFormatting>
  <conditionalFormatting sqref="P18:AA18">
    <cfRule type="expression" dxfId="5281" priority="1810">
      <formula>P$1=""</formula>
    </cfRule>
  </conditionalFormatting>
  <conditionalFormatting sqref="P20:AA20">
    <cfRule type="expression" dxfId="5280" priority="1809">
      <formula>P$1=""</formula>
    </cfRule>
  </conditionalFormatting>
  <conditionalFormatting sqref="P22:AA22">
    <cfRule type="expression" dxfId="5279" priority="1808">
      <formula>P$1=""</formula>
    </cfRule>
  </conditionalFormatting>
  <conditionalFormatting sqref="P26:AA26">
    <cfRule type="expression" dxfId="5278" priority="1807">
      <formula>P$1=""</formula>
    </cfRule>
  </conditionalFormatting>
  <conditionalFormatting sqref="P28:AA28">
    <cfRule type="expression" dxfId="5277" priority="1806">
      <formula>P$1=""</formula>
    </cfRule>
  </conditionalFormatting>
  <conditionalFormatting sqref="P30:AA30">
    <cfRule type="expression" dxfId="5276" priority="1805">
      <formula>P$1=""</formula>
    </cfRule>
  </conditionalFormatting>
  <conditionalFormatting sqref="P32:AA32">
    <cfRule type="expression" dxfId="5275" priority="1804">
      <formula>P$1=""</formula>
    </cfRule>
  </conditionalFormatting>
  <conditionalFormatting sqref="P36:AA36">
    <cfRule type="expression" dxfId="5274" priority="1803">
      <formula>P$1=""</formula>
    </cfRule>
  </conditionalFormatting>
  <conditionalFormatting sqref="P38:AA38">
    <cfRule type="expression" dxfId="5273" priority="1802">
      <formula>P$1=""</formula>
    </cfRule>
  </conditionalFormatting>
  <conditionalFormatting sqref="P40:AA40">
    <cfRule type="expression" dxfId="5272" priority="1801">
      <formula>P$1=""</formula>
    </cfRule>
  </conditionalFormatting>
  <conditionalFormatting sqref="P42:AA42">
    <cfRule type="expression" dxfId="5271" priority="1800">
      <formula>P$1=""</formula>
    </cfRule>
  </conditionalFormatting>
  <conditionalFormatting sqref="P42:AA42 P40:AA40 P38:AA38">
    <cfRule type="expression" dxfId="5270" priority="1799">
      <formula>P$1=""</formula>
    </cfRule>
  </conditionalFormatting>
  <conditionalFormatting sqref="P46:AA46">
    <cfRule type="expression" dxfId="5269" priority="1798">
      <formula>P$1=""</formula>
    </cfRule>
  </conditionalFormatting>
  <conditionalFormatting sqref="P48:AA48">
    <cfRule type="expression" dxfId="5268" priority="1797">
      <formula>P$1=""</formula>
    </cfRule>
  </conditionalFormatting>
  <conditionalFormatting sqref="P50:AA50">
    <cfRule type="expression" dxfId="5267" priority="1796">
      <formula>P$1=""</formula>
    </cfRule>
  </conditionalFormatting>
  <conditionalFormatting sqref="P52:AA52">
    <cfRule type="expression" dxfId="5266" priority="1795">
      <formula>P$1=""</formula>
    </cfRule>
  </conditionalFormatting>
  <conditionalFormatting sqref="P52:AA52 P50:AA50 P48:AA48">
    <cfRule type="expression" dxfId="5265" priority="1794">
      <formula>P$1=""</formula>
    </cfRule>
  </conditionalFormatting>
  <conditionalFormatting sqref="P52:AA52 P50:AA50 P48:AA48">
    <cfRule type="expression" dxfId="5264" priority="1793">
      <formula>P$1=""</formula>
    </cfRule>
  </conditionalFormatting>
  <conditionalFormatting sqref="P56:AA56">
    <cfRule type="expression" dxfId="5263" priority="1792">
      <formula>P$1=""</formula>
    </cfRule>
  </conditionalFormatting>
  <conditionalFormatting sqref="P58:AA58">
    <cfRule type="expression" dxfId="5262" priority="1791">
      <formula>P$1=""</formula>
    </cfRule>
  </conditionalFormatting>
  <conditionalFormatting sqref="P60:AA60">
    <cfRule type="expression" dxfId="5261" priority="1790">
      <formula>P$1=""</formula>
    </cfRule>
  </conditionalFormatting>
  <conditionalFormatting sqref="P62:AA62">
    <cfRule type="expression" dxfId="5260" priority="1789">
      <formula>P$1=""</formula>
    </cfRule>
  </conditionalFormatting>
  <conditionalFormatting sqref="P62:AA62 P60:AA60 P58:AA58">
    <cfRule type="expression" dxfId="5259" priority="1788">
      <formula>P$1=""</formula>
    </cfRule>
  </conditionalFormatting>
  <conditionalFormatting sqref="P62:AA62 P60:AA60 P58:AA58">
    <cfRule type="expression" dxfId="5258" priority="1787">
      <formula>P$1=""</formula>
    </cfRule>
  </conditionalFormatting>
  <conditionalFormatting sqref="P62:AA62 P60:AA60 P58:AA58">
    <cfRule type="expression" dxfId="5257" priority="1786">
      <formula>P$1=""</formula>
    </cfRule>
  </conditionalFormatting>
  <conditionalFormatting sqref="P66:AA66">
    <cfRule type="expression" dxfId="5256" priority="1785">
      <formula>P$1=""</formula>
    </cfRule>
  </conditionalFormatting>
  <conditionalFormatting sqref="P68:AA68">
    <cfRule type="expression" dxfId="5255" priority="1784">
      <formula>P$1=""</formula>
    </cfRule>
  </conditionalFormatting>
  <conditionalFormatting sqref="P70:AA70">
    <cfRule type="expression" dxfId="5254" priority="1783">
      <formula>P$1=""</formula>
    </cfRule>
  </conditionalFormatting>
  <conditionalFormatting sqref="P72:AA72">
    <cfRule type="expression" dxfId="5253" priority="1782">
      <formula>P$1=""</formula>
    </cfRule>
  </conditionalFormatting>
  <conditionalFormatting sqref="P72:AA72 P70:AA70 P68:AA68">
    <cfRule type="expression" dxfId="5252" priority="1781">
      <formula>P$1=""</formula>
    </cfRule>
  </conditionalFormatting>
  <conditionalFormatting sqref="P72:AA72 P70:AA70 P68:AA68">
    <cfRule type="expression" dxfId="5251" priority="1780">
      <formula>P$1=""</formula>
    </cfRule>
  </conditionalFormatting>
  <conditionalFormatting sqref="P72:AA72 P70:AA70 P68:AA68">
    <cfRule type="expression" dxfId="5250" priority="1779">
      <formula>P$1=""</formula>
    </cfRule>
  </conditionalFormatting>
  <conditionalFormatting sqref="P72:AA72 P70:AA70 P68:AA68">
    <cfRule type="expression" dxfId="5249" priority="1778">
      <formula>P$1=""</formula>
    </cfRule>
  </conditionalFormatting>
  <conditionalFormatting sqref="P76:AA76">
    <cfRule type="expression" dxfId="5248" priority="1777">
      <formula>P$1=""</formula>
    </cfRule>
  </conditionalFormatting>
  <conditionalFormatting sqref="P78:AA78">
    <cfRule type="expression" dxfId="5247" priority="1776">
      <formula>P$1=""</formula>
    </cfRule>
  </conditionalFormatting>
  <conditionalFormatting sqref="P80:AA80">
    <cfRule type="expression" dxfId="5246" priority="1775">
      <formula>P$1=""</formula>
    </cfRule>
  </conditionalFormatting>
  <conditionalFormatting sqref="P82:AA82">
    <cfRule type="expression" dxfId="5245" priority="1774">
      <formula>P$1=""</formula>
    </cfRule>
  </conditionalFormatting>
  <conditionalFormatting sqref="P82:AA82 P80:AA80 P78:AA78">
    <cfRule type="expression" dxfId="5244" priority="1773">
      <formula>P$1=""</formula>
    </cfRule>
  </conditionalFormatting>
  <conditionalFormatting sqref="P82:AA82 P80:AA80 P78:AA78">
    <cfRule type="expression" dxfId="5243" priority="1772">
      <formula>P$1=""</formula>
    </cfRule>
  </conditionalFormatting>
  <conditionalFormatting sqref="P82:AA82 P80:AA80 P78:AA78">
    <cfRule type="expression" dxfId="5242" priority="1771">
      <formula>P$1=""</formula>
    </cfRule>
  </conditionalFormatting>
  <conditionalFormatting sqref="P82:AA82 P80:AA80 P78:AA78">
    <cfRule type="expression" dxfId="5241" priority="1770">
      <formula>P$1=""</formula>
    </cfRule>
  </conditionalFormatting>
  <conditionalFormatting sqref="P82:AA82 P80:AA80 P78:AA78">
    <cfRule type="expression" dxfId="5240" priority="1769">
      <formula>P$1=""</formula>
    </cfRule>
  </conditionalFormatting>
  <conditionalFormatting sqref="P85:AA85">
    <cfRule type="expression" dxfId="5239" priority="1768">
      <formula>P$1=""</formula>
    </cfRule>
  </conditionalFormatting>
  <conditionalFormatting sqref="P87:AA87">
    <cfRule type="expression" dxfId="5238" priority="1767">
      <formula>P$1=""</formula>
    </cfRule>
  </conditionalFormatting>
  <conditionalFormatting sqref="P89:AA89">
    <cfRule type="expression" dxfId="5237" priority="1766">
      <formula>P$1=""</formula>
    </cfRule>
  </conditionalFormatting>
  <conditionalFormatting sqref="P91:AA91">
    <cfRule type="expression" dxfId="5236" priority="1765">
      <formula>P$1=""</formula>
    </cfRule>
  </conditionalFormatting>
  <conditionalFormatting sqref="P91:AA91 P89:AA89 P87:AA87">
    <cfRule type="expression" dxfId="5235" priority="1764">
      <formula>P$1=""</formula>
    </cfRule>
  </conditionalFormatting>
  <conditionalFormatting sqref="P91:AA91 P89:AA89 P87:AA87">
    <cfRule type="expression" dxfId="5234" priority="1763">
      <formula>P$1=""</formula>
    </cfRule>
  </conditionalFormatting>
  <conditionalFormatting sqref="P91:AA91 P89:AA89 P87:AA87">
    <cfRule type="expression" dxfId="5233" priority="1762">
      <formula>P$1=""</formula>
    </cfRule>
  </conditionalFormatting>
  <conditionalFormatting sqref="P91:AA91 P89:AA89 P87:AA87">
    <cfRule type="expression" dxfId="5232" priority="1761">
      <formula>P$1=""</formula>
    </cfRule>
  </conditionalFormatting>
  <conditionalFormatting sqref="P95:AA95">
    <cfRule type="expression" dxfId="5231" priority="1760">
      <formula>P$1=""</formula>
    </cfRule>
  </conditionalFormatting>
  <conditionalFormatting sqref="P97:AA97">
    <cfRule type="expression" dxfId="5230" priority="1759">
      <formula>P$1=""</formula>
    </cfRule>
  </conditionalFormatting>
  <conditionalFormatting sqref="P99:AA99">
    <cfRule type="expression" dxfId="5229" priority="1758">
      <formula>P$1=""</formula>
    </cfRule>
  </conditionalFormatting>
  <conditionalFormatting sqref="P101:AA101">
    <cfRule type="expression" dxfId="5228" priority="1757">
      <formula>P$1=""</formula>
    </cfRule>
  </conditionalFormatting>
  <conditionalFormatting sqref="P101:AA101 P99:AA99 P97:AA97">
    <cfRule type="expression" dxfId="5227" priority="1756">
      <formula>P$1=""</formula>
    </cfRule>
  </conditionalFormatting>
  <conditionalFormatting sqref="P101:AA101 P99:AA99 P97:AA97">
    <cfRule type="expression" dxfId="5226" priority="1755">
      <formula>P$1=""</formula>
    </cfRule>
  </conditionalFormatting>
  <conditionalFormatting sqref="P101:AA101 P99:AA99 P97:AA97">
    <cfRule type="expression" dxfId="5225" priority="1754">
      <formula>P$1=""</formula>
    </cfRule>
  </conditionalFormatting>
  <conditionalFormatting sqref="P101:AA101 P99:AA99 P97:AA97">
    <cfRule type="expression" dxfId="5224" priority="1753">
      <formula>P$1=""</formula>
    </cfRule>
  </conditionalFormatting>
  <conditionalFormatting sqref="P101:AA101 P99:AA99 P97:AA97">
    <cfRule type="expression" dxfId="5223" priority="1752">
      <formula>P$1=""</formula>
    </cfRule>
  </conditionalFormatting>
  <conditionalFormatting sqref="P105:AA105">
    <cfRule type="expression" dxfId="5222" priority="1751">
      <formula>P$1=""</formula>
    </cfRule>
  </conditionalFormatting>
  <conditionalFormatting sqref="P107:AA107">
    <cfRule type="expression" dxfId="5221" priority="1750">
      <formula>P$1=""</formula>
    </cfRule>
  </conditionalFormatting>
  <conditionalFormatting sqref="P109:AA109">
    <cfRule type="expression" dxfId="5220" priority="1749">
      <formula>P$1=""</formula>
    </cfRule>
  </conditionalFormatting>
  <conditionalFormatting sqref="P111:AA111">
    <cfRule type="expression" dxfId="5219" priority="1748">
      <formula>P$1=""</formula>
    </cfRule>
  </conditionalFormatting>
  <conditionalFormatting sqref="P107:AA107 P109:AA109 P111:AA111">
    <cfRule type="expression" dxfId="5218" priority="1747">
      <formula>P$1=""</formula>
    </cfRule>
  </conditionalFormatting>
  <conditionalFormatting sqref="P107:AA107 P109:AA109 P111:AA111">
    <cfRule type="expression" dxfId="5217" priority="1746">
      <formula>P$1=""</formula>
    </cfRule>
  </conditionalFormatting>
  <conditionalFormatting sqref="P107:AA107 P109:AA109 P111:AA111">
    <cfRule type="expression" dxfId="5216" priority="1745">
      <formula>P$1=""</formula>
    </cfRule>
  </conditionalFormatting>
  <conditionalFormatting sqref="P107:AA107 P109:AA109 P111:AA111">
    <cfRule type="expression" dxfId="5215" priority="1744">
      <formula>P$1=""</formula>
    </cfRule>
  </conditionalFormatting>
  <conditionalFormatting sqref="P107:AA107 P109:AA109 P111:AA111">
    <cfRule type="expression" dxfId="5214" priority="1743">
      <formula>P$1=""</formula>
    </cfRule>
  </conditionalFormatting>
  <conditionalFormatting sqref="P111:AA111 P109:AA109">
    <cfRule type="expression" dxfId="5213" priority="1742">
      <formula>P$1=""</formula>
    </cfRule>
  </conditionalFormatting>
  <conditionalFormatting sqref="P117:AA117">
    <cfRule type="expression" dxfId="5212" priority="1741">
      <formula>P$1=""</formula>
    </cfRule>
  </conditionalFormatting>
  <conditionalFormatting sqref="P119:AA119">
    <cfRule type="expression" dxfId="5211" priority="1740">
      <formula>P$1=""</formula>
    </cfRule>
  </conditionalFormatting>
  <conditionalFormatting sqref="P121:AA121">
    <cfRule type="expression" dxfId="5210" priority="1739">
      <formula>P$1=""</formula>
    </cfRule>
  </conditionalFormatting>
  <conditionalFormatting sqref="P123:AA123">
    <cfRule type="expression" dxfId="5209" priority="1738">
      <formula>P$1=""</formula>
    </cfRule>
  </conditionalFormatting>
  <conditionalFormatting sqref="P119:AA119 P121:AA121 P123:AA123">
    <cfRule type="expression" dxfId="5208" priority="1737">
      <formula>P$1=""</formula>
    </cfRule>
  </conditionalFormatting>
  <conditionalFormatting sqref="P119:AA119 P121:AA121 P123:AA123">
    <cfRule type="expression" dxfId="5207" priority="1736">
      <formula>P$1=""</formula>
    </cfRule>
  </conditionalFormatting>
  <conditionalFormatting sqref="P119:AA119 P121:AA121 P123:AA123">
    <cfRule type="expression" dxfId="5206" priority="1735">
      <formula>P$1=""</formula>
    </cfRule>
  </conditionalFormatting>
  <conditionalFormatting sqref="P119:AA119 P121:AA121 P123:AA123">
    <cfRule type="expression" dxfId="5205" priority="1734">
      <formula>P$1=""</formula>
    </cfRule>
  </conditionalFormatting>
  <conditionalFormatting sqref="P119:AA119 P121:AA121 P123:AA123">
    <cfRule type="expression" dxfId="5204" priority="1733">
      <formula>P$1=""</formula>
    </cfRule>
  </conditionalFormatting>
  <conditionalFormatting sqref="P123:AA123 P121:AA121">
    <cfRule type="expression" dxfId="5203" priority="1732">
      <formula>P$1=""</formula>
    </cfRule>
  </conditionalFormatting>
  <conditionalFormatting sqref="P32:AA32 P30:AA30 P28:AA28">
    <cfRule type="expression" dxfId="5202" priority="1731">
      <formula>P$1=""</formula>
    </cfRule>
  </conditionalFormatting>
  <conditionalFormatting sqref="P119:AA119">
    <cfRule type="expression" dxfId="5201" priority="1730">
      <formula>P$1=""</formula>
    </cfRule>
  </conditionalFormatting>
  <conditionalFormatting sqref="P123:AA123 P121:AA121">
    <cfRule type="expression" dxfId="5200" priority="1729">
      <formula>P$1=""</formula>
    </cfRule>
  </conditionalFormatting>
  <conditionalFormatting sqref="P123:AA123 P121:AA121">
    <cfRule type="expression" dxfId="5199" priority="1728">
      <formula>P$1=""</formula>
    </cfRule>
  </conditionalFormatting>
  <conditionalFormatting sqref="P127:AA127">
    <cfRule type="expression" dxfId="5198" priority="1727">
      <formula>P$1=""</formula>
    </cfRule>
  </conditionalFormatting>
  <conditionalFormatting sqref="P129:AA129">
    <cfRule type="expression" dxfId="5197" priority="1726">
      <formula>P$1=""</formula>
    </cfRule>
  </conditionalFormatting>
  <conditionalFormatting sqref="P131:AA131">
    <cfRule type="expression" dxfId="5196" priority="1725">
      <formula>P$1=""</formula>
    </cfRule>
  </conditionalFormatting>
  <conditionalFormatting sqref="P133:AA133">
    <cfRule type="expression" dxfId="5195" priority="1724">
      <formula>P$1=""</formula>
    </cfRule>
  </conditionalFormatting>
  <conditionalFormatting sqref="P131:AA131 P129:AA129 P133:AA133">
    <cfRule type="expression" dxfId="5194" priority="1723">
      <formula>P$1=""</formula>
    </cfRule>
  </conditionalFormatting>
  <conditionalFormatting sqref="P131:AA131 P129:AA129 P133:AA133">
    <cfRule type="expression" dxfId="5193" priority="1722">
      <formula>P$1=""</formula>
    </cfRule>
  </conditionalFormatting>
  <conditionalFormatting sqref="P131:AA131 P129:AA129 P133:AA133">
    <cfRule type="expression" dxfId="5192" priority="1721">
      <formula>P$1=""</formula>
    </cfRule>
  </conditionalFormatting>
  <conditionalFormatting sqref="P131:AA131 P129:AA129 P133:AA133">
    <cfRule type="expression" dxfId="5191" priority="1720">
      <formula>P$1=""</formula>
    </cfRule>
  </conditionalFormatting>
  <conditionalFormatting sqref="P131:AA131 P129:AA129 P133:AA133">
    <cfRule type="expression" dxfId="5190" priority="1719">
      <formula>P$1=""</formula>
    </cfRule>
  </conditionalFormatting>
  <conditionalFormatting sqref="P131:AA131 P133:AA133">
    <cfRule type="expression" dxfId="5189" priority="1718">
      <formula>P$1=""</formula>
    </cfRule>
  </conditionalFormatting>
  <conditionalFormatting sqref="P129:AA129">
    <cfRule type="expression" dxfId="5188" priority="1717">
      <formula>P$1=""</formula>
    </cfRule>
  </conditionalFormatting>
  <conditionalFormatting sqref="P131:AA131 P133:AA133">
    <cfRule type="expression" dxfId="5187" priority="1716">
      <formula>P$1=""</formula>
    </cfRule>
  </conditionalFormatting>
  <conditionalFormatting sqref="P131:AA131 P133:AA133">
    <cfRule type="expression" dxfId="5186" priority="1715">
      <formula>P$1=""</formula>
    </cfRule>
  </conditionalFormatting>
  <conditionalFormatting sqref="P133:AA133">
    <cfRule type="expression" dxfId="5185" priority="1714">
      <formula>P$1=""</formula>
    </cfRule>
  </conditionalFormatting>
  <conditionalFormatting sqref="P133:AA133">
    <cfRule type="expression" dxfId="5184" priority="1713">
      <formula>P$1=""</formula>
    </cfRule>
  </conditionalFormatting>
  <conditionalFormatting sqref="P133:AA133">
    <cfRule type="expression" dxfId="5183" priority="1712">
      <formula>P$1=""</formula>
    </cfRule>
  </conditionalFormatting>
  <conditionalFormatting sqref="P133:AA133">
    <cfRule type="expression" dxfId="5182" priority="1711">
      <formula>P$1=""</formula>
    </cfRule>
  </conditionalFormatting>
  <conditionalFormatting sqref="P137:AA137">
    <cfRule type="expression" dxfId="5181" priority="1710">
      <formula>P$1=""</formula>
    </cfRule>
  </conditionalFormatting>
  <conditionalFormatting sqref="P139:AA139">
    <cfRule type="expression" dxfId="5180" priority="1709">
      <formula>P$1=""</formula>
    </cfRule>
  </conditionalFormatting>
  <conditionalFormatting sqref="P141:AA141">
    <cfRule type="expression" dxfId="5179" priority="1708">
      <formula>P$1=""</formula>
    </cfRule>
  </conditionalFormatting>
  <conditionalFormatting sqref="P143:AA143">
    <cfRule type="expression" dxfId="5178" priority="1707">
      <formula>P$1=""</formula>
    </cfRule>
  </conditionalFormatting>
  <conditionalFormatting sqref="P139:AA139 P141:AA141 P143:AA143">
    <cfRule type="expression" dxfId="5177" priority="1706">
      <formula>P$1=""</formula>
    </cfRule>
  </conditionalFormatting>
  <conditionalFormatting sqref="P139:AA139 P141:AA141 P143:AA143">
    <cfRule type="expression" dxfId="5176" priority="1705">
      <formula>P$1=""</formula>
    </cfRule>
  </conditionalFormatting>
  <conditionalFormatting sqref="P139:AA139 P141:AA141 P143:AA143">
    <cfRule type="expression" dxfId="5175" priority="1704">
      <formula>P$1=""</formula>
    </cfRule>
  </conditionalFormatting>
  <conditionalFormatting sqref="P139:AA139 P141:AA141 P143:AA143">
    <cfRule type="expression" dxfId="5174" priority="1703">
      <formula>P$1=""</formula>
    </cfRule>
  </conditionalFormatting>
  <conditionalFormatting sqref="P139:AA139 P141:AA141 P143:AA143">
    <cfRule type="expression" dxfId="5173" priority="1702">
      <formula>P$1=""</formula>
    </cfRule>
  </conditionalFormatting>
  <conditionalFormatting sqref="P141:AA141 P143:AA143">
    <cfRule type="expression" dxfId="5172" priority="1701">
      <formula>P$1=""</formula>
    </cfRule>
  </conditionalFormatting>
  <conditionalFormatting sqref="P139:AA139">
    <cfRule type="expression" dxfId="5171" priority="1700">
      <formula>P$1=""</formula>
    </cfRule>
  </conditionalFormatting>
  <conditionalFormatting sqref="P141:AA141 P143:AA143">
    <cfRule type="expression" dxfId="5170" priority="1699">
      <formula>P$1=""</formula>
    </cfRule>
  </conditionalFormatting>
  <conditionalFormatting sqref="P141:AA141 P143:AA143">
    <cfRule type="expression" dxfId="5169" priority="1698">
      <formula>P$1=""</formula>
    </cfRule>
  </conditionalFormatting>
  <conditionalFormatting sqref="P143:AA143">
    <cfRule type="expression" dxfId="5168" priority="1697">
      <formula>P$1=""</formula>
    </cfRule>
  </conditionalFormatting>
  <conditionalFormatting sqref="P143:AA143">
    <cfRule type="expression" dxfId="5167" priority="1696">
      <formula>P$1=""</formula>
    </cfRule>
  </conditionalFormatting>
  <conditionalFormatting sqref="P143:AA143">
    <cfRule type="expression" dxfId="5166" priority="1695">
      <formula>P$1=""</formula>
    </cfRule>
  </conditionalFormatting>
  <conditionalFormatting sqref="P143:AA143">
    <cfRule type="expression" dxfId="5165" priority="1694">
      <formula>P$1=""</formula>
    </cfRule>
  </conditionalFormatting>
  <conditionalFormatting sqref="P137:AA137">
    <cfRule type="expression" dxfId="5164" priority="1693">
      <formula>P$1=""</formula>
    </cfRule>
  </conditionalFormatting>
  <conditionalFormatting sqref="P137:AA137">
    <cfRule type="expression" dxfId="5163" priority="1692">
      <formula>P$1=""</formula>
    </cfRule>
  </conditionalFormatting>
  <conditionalFormatting sqref="P137:AA137">
    <cfRule type="expression" dxfId="5162" priority="1691">
      <formula>P$1=""</formula>
    </cfRule>
  </conditionalFormatting>
  <conditionalFormatting sqref="P137:AA137">
    <cfRule type="expression" dxfId="5161" priority="1690">
      <formula>P$1=""</formula>
    </cfRule>
  </conditionalFormatting>
  <conditionalFormatting sqref="P137:AA137">
    <cfRule type="expression" dxfId="5160" priority="1689">
      <formula>P$1=""</formula>
    </cfRule>
  </conditionalFormatting>
  <conditionalFormatting sqref="P137:AA137">
    <cfRule type="expression" dxfId="5159" priority="1688">
      <formula>P$1=""</formula>
    </cfRule>
  </conditionalFormatting>
  <conditionalFormatting sqref="P137:AA137">
    <cfRule type="expression" dxfId="5158" priority="1687">
      <formula>P$1=""</formula>
    </cfRule>
  </conditionalFormatting>
  <conditionalFormatting sqref="P143:AA143 P141:AA141">
    <cfRule type="expression" dxfId="5157" priority="1686">
      <formula>P$1=""</formula>
    </cfRule>
  </conditionalFormatting>
  <conditionalFormatting sqref="P143:AA143 P141:AA141">
    <cfRule type="expression" dxfId="5156" priority="1685">
      <formula>P$1=""</formula>
    </cfRule>
  </conditionalFormatting>
  <conditionalFormatting sqref="P155:AA155">
    <cfRule type="expression" dxfId="5155" priority="1684">
      <formula>P$1=""</formula>
    </cfRule>
  </conditionalFormatting>
  <conditionalFormatting sqref="P157:AA157">
    <cfRule type="expression" dxfId="5154" priority="1683">
      <formula>P$1=""</formula>
    </cfRule>
  </conditionalFormatting>
  <conditionalFormatting sqref="P159:AA159">
    <cfRule type="expression" dxfId="5153" priority="1682">
      <formula>P$1=""</formula>
    </cfRule>
  </conditionalFormatting>
  <conditionalFormatting sqref="P161:AA161">
    <cfRule type="expression" dxfId="5152" priority="1681">
      <formula>P$1=""</formula>
    </cfRule>
  </conditionalFormatting>
  <conditionalFormatting sqref="P157:AA157 P159:AA159 P161:AA161">
    <cfRule type="expression" dxfId="5151" priority="1680">
      <formula>P$1=""</formula>
    </cfRule>
  </conditionalFormatting>
  <conditionalFormatting sqref="P157:AA157 P159:AA159 P161:AA161">
    <cfRule type="expression" dxfId="5150" priority="1679">
      <formula>P$1=""</formula>
    </cfRule>
  </conditionalFormatting>
  <conditionalFormatting sqref="P157:AA157 P159:AA159 P161:AA161">
    <cfRule type="expression" dxfId="5149" priority="1678">
      <formula>P$1=""</formula>
    </cfRule>
  </conditionalFormatting>
  <conditionalFormatting sqref="P157:AA157 P159:AA159 P161:AA161">
    <cfRule type="expression" dxfId="5148" priority="1677">
      <formula>P$1=""</formula>
    </cfRule>
  </conditionalFormatting>
  <conditionalFormatting sqref="P157:AA157 P159:AA159 P161:AA161">
    <cfRule type="expression" dxfId="5147" priority="1676">
      <formula>P$1=""</formula>
    </cfRule>
  </conditionalFormatting>
  <conditionalFormatting sqref="P159:AA159 P161:AA161">
    <cfRule type="expression" dxfId="5146" priority="1675">
      <formula>P$1=""</formula>
    </cfRule>
  </conditionalFormatting>
  <conditionalFormatting sqref="P157:AA157">
    <cfRule type="expression" dxfId="5145" priority="1674">
      <formula>P$1=""</formula>
    </cfRule>
  </conditionalFormatting>
  <conditionalFormatting sqref="P159:AA159 P161:AA161">
    <cfRule type="expression" dxfId="5144" priority="1673">
      <formula>P$1=""</formula>
    </cfRule>
  </conditionalFormatting>
  <conditionalFormatting sqref="P159:AA159 P161:AA161">
    <cfRule type="expression" dxfId="5143" priority="1672">
      <formula>P$1=""</formula>
    </cfRule>
  </conditionalFormatting>
  <conditionalFormatting sqref="P161:AA161">
    <cfRule type="expression" dxfId="5142" priority="1671">
      <formula>P$1=""</formula>
    </cfRule>
  </conditionalFormatting>
  <conditionalFormatting sqref="P161:AA161">
    <cfRule type="expression" dxfId="5141" priority="1670">
      <formula>P$1=""</formula>
    </cfRule>
  </conditionalFormatting>
  <conditionalFormatting sqref="P161:AA161">
    <cfRule type="expression" dxfId="5140" priority="1669">
      <formula>P$1=""</formula>
    </cfRule>
  </conditionalFormatting>
  <conditionalFormatting sqref="P161:AA161">
    <cfRule type="expression" dxfId="5139" priority="1668">
      <formula>P$1=""</formula>
    </cfRule>
  </conditionalFormatting>
  <conditionalFormatting sqref="P155:AA155">
    <cfRule type="expression" dxfId="5138" priority="1667">
      <formula>P$1=""</formula>
    </cfRule>
  </conditionalFormatting>
  <conditionalFormatting sqref="P155:AA155">
    <cfRule type="expression" dxfId="5137" priority="1666">
      <formula>P$1=""</formula>
    </cfRule>
  </conditionalFormatting>
  <conditionalFormatting sqref="P155:AA155">
    <cfRule type="expression" dxfId="5136" priority="1665">
      <formula>P$1=""</formula>
    </cfRule>
  </conditionalFormatting>
  <conditionalFormatting sqref="P155:AA155">
    <cfRule type="expression" dxfId="5135" priority="1664">
      <formula>P$1=""</formula>
    </cfRule>
  </conditionalFormatting>
  <conditionalFormatting sqref="P155:AA155">
    <cfRule type="expression" dxfId="5134" priority="1663">
      <formula>P$1=""</formula>
    </cfRule>
  </conditionalFormatting>
  <conditionalFormatting sqref="P155:AA155">
    <cfRule type="expression" dxfId="5133" priority="1662">
      <formula>P$1=""</formula>
    </cfRule>
  </conditionalFormatting>
  <conditionalFormatting sqref="P155:AA155">
    <cfRule type="expression" dxfId="5132" priority="1661">
      <formula>P$1=""</formula>
    </cfRule>
  </conditionalFormatting>
  <conditionalFormatting sqref="P161:AA161 P159:AA159">
    <cfRule type="expression" dxfId="5131" priority="1660">
      <formula>P$1=""</formula>
    </cfRule>
  </conditionalFormatting>
  <conditionalFormatting sqref="P161:AA161 P159:AA159">
    <cfRule type="expression" dxfId="5130" priority="1659">
      <formula>P$1=""</formula>
    </cfRule>
  </conditionalFormatting>
  <conditionalFormatting sqref="P161:AA161 P159:AA159">
    <cfRule type="expression" dxfId="5129" priority="1658">
      <formula>P$1=""</formula>
    </cfRule>
  </conditionalFormatting>
  <conditionalFormatting sqref="P161:AA161 P159:AA159">
    <cfRule type="expression" dxfId="5128" priority="1657">
      <formula>P$1=""</formula>
    </cfRule>
  </conditionalFormatting>
  <conditionalFormatting sqref="P165:AA165">
    <cfRule type="expression" dxfId="5127" priority="1656">
      <formula>P$1=""</formula>
    </cfRule>
  </conditionalFormatting>
  <conditionalFormatting sqref="P167:AA167">
    <cfRule type="expression" dxfId="5126" priority="1655">
      <formula>P$1=""</formula>
    </cfRule>
  </conditionalFormatting>
  <conditionalFormatting sqref="P169:AA169">
    <cfRule type="expression" dxfId="5125" priority="1654">
      <formula>P$1=""</formula>
    </cfRule>
  </conditionalFormatting>
  <conditionalFormatting sqref="P171:AA171">
    <cfRule type="expression" dxfId="5124" priority="1653">
      <formula>P$1=""</formula>
    </cfRule>
  </conditionalFormatting>
  <conditionalFormatting sqref="P167:AA167 P169:AA169 P171:AA171">
    <cfRule type="expression" dxfId="5123" priority="1652">
      <formula>P$1=""</formula>
    </cfRule>
  </conditionalFormatting>
  <conditionalFormatting sqref="P167:AA167 P169:AA169 P171:AA171">
    <cfRule type="expression" dxfId="5122" priority="1651">
      <formula>P$1=""</formula>
    </cfRule>
  </conditionalFormatting>
  <conditionalFormatting sqref="P167:AA167 P169:AA169 P171:AA171">
    <cfRule type="expression" dxfId="5121" priority="1650">
      <formula>P$1=""</formula>
    </cfRule>
  </conditionalFormatting>
  <conditionalFormatting sqref="P167:AA167 P169:AA169 P171:AA171">
    <cfRule type="expression" dxfId="5120" priority="1649">
      <formula>P$1=""</formula>
    </cfRule>
  </conditionalFormatting>
  <conditionalFormatting sqref="P167:AA167 P169:AA169 P171:AA171">
    <cfRule type="expression" dxfId="5119" priority="1648">
      <formula>P$1=""</formula>
    </cfRule>
  </conditionalFormatting>
  <conditionalFormatting sqref="P169:AA169 P171:AA171">
    <cfRule type="expression" dxfId="5118" priority="1647">
      <formula>P$1=""</formula>
    </cfRule>
  </conditionalFormatting>
  <conditionalFormatting sqref="P167:AA167">
    <cfRule type="expression" dxfId="5117" priority="1646">
      <formula>P$1=""</formula>
    </cfRule>
  </conditionalFormatting>
  <conditionalFormatting sqref="P169:AA169 P171:AA171">
    <cfRule type="expression" dxfId="5116" priority="1645">
      <formula>P$1=""</formula>
    </cfRule>
  </conditionalFormatting>
  <conditionalFormatting sqref="P169:AA169 P171:AA171">
    <cfRule type="expression" dxfId="5115" priority="1644">
      <formula>P$1=""</formula>
    </cfRule>
  </conditionalFormatting>
  <conditionalFormatting sqref="P171:AA171">
    <cfRule type="expression" dxfId="5114" priority="1643">
      <formula>P$1=""</formula>
    </cfRule>
  </conditionalFormatting>
  <conditionalFormatting sqref="P171:AA171">
    <cfRule type="expression" dxfId="5113" priority="1642">
      <formula>P$1=""</formula>
    </cfRule>
  </conditionalFormatting>
  <conditionalFormatting sqref="P171:AA171">
    <cfRule type="expression" dxfId="5112" priority="1641">
      <formula>P$1=""</formula>
    </cfRule>
  </conditionalFormatting>
  <conditionalFormatting sqref="P171:AA171">
    <cfRule type="expression" dxfId="5111" priority="1640">
      <formula>P$1=""</formula>
    </cfRule>
  </conditionalFormatting>
  <conditionalFormatting sqref="P165:AA165">
    <cfRule type="expression" dxfId="5110" priority="1639">
      <formula>P$1=""</formula>
    </cfRule>
  </conditionalFormatting>
  <conditionalFormatting sqref="P165:AA165">
    <cfRule type="expression" dxfId="5109" priority="1638">
      <formula>P$1=""</formula>
    </cfRule>
  </conditionalFormatting>
  <conditionalFormatting sqref="P165:AA165">
    <cfRule type="expression" dxfId="5108" priority="1637">
      <formula>P$1=""</formula>
    </cfRule>
  </conditionalFormatting>
  <conditionalFormatting sqref="P165:AA165">
    <cfRule type="expression" dxfId="5107" priority="1636">
      <formula>P$1=""</formula>
    </cfRule>
  </conditionalFormatting>
  <conditionalFormatting sqref="P165:AA165">
    <cfRule type="expression" dxfId="5106" priority="1635">
      <formula>P$1=""</formula>
    </cfRule>
  </conditionalFormatting>
  <conditionalFormatting sqref="P165:AA165">
    <cfRule type="expression" dxfId="5105" priority="1634">
      <formula>P$1=""</formula>
    </cfRule>
  </conditionalFormatting>
  <conditionalFormatting sqref="P165:AA165">
    <cfRule type="expression" dxfId="5104" priority="1633">
      <formula>P$1=""</formula>
    </cfRule>
  </conditionalFormatting>
  <conditionalFormatting sqref="P169:AA169 P171:AA171">
    <cfRule type="expression" dxfId="5103" priority="1632">
      <formula>P$1=""</formula>
    </cfRule>
  </conditionalFormatting>
  <conditionalFormatting sqref="P169:AA169 P171:AA171">
    <cfRule type="expression" dxfId="5102" priority="1631">
      <formula>P$1=""</formula>
    </cfRule>
  </conditionalFormatting>
  <conditionalFormatting sqref="P169:AA169 P171:AA171">
    <cfRule type="expression" dxfId="5101" priority="1630">
      <formula>P$1=""</formula>
    </cfRule>
  </conditionalFormatting>
  <conditionalFormatting sqref="P169:AA169 P171:AA171">
    <cfRule type="expression" dxfId="5100" priority="1629">
      <formula>P$1=""</formula>
    </cfRule>
  </conditionalFormatting>
  <conditionalFormatting sqref="P171 P169 P167">
    <cfRule type="expression" dxfId="5099" priority="1628">
      <formula>P$1=""</formula>
    </cfRule>
  </conditionalFormatting>
  <conditionalFormatting sqref="P171 P169 P167">
    <cfRule type="expression" dxfId="5098" priority="1627">
      <formula>P$1=""</formula>
    </cfRule>
  </conditionalFormatting>
  <conditionalFormatting sqref="P171 P169 P167">
    <cfRule type="expression" dxfId="5097" priority="1626">
      <formula>P$1=""</formula>
    </cfRule>
  </conditionalFormatting>
  <conditionalFormatting sqref="P171 P169 P167">
    <cfRule type="expression" dxfId="5096" priority="1625">
      <formula>P$1=""</formula>
    </cfRule>
  </conditionalFormatting>
  <conditionalFormatting sqref="P171 P169 P167">
    <cfRule type="expression" dxfId="5095" priority="1624">
      <formula>P$1=""</formula>
    </cfRule>
  </conditionalFormatting>
  <conditionalFormatting sqref="P171 P169 P167">
    <cfRule type="expression" dxfId="5094" priority="1623">
      <formula>P$1=""</formula>
    </cfRule>
  </conditionalFormatting>
  <conditionalFormatting sqref="P171 P169 P167">
    <cfRule type="expression" dxfId="5093" priority="1622">
      <formula>P$1=""</formula>
    </cfRule>
  </conditionalFormatting>
  <conditionalFormatting sqref="P171 P169 P167">
    <cfRule type="expression" dxfId="5092" priority="1621">
      <formula>P$1=""</formula>
    </cfRule>
  </conditionalFormatting>
  <conditionalFormatting sqref="Q167:AA167">
    <cfRule type="expression" dxfId="5091" priority="1620">
      <formula>Q$1=""</formula>
    </cfRule>
  </conditionalFormatting>
  <conditionalFormatting sqref="Q167:AA167">
    <cfRule type="expression" dxfId="5090" priority="1619">
      <formula>Q$1=""</formula>
    </cfRule>
  </conditionalFormatting>
  <conditionalFormatting sqref="Q167:AA167">
    <cfRule type="expression" dxfId="5089" priority="1618">
      <formula>Q$1=""</formula>
    </cfRule>
  </conditionalFormatting>
  <conditionalFormatting sqref="Q167:AA167">
    <cfRule type="expression" dxfId="5088" priority="1617">
      <formula>Q$1=""</formula>
    </cfRule>
  </conditionalFormatting>
  <conditionalFormatting sqref="Q167:AA167">
    <cfRule type="expression" dxfId="5087" priority="1616">
      <formula>Q$1=""</formula>
    </cfRule>
  </conditionalFormatting>
  <conditionalFormatting sqref="Q167:AA167">
    <cfRule type="expression" dxfId="5086" priority="1615">
      <formula>Q$1=""</formula>
    </cfRule>
  </conditionalFormatting>
  <conditionalFormatting sqref="Q167:AA167">
    <cfRule type="expression" dxfId="5085" priority="1614">
      <formula>Q$1=""</formula>
    </cfRule>
  </conditionalFormatting>
  <conditionalFormatting sqref="Q167:AA167">
    <cfRule type="expression" dxfId="5084" priority="1613">
      <formula>Q$1=""</formula>
    </cfRule>
  </conditionalFormatting>
  <conditionalFormatting sqref="Q169:AA169 Q171:AA171">
    <cfRule type="expression" dxfId="5083" priority="1612">
      <formula>Q$1=""</formula>
    </cfRule>
  </conditionalFormatting>
  <conditionalFormatting sqref="Q169:AA169 Q171:AA171">
    <cfRule type="expression" dxfId="5082" priority="1611">
      <formula>Q$1=""</formula>
    </cfRule>
  </conditionalFormatting>
  <conditionalFormatting sqref="Q169:AA169 Q171:AA171">
    <cfRule type="expression" dxfId="5081" priority="1610">
      <formula>Q$1=""</formula>
    </cfRule>
  </conditionalFormatting>
  <conditionalFormatting sqref="Q169:AA169 Q171:AA171">
    <cfRule type="expression" dxfId="5080" priority="1609">
      <formula>Q$1=""</formula>
    </cfRule>
  </conditionalFormatting>
  <conditionalFormatting sqref="Q169:AA169 Q171:AA171">
    <cfRule type="expression" dxfId="5079" priority="1608">
      <formula>Q$1=""</formula>
    </cfRule>
  </conditionalFormatting>
  <conditionalFormatting sqref="Q169:AA169 Q171:AA171">
    <cfRule type="expression" dxfId="5078" priority="1607">
      <formula>Q$1=""</formula>
    </cfRule>
  </conditionalFormatting>
  <conditionalFormatting sqref="Q169:AA169 Q171:AA171">
    <cfRule type="expression" dxfId="5077" priority="1606">
      <formula>Q$1=""</formula>
    </cfRule>
  </conditionalFormatting>
  <conditionalFormatting sqref="Q169:AA169 Q171:AA171">
    <cfRule type="expression" dxfId="5076" priority="1605">
      <formula>Q$1=""</formula>
    </cfRule>
  </conditionalFormatting>
  <conditionalFormatting sqref="Q169:AA169 Q171:AA171">
    <cfRule type="expression" dxfId="5075" priority="1604">
      <formula>Q$1=""</formula>
    </cfRule>
  </conditionalFormatting>
  <conditionalFormatting sqref="Q169:AA169 Q171:AA171">
    <cfRule type="expression" dxfId="5074" priority="1603">
      <formula>Q$1=""</formula>
    </cfRule>
  </conditionalFormatting>
  <conditionalFormatting sqref="P175:AA175">
    <cfRule type="expression" dxfId="5073" priority="1602">
      <formula>P$1=""</formula>
    </cfRule>
  </conditionalFormatting>
  <conditionalFormatting sqref="P177:AA177">
    <cfRule type="expression" dxfId="5072" priority="1601">
      <formula>P$1=""</formula>
    </cfRule>
  </conditionalFormatting>
  <conditionalFormatting sqref="P179:AA179">
    <cfRule type="expression" dxfId="5071" priority="1600">
      <formula>P$1=""</formula>
    </cfRule>
  </conditionalFormatting>
  <conditionalFormatting sqref="P181:AA181">
    <cfRule type="expression" dxfId="5070" priority="1599">
      <formula>P$1=""</formula>
    </cfRule>
  </conditionalFormatting>
  <conditionalFormatting sqref="P177:AA177 P179:AA179 P181:AA181">
    <cfRule type="expression" dxfId="5069" priority="1598">
      <formula>P$1=""</formula>
    </cfRule>
  </conditionalFormatting>
  <conditionalFormatting sqref="P177:AA177 P179:AA179 P181:AA181">
    <cfRule type="expression" dxfId="5068" priority="1597">
      <formula>P$1=""</formula>
    </cfRule>
  </conditionalFormatting>
  <conditionalFormatting sqref="P177:AA177 P179:AA179 P181:AA181">
    <cfRule type="expression" dxfId="5067" priority="1596">
      <formula>P$1=""</formula>
    </cfRule>
  </conditionalFormatting>
  <conditionalFormatting sqref="P177:AA177 P179:AA179 P181:AA181">
    <cfRule type="expression" dxfId="5066" priority="1595">
      <formula>P$1=""</formula>
    </cfRule>
  </conditionalFormatting>
  <conditionalFormatting sqref="P177:AA177 P179:AA179 P181:AA181">
    <cfRule type="expression" dxfId="5065" priority="1594">
      <formula>P$1=""</formula>
    </cfRule>
  </conditionalFormatting>
  <conditionalFormatting sqref="P179:AA179 P181:AA181">
    <cfRule type="expression" dxfId="5064" priority="1593">
      <formula>P$1=""</formula>
    </cfRule>
  </conditionalFormatting>
  <conditionalFormatting sqref="P177:AA177">
    <cfRule type="expression" dxfId="5063" priority="1592">
      <formula>P$1=""</formula>
    </cfRule>
  </conditionalFormatting>
  <conditionalFormatting sqref="P179:AA179 P181:AA181">
    <cfRule type="expression" dxfId="5062" priority="1591">
      <formula>P$1=""</formula>
    </cfRule>
  </conditionalFormatting>
  <conditionalFormatting sqref="P179:AA179 P181:AA181">
    <cfRule type="expression" dxfId="5061" priority="1590">
      <formula>P$1=""</formula>
    </cfRule>
  </conditionalFormatting>
  <conditionalFormatting sqref="P181:AA181">
    <cfRule type="expression" dxfId="5060" priority="1589">
      <formula>P$1=""</formula>
    </cfRule>
  </conditionalFormatting>
  <conditionalFormatting sqref="P181:AA181">
    <cfRule type="expression" dxfId="5059" priority="1588">
      <formula>P$1=""</formula>
    </cfRule>
  </conditionalFormatting>
  <conditionalFormatting sqref="P181:AA181">
    <cfRule type="expression" dxfId="5058" priority="1587">
      <formula>P$1=""</formula>
    </cfRule>
  </conditionalFormatting>
  <conditionalFormatting sqref="P181:AA181">
    <cfRule type="expression" dxfId="5057" priority="1586">
      <formula>P$1=""</formula>
    </cfRule>
  </conditionalFormatting>
  <conditionalFormatting sqref="P175:AA175">
    <cfRule type="expression" dxfId="5056" priority="1585">
      <formula>P$1=""</formula>
    </cfRule>
  </conditionalFormatting>
  <conditionalFormatting sqref="P175:AA175">
    <cfRule type="expression" dxfId="5055" priority="1584">
      <formula>P$1=""</formula>
    </cfRule>
  </conditionalFormatting>
  <conditionalFormatting sqref="P175:AA175">
    <cfRule type="expression" dxfId="5054" priority="1583">
      <formula>P$1=""</formula>
    </cfRule>
  </conditionalFormatting>
  <conditionalFormatting sqref="P175:AA175">
    <cfRule type="expression" dxfId="5053" priority="1582">
      <formula>P$1=""</formula>
    </cfRule>
  </conditionalFormatting>
  <conditionalFormatting sqref="P175:AA175">
    <cfRule type="expression" dxfId="5052" priority="1581">
      <formula>P$1=""</formula>
    </cfRule>
  </conditionalFormatting>
  <conditionalFormatting sqref="P175:AA175">
    <cfRule type="expression" dxfId="5051" priority="1580">
      <formula>P$1=""</formula>
    </cfRule>
  </conditionalFormatting>
  <conditionalFormatting sqref="P175:AA175">
    <cfRule type="expression" dxfId="5050" priority="1579">
      <formula>P$1=""</formula>
    </cfRule>
  </conditionalFormatting>
  <conditionalFormatting sqref="P179:AA179 P181:AA181">
    <cfRule type="expression" dxfId="5049" priority="1578">
      <formula>P$1=""</formula>
    </cfRule>
  </conditionalFormatting>
  <conditionalFormatting sqref="P179:AA179 P181:AA181">
    <cfRule type="expression" dxfId="5048" priority="1577">
      <formula>P$1=""</formula>
    </cfRule>
  </conditionalFormatting>
  <conditionalFormatting sqref="P179:AA179 P181:AA181">
    <cfRule type="expression" dxfId="5047" priority="1576">
      <formula>P$1=""</formula>
    </cfRule>
  </conditionalFormatting>
  <conditionalFormatting sqref="P179:AA179 P181:AA181">
    <cfRule type="expression" dxfId="5046" priority="1575">
      <formula>P$1=""</formula>
    </cfRule>
  </conditionalFormatting>
  <conditionalFormatting sqref="P177:AA177 P179:AA179 P181:AA181">
    <cfRule type="expression" dxfId="5045" priority="1574">
      <formula>P$1=""</formula>
    </cfRule>
  </conditionalFormatting>
  <conditionalFormatting sqref="P177:AA177 P179:AA179 P181:AA181">
    <cfRule type="expression" dxfId="5044" priority="1573">
      <formula>P$1=""</formula>
    </cfRule>
  </conditionalFormatting>
  <conditionalFormatting sqref="P177:AA177 P179:AA179 P181:AA181">
    <cfRule type="expression" dxfId="5043" priority="1572">
      <formula>P$1=""</formula>
    </cfRule>
  </conditionalFormatting>
  <conditionalFormatting sqref="P177:AA177 P179:AA179 P181:AA181">
    <cfRule type="expression" dxfId="5042" priority="1571">
      <formula>P$1=""</formula>
    </cfRule>
  </conditionalFormatting>
  <conditionalFormatting sqref="P177:AA177 P179:AA179 P181:AA181">
    <cfRule type="expression" dxfId="5041" priority="1570">
      <formula>P$1=""</formula>
    </cfRule>
  </conditionalFormatting>
  <conditionalFormatting sqref="P177:AA177 P179:AA179 P181:AA181">
    <cfRule type="expression" dxfId="5040" priority="1569">
      <formula>P$1=""</formula>
    </cfRule>
  </conditionalFormatting>
  <conditionalFormatting sqref="P177:AA177 P179:AA179 P181:AA181">
    <cfRule type="expression" dxfId="5039" priority="1568">
      <formula>P$1=""</formula>
    </cfRule>
  </conditionalFormatting>
  <conditionalFormatting sqref="P177:AA177 P179:AA179 P181:AA181">
    <cfRule type="expression" dxfId="5038" priority="1567">
      <formula>P$1=""</formula>
    </cfRule>
  </conditionalFormatting>
  <conditionalFormatting sqref="Q177:AA177">
    <cfRule type="expression" dxfId="5037" priority="1566">
      <formula>Q$1=""</formula>
    </cfRule>
  </conditionalFormatting>
  <conditionalFormatting sqref="Q177:AA177">
    <cfRule type="expression" dxfId="5036" priority="1565">
      <formula>Q$1=""</formula>
    </cfRule>
  </conditionalFormatting>
  <conditionalFormatting sqref="Q177:AA177">
    <cfRule type="expression" dxfId="5035" priority="1564">
      <formula>Q$1=""</formula>
    </cfRule>
  </conditionalFormatting>
  <conditionalFormatting sqref="Q177:AA177">
    <cfRule type="expression" dxfId="5034" priority="1563">
      <formula>Q$1=""</formula>
    </cfRule>
  </conditionalFormatting>
  <conditionalFormatting sqref="Q177:AA177">
    <cfRule type="expression" dxfId="5033" priority="1562">
      <formula>Q$1=""</formula>
    </cfRule>
  </conditionalFormatting>
  <conditionalFormatting sqref="Q177:AA177">
    <cfRule type="expression" dxfId="5032" priority="1561">
      <formula>Q$1=""</formula>
    </cfRule>
  </conditionalFormatting>
  <conditionalFormatting sqref="Q177:AA177">
    <cfRule type="expression" dxfId="5031" priority="1560">
      <formula>Q$1=""</formula>
    </cfRule>
  </conditionalFormatting>
  <conditionalFormatting sqref="Q177:AA177">
    <cfRule type="expression" dxfId="5030" priority="1559">
      <formula>Q$1=""</formula>
    </cfRule>
  </conditionalFormatting>
  <conditionalFormatting sqref="Q179:AA179 Q181:AA181">
    <cfRule type="expression" dxfId="5029" priority="1558">
      <formula>Q$1=""</formula>
    </cfRule>
  </conditionalFormatting>
  <conditionalFormatting sqref="Q179:AA179 Q181:AA181">
    <cfRule type="expression" dxfId="5028" priority="1557">
      <formula>Q$1=""</formula>
    </cfRule>
  </conditionalFormatting>
  <conditionalFormatting sqref="Q179:AA179 Q181:AA181">
    <cfRule type="expression" dxfId="5027" priority="1556">
      <formula>Q$1=""</formula>
    </cfRule>
  </conditionalFormatting>
  <conditionalFormatting sqref="Q179:AA179 Q181:AA181">
    <cfRule type="expression" dxfId="5026" priority="1555">
      <formula>Q$1=""</formula>
    </cfRule>
  </conditionalFormatting>
  <conditionalFormatting sqref="Q179:AA179 Q181:AA181">
    <cfRule type="expression" dxfId="5025" priority="1554">
      <formula>Q$1=""</formula>
    </cfRule>
  </conditionalFormatting>
  <conditionalFormatting sqref="Q179:AA179 Q181:AA181">
    <cfRule type="expression" dxfId="5024" priority="1553">
      <formula>Q$1=""</formula>
    </cfRule>
  </conditionalFormatting>
  <conditionalFormatting sqref="Q179:AA179 Q181:AA181">
    <cfRule type="expression" dxfId="5023" priority="1552">
      <formula>Q$1=""</formula>
    </cfRule>
  </conditionalFormatting>
  <conditionalFormatting sqref="Q179:AA179 Q181:AA181">
    <cfRule type="expression" dxfId="5022" priority="1551">
      <formula>Q$1=""</formula>
    </cfRule>
  </conditionalFormatting>
  <conditionalFormatting sqref="Q179:AA179 Q181:AA181">
    <cfRule type="expression" dxfId="5021" priority="1550">
      <formula>Q$1=""</formula>
    </cfRule>
  </conditionalFormatting>
  <conditionalFormatting sqref="Q179:AA179 Q181:AA181">
    <cfRule type="expression" dxfId="5020" priority="1549">
      <formula>Q$1=""</formula>
    </cfRule>
  </conditionalFormatting>
  <conditionalFormatting sqref="P175:AA175 P179:AA179 P181:AA181">
    <cfRule type="expression" dxfId="5019" priority="1548">
      <formula>P$1=""</formula>
    </cfRule>
  </conditionalFormatting>
  <conditionalFormatting sqref="P175:AA175">
    <cfRule type="expression" dxfId="5018" priority="1547">
      <formula>P$1=""</formula>
    </cfRule>
  </conditionalFormatting>
  <conditionalFormatting sqref="P175:AA175">
    <cfRule type="expression" dxfId="5017" priority="1546">
      <formula>P$1=""</formula>
    </cfRule>
  </conditionalFormatting>
  <conditionalFormatting sqref="P175:AA175">
    <cfRule type="expression" dxfId="5016" priority="1545">
      <formula>P$1=""</formula>
    </cfRule>
  </conditionalFormatting>
  <conditionalFormatting sqref="P175:AA175">
    <cfRule type="expression" dxfId="5015" priority="1544">
      <formula>P$1=""</formula>
    </cfRule>
  </conditionalFormatting>
  <conditionalFormatting sqref="P175:AA175">
    <cfRule type="expression" dxfId="5014" priority="1543">
      <formula>P$1=""</formula>
    </cfRule>
  </conditionalFormatting>
  <conditionalFormatting sqref="P175:AA175 P179:AA179 P181:AA181">
    <cfRule type="expression" dxfId="5013" priority="1542">
      <formula>P$1=""</formula>
    </cfRule>
  </conditionalFormatting>
  <conditionalFormatting sqref="P175:AA175">
    <cfRule type="expression" dxfId="5012" priority="1541">
      <formula>P$1=""</formula>
    </cfRule>
  </conditionalFormatting>
  <conditionalFormatting sqref="P175:AA175">
    <cfRule type="expression" dxfId="5011" priority="1540">
      <formula>P$1=""</formula>
    </cfRule>
  </conditionalFormatting>
  <conditionalFormatting sqref="P175:AA175">
    <cfRule type="expression" dxfId="5010" priority="1539">
      <formula>P$1=""</formula>
    </cfRule>
  </conditionalFormatting>
  <conditionalFormatting sqref="P175:AA175">
    <cfRule type="expression" dxfId="5009" priority="1538">
      <formula>P$1=""</formula>
    </cfRule>
  </conditionalFormatting>
  <conditionalFormatting sqref="P175:AA175">
    <cfRule type="expression" dxfId="5008" priority="1537">
      <formula>P$1=""</formula>
    </cfRule>
  </conditionalFormatting>
  <conditionalFormatting sqref="P175:AA175">
    <cfRule type="expression" dxfId="5007" priority="1536">
      <formula>P$1=""</formula>
    </cfRule>
  </conditionalFormatting>
  <conditionalFormatting sqref="P175:AA175">
    <cfRule type="expression" dxfId="5006" priority="1535">
      <formula>P$1=""</formula>
    </cfRule>
  </conditionalFormatting>
  <conditionalFormatting sqref="P175:AA175">
    <cfRule type="expression" dxfId="5005" priority="1534">
      <formula>P$1=""</formula>
    </cfRule>
  </conditionalFormatting>
  <conditionalFormatting sqref="P271:AA271">
    <cfRule type="expression" dxfId="5004" priority="1533">
      <formula>P$1=""</formula>
    </cfRule>
  </conditionalFormatting>
  <conditionalFormatting sqref="P273:AA273">
    <cfRule type="expression" dxfId="5003" priority="1532">
      <formula>P$1=""</formula>
    </cfRule>
  </conditionalFormatting>
  <conditionalFormatting sqref="P275:AA275">
    <cfRule type="expression" dxfId="5002" priority="1531">
      <formula>P$1=""</formula>
    </cfRule>
  </conditionalFormatting>
  <conditionalFormatting sqref="P277:AA277">
    <cfRule type="expression" dxfId="5001" priority="1530">
      <formula>P$1=""</formula>
    </cfRule>
  </conditionalFormatting>
  <conditionalFormatting sqref="P273:AA273 P275:AA275 P277:AA277">
    <cfRule type="expression" dxfId="5000" priority="1529">
      <formula>P$1=""</formula>
    </cfRule>
  </conditionalFormatting>
  <conditionalFormatting sqref="P273:AA273 P275:AA275 P277:AA277">
    <cfRule type="expression" dxfId="4999" priority="1528">
      <formula>P$1=""</formula>
    </cfRule>
  </conditionalFormatting>
  <conditionalFormatting sqref="P273:AA273 P275:AA275 P277:AA277">
    <cfRule type="expression" dxfId="4998" priority="1527">
      <formula>P$1=""</formula>
    </cfRule>
  </conditionalFormatting>
  <conditionalFormatting sqref="P273:AA273 P275:AA275 P277:AA277">
    <cfRule type="expression" dxfId="4997" priority="1526">
      <formula>P$1=""</formula>
    </cfRule>
  </conditionalFormatting>
  <conditionalFormatting sqref="P273:AA273 P275:AA275 P277:AA277">
    <cfRule type="expression" dxfId="4996" priority="1525">
      <formula>P$1=""</formula>
    </cfRule>
  </conditionalFormatting>
  <conditionalFormatting sqref="P275:AA275 P277:AA277">
    <cfRule type="expression" dxfId="4995" priority="1524">
      <formula>P$1=""</formula>
    </cfRule>
  </conditionalFormatting>
  <conditionalFormatting sqref="P273:AA273">
    <cfRule type="expression" dxfId="4994" priority="1523">
      <formula>P$1=""</formula>
    </cfRule>
  </conditionalFormatting>
  <conditionalFormatting sqref="P275:AA275 P277:AA277">
    <cfRule type="expression" dxfId="4993" priority="1522">
      <formula>P$1=""</formula>
    </cfRule>
  </conditionalFormatting>
  <conditionalFormatting sqref="P275:AA275 P277:AA277">
    <cfRule type="expression" dxfId="4992" priority="1521">
      <formula>P$1=""</formula>
    </cfRule>
  </conditionalFormatting>
  <conditionalFormatting sqref="P277:AA277">
    <cfRule type="expression" dxfId="4991" priority="1520">
      <formula>P$1=""</formula>
    </cfRule>
  </conditionalFormatting>
  <conditionalFormatting sqref="P277:AA277">
    <cfRule type="expression" dxfId="4990" priority="1519">
      <formula>P$1=""</formula>
    </cfRule>
  </conditionalFormatting>
  <conditionalFormatting sqref="P277:AA277">
    <cfRule type="expression" dxfId="4989" priority="1518">
      <formula>P$1=""</formula>
    </cfRule>
  </conditionalFormatting>
  <conditionalFormatting sqref="P277:AA277">
    <cfRule type="expression" dxfId="4988" priority="1517">
      <formula>P$1=""</formula>
    </cfRule>
  </conditionalFormatting>
  <conditionalFormatting sqref="P271:AA271">
    <cfRule type="expression" dxfId="4987" priority="1516">
      <formula>P$1=""</formula>
    </cfRule>
  </conditionalFormatting>
  <conditionalFormatting sqref="P271:AA271">
    <cfRule type="expression" dxfId="4986" priority="1515">
      <formula>P$1=""</formula>
    </cfRule>
  </conditionalFormatting>
  <conditionalFormatting sqref="P271:AA271">
    <cfRule type="expression" dxfId="4985" priority="1514">
      <formula>P$1=""</formula>
    </cfRule>
  </conditionalFormatting>
  <conditionalFormatting sqref="P271:AA271">
    <cfRule type="expression" dxfId="4984" priority="1513">
      <formula>P$1=""</formula>
    </cfRule>
  </conditionalFormatting>
  <conditionalFormatting sqref="P271:AA271">
    <cfRule type="expression" dxfId="4983" priority="1512">
      <formula>P$1=""</formula>
    </cfRule>
  </conditionalFormatting>
  <conditionalFormatting sqref="P271:AA271">
    <cfRule type="expression" dxfId="4982" priority="1511">
      <formula>P$1=""</formula>
    </cfRule>
  </conditionalFormatting>
  <conditionalFormatting sqref="P271:AA271">
    <cfRule type="expression" dxfId="4981" priority="1510">
      <formula>P$1=""</formula>
    </cfRule>
  </conditionalFormatting>
  <conditionalFormatting sqref="P277:AA277 P275:AA275">
    <cfRule type="expression" dxfId="4980" priority="1509">
      <formula>P$1=""</formula>
    </cfRule>
  </conditionalFormatting>
  <conditionalFormatting sqref="P277:AA277 P275:AA275">
    <cfRule type="expression" dxfId="4979" priority="1508">
      <formula>P$1=""</formula>
    </cfRule>
  </conditionalFormatting>
  <conditionalFormatting sqref="P277:AA277 P275:AA275">
    <cfRule type="expression" dxfId="4978" priority="1507">
      <formula>P$1=""</formula>
    </cfRule>
  </conditionalFormatting>
  <conditionalFormatting sqref="P277:AA277 P275:AA275">
    <cfRule type="expression" dxfId="4977" priority="1506">
      <formula>P$1=""</formula>
    </cfRule>
  </conditionalFormatting>
  <conditionalFormatting sqref="P281:AA281">
    <cfRule type="expression" dxfId="4976" priority="1505">
      <formula>P$1=""</formula>
    </cfRule>
  </conditionalFormatting>
  <conditionalFormatting sqref="P283:AA283">
    <cfRule type="expression" dxfId="4975" priority="1504">
      <formula>P$1=""</formula>
    </cfRule>
  </conditionalFormatting>
  <conditionalFormatting sqref="P285:AA285">
    <cfRule type="expression" dxfId="4974" priority="1503">
      <formula>P$1=""</formula>
    </cfRule>
  </conditionalFormatting>
  <conditionalFormatting sqref="P287:AA287">
    <cfRule type="expression" dxfId="4973" priority="1502">
      <formula>P$1=""</formula>
    </cfRule>
  </conditionalFormatting>
  <conditionalFormatting sqref="P283:AA283 P285:AA285 P287:AA287">
    <cfRule type="expression" dxfId="4972" priority="1501">
      <formula>P$1=""</formula>
    </cfRule>
  </conditionalFormatting>
  <conditionalFormatting sqref="P283:AA283 P285:AA285 P287:AA287">
    <cfRule type="expression" dxfId="4971" priority="1500">
      <formula>P$1=""</formula>
    </cfRule>
  </conditionalFormatting>
  <conditionalFormatting sqref="P283:AA283 P285:AA285 P287:AA287">
    <cfRule type="expression" dxfId="4970" priority="1499">
      <formula>P$1=""</formula>
    </cfRule>
  </conditionalFormatting>
  <conditionalFormatting sqref="P283:AA283 P285:AA285 P287:AA287">
    <cfRule type="expression" dxfId="4969" priority="1498">
      <formula>P$1=""</formula>
    </cfRule>
  </conditionalFormatting>
  <conditionalFormatting sqref="P283:AA283 P285:AA285 P287:AA287">
    <cfRule type="expression" dxfId="4968" priority="1497">
      <formula>P$1=""</formula>
    </cfRule>
  </conditionalFormatting>
  <conditionalFormatting sqref="P285:AA285 P287:AA287">
    <cfRule type="expression" dxfId="4967" priority="1496">
      <formula>P$1=""</formula>
    </cfRule>
  </conditionalFormatting>
  <conditionalFormatting sqref="P283:AA283">
    <cfRule type="expression" dxfId="4966" priority="1495">
      <formula>P$1=""</formula>
    </cfRule>
  </conditionalFormatting>
  <conditionalFormatting sqref="P285:AA285 P287:AA287">
    <cfRule type="expression" dxfId="4965" priority="1494">
      <formula>P$1=""</formula>
    </cfRule>
  </conditionalFormatting>
  <conditionalFormatting sqref="P285:AA285 P287:AA287">
    <cfRule type="expression" dxfId="4964" priority="1493">
      <formula>P$1=""</formula>
    </cfRule>
  </conditionalFormatting>
  <conditionalFormatting sqref="P287:AA287">
    <cfRule type="expression" dxfId="4963" priority="1492">
      <formula>P$1=""</formula>
    </cfRule>
  </conditionalFormatting>
  <conditionalFormatting sqref="P287:AA287">
    <cfRule type="expression" dxfId="4962" priority="1491">
      <formula>P$1=""</formula>
    </cfRule>
  </conditionalFormatting>
  <conditionalFormatting sqref="P287:AA287">
    <cfRule type="expression" dxfId="4961" priority="1490">
      <formula>P$1=""</formula>
    </cfRule>
  </conditionalFormatting>
  <conditionalFormatting sqref="P287:AA287">
    <cfRule type="expression" dxfId="4960" priority="1489">
      <formula>P$1=""</formula>
    </cfRule>
  </conditionalFormatting>
  <conditionalFormatting sqref="P281:AA281">
    <cfRule type="expression" dxfId="4959" priority="1488">
      <formula>P$1=""</formula>
    </cfRule>
  </conditionalFormatting>
  <conditionalFormatting sqref="P281:AA281">
    <cfRule type="expression" dxfId="4958" priority="1487">
      <formula>P$1=""</formula>
    </cfRule>
  </conditionalFormatting>
  <conditionalFormatting sqref="P281:AA281">
    <cfRule type="expression" dxfId="4957" priority="1486">
      <formula>P$1=""</formula>
    </cfRule>
  </conditionalFormatting>
  <conditionalFormatting sqref="P281:AA281">
    <cfRule type="expression" dxfId="4956" priority="1485">
      <formula>P$1=""</formula>
    </cfRule>
  </conditionalFormatting>
  <conditionalFormatting sqref="P281:AA281">
    <cfRule type="expression" dxfId="4955" priority="1484">
      <formula>P$1=""</formula>
    </cfRule>
  </conditionalFormatting>
  <conditionalFormatting sqref="P281:AA281">
    <cfRule type="expression" dxfId="4954" priority="1483">
      <formula>P$1=""</formula>
    </cfRule>
  </conditionalFormatting>
  <conditionalFormatting sqref="P281:AA281">
    <cfRule type="expression" dxfId="4953" priority="1482">
      <formula>P$1=""</formula>
    </cfRule>
  </conditionalFormatting>
  <conditionalFormatting sqref="P285:AA285 P287:AA287">
    <cfRule type="expression" dxfId="4952" priority="1481">
      <formula>P$1=""</formula>
    </cfRule>
  </conditionalFormatting>
  <conditionalFormatting sqref="P285:AA285 P287:AA287">
    <cfRule type="expression" dxfId="4951" priority="1480">
      <formula>P$1=""</formula>
    </cfRule>
  </conditionalFormatting>
  <conditionalFormatting sqref="P285:AA285 P287:AA287">
    <cfRule type="expression" dxfId="4950" priority="1479">
      <formula>P$1=""</formula>
    </cfRule>
  </conditionalFormatting>
  <conditionalFormatting sqref="P285:AA285 P287:AA287">
    <cfRule type="expression" dxfId="4949" priority="1478">
      <formula>P$1=""</formula>
    </cfRule>
  </conditionalFormatting>
  <conditionalFormatting sqref="P285 P287 P283:AA283">
    <cfRule type="expression" dxfId="4948" priority="1477">
      <formula>P$1=""</formula>
    </cfRule>
  </conditionalFormatting>
  <conditionalFormatting sqref="P285 P287 P283:AA283">
    <cfRule type="expression" dxfId="4947" priority="1476">
      <formula>P$1=""</formula>
    </cfRule>
  </conditionalFormatting>
  <conditionalFormatting sqref="P285 P287 P283:AA283">
    <cfRule type="expression" dxfId="4946" priority="1475">
      <formula>P$1=""</formula>
    </cfRule>
  </conditionalFormatting>
  <conditionalFormatting sqref="P285 P287 P283:AA283">
    <cfRule type="expression" dxfId="4945" priority="1474">
      <formula>P$1=""</formula>
    </cfRule>
  </conditionalFormatting>
  <conditionalFormatting sqref="P285 P287 P283:AA283">
    <cfRule type="expression" dxfId="4944" priority="1473">
      <formula>P$1=""</formula>
    </cfRule>
  </conditionalFormatting>
  <conditionalFormatting sqref="P285 P287 P283:AA283">
    <cfRule type="expression" dxfId="4943" priority="1472">
      <formula>P$1=""</formula>
    </cfRule>
  </conditionalFormatting>
  <conditionalFormatting sqref="P285 P287 P283:AA283">
    <cfRule type="expression" dxfId="4942" priority="1471">
      <formula>P$1=""</formula>
    </cfRule>
  </conditionalFormatting>
  <conditionalFormatting sqref="P285 P287 P283:AA283">
    <cfRule type="expression" dxfId="4941" priority="1470">
      <formula>P$1=""</formula>
    </cfRule>
  </conditionalFormatting>
  <conditionalFormatting sqref="Q283:AA283">
    <cfRule type="expression" dxfId="4940" priority="1469">
      <formula>Q$1=""</formula>
    </cfRule>
  </conditionalFormatting>
  <conditionalFormatting sqref="Q283:AA283">
    <cfRule type="expression" dxfId="4939" priority="1468">
      <formula>Q$1=""</formula>
    </cfRule>
  </conditionalFormatting>
  <conditionalFormatting sqref="Q283:AA283">
    <cfRule type="expression" dxfId="4938" priority="1467">
      <formula>Q$1=""</formula>
    </cfRule>
  </conditionalFormatting>
  <conditionalFormatting sqref="Q283:AA283">
    <cfRule type="expression" dxfId="4937" priority="1466">
      <formula>Q$1=""</formula>
    </cfRule>
  </conditionalFormatting>
  <conditionalFormatting sqref="Q283:AA283">
    <cfRule type="expression" dxfId="4936" priority="1465">
      <formula>Q$1=""</formula>
    </cfRule>
  </conditionalFormatting>
  <conditionalFormatting sqref="Q283:AA283">
    <cfRule type="expression" dxfId="4935" priority="1464">
      <formula>Q$1=""</formula>
    </cfRule>
  </conditionalFormatting>
  <conditionalFormatting sqref="Q283:AA283">
    <cfRule type="expression" dxfId="4934" priority="1463">
      <formula>Q$1=""</formula>
    </cfRule>
  </conditionalFormatting>
  <conditionalFormatting sqref="Q283:AA283">
    <cfRule type="expression" dxfId="4933" priority="1462">
      <formula>Q$1=""</formula>
    </cfRule>
  </conditionalFormatting>
  <conditionalFormatting sqref="Q285:AA285 Q287:AA287">
    <cfRule type="expression" dxfId="4932" priority="1461">
      <formula>Q$1=""</formula>
    </cfRule>
  </conditionalFormatting>
  <conditionalFormatting sqref="Q285:AA285 Q287:AA287">
    <cfRule type="expression" dxfId="4931" priority="1460">
      <formula>Q$1=""</formula>
    </cfRule>
  </conditionalFormatting>
  <conditionalFormatting sqref="Q285:AA285 Q287:AA287">
    <cfRule type="expression" dxfId="4930" priority="1459">
      <formula>Q$1=""</formula>
    </cfRule>
  </conditionalFormatting>
  <conditionalFormatting sqref="Q285:AA285 Q287:AA287">
    <cfRule type="expression" dxfId="4929" priority="1458">
      <formula>Q$1=""</formula>
    </cfRule>
  </conditionalFormatting>
  <conditionalFormatting sqref="Q285:AA285 Q287:AA287">
    <cfRule type="expression" dxfId="4928" priority="1457">
      <formula>Q$1=""</formula>
    </cfRule>
  </conditionalFormatting>
  <conditionalFormatting sqref="Q285:AA285 Q287:AA287">
    <cfRule type="expression" dxfId="4927" priority="1456">
      <formula>Q$1=""</formula>
    </cfRule>
  </conditionalFormatting>
  <conditionalFormatting sqref="Q285:AA285 Q287:AA287">
    <cfRule type="expression" dxfId="4926" priority="1455">
      <formula>Q$1=""</formula>
    </cfRule>
  </conditionalFormatting>
  <conditionalFormatting sqref="Q285:AA285 Q287:AA287">
    <cfRule type="expression" dxfId="4925" priority="1454">
      <formula>Q$1=""</formula>
    </cfRule>
  </conditionalFormatting>
  <conditionalFormatting sqref="Q285:AA285 Q287:AA287">
    <cfRule type="expression" dxfId="4924" priority="1453">
      <formula>Q$1=""</formula>
    </cfRule>
  </conditionalFormatting>
  <conditionalFormatting sqref="Q285:AA285 Q287:AA287">
    <cfRule type="expression" dxfId="4923" priority="1452">
      <formula>Q$1=""</formula>
    </cfRule>
  </conditionalFormatting>
  <conditionalFormatting sqref="P291:AA291">
    <cfRule type="expression" dxfId="4922" priority="1451">
      <formula>P$1=""</formula>
    </cfRule>
  </conditionalFormatting>
  <conditionalFormatting sqref="P293:AA293">
    <cfRule type="expression" dxfId="4921" priority="1450">
      <formula>P$1=""</formula>
    </cfRule>
  </conditionalFormatting>
  <conditionalFormatting sqref="P295:AA295">
    <cfRule type="expression" dxfId="4920" priority="1449">
      <formula>P$1=""</formula>
    </cfRule>
  </conditionalFormatting>
  <conditionalFormatting sqref="P297:AA297">
    <cfRule type="expression" dxfId="4919" priority="1448">
      <formula>P$1=""</formula>
    </cfRule>
  </conditionalFormatting>
  <conditionalFormatting sqref="P293:AA293 P295:AA295 P297:AA297">
    <cfRule type="expression" dxfId="4918" priority="1447">
      <formula>P$1=""</formula>
    </cfRule>
  </conditionalFormatting>
  <conditionalFormatting sqref="P293:AA293 P295:AA295 P297:AA297">
    <cfRule type="expression" dxfId="4917" priority="1446">
      <formula>P$1=""</formula>
    </cfRule>
  </conditionalFormatting>
  <conditionalFormatting sqref="P293:AA293 P295:AA295 P297:AA297">
    <cfRule type="expression" dxfId="4916" priority="1445">
      <formula>P$1=""</formula>
    </cfRule>
  </conditionalFormatting>
  <conditionalFormatting sqref="P293:AA293 P295:AA295 P297:AA297">
    <cfRule type="expression" dxfId="4915" priority="1444">
      <formula>P$1=""</formula>
    </cfRule>
  </conditionalFormatting>
  <conditionalFormatting sqref="P293:AA293 P295:AA295 P297:AA297">
    <cfRule type="expression" dxfId="4914" priority="1443">
      <formula>P$1=""</formula>
    </cfRule>
  </conditionalFormatting>
  <conditionalFormatting sqref="P295:AA295 P297:AA297">
    <cfRule type="expression" dxfId="4913" priority="1442">
      <formula>P$1=""</formula>
    </cfRule>
  </conditionalFormatting>
  <conditionalFormatting sqref="P293:AA293">
    <cfRule type="expression" dxfId="4912" priority="1441">
      <formula>P$1=""</formula>
    </cfRule>
  </conditionalFormatting>
  <conditionalFormatting sqref="P295:AA295 P297:AA297">
    <cfRule type="expression" dxfId="4911" priority="1440">
      <formula>P$1=""</formula>
    </cfRule>
  </conditionalFormatting>
  <conditionalFormatting sqref="P295:AA295 P297:AA297">
    <cfRule type="expression" dxfId="4910" priority="1439">
      <formula>P$1=""</formula>
    </cfRule>
  </conditionalFormatting>
  <conditionalFormatting sqref="P297:AA297">
    <cfRule type="expression" dxfId="4909" priority="1438">
      <formula>P$1=""</formula>
    </cfRule>
  </conditionalFormatting>
  <conditionalFormatting sqref="P297:AA297">
    <cfRule type="expression" dxfId="4908" priority="1437">
      <formula>P$1=""</formula>
    </cfRule>
  </conditionalFormatting>
  <conditionalFormatting sqref="P297:AA297">
    <cfRule type="expression" dxfId="4907" priority="1436">
      <formula>P$1=""</formula>
    </cfRule>
  </conditionalFormatting>
  <conditionalFormatting sqref="P297:AA297">
    <cfRule type="expression" dxfId="4906" priority="1435">
      <formula>P$1=""</formula>
    </cfRule>
  </conditionalFormatting>
  <conditionalFormatting sqref="P291:AA291">
    <cfRule type="expression" dxfId="4905" priority="1434">
      <formula>P$1=""</formula>
    </cfRule>
  </conditionalFormatting>
  <conditionalFormatting sqref="P291:AA291">
    <cfRule type="expression" dxfId="4904" priority="1433">
      <formula>P$1=""</formula>
    </cfRule>
  </conditionalFormatting>
  <conditionalFormatting sqref="P291:AA291">
    <cfRule type="expression" dxfId="4903" priority="1432">
      <formula>P$1=""</formula>
    </cfRule>
  </conditionalFormatting>
  <conditionalFormatting sqref="P291:AA291">
    <cfRule type="expression" dxfId="4902" priority="1431">
      <formula>P$1=""</formula>
    </cfRule>
  </conditionalFormatting>
  <conditionalFormatting sqref="P291:AA291">
    <cfRule type="expression" dxfId="4901" priority="1430">
      <formula>P$1=""</formula>
    </cfRule>
  </conditionalFormatting>
  <conditionalFormatting sqref="P291:AA291">
    <cfRule type="expression" dxfId="4900" priority="1429">
      <formula>P$1=""</formula>
    </cfRule>
  </conditionalFormatting>
  <conditionalFormatting sqref="P291:AA291">
    <cfRule type="expression" dxfId="4899" priority="1428">
      <formula>P$1=""</formula>
    </cfRule>
  </conditionalFormatting>
  <conditionalFormatting sqref="P295:AA295 P297:AA297">
    <cfRule type="expression" dxfId="4898" priority="1427">
      <formula>P$1=""</formula>
    </cfRule>
  </conditionalFormatting>
  <conditionalFormatting sqref="P295:AA295 P297:AA297">
    <cfRule type="expression" dxfId="4897" priority="1426">
      <formula>P$1=""</formula>
    </cfRule>
  </conditionalFormatting>
  <conditionalFormatting sqref="P295:AA295 P297:AA297">
    <cfRule type="expression" dxfId="4896" priority="1425">
      <formula>P$1=""</formula>
    </cfRule>
  </conditionalFormatting>
  <conditionalFormatting sqref="P295:AA295 P297:AA297">
    <cfRule type="expression" dxfId="4895" priority="1424">
      <formula>P$1=""</formula>
    </cfRule>
  </conditionalFormatting>
  <conditionalFormatting sqref="P293:AA293 P295:AA295 P297:AA297">
    <cfRule type="expression" dxfId="4894" priority="1423">
      <formula>P$1=""</formula>
    </cfRule>
  </conditionalFormatting>
  <conditionalFormatting sqref="P293:AA293 P295:AA295 P297:AA297">
    <cfRule type="expression" dxfId="4893" priority="1422">
      <formula>P$1=""</formula>
    </cfRule>
  </conditionalFormatting>
  <conditionalFormatting sqref="P293:AA293 P295:AA295 P297:AA297">
    <cfRule type="expression" dxfId="4892" priority="1421">
      <formula>P$1=""</formula>
    </cfRule>
  </conditionalFormatting>
  <conditionalFormatting sqref="P293:AA293 P295:AA295 P297:AA297">
    <cfRule type="expression" dxfId="4891" priority="1420">
      <formula>P$1=""</formula>
    </cfRule>
  </conditionalFormatting>
  <conditionalFormatting sqref="P293:AA293 P295:AA295 P297:AA297">
    <cfRule type="expression" dxfId="4890" priority="1419">
      <formula>P$1=""</formula>
    </cfRule>
  </conditionalFormatting>
  <conditionalFormatting sqref="P293:AA293 P295:AA295 P297:AA297">
    <cfRule type="expression" dxfId="4889" priority="1418">
      <formula>P$1=""</formula>
    </cfRule>
  </conditionalFormatting>
  <conditionalFormatting sqref="P293:AA293 P295:AA295 P297:AA297">
    <cfRule type="expression" dxfId="4888" priority="1417">
      <formula>P$1=""</formula>
    </cfRule>
  </conditionalFormatting>
  <conditionalFormatting sqref="P293:AA293 P295:AA295 P297:AA297">
    <cfRule type="expression" dxfId="4887" priority="1416">
      <formula>P$1=""</formula>
    </cfRule>
  </conditionalFormatting>
  <conditionalFormatting sqref="Q293:AA293">
    <cfRule type="expression" dxfId="4886" priority="1415">
      <formula>Q$1=""</formula>
    </cfRule>
  </conditionalFormatting>
  <conditionalFormatting sqref="Q293:AA293">
    <cfRule type="expression" dxfId="4885" priority="1414">
      <formula>Q$1=""</formula>
    </cfRule>
  </conditionalFormatting>
  <conditionalFormatting sqref="Q293:AA293">
    <cfRule type="expression" dxfId="4884" priority="1413">
      <formula>Q$1=""</formula>
    </cfRule>
  </conditionalFormatting>
  <conditionalFormatting sqref="Q293:AA293">
    <cfRule type="expression" dxfId="4883" priority="1412">
      <formula>Q$1=""</formula>
    </cfRule>
  </conditionalFormatting>
  <conditionalFormatting sqref="Q293:AA293">
    <cfRule type="expression" dxfId="4882" priority="1411">
      <formula>Q$1=""</formula>
    </cfRule>
  </conditionalFormatting>
  <conditionalFormatting sqref="Q293:AA293">
    <cfRule type="expression" dxfId="4881" priority="1410">
      <formula>Q$1=""</formula>
    </cfRule>
  </conditionalFormatting>
  <conditionalFormatting sqref="Q293:AA293">
    <cfRule type="expression" dxfId="4880" priority="1409">
      <formula>Q$1=""</formula>
    </cfRule>
  </conditionalFormatting>
  <conditionalFormatting sqref="Q293:AA293">
    <cfRule type="expression" dxfId="4879" priority="1408">
      <formula>Q$1=""</formula>
    </cfRule>
  </conditionalFormatting>
  <conditionalFormatting sqref="Q295:AA295 Q297:AA297">
    <cfRule type="expression" dxfId="4878" priority="1407">
      <formula>Q$1=""</formula>
    </cfRule>
  </conditionalFormatting>
  <conditionalFormatting sqref="Q295:AA295 Q297:AA297">
    <cfRule type="expression" dxfId="4877" priority="1406">
      <formula>Q$1=""</formula>
    </cfRule>
  </conditionalFormatting>
  <conditionalFormatting sqref="Q295:AA295 Q297:AA297">
    <cfRule type="expression" dxfId="4876" priority="1405">
      <formula>Q$1=""</formula>
    </cfRule>
  </conditionalFormatting>
  <conditionalFormatting sqref="Q295:AA295 Q297:AA297">
    <cfRule type="expression" dxfId="4875" priority="1404">
      <formula>Q$1=""</formula>
    </cfRule>
  </conditionalFormatting>
  <conditionalFormatting sqref="Q295:AA295 Q297:AA297">
    <cfRule type="expression" dxfId="4874" priority="1403">
      <formula>Q$1=""</formula>
    </cfRule>
  </conditionalFormatting>
  <conditionalFormatting sqref="Q295:AA295 Q297:AA297">
    <cfRule type="expression" dxfId="4873" priority="1402">
      <formula>Q$1=""</formula>
    </cfRule>
  </conditionalFormatting>
  <conditionalFormatting sqref="Q295:AA295 Q297:AA297">
    <cfRule type="expression" dxfId="4872" priority="1401">
      <formula>Q$1=""</formula>
    </cfRule>
  </conditionalFormatting>
  <conditionalFormatting sqref="Q295:AA295 Q297:AA297">
    <cfRule type="expression" dxfId="4871" priority="1400">
      <formula>Q$1=""</formula>
    </cfRule>
  </conditionalFormatting>
  <conditionalFormatting sqref="Q295:AA295 Q297:AA297">
    <cfRule type="expression" dxfId="4870" priority="1399">
      <formula>Q$1=""</formula>
    </cfRule>
  </conditionalFormatting>
  <conditionalFormatting sqref="Q295:AA295 Q297:AA297">
    <cfRule type="expression" dxfId="4869" priority="1398">
      <formula>Q$1=""</formula>
    </cfRule>
  </conditionalFormatting>
  <conditionalFormatting sqref="P295:AA295 P297:AA297 P291:AA291">
    <cfRule type="expression" dxfId="4868" priority="1397">
      <formula>P$1=""</formula>
    </cfRule>
  </conditionalFormatting>
  <conditionalFormatting sqref="P291:AA291">
    <cfRule type="expression" dxfId="4867" priority="1396">
      <formula>P$1=""</formula>
    </cfRule>
  </conditionalFormatting>
  <conditionalFormatting sqref="P291:AA291">
    <cfRule type="expression" dxfId="4866" priority="1395">
      <formula>P$1=""</formula>
    </cfRule>
  </conditionalFormatting>
  <conditionalFormatting sqref="P291:AA291">
    <cfRule type="expression" dxfId="4865" priority="1394">
      <formula>P$1=""</formula>
    </cfRule>
  </conditionalFormatting>
  <conditionalFormatting sqref="P291:AA291">
    <cfRule type="expression" dxfId="4864" priority="1393">
      <formula>P$1=""</formula>
    </cfRule>
  </conditionalFormatting>
  <conditionalFormatting sqref="P291:AA291">
    <cfRule type="expression" dxfId="4863" priority="1392">
      <formula>P$1=""</formula>
    </cfRule>
  </conditionalFormatting>
  <conditionalFormatting sqref="P295:AA295 P297:AA297 P291:AA291">
    <cfRule type="expression" dxfId="4862" priority="1391">
      <formula>P$1=""</formula>
    </cfRule>
  </conditionalFormatting>
  <conditionalFormatting sqref="P291:AA291">
    <cfRule type="expression" dxfId="4861" priority="1390">
      <formula>P$1=""</formula>
    </cfRule>
  </conditionalFormatting>
  <conditionalFormatting sqref="P291:AA291">
    <cfRule type="expression" dxfId="4860" priority="1389">
      <formula>P$1=""</formula>
    </cfRule>
  </conditionalFormatting>
  <conditionalFormatting sqref="P291:AA291">
    <cfRule type="expression" dxfId="4859" priority="1388">
      <formula>P$1=""</formula>
    </cfRule>
  </conditionalFormatting>
  <conditionalFormatting sqref="P291:AA291">
    <cfRule type="expression" dxfId="4858" priority="1387">
      <formula>P$1=""</formula>
    </cfRule>
  </conditionalFormatting>
  <conditionalFormatting sqref="P291:AA291">
    <cfRule type="expression" dxfId="4857" priority="1386">
      <formula>P$1=""</formula>
    </cfRule>
  </conditionalFormatting>
  <conditionalFormatting sqref="P291:AA291">
    <cfRule type="expression" dxfId="4856" priority="1385">
      <formula>P$1=""</formula>
    </cfRule>
  </conditionalFormatting>
  <conditionalFormatting sqref="P291:AA291">
    <cfRule type="expression" dxfId="4855" priority="1384">
      <formula>P$1=""</formula>
    </cfRule>
  </conditionalFormatting>
  <conditionalFormatting sqref="P291:AA291">
    <cfRule type="expression" dxfId="4854" priority="1383">
      <formula>P$1=""</formula>
    </cfRule>
  </conditionalFormatting>
  <conditionalFormatting sqref="P152:AA152">
    <cfRule type="expression" dxfId="4853" priority="1382">
      <formula>P$1=""</formula>
    </cfRule>
  </conditionalFormatting>
  <conditionalFormatting sqref="P152:AA152">
    <cfRule type="expression" dxfId="4852" priority="1381">
      <formula>P$1=""</formula>
    </cfRule>
  </conditionalFormatting>
  <conditionalFormatting sqref="P152:AA152">
    <cfRule type="expression" dxfId="4851" priority="1380">
      <formula>P$1=""</formula>
    </cfRule>
  </conditionalFormatting>
  <conditionalFormatting sqref="P152:AA152">
    <cfRule type="expression" dxfId="4850" priority="1379">
      <formula>P$1=""</formula>
    </cfRule>
  </conditionalFormatting>
  <conditionalFormatting sqref="P152:AA152">
    <cfRule type="expression" dxfId="4849" priority="1378">
      <formula>P$1=""</formula>
    </cfRule>
  </conditionalFormatting>
  <conditionalFormatting sqref="P152:AA152">
    <cfRule type="expression" dxfId="4848" priority="1377">
      <formula>P$1=""</formula>
    </cfRule>
  </conditionalFormatting>
  <conditionalFormatting sqref="P152:AA152">
    <cfRule type="expression" dxfId="4847" priority="1376">
      <formula>P$1=""</formula>
    </cfRule>
  </conditionalFormatting>
  <conditionalFormatting sqref="P152:AA152">
    <cfRule type="expression" dxfId="4846" priority="1375">
      <formula>P$1=""</formula>
    </cfRule>
  </conditionalFormatting>
  <conditionalFormatting sqref="P281:AA281">
    <cfRule type="expression" dxfId="4845" priority="1374">
      <formula>P$1=""</formula>
    </cfRule>
  </conditionalFormatting>
  <conditionalFormatting sqref="P281:AA281">
    <cfRule type="expression" dxfId="4844" priority="1373">
      <formula>P$1=""</formula>
    </cfRule>
  </conditionalFormatting>
  <conditionalFormatting sqref="P281:AA281">
    <cfRule type="expression" dxfId="4843" priority="1372">
      <formula>P$1=""</formula>
    </cfRule>
  </conditionalFormatting>
  <conditionalFormatting sqref="P281:AA281">
    <cfRule type="expression" dxfId="4842" priority="1371">
      <formula>P$1=""</formula>
    </cfRule>
  </conditionalFormatting>
  <conditionalFormatting sqref="P281:AA281">
    <cfRule type="expression" dxfId="4841" priority="1370">
      <formula>P$1=""</formula>
    </cfRule>
  </conditionalFormatting>
  <conditionalFormatting sqref="P281:AA281">
    <cfRule type="expression" dxfId="4840" priority="1369">
      <formula>P$1=""</formula>
    </cfRule>
  </conditionalFormatting>
  <conditionalFormatting sqref="P281:AA281">
    <cfRule type="expression" dxfId="4839" priority="1368">
      <formula>P$1=""</formula>
    </cfRule>
  </conditionalFormatting>
  <conditionalFormatting sqref="P281:AA281">
    <cfRule type="expression" dxfId="4838" priority="1367">
      <formula>P$1=""</formula>
    </cfRule>
  </conditionalFormatting>
  <conditionalFormatting sqref="P283:AA283">
    <cfRule type="expression" dxfId="4837" priority="1366">
      <formula>P$1=""</formula>
    </cfRule>
  </conditionalFormatting>
  <conditionalFormatting sqref="P283:AA283">
    <cfRule type="expression" dxfId="4836" priority="1365">
      <formula>P$1=""</formula>
    </cfRule>
  </conditionalFormatting>
  <conditionalFormatting sqref="P283:AA283">
    <cfRule type="expression" dxfId="4835" priority="1364">
      <formula>P$1=""</formula>
    </cfRule>
  </conditionalFormatting>
  <conditionalFormatting sqref="P283:AA283">
    <cfRule type="expression" dxfId="4834" priority="1363">
      <formula>P$1=""</formula>
    </cfRule>
  </conditionalFormatting>
  <conditionalFormatting sqref="P283:AA283">
    <cfRule type="expression" dxfId="4833" priority="1362">
      <formula>P$1=""</formula>
    </cfRule>
  </conditionalFormatting>
  <conditionalFormatting sqref="P283:AA283">
    <cfRule type="expression" dxfId="4832" priority="1361">
      <formula>P$1=""</formula>
    </cfRule>
  </conditionalFormatting>
  <conditionalFormatting sqref="P283:AA283">
    <cfRule type="expression" dxfId="4831" priority="1360">
      <formula>P$1=""</formula>
    </cfRule>
  </conditionalFormatting>
  <conditionalFormatting sqref="P283:AA283">
    <cfRule type="expression" dxfId="4830" priority="1359">
      <formula>P$1=""</formula>
    </cfRule>
  </conditionalFormatting>
  <conditionalFormatting sqref="P283:AA283">
    <cfRule type="expression" dxfId="4829" priority="1358">
      <formula>P$1=""</formula>
    </cfRule>
  </conditionalFormatting>
  <conditionalFormatting sqref="P283:AA283">
    <cfRule type="expression" dxfId="4828" priority="1357">
      <formula>P$1=""</formula>
    </cfRule>
  </conditionalFormatting>
  <conditionalFormatting sqref="P283:AA283">
    <cfRule type="expression" dxfId="4827" priority="1356">
      <formula>P$1=""</formula>
    </cfRule>
  </conditionalFormatting>
  <conditionalFormatting sqref="P283:AA283">
    <cfRule type="expression" dxfId="4826" priority="1355">
      <formula>P$1=""</formula>
    </cfRule>
  </conditionalFormatting>
  <conditionalFormatting sqref="P283:AA283">
    <cfRule type="expression" dxfId="4825" priority="1354">
      <formula>P$1=""</formula>
    </cfRule>
  </conditionalFormatting>
  <conditionalFormatting sqref="P283:AA283">
    <cfRule type="expression" dxfId="4824" priority="1353">
      <formula>P$1=""</formula>
    </cfRule>
  </conditionalFormatting>
  <conditionalFormatting sqref="P283:AA283">
    <cfRule type="expression" dxfId="4823" priority="1352">
      <formula>P$1=""</formula>
    </cfRule>
  </conditionalFormatting>
  <conditionalFormatting sqref="P283:AA283">
    <cfRule type="expression" dxfId="4822" priority="1351">
      <formula>P$1=""</formula>
    </cfRule>
  </conditionalFormatting>
  <conditionalFormatting sqref="P287 P285">
    <cfRule type="expression" dxfId="4821" priority="1350">
      <formula>P$1=""</formula>
    </cfRule>
  </conditionalFormatting>
  <conditionalFormatting sqref="P287 P285">
    <cfRule type="expression" dxfId="4820" priority="1349">
      <formula>P$1=""</formula>
    </cfRule>
  </conditionalFormatting>
  <conditionalFormatting sqref="P287 P285">
    <cfRule type="expression" dxfId="4819" priority="1348">
      <formula>P$1=""</formula>
    </cfRule>
  </conditionalFormatting>
  <conditionalFormatting sqref="P287 P285">
    <cfRule type="expression" dxfId="4818" priority="1347">
      <formula>P$1=""</formula>
    </cfRule>
  </conditionalFormatting>
  <conditionalFormatting sqref="P287 P285">
    <cfRule type="expression" dxfId="4817" priority="1346">
      <formula>P$1=""</formula>
    </cfRule>
  </conditionalFormatting>
  <conditionalFormatting sqref="P287 P285">
    <cfRule type="expression" dxfId="4816" priority="1345">
      <formula>P$1=""</formula>
    </cfRule>
  </conditionalFormatting>
  <conditionalFormatting sqref="P287 P285">
    <cfRule type="expression" dxfId="4815" priority="1344">
      <formula>P$1=""</formula>
    </cfRule>
  </conditionalFormatting>
  <conditionalFormatting sqref="P287 P285">
    <cfRule type="expression" dxfId="4814" priority="1343">
      <formula>P$1=""</formula>
    </cfRule>
  </conditionalFormatting>
  <conditionalFormatting sqref="P287 P285">
    <cfRule type="expression" dxfId="4813" priority="1342">
      <formula>P$1=""</formula>
    </cfRule>
  </conditionalFormatting>
  <conditionalFormatting sqref="P287 P285">
    <cfRule type="expression" dxfId="4812" priority="1341">
      <formula>P$1=""</formula>
    </cfRule>
  </conditionalFormatting>
  <conditionalFormatting sqref="P287 P285">
    <cfRule type="expression" dxfId="4811" priority="1340">
      <formula>P$1=""</formula>
    </cfRule>
  </conditionalFormatting>
  <conditionalFormatting sqref="P287 P285">
    <cfRule type="expression" dxfId="4810" priority="1339">
      <formula>P$1=""</formula>
    </cfRule>
  </conditionalFormatting>
  <conditionalFormatting sqref="P287 P285">
    <cfRule type="expression" dxfId="4809" priority="1338">
      <formula>P$1=""</formula>
    </cfRule>
  </conditionalFormatting>
  <conditionalFormatting sqref="P287 P285">
    <cfRule type="expression" dxfId="4808" priority="1337">
      <formula>P$1=""</formula>
    </cfRule>
  </conditionalFormatting>
  <conditionalFormatting sqref="P287 P285">
    <cfRule type="expression" dxfId="4807" priority="1336">
      <formula>P$1=""</formula>
    </cfRule>
  </conditionalFormatting>
  <conditionalFormatting sqref="P287 P285">
    <cfRule type="expression" dxfId="4806" priority="1335">
      <formula>P$1=""</formula>
    </cfRule>
  </conditionalFormatting>
  <conditionalFormatting sqref="P287 P285">
    <cfRule type="expression" dxfId="4805" priority="1334">
      <formula>P$1=""</formula>
    </cfRule>
  </conditionalFormatting>
  <conditionalFormatting sqref="P287 P285">
    <cfRule type="expression" dxfId="4804" priority="1333">
      <formula>P$1=""</formula>
    </cfRule>
  </conditionalFormatting>
  <conditionalFormatting sqref="Q287:AA287 Q285:AA285">
    <cfRule type="expression" dxfId="4803" priority="1332">
      <formula>Q$1=""</formula>
    </cfRule>
  </conditionalFormatting>
  <conditionalFormatting sqref="Q287:AA287 Q285:AA285">
    <cfRule type="expression" dxfId="4802" priority="1331">
      <formula>Q$1=""</formula>
    </cfRule>
  </conditionalFormatting>
  <conditionalFormatting sqref="Q287:AA287 Q285:AA285">
    <cfRule type="expression" dxfId="4801" priority="1330">
      <formula>Q$1=""</formula>
    </cfRule>
  </conditionalFormatting>
  <conditionalFormatting sqref="Q287:AA287 Q285:AA285">
    <cfRule type="expression" dxfId="4800" priority="1329">
      <formula>Q$1=""</formula>
    </cfRule>
  </conditionalFormatting>
  <conditionalFormatting sqref="Q287:AA287 Q285:AA285">
    <cfRule type="expression" dxfId="4799" priority="1328">
      <formula>Q$1=""</formula>
    </cfRule>
  </conditionalFormatting>
  <conditionalFormatting sqref="Q287:AA287 Q285:AA285">
    <cfRule type="expression" dxfId="4798" priority="1327">
      <formula>Q$1=""</formula>
    </cfRule>
  </conditionalFormatting>
  <conditionalFormatting sqref="Q287:AA287 Q285:AA285">
    <cfRule type="expression" dxfId="4797" priority="1326">
      <formula>Q$1=""</formula>
    </cfRule>
  </conditionalFormatting>
  <conditionalFormatting sqref="Q287:AA287 Q285:AA285">
    <cfRule type="expression" dxfId="4796" priority="1325">
      <formula>Q$1=""</formula>
    </cfRule>
  </conditionalFormatting>
  <conditionalFormatting sqref="Q287:AA287 Q285:AA285">
    <cfRule type="expression" dxfId="4795" priority="1324">
      <formula>Q$1=""</formula>
    </cfRule>
  </conditionalFormatting>
  <conditionalFormatting sqref="Q287:AA287 Q285:AA285">
    <cfRule type="expression" dxfId="4794" priority="1323">
      <formula>Q$1=""</formula>
    </cfRule>
  </conditionalFormatting>
  <conditionalFormatting sqref="Q287:AA287 Q285:AA285">
    <cfRule type="expression" dxfId="4793" priority="1322">
      <formula>Q$1=""</formula>
    </cfRule>
  </conditionalFormatting>
  <conditionalFormatting sqref="Q287:AA287 Q285:AA285">
    <cfRule type="expression" dxfId="4792" priority="1321">
      <formula>Q$1=""</formula>
    </cfRule>
  </conditionalFormatting>
  <conditionalFormatting sqref="Q287:AA287 Q285:AA285">
    <cfRule type="expression" dxfId="4791" priority="1320">
      <formula>Q$1=""</formula>
    </cfRule>
  </conditionalFormatting>
  <conditionalFormatting sqref="Q287:AA287 Q285:AA285">
    <cfRule type="expression" dxfId="4790" priority="1319">
      <formula>Q$1=""</formula>
    </cfRule>
  </conditionalFormatting>
  <conditionalFormatting sqref="Q287:AA287 Q285:AA285">
    <cfRule type="expression" dxfId="4789" priority="1318">
      <formula>Q$1=""</formula>
    </cfRule>
  </conditionalFormatting>
  <conditionalFormatting sqref="Q287:AA287 Q285:AA285">
    <cfRule type="expression" dxfId="4788" priority="1317">
      <formula>Q$1=""</formula>
    </cfRule>
  </conditionalFormatting>
  <conditionalFormatting sqref="Q287:AA287 Q285:AA285">
    <cfRule type="expression" dxfId="4787" priority="1316">
      <formula>Q$1=""</formula>
    </cfRule>
  </conditionalFormatting>
  <conditionalFormatting sqref="Q287:AA287 Q285:AA285">
    <cfRule type="expression" dxfId="4786" priority="1315">
      <formula>Q$1=""</formula>
    </cfRule>
  </conditionalFormatting>
  <conditionalFormatting sqref="Q287:AA287 Q285:AA285">
    <cfRule type="expression" dxfId="4785" priority="1314">
      <formula>Q$1=""</formula>
    </cfRule>
  </conditionalFormatting>
  <conditionalFormatting sqref="Q287:AA287 Q285:AA285">
    <cfRule type="expression" dxfId="4784" priority="1313">
      <formula>Q$1=""</formula>
    </cfRule>
  </conditionalFormatting>
  <conditionalFormatting sqref="Q287:AA287 Q285:AA285">
    <cfRule type="expression" dxfId="4783" priority="1312">
      <formula>Q$1=""</formula>
    </cfRule>
  </conditionalFormatting>
  <conditionalFormatting sqref="Q287:AA287 Q285:AA285">
    <cfRule type="expression" dxfId="4782" priority="1311">
      <formula>Q$1=""</formula>
    </cfRule>
  </conditionalFormatting>
  <conditionalFormatting sqref="Q287:AA287 Q285:AA285">
    <cfRule type="expression" dxfId="4781" priority="1310">
      <formula>Q$1=""</formula>
    </cfRule>
  </conditionalFormatting>
  <conditionalFormatting sqref="Q287:AA287 Q285:AA285">
    <cfRule type="expression" dxfId="4780" priority="1309">
      <formula>Q$1=""</formula>
    </cfRule>
  </conditionalFormatting>
  <conditionalFormatting sqref="Q287:AA287 Q285:AA285">
    <cfRule type="expression" dxfId="4779" priority="1308">
      <formula>Q$1=""</formula>
    </cfRule>
  </conditionalFormatting>
  <conditionalFormatting sqref="Q287:AA287 Q285:AA285">
    <cfRule type="expression" dxfId="4778" priority="1307">
      <formula>Q$1=""</formula>
    </cfRule>
  </conditionalFormatting>
  <conditionalFormatting sqref="Q287:AA287 Q285:AA285">
    <cfRule type="expression" dxfId="4777" priority="1306">
      <formula>Q$1=""</formula>
    </cfRule>
  </conditionalFormatting>
  <conditionalFormatting sqref="Q287:AA287 Q285:AA285">
    <cfRule type="expression" dxfId="4776" priority="1305">
      <formula>Q$1=""</formula>
    </cfRule>
  </conditionalFormatting>
  <conditionalFormatting sqref="Q287:AA287 Q285:AA285">
    <cfRule type="expression" dxfId="4775" priority="1304">
      <formula>Q$1=""</formula>
    </cfRule>
  </conditionalFormatting>
  <conditionalFormatting sqref="Q287:AA287 Q285:AA285">
    <cfRule type="expression" dxfId="4774" priority="1303">
      <formula>Q$1=""</formula>
    </cfRule>
  </conditionalFormatting>
  <conditionalFormatting sqref="Q287:AA287 Q285:AA285">
    <cfRule type="expression" dxfId="4773" priority="1302">
      <formula>Q$1=""</formula>
    </cfRule>
  </conditionalFormatting>
  <conditionalFormatting sqref="Q287:AA287 Q285:AA285">
    <cfRule type="expression" dxfId="4772" priority="1301">
      <formula>Q$1=""</formula>
    </cfRule>
  </conditionalFormatting>
  <conditionalFormatting sqref="Q287:AA287 Q285:AA285">
    <cfRule type="expression" dxfId="4771" priority="1300">
      <formula>Q$1=""</formula>
    </cfRule>
  </conditionalFormatting>
  <conditionalFormatting sqref="Q287:AA287 Q285:AA285">
    <cfRule type="expression" dxfId="4770" priority="1299">
      <formula>Q$1=""</formula>
    </cfRule>
  </conditionalFormatting>
  <conditionalFormatting sqref="P297 P295 P293">
    <cfRule type="expression" dxfId="4769" priority="1298">
      <formula>P$1=""</formula>
    </cfRule>
  </conditionalFormatting>
  <conditionalFormatting sqref="P297 P295 P293">
    <cfRule type="expression" dxfId="4768" priority="1297">
      <formula>P$1=""</formula>
    </cfRule>
  </conditionalFormatting>
  <conditionalFormatting sqref="P297 P295 P293">
    <cfRule type="expression" dxfId="4767" priority="1296">
      <formula>P$1=""</formula>
    </cfRule>
  </conditionalFormatting>
  <conditionalFormatting sqref="P297 P295 P293">
    <cfRule type="expression" dxfId="4766" priority="1295">
      <formula>P$1=""</formula>
    </cfRule>
  </conditionalFormatting>
  <conditionalFormatting sqref="P297 P295 P293">
    <cfRule type="expression" dxfId="4765" priority="1294">
      <formula>P$1=""</formula>
    </cfRule>
  </conditionalFormatting>
  <conditionalFormatting sqref="P297 P295 P293">
    <cfRule type="expression" dxfId="4764" priority="1293">
      <formula>P$1=""</formula>
    </cfRule>
  </conditionalFormatting>
  <conditionalFormatting sqref="P297 P295 P293">
    <cfRule type="expression" dxfId="4763" priority="1292">
      <formula>P$1=""</formula>
    </cfRule>
  </conditionalFormatting>
  <conditionalFormatting sqref="P297 P295 P293">
    <cfRule type="expression" dxfId="4762" priority="1291">
      <formula>P$1=""</formula>
    </cfRule>
  </conditionalFormatting>
  <conditionalFormatting sqref="P293">
    <cfRule type="expression" dxfId="4761" priority="1290">
      <formula>P$1=""</formula>
    </cfRule>
  </conditionalFormatting>
  <conditionalFormatting sqref="P297 P295 P293">
    <cfRule type="expression" dxfId="4760" priority="1289">
      <formula>P$1=""</formula>
    </cfRule>
  </conditionalFormatting>
  <conditionalFormatting sqref="P297 P295 P293">
    <cfRule type="expression" dxfId="4759" priority="1288">
      <formula>P$1=""</formula>
    </cfRule>
  </conditionalFormatting>
  <conditionalFormatting sqref="P297 P295 P293">
    <cfRule type="expression" dxfId="4758" priority="1287">
      <formula>P$1=""</formula>
    </cfRule>
  </conditionalFormatting>
  <conditionalFormatting sqref="P297 P295 P293">
    <cfRule type="expression" dxfId="4757" priority="1286">
      <formula>P$1=""</formula>
    </cfRule>
  </conditionalFormatting>
  <conditionalFormatting sqref="P297 P295 P293">
    <cfRule type="expression" dxfId="4756" priority="1285">
      <formula>P$1=""</formula>
    </cfRule>
  </conditionalFormatting>
  <conditionalFormatting sqref="P293">
    <cfRule type="expression" dxfId="4755" priority="1284">
      <formula>P$1=""</formula>
    </cfRule>
  </conditionalFormatting>
  <conditionalFormatting sqref="P297 P295 P293">
    <cfRule type="expression" dxfId="4754" priority="1283">
      <formula>P$1=""</formula>
    </cfRule>
  </conditionalFormatting>
  <conditionalFormatting sqref="P297 P295 P293">
    <cfRule type="expression" dxfId="4753" priority="1282">
      <formula>P$1=""</formula>
    </cfRule>
  </conditionalFormatting>
  <conditionalFormatting sqref="P297 P295 P293">
    <cfRule type="expression" dxfId="4752" priority="1281">
      <formula>P$1=""</formula>
    </cfRule>
  </conditionalFormatting>
  <conditionalFormatting sqref="P297 P295 P293">
    <cfRule type="expression" dxfId="4751" priority="1280">
      <formula>P$1=""</formula>
    </cfRule>
  </conditionalFormatting>
  <conditionalFormatting sqref="P297 P295 P293">
    <cfRule type="expression" dxfId="4750" priority="1279">
      <formula>P$1=""</formula>
    </cfRule>
  </conditionalFormatting>
  <conditionalFormatting sqref="P297 P295 P293">
    <cfRule type="expression" dxfId="4749" priority="1278">
      <formula>P$1=""</formula>
    </cfRule>
  </conditionalFormatting>
  <conditionalFormatting sqref="P297 P295 P293">
    <cfRule type="expression" dxfId="4748" priority="1277">
      <formula>P$1=""</formula>
    </cfRule>
  </conditionalFormatting>
  <conditionalFormatting sqref="P297 P295 P293">
    <cfRule type="expression" dxfId="4747" priority="1276">
      <formula>P$1=""</formula>
    </cfRule>
  </conditionalFormatting>
  <conditionalFormatting sqref="Q297:AA297 Q295:AA295 Q293:AA293">
    <cfRule type="expression" dxfId="4746" priority="1275">
      <formula>Q$1=""</formula>
    </cfRule>
  </conditionalFormatting>
  <conditionalFormatting sqref="Q297:AA297 Q295:AA295 Q293:AA293">
    <cfRule type="expression" dxfId="4745" priority="1274">
      <formula>Q$1=""</formula>
    </cfRule>
  </conditionalFormatting>
  <conditionalFormatting sqref="Q297:AA297 Q295:AA295 Q293:AA293">
    <cfRule type="expression" dxfId="4744" priority="1273">
      <formula>Q$1=""</formula>
    </cfRule>
  </conditionalFormatting>
  <conditionalFormatting sqref="Q297:AA297 Q295:AA295 Q293:AA293">
    <cfRule type="expression" dxfId="4743" priority="1272">
      <formula>Q$1=""</formula>
    </cfRule>
  </conditionalFormatting>
  <conditionalFormatting sqref="Q297:AA297 Q295:AA295 Q293:AA293">
    <cfRule type="expression" dxfId="4742" priority="1271">
      <formula>Q$1=""</formula>
    </cfRule>
  </conditionalFormatting>
  <conditionalFormatting sqref="Q297:AA297 Q295:AA295 Q293:AA293">
    <cfRule type="expression" dxfId="4741" priority="1270">
      <formula>Q$1=""</formula>
    </cfRule>
  </conditionalFormatting>
  <conditionalFormatting sqref="Q297:AA297 Q295:AA295 Q293:AA293">
    <cfRule type="expression" dxfId="4740" priority="1269">
      <formula>Q$1=""</formula>
    </cfRule>
  </conditionalFormatting>
  <conditionalFormatting sqref="Q297:AA297 Q295:AA295 Q293:AA293">
    <cfRule type="expression" dxfId="4739" priority="1268">
      <formula>Q$1=""</formula>
    </cfRule>
  </conditionalFormatting>
  <conditionalFormatting sqref="Q293:AA293">
    <cfRule type="expression" dxfId="4738" priority="1267">
      <formula>Q$1=""</formula>
    </cfRule>
  </conditionalFormatting>
  <conditionalFormatting sqref="Q297:AA297 Q295:AA295 Q293:AA293">
    <cfRule type="expression" dxfId="4737" priority="1266">
      <formula>Q$1=""</formula>
    </cfRule>
  </conditionalFormatting>
  <conditionalFormatting sqref="Q297:AA297 Q295:AA295 Q293:AA293">
    <cfRule type="expression" dxfId="4736" priority="1265">
      <formula>Q$1=""</formula>
    </cfRule>
  </conditionalFormatting>
  <conditionalFormatting sqref="Q297:AA297 Q295:AA295 Q293:AA293">
    <cfRule type="expression" dxfId="4735" priority="1264">
      <formula>Q$1=""</formula>
    </cfRule>
  </conditionalFormatting>
  <conditionalFormatting sqref="Q297:AA297 Q295:AA295 Q293:AA293">
    <cfRule type="expression" dxfId="4734" priority="1263">
      <formula>Q$1=""</formula>
    </cfRule>
  </conditionalFormatting>
  <conditionalFormatting sqref="Q297:AA297 Q295:AA295 Q293:AA293">
    <cfRule type="expression" dxfId="4733" priority="1262">
      <formula>Q$1=""</formula>
    </cfRule>
  </conditionalFormatting>
  <conditionalFormatting sqref="Q293:AA293">
    <cfRule type="expression" dxfId="4732" priority="1261">
      <formula>Q$1=""</formula>
    </cfRule>
  </conditionalFormatting>
  <conditionalFormatting sqref="Q297:AA297 Q295:AA295 Q293:AA293">
    <cfRule type="expression" dxfId="4731" priority="1260">
      <formula>Q$1=""</formula>
    </cfRule>
  </conditionalFormatting>
  <conditionalFormatting sqref="Q297:AA297 Q295:AA295 Q293:AA293">
    <cfRule type="expression" dxfId="4730" priority="1259">
      <formula>Q$1=""</formula>
    </cfRule>
  </conditionalFormatting>
  <conditionalFormatting sqref="Q297:AA297 Q295:AA295 Q293:AA293">
    <cfRule type="expression" dxfId="4729" priority="1258">
      <formula>Q$1=""</formula>
    </cfRule>
  </conditionalFormatting>
  <conditionalFormatting sqref="Q297:AA297 Q295:AA295 Q293:AA293">
    <cfRule type="expression" dxfId="4728" priority="1257">
      <formula>Q$1=""</formula>
    </cfRule>
  </conditionalFormatting>
  <conditionalFormatting sqref="Q297:AA297 Q295:AA295 Q293:AA293">
    <cfRule type="expression" dxfId="4727" priority="1256">
      <formula>Q$1=""</formula>
    </cfRule>
  </conditionalFormatting>
  <conditionalFormatting sqref="Q297:AA297 Q295:AA295 Q293:AA293">
    <cfRule type="expression" dxfId="4726" priority="1255">
      <formula>Q$1=""</formula>
    </cfRule>
  </conditionalFormatting>
  <conditionalFormatting sqref="Q297:AA297 Q295:AA295 Q293:AA293">
    <cfRule type="expression" dxfId="4725" priority="1254">
      <formula>Q$1=""</formula>
    </cfRule>
  </conditionalFormatting>
  <conditionalFormatting sqref="Q297:AA297 Q295:AA295 Q293:AA293">
    <cfRule type="expression" dxfId="4724" priority="1253">
      <formula>Q$1=""</formula>
    </cfRule>
  </conditionalFormatting>
  <conditionalFormatting sqref="Q297:AA297 Q295:AA295 Q293:AA293">
    <cfRule type="expression" dxfId="4723" priority="1252">
      <formula>Q$1=""</formula>
    </cfRule>
  </conditionalFormatting>
  <conditionalFormatting sqref="Q297:AA297 Q295:AA295 Q293:AA293">
    <cfRule type="expression" dxfId="4722" priority="1251">
      <formula>Q$1=""</formula>
    </cfRule>
  </conditionalFormatting>
  <conditionalFormatting sqref="Q297:AA297 Q295:AA295 Q293:AA293">
    <cfRule type="expression" dxfId="4721" priority="1250">
      <formula>Q$1=""</formula>
    </cfRule>
  </conditionalFormatting>
  <conditionalFormatting sqref="Q297:AA297 Q295:AA295 Q293:AA293">
    <cfRule type="expression" dxfId="4720" priority="1249">
      <formula>Q$1=""</formula>
    </cfRule>
  </conditionalFormatting>
  <conditionalFormatting sqref="Q297:AA297 Q295:AA295 Q293:AA293">
    <cfRule type="expression" dxfId="4719" priority="1248">
      <formula>Q$1=""</formula>
    </cfRule>
  </conditionalFormatting>
  <conditionalFormatting sqref="Q297:AA297 Q295:AA295 Q293:AA293">
    <cfRule type="expression" dxfId="4718" priority="1247">
      <formula>Q$1=""</formula>
    </cfRule>
  </conditionalFormatting>
  <conditionalFormatting sqref="Q297:AA297 Q295:AA295 Q293:AA293">
    <cfRule type="expression" dxfId="4717" priority="1246">
      <formula>Q$1=""</formula>
    </cfRule>
  </conditionalFormatting>
  <conditionalFormatting sqref="Q297:AA297 Q295:AA295 Q293:AA293">
    <cfRule type="expression" dxfId="4716" priority="1245">
      <formula>Q$1=""</formula>
    </cfRule>
  </conditionalFormatting>
  <conditionalFormatting sqref="Q293:AA293">
    <cfRule type="expression" dxfId="4715" priority="1244">
      <formula>Q$1=""</formula>
    </cfRule>
  </conditionalFormatting>
  <conditionalFormatting sqref="Q297:AA297 Q295:AA295 Q293:AA293">
    <cfRule type="expression" dxfId="4714" priority="1243">
      <formula>Q$1=""</formula>
    </cfRule>
  </conditionalFormatting>
  <conditionalFormatting sqref="Q297:AA297 Q295:AA295 Q293:AA293">
    <cfRule type="expression" dxfId="4713" priority="1242">
      <formula>Q$1=""</formula>
    </cfRule>
  </conditionalFormatting>
  <conditionalFormatting sqref="Q297:AA297 Q295:AA295 Q293:AA293">
    <cfRule type="expression" dxfId="4712" priority="1241">
      <formula>Q$1=""</formula>
    </cfRule>
  </conditionalFormatting>
  <conditionalFormatting sqref="Q297:AA297 Q295:AA295 Q293:AA293">
    <cfRule type="expression" dxfId="4711" priority="1240">
      <formula>Q$1=""</formula>
    </cfRule>
  </conditionalFormatting>
  <conditionalFormatting sqref="Q297:AA297 Q295:AA295 Q293:AA293">
    <cfRule type="expression" dxfId="4710" priority="1239">
      <formula>Q$1=""</formula>
    </cfRule>
  </conditionalFormatting>
  <conditionalFormatting sqref="Q293:AA293">
    <cfRule type="expression" dxfId="4709" priority="1238">
      <formula>Q$1=""</formula>
    </cfRule>
  </conditionalFormatting>
  <conditionalFormatting sqref="Q297:AA297 Q295:AA295 Q293:AA293">
    <cfRule type="expression" dxfId="4708" priority="1237">
      <formula>Q$1=""</formula>
    </cfRule>
  </conditionalFormatting>
  <conditionalFormatting sqref="Q297:AA297 Q295:AA295 Q293:AA293">
    <cfRule type="expression" dxfId="4707" priority="1236">
      <formula>Q$1=""</formula>
    </cfRule>
  </conditionalFormatting>
  <conditionalFormatting sqref="Q297:AA297 Q295:AA295 Q293:AA293">
    <cfRule type="expression" dxfId="4706" priority="1235">
      <formula>Q$1=""</formula>
    </cfRule>
  </conditionalFormatting>
  <conditionalFormatting sqref="Q297:AA297 Q295:AA295 Q293:AA293">
    <cfRule type="expression" dxfId="4705" priority="1234">
      <formula>Q$1=""</formula>
    </cfRule>
  </conditionalFormatting>
  <conditionalFormatting sqref="Q297:AA297 Q295:AA295 Q293:AA293">
    <cfRule type="expression" dxfId="4704" priority="1233">
      <formula>Q$1=""</formula>
    </cfRule>
  </conditionalFormatting>
  <conditionalFormatting sqref="Q297:AA297 Q295:AA295 Q293:AA293">
    <cfRule type="expression" dxfId="4703" priority="1232">
      <formula>Q$1=""</formula>
    </cfRule>
  </conditionalFormatting>
  <conditionalFormatting sqref="Q297:AA297 Q295:AA295 Q293:AA293">
    <cfRule type="expression" dxfId="4702" priority="1231">
      <formula>Q$1=""</formula>
    </cfRule>
  </conditionalFormatting>
  <conditionalFormatting sqref="Q297:AA297 Q295:AA295 Q293:AA293">
    <cfRule type="expression" dxfId="4701" priority="1230">
      <formula>Q$1=""</formula>
    </cfRule>
  </conditionalFormatting>
  <conditionalFormatting sqref="P297 P295 P293">
    <cfRule type="expression" dxfId="4700" priority="1229">
      <formula>P$1=""</formula>
    </cfRule>
  </conditionalFormatting>
  <conditionalFormatting sqref="P297 P295 P293">
    <cfRule type="expression" dxfId="4699" priority="1228">
      <formula>P$1=""</formula>
    </cfRule>
  </conditionalFormatting>
  <conditionalFormatting sqref="P297 P295 P293">
    <cfRule type="expression" dxfId="4698" priority="1227">
      <formula>P$1=""</formula>
    </cfRule>
  </conditionalFormatting>
  <conditionalFormatting sqref="P297 P295 P293">
    <cfRule type="expression" dxfId="4697" priority="1226">
      <formula>P$1=""</formula>
    </cfRule>
  </conditionalFormatting>
  <conditionalFormatting sqref="P297 P295 P293">
    <cfRule type="expression" dxfId="4696" priority="1225">
      <formula>P$1=""</formula>
    </cfRule>
  </conditionalFormatting>
  <conditionalFormatting sqref="P297 P295 P293">
    <cfRule type="expression" dxfId="4695" priority="1224">
      <formula>P$1=""</formula>
    </cfRule>
  </conditionalFormatting>
  <conditionalFormatting sqref="P297 P295 P293">
    <cfRule type="expression" dxfId="4694" priority="1223">
      <formula>P$1=""</formula>
    </cfRule>
  </conditionalFormatting>
  <conditionalFormatting sqref="P297 P295 P293">
    <cfRule type="expression" dxfId="4693" priority="1222">
      <formula>P$1=""</formula>
    </cfRule>
  </conditionalFormatting>
  <conditionalFormatting sqref="P293">
    <cfRule type="expression" dxfId="4692" priority="1221">
      <formula>P$1=""</formula>
    </cfRule>
  </conditionalFormatting>
  <conditionalFormatting sqref="P297 P295 P293">
    <cfRule type="expression" dxfId="4691" priority="1220">
      <formula>P$1=""</formula>
    </cfRule>
  </conditionalFormatting>
  <conditionalFormatting sqref="P297 P295 P293">
    <cfRule type="expression" dxfId="4690" priority="1219">
      <formula>P$1=""</formula>
    </cfRule>
  </conditionalFormatting>
  <conditionalFormatting sqref="P297 P295 P293">
    <cfRule type="expression" dxfId="4689" priority="1218">
      <formula>P$1=""</formula>
    </cfRule>
  </conditionalFormatting>
  <conditionalFormatting sqref="P297 P295 P293">
    <cfRule type="expression" dxfId="4688" priority="1217">
      <formula>P$1=""</formula>
    </cfRule>
  </conditionalFormatting>
  <conditionalFormatting sqref="P297 P295 P293">
    <cfRule type="expression" dxfId="4687" priority="1216">
      <formula>P$1=""</formula>
    </cfRule>
  </conditionalFormatting>
  <conditionalFormatting sqref="P293">
    <cfRule type="expression" dxfId="4686" priority="1215">
      <formula>P$1=""</formula>
    </cfRule>
  </conditionalFormatting>
  <conditionalFormatting sqref="P297 P295 P293">
    <cfRule type="expression" dxfId="4685" priority="1214">
      <formula>P$1=""</formula>
    </cfRule>
  </conditionalFormatting>
  <conditionalFormatting sqref="P297 P295 P293">
    <cfRule type="expression" dxfId="4684" priority="1213">
      <formula>P$1=""</formula>
    </cfRule>
  </conditionalFormatting>
  <conditionalFormatting sqref="P297 P295 P293">
    <cfRule type="expression" dxfId="4683" priority="1212">
      <formula>P$1=""</formula>
    </cfRule>
  </conditionalFormatting>
  <conditionalFormatting sqref="P297 P295 P293">
    <cfRule type="expression" dxfId="4682" priority="1211">
      <formula>P$1=""</formula>
    </cfRule>
  </conditionalFormatting>
  <conditionalFormatting sqref="P297 P295 P293">
    <cfRule type="expression" dxfId="4681" priority="1210">
      <formula>P$1=""</formula>
    </cfRule>
  </conditionalFormatting>
  <conditionalFormatting sqref="P297 P295 P293">
    <cfRule type="expression" dxfId="4680" priority="1209">
      <formula>P$1=""</formula>
    </cfRule>
  </conditionalFormatting>
  <conditionalFormatting sqref="P297 P295 P293">
    <cfRule type="expression" dxfId="4679" priority="1208">
      <formula>P$1=""</formula>
    </cfRule>
  </conditionalFormatting>
  <conditionalFormatting sqref="P297 P295 P293">
    <cfRule type="expression" dxfId="4678" priority="1207">
      <formula>P$1=""</formula>
    </cfRule>
  </conditionalFormatting>
  <conditionalFormatting sqref="Q297:AA297 Q295:AA295 Q293:AA293">
    <cfRule type="expression" dxfId="4677" priority="1206">
      <formula>Q$1=""</formula>
    </cfRule>
  </conditionalFormatting>
  <conditionalFormatting sqref="Q297:AA297 Q295:AA295 Q293:AA293">
    <cfRule type="expression" dxfId="4676" priority="1205">
      <formula>Q$1=""</formula>
    </cfRule>
  </conditionalFormatting>
  <conditionalFormatting sqref="Q297:AA297 Q295:AA295 Q293:AA293">
    <cfRule type="expression" dxfId="4675" priority="1204">
      <formula>Q$1=""</formula>
    </cfRule>
  </conditionalFormatting>
  <conditionalFormatting sqref="Q297:AA297 Q295:AA295 Q293:AA293">
    <cfRule type="expression" dxfId="4674" priority="1203">
      <formula>Q$1=""</formula>
    </cfRule>
  </conditionalFormatting>
  <conditionalFormatting sqref="Q297:AA297 Q295:AA295 Q293:AA293">
    <cfRule type="expression" dxfId="4673" priority="1202">
      <formula>Q$1=""</formula>
    </cfRule>
  </conditionalFormatting>
  <conditionalFormatting sqref="Q297:AA297 Q295:AA295 Q293:AA293">
    <cfRule type="expression" dxfId="4672" priority="1201">
      <formula>Q$1=""</formula>
    </cfRule>
  </conditionalFormatting>
  <conditionalFormatting sqref="Q297:AA297 Q295:AA295 Q293:AA293">
    <cfRule type="expression" dxfId="4671" priority="1200">
      <formula>Q$1=""</formula>
    </cfRule>
  </conditionalFormatting>
  <conditionalFormatting sqref="Q297:AA297 Q295:AA295 Q293:AA293">
    <cfRule type="expression" dxfId="4670" priority="1199">
      <formula>Q$1=""</formula>
    </cfRule>
  </conditionalFormatting>
  <conditionalFormatting sqref="Q293:AA293">
    <cfRule type="expression" dxfId="4669" priority="1198">
      <formula>Q$1=""</formula>
    </cfRule>
  </conditionalFormatting>
  <conditionalFormatting sqref="Q297:AA297 Q295:AA295 Q293:AA293">
    <cfRule type="expression" dxfId="4668" priority="1197">
      <formula>Q$1=""</formula>
    </cfRule>
  </conditionalFormatting>
  <conditionalFormatting sqref="Q297:AA297 Q295:AA295 Q293:AA293">
    <cfRule type="expression" dxfId="4667" priority="1196">
      <formula>Q$1=""</formula>
    </cfRule>
  </conditionalFormatting>
  <conditionalFormatting sqref="Q297:AA297 Q295:AA295 Q293:AA293">
    <cfRule type="expression" dxfId="4666" priority="1195">
      <formula>Q$1=""</formula>
    </cfRule>
  </conditionalFormatting>
  <conditionalFormatting sqref="Q297:AA297 Q295:AA295 Q293:AA293">
    <cfRule type="expression" dxfId="4665" priority="1194">
      <formula>Q$1=""</formula>
    </cfRule>
  </conditionalFormatting>
  <conditionalFormatting sqref="Q297:AA297 Q295:AA295 Q293:AA293">
    <cfRule type="expression" dxfId="4664" priority="1193">
      <formula>Q$1=""</formula>
    </cfRule>
  </conditionalFormatting>
  <conditionalFormatting sqref="Q293:AA293">
    <cfRule type="expression" dxfId="4663" priority="1192">
      <formula>Q$1=""</formula>
    </cfRule>
  </conditionalFormatting>
  <conditionalFormatting sqref="Q297:AA297 Q295:AA295 Q293:AA293">
    <cfRule type="expression" dxfId="4662" priority="1191">
      <formula>Q$1=""</formula>
    </cfRule>
  </conditionalFormatting>
  <conditionalFormatting sqref="Q297:AA297 Q295:AA295 Q293:AA293">
    <cfRule type="expression" dxfId="4661" priority="1190">
      <formula>Q$1=""</formula>
    </cfRule>
  </conditionalFormatting>
  <conditionalFormatting sqref="Q297:AA297 Q295:AA295 Q293:AA293">
    <cfRule type="expression" dxfId="4660" priority="1189">
      <formula>Q$1=""</formula>
    </cfRule>
  </conditionalFormatting>
  <conditionalFormatting sqref="Q297:AA297 Q295:AA295 Q293:AA293">
    <cfRule type="expression" dxfId="4659" priority="1188">
      <formula>Q$1=""</formula>
    </cfRule>
  </conditionalFormatting>
  <conditionalFormatting sqref="Q297:AA297 Q295:AA295 Q293:AA293">
    <cfRule type="expression" dxfId="4658" priority="1187">
      <formula>Q$1=""</formula>
    </cfRule>
  </conditionalFormatting>
  <conditionalFormatting sqref="Q297:AA297 Q295:AA295 Q293:AA293">
    <cfRule type="expression" dxfId="4657" priority="1186">
      <formula>Q$1=""</formula>
    </cfRule>
  </conditionalFormatting>
  <conditionalFormatting sqref="Q297:AA297 Q295:AA295 Q293:AA293">
    <cfRule type="expression" dxfId="4656" priority="1185">
      <formula>Q$1=""</formula>
    </cfRule>
  </conditionalFormatting>
  <conditionalFormatting sqref="Q297:AA297 Q295:AA295 Q293:AA293">
    <cfRule type="expression" dxfId="4655" priority="1184">
      <formula>Q$1=""</formula>
    </cfRule>
  </conditionalFormatting>
  <conditionalFormatting sqref="Q297:AA297 Q295:AA295 Q293:AA293">
    <cfRule type="expression" dxfId="4654" priority="1183">
      <formula>Q$1=""</formula>
    </cfRule>
  </conditionalFormatting>
  <conditionalFormatting sqref="Q297:AA297 Q295:AA295 Q293:AA293">
    <cfRule type="expression" dxfId="4653" priority="1182">
      <formula>Q$1=""</formula>
    </cfRule>
  </conditionalFormatting>
  <conditionalFormatting sqref="Q297:AA297 Q295:AA295 Q293:AA293">
    <cfRule type="expression" dxfId="4652" priority="1181">
      <formula>Q$1=""</formula>
    </cfRule>
  </conditionalFormatting>
  <conditionalFormatting sqref="Q297:AA297 Q295:AA295 Q293:AA293">
    <cfRule type="expression" dxfId="4651" priority="1180">
      <formula>Q$1=""</formula>
    </cfRule>
  </conditionalFormatting>
  <conditionalFormatting sqref="Q297:AA297 Q295:AA295 Q293:AA293">
    <cfRule type="expression" dxfId="4650" priority="1179">
      <formula>Q$1=""</formula>
    </cfRule>
  </conditionalFormatting>
  <conditionalFormatting sqref="Q297:AA297 Q295:AA295 Q293:AA293">
    <cfRule type="expression" dxfId="4649" priority="1178">
      <formula>Q$1=""</formula>
    </cfRule>
  </conditionalFormatting>
  <conditionalFormatting sqref="Q297:AA297 Q295:AA295 Q293:AA293">
    <cfRule type="expression" dxfId="4648" priority="1177">
      <formula>Q$1=""</formula>
    </cfRule>
  </conditionalFormatting>
  <conditionalFormatting sqref="Q297:AA297 Q295:AA295 Q293:AA293">
    <cfRule type="expression" dxfId="4647" priority="1176">
      <formula>Q$1=""</formula>
    </cfRule>
  </conditionalFormatting>
  <conditionalFormatting sqref="Q293:AA293">
    <cfRule type="expression" dxfId="4646" priority="1175">
      <formula>Q$1=""</formula>
    </cfRule>
  </conditionalFormatting>
  <conditionalFormatting sqref="Q297:AA297 Q295:AA295 Q293:AA293">
    <cfRule type="expression" dxfId="4645" priority="1174">
      <formula>Q$1=""</formula>
    </cfRule>
  </conditionalFormatting>
  <conditionalFormatting sqref="Q297:AA297 Q295:AA295 Q293:AA293">
    <cfRule type="expression" dxfId="4644" priority="1173">
      <formula>Q$1=""</formula>
    </cfRule>
  </conditionalFormatting>
  <conditionalFormatting sqref="Q297:AA297 Q295:AA295 Q293:AA293">
    <cfRule type="expression" dxfId="4643" priority="1172">
      <formula>Q$1=""</formula>
    </cfRule>
  </conditionalFormatting>
  <conditionalFormatting sqref="Q297:AA297 Q295:AA295 Q293:AA293">
    <cfRule type="expression" dxfId="4642" priority="1171">
      <formula>Q$1=""</formula>
    </cfRule>
  </conditionalFormatting>
  <conditionalFormatting sqref="Q297:AA297 Q295:AA295 Q293:AA293">
    <cfRule type="expression" dxfId="4641" priority="1170">
      <formula>Q$1=""</formula>
    </cfRule>
  </conditionalFormatting>
  <conditionalFormatting sqref="Q293:AA293">
    <cfRule type="expression" dxfId="4640" priority="1169">
      <formula>Q$1=""</formula>
    </cfRule>
  </conditionalFormatting>
  <conditionalFormatting sqref="Q297:AA297 Q295:AA295 Q293:AA293">
    <cfRule type="expression" dxfId="4639" priority="1168">
      <formula>Q$1=""</formula>
    </cfRule>
  </conditionalFormatting>
  <conditionalFormatting sqref="Q297:AA297 Q295:AA295 Q293:AA293">
    <cfRule type="expression" dxfId="4638" priority="1167">
      <formula>Q$1=""</formula>
    </cfRule>
  </conditionalFormatting>
  <conditionalFormatting sqref="Q297:AA297 Q295:AA295 Q293:AA293">
    <cfRule type="expression" dxfId="4637" priority="1166">
      <formula>Q$1=""</formula>
    </cfRule>
  </conditionalFormatting>
  <conditionalFormatting sqref="Q297:AA297 Q295:AA295 Q293:AA293">
    <cfRule type="expression" dxfId="4636" priority="1165">
      <formula>Q$1=""</formula>
    </cfRule>
  </conditionalFormatting>
  <conditionalFormatting sqref="Q297:AA297 Q295:AA295 Q293:AA293">
    <cfRule type="expression" dxfId="4635" priority="1164">
      <formula>Q$1=""</formula>
    </cfRule>
  </conditionalFormatting>
  <conditionalFormatting sqref="Q297:AA297 Q295:AA295 Q293:AA293">
    <cfRule type="expression" dxfId="4634" priority="1163">
      <formula>Q$1=""</formula>
    </cfRule>
  </conditionalFormatting>
  <conditionalFormatting sqref="Q297:AA297 Q295:AA295 Q293:AA293">
    <cfRule type="expression" dxfId="4633" priority="1162">
      <formula>Q$1=""</formula>
    </cfRule>
  </conditionalFormatting>
  <conditionalFormatting sqref="Q297:AA297 Q295:AA295 Q293:AA293">
    <cfRule type="expression" dxfId="4632" priority="1161">
      <formula>Q$1=""</formula>
    </cfRule>
  </conditionalFormatting>
  <conditionalFormatting sqref="P301:AA301">
    <cfRule type="expression" dxfId="4631" priority="1160">
      <formula>P$1=""</formula>
    </cfRule>
  </conditionalFormatting>
  <conditionalFormatting sqref="P303:AA303">
    <cfRule type="expression" dxfId="4630" priority="1159">
      <formula>P$1=""</formula>
    </cfRule>
  </conditionalFormatting>
  <conditionalFormatting sqref="P305:AA305">
    <cfRule type="expression" dxfId="4629" priority="1158">
      <formula>P$1=""</formula>
    </cfRule>
  </conditionalFormatting>
  <conditionalFormatting sqref="P307:AA307">
    <cfRule type="expression" dxfId="4628" priority="1157">
      <formula>P$1=""</formula>
    </cfRule>
  </conditionalFormatting>
  <conditionalFormatting sqref="P303:AA303 P305:AA305 P307:AA307">
    <cfRule type="expression" dxfId="4627" priority="1156">
      <formula>P$1=""</formula>
    </cfRule>
  </conditionalFormatting>
  <conditionalFormatting sqref="P303:AA303 P305:AA305 P307:AA307">
    <cfRule type="expression" dxfId="4626" priority="1155">
      <formula>P$1=""</formula>
    </cfRule>
  </conditionalFormatting>
  <conditionalFormatting sqref="P303:AA303 P305:AA305 P307:AA307">
    <cfRule type="expression" dxfId="4625" priority="1154">
      <formula>P$1=""</formula>
    </cfRule>
  </conditionalFormatting>
  <conditionalFormatting sqref="P303:AA303 P305:AA305 P307:AA307">
    <cfRule type="expression" dxfId="4624" priority="1153">
      <formula>P$1=""</formula>
    </cfRule>
  </conditionalFormatting>
  <conditionalFormatting sqref="P303:AA303 P305:AA305 P307:AA307">
    <cfRule type="expression" dxfId="4623" priority="1152">
      <formula>P$1=""</formula>
    </cfRule>
  </conditionalFormatting>
  <conditionalFormatting sqref="P305:AA305 P307:AA307">
    <cfRule type="expression" dxfId="4622" priority="1151">
      <formula>P$1=""</formula>
    </cfRule>
  </conditionalFormatting>
  <conditionalFormatting sqref="P303:AA303">
    <cfRule type="expression" dxfId="4621" priority="1150">
      <formula>P$1=""</formula>
    </cfRule>
  </conditionalFormatting>
  <conditionalFormatting sqref="P305:AA305 P307:AA307">
    <cfRule type="expression" dxfId="4620" priority="1149">
      <formula>P$1=""</formula>
    </cfRule>
  </conditionalFormatting>
  <conditionalFormatting sqref="P305:AA305 P307:AA307">
    <cfRule type="expression" dxfId="4619" priority="1148">
      <formula>P$1=""</formula>
    </cfRule>
  </conditionalFormatting>
  <conditionalFormatting sqref="P307:AA307">
    <cfRule type="expression" dxfId="4618" priority="1147">
      <formula>P$1=""</formula>
    </cfRule>
  </conditionalFormatting>
  <conditionalFormatting sqref="P307:AA307">
    <cfRule type="expression" dxfId="4617" priority="1146">
      <formula>P$1=""</formula>
    </cfRule>
  </conditionalFormatting>
  <conditionalFormatting sqref="P307:AA307">
    <cfRule type="expression" dxfId="4616" priority="1145">
      <formula>P$1=""</formula>
    </cfRule>
  </conditionalFormatting>
  <conditionalFormatting sqref="P307:AA307">
    <cfRule type="expression" dxfId="4615" priority="1144">
      <formula>P$1=""</formula>
    </cfRule>
  </conditionalFormatting>
  <conditionalFormatting sqref="P301:AA301">
    <cfRule type="expression" dxfId="4614" priority="1143">
      <formula>P$1=""</formula>
    </cfRule>
  </conditionalFormatting>
  <conditionalFormatting sqref="P301:AA301">
    <cfRule type="expression" dxfId="4613" priority="1142">
      <formula>P$1=""</formula>
    </cfRule>
  </conditionalFormatting>
  <conditionalFormatting sqref="P301:AA301">
    <cfRule type="expression" dxfId="4612" priority="1141">
      <formula>P$1=""</formula>
    </cfRule>
  </conditionalFormatting>
  <conditionalFormatting sqref="P301:AA301">
    <cfRule type="expression" dxfId="4611" priority="1140">
      <formula>P$1=""</formula>
    </cfRule>
  </conditionalFormatting>
  <conditionalFormatting sqref="P301:AA301">
    <cfRule type="expression" dxfId="4610" priority="1139">
      <formula>P$1=""</formula>
    </cfRule>
  </conditionalFormatting>
  <conditionalFormatting sqref="P301:AA301">
    <cfRule type="expression" dxfId="4609" priority="1138">
      <formula>P$1=""</formula>
    </cfRule>
  </conditionalFormatting>
  <conditionalFormatting sqref="P301:AA301">
    <cfRule type="expression" dxfId="4608" priority="1137">
      <formula>P$1=""</formula>
    </cfRule>
  </conditionalFormatting>
  <conditionalFormatting sqref="P305:AA305 P307:AA307">
    <cfRule type="expression" dxfId="4607" priority="1136">
      <formula>P$1=""</formula>
    </cfRule>
  </conditionalFormatting>
  <conditionalFormatting sqref="P305:AA305 P307:AA307">
    <cfRule type="expression" dxfId="4606" priority="1135">
      <formula>P$1=""</formula>
    </cfRule>
  </conditionalFormatting>
  <conditionalFormatting sqref="P305:AA305 P307:AA307">
    <cfRule type="expression" dxfId="4605" priority="1134">
      <formula>P$1=""</formula>
    </cfRule>
  </conditionalFormatting>
  <conditionalFormatting sqref="P305:AA305 P307:AA307">
    <cfRule type="expression" dxfId="4604" priority="1133">
      <formula>P$1=""</formula>
    </cfRule>
  </conditionalFormatting>
  <conditionalFormatting sqref="P303:AA303 P305 P307">
    <cfRule type="expression" dxfId="4603" priority="1132">
      <formula>P$1=""</formula>
    </cfRule>
  </conditionalFormatting>
  <conditionalFormatting sqref="P303:AA303 P305 P307">
    <cfRule type="expression" dxfId="4602" priority="1131">
      <formula>P$1=""</formula>
    </cfRule>
  </conditionalFormatting>
  <conditionalFormatting sqref="P303:AA303 P305 P307">
    <cfRule type="expression" dxfId="4601" priority="1130">
      <formula>P$1=""</formula>
    </cfRule>
  </conditionalFormatting>
  <conditionalFormatting sqref="P303:AA303 P305 P307">
    <cfRule type="expression" dxfId="4600" priority="1129">
      <formula>P$1=""</formula>
    </cfRule>
  </conditionalFormatting>
  <conditionalFormatting sqref="P303:AA303 P305 P307">
    <cfRule type="expression" dxfId="4599" priority="1128">
      <formula>P$1=""</formula>
    </cfRule>
  </conditionalFormatting>
  <conditionalFormatting sqref="P303:AA303 P305 P307">
    <cfRule type="expression" dxfId="4598" priority="1127">
      <formula>P$1=""</formula>
    </cfRule>
  </conditionalFormatting>
  <conditionalFormatting sqref="P303:AA303 P305 P307">
    <cfRule type="expression" dxfId="4597" priority="1126">
      <formula>P$1=""</formula>
    </cfRule>
  </conditionalFormatting>
  <conditionalFormatting sqref="P303:AA303 P305 P307">
    <cfRule type="expression" dxfId="4596" priority="1125">
      <formula>P$1=""</formula>
    </cfRule>
  </conditionalFormatting>
  <conditionalFormatting sqref="Q303:AA303">
    <cfRule type="expression" dxfId="4595" priority="1124">
      <formula>Q$1=""</formula>
    </cfRule>
  </conditionalFormatting>
  <conditionalFormatting sqref="Q303:AA303">
    <cfRule type="expression" dxfId="4594" priority="1123">
      <formula>Q$1=""</formula>
    </cfRule>
  </conditionalFormatting>
  <conditionalFormatting sqref="Q303:AA303">
    <cfRule type="expression" dxfId="4593" priority="1122">
      <formula>Q$1=""</formula>
    </cfRule>
  </conditionalFormatting>
  <conditionalFormatting sqref="Q303:AA303">
    <cfRule type="expression" dxfId="4592" priority="1121">
      <formula>Q$1=""</formula>
    </cfRule>
  </conditionalFormatting>
  <conditionalFormatting sqref="Q303:AA303">
    <cfRule type="expression" dxfId="4591" priority="1120">
      <formula>Q$1=""</formula>
    </cfRule>
  </conditionalFormatting>
  <conditionalFormatting sqref="Q303:AA303">
    <cfRule type="expression" dxfId="4590" priority="1119">
      <formula>Q$1=""</formula>
    </cfRule>
  </conditionalFormatting>
  <conditionalFormatting sqref="Q303:AA303">
    <cfRule type="expression" dxfId="4589" priority="1118">
      <formula>Q$1=""</formula>
    </cfRule>
  </conditionalFormatting>
  <conditionalFormatting sqref="Q303:AA303">
    <cfRule type="expression" dxfId="4588" priority="1117">
      <formula>Q$1=""</formula>
    </cfRule>
  </conditionalFormatting>
  <conditionalFormatting sqref="Q305:AA305 Q307:AA307">
    <cfRule type="expression" dxfId="4587" priority="1116">
      <formula>Q$1=""</formula>
    </cfRule>
  </conditionalFormatting>
  <conditionalFormatting sqref="Q305:AA305 Q307:AA307">
    <cfRule type="expression" dxfId="4586" priority="1115">
      <formula>Q$1=""</formula>
    </cfRule>
  </conditionalFormatting>
  <conditionalFormatting sqref="Q305:AA305 Q307:AA307">
    <cfRule type="expression" dxfId="4585" priority="1114">
      <formula>Q$1=""</formula>
    </cfRule>
  </conditionalFormatting>
  <conditionalFormatting sqref="Q305:AA305 Q307:AA307">
    <cfRule type="expression" dxfId="4584" priority="1113">
      <formula>Q$1=""</formula>
    </cfRule>
  </conditionalFormatting>
  <conditionalFormatting sqref="Q305:AA305 Q307:AA307">
    <cfRule type="expression" dxfId="4583" priority="1112">
      <formula>Q$1=""</formula>
    </cfRule>
  </conditionalFormatting>
  <conditionalFormatting sqref="Q305:AA305 Q307:AA307">
    <cfRule type="expression" dxfId="4582" priority="1111">
      <formula>Q$1=""</formula>
    </cfRule>
  </conditionalFormatting>
  <conditionalFormatting sqref="Q305:AA305 Q307:AA307">
    <cfRule type="expression" dxfId="4581" priority="1110">
      <formula>Q$1=""</formula>
    </cfRule>
  </conditionalFormatting>
  <conditionalFormatting sqref="Q305:AA305 Q307:AA307">
    <cfRule type="expression" dxfId="4580" priority="1109">
      <formula>Q$1=""</formula>
    </cfRule>
  </conditionalFormatting>
  <conditionalFormatting sqref="Q305:AA305 Q307:AA307">
    <cfRule type="expression" dxfId="4579" priority="1108">
      <formula>Q$1=""</formula>
    </cfRule>
  </conditionalFormatting>
  <conditionalFormatting sqref="Q305:AA305 Q307:AA307">
    <cfRule type="expression" dxfId="4578" priority="1107">
      <formula>Q$1=""</formula>
    </cfRule>
  </conditionalFormatting>
  <conditionalFormatting sqref="P301:AA301">
    <cfRule type="expression" dxfId="4577" priority="1106">
      <formula>P$1=""</formula>
    </cfRule>
  </conditionalFormatting>
  <conditionalFormatting sqref="P301:AA301">
    <cfRule type="expression" dxfId="4576" priority="1105">
      <formula>P$1=""</formula>
    </cfRule>
  </conditionalFormatting>
  <conditionalFormatting sqref="P301:AA301">
    <cfRule type="expression" dxfId="4575" priority="1104">
      <formula>P$1=""</formula>
    </cfRule>
  </conditionalFormatting>
  <conditionalFormatting sqref="P301:AA301">
    <cfRule type="expression" dxfId="4574" priority="1103">
      <formula>P$1=""</formula>
    </cfRule>
  </conditionalFormatting>
  <conditionalFormatting sqref="P301:AA301">
    <cfRule type="expression" dxfId="4573" priority="1102">
      <formula>P$1=""</formula>
    </cfRule>
  </conditionalFormatting>
  <conditionalFormatting sqref="P301:AA301">
    <cfRule type="expression" dxfId="4572" priority="1101">
      <formula>P$1=""</formula>
    </cfRule>
  </conditionalFormatting>
  <conditionalFormatting sqref="P301:AA301">
    <cfRule type="expression" dxfId="4571" priority="1100">
      <formula>P$1=""</formula>
    </cfRule>
  </conditionalFormatting>
  <conditionalFormatting sqref="P301:AA301">
    <cfRule type="expression" dxfId="4570" priority="1099">
      <formula>P$1=""</formula>
    </cfRule>
  </conditionalFormatting>
  <conditionalFormatting sqref="P303:AA303">
    <cfRule type="expression" dxfId="4569" priority="1098">
      <formula>P$1=""</formula>
    </cfRule>
  </conditionalFormatting>
  <conditionalFormatting sqref="P303:AA303">
    <cfRule type="expression" dxfId="4568" priority="1097">
      <formula>P$1=""</formula>
    </cfRule>
  </conditionalFormatting>
  <conditionalFormatting sqref="P303:AA303">
    <cfRule type="expression" dxfId="4567" priority="1096">
      <formula>P$1=""</formula>
    </cfRule>
  </conditionalFormatting>
  <conditionalFormatting sqref="P303:AA303">
    <cfRule type="expression" dxfId="4566" priority="1095">
      <formula>P$1=""</formula>
    </cfRule>
  </conditionalFormatting>
  <conditionalFormatting sqref="P303:AA303">
    <cfRule type="expression" dxfId="4565" priority="1094">
      <formula>P$1=""</formula>
    </cfRule>
  </conditionalFormatting>
  <conditionalFormatting sqref="P303:AA303">
    <cfRule type="expression" dxfId="4564" priority="1093">
      <formula>P$1=""</formula>
    </cfRule>
  </conditionalFormatting>
  <conditionalFormatting sqref="P303:AA303">
    <cfRule type="expression" dxfId="4563" priority="1092">
      <formula>P$1=""</formula>
    </cfRule>
  </conditionalFormatting>
  <conditionalFormatting sqref="P303:AA303">
    <cfRule type="expression" dxfId="4562" priority="1091">
      <formula>P$1=""</formula>
    </cfRule>
  </conditionalFormatting>
  <conditionalFormatting sqref="P303:AA303">
    <cfRule type="expression" dxfId="4561" priority="1090">
      <formula>P$1=""</formula>
    </cfRule>
  </conditionalFormatting>
  <conditionalFormatting sqref="P303:AA303">
    <cfRule type="expression" dxfId="4560" priority="1089">
      <formula>P$1=""</formula>
    </cfRule>
  </conditionalFormatting>
  <conditionalFormatting sqref="P303:AA303">
    <cfRule type="expression" dxfId="4559" priority="1088">
      <formula>P$1=""</formula>
    </cfRule>
  </conditionalFormatting>
  <conditionalFormatting sqref="P303:AA303">
    <cfRule type="expression" dxfId="4558" priority="1087">
      <formula>P$1=""</formula>
    </cfRule>
  </conditionalFormatting>
  <conditionalFormatting sqref="P303:AA303">
    <cfRule type="expression" dxfId="4557" priority="1086">
      <formula>P$1=""</formula>
    </cfRule>
  </conditionalFormatting>
  <conditionalFormatting sqref="P303:AA303">
    <cfRule type="expression" dxfId="4556" priority="1085">
      <formula>P$1=""</formula>
    </cfRule>
  </conditionalFormatting>
  <conditionalFormatting sqref="P303:AA303">
    <cfRule type="expression" dxfId="4555" priority="1084">
      <formula>P$1=""</formula>
    </cfRule>
  </conditionalFormatting>
  <conditionalFormatting sqref="P303:AA303">
    <cfRule type="expression" dxfId="4554" priority="1083">
      <formula>P$1=""</formula>
    </cfRule>
  </conditionalFormatting>
  <conditionalFormatting sqref="P307 P305">
    <cfRule type="expression" dxfId="4553" priority="1082">
      <formula>P$1=""</formula>
    </cfRule>
  </conditionalFormatting>
  <conditionalFormatting sqref="P307 P305">
    <cfRule type="expression" dxfId="4552" priority="1081">
      <formula>P$1=""</formula>
    </cfRule>
  </conditionalFormatting>
  <conditionalFormatting sqref="P307 P305">
    <cfRule type="expression" dxfId="4551" priority="1080">
      <formula>P$1=""</formula>
    </cfRule>
  </conditionalFormatting>
  <conditionalFormatting sqref="P307 P305">
    <cfRule type="expression" dxfId="4550" priority="1079">
      <formula>P$1=""</formula>
    </cfRule>
  </conditionalFormatting>
  <conditionalFormatting sqref="P307 P305">
    <cfRule type="expression" dxfId="4549" priority="1078">
      <formula>P$1=""</formula>
    </cfRule>
  </conditionalFormatting>
  <conditionalFormatting sqref="P307 P305">
    <cfRule type="expression" dxfId="4548" priority="1077">
      <formula>P$1=""</formula>
    </cfRule>
  </conditionalFormatting>
  <conditionalFormatting sqref="P307 P305">
    <cfRule type="expression" dxfId="4547" priority="1076">
      <formula>P$1=""</formula>
    </cfRule>
  </conditionalFormatting>
  <conditionalFormatting sqref="P307 P305">
    <cfRule type="expression" dxfId="4546" priority="1075">
      <formula>P$1=""</formula>
    </cfRule>
  </conditionalFormatting>
  <conditionalFormatting sqref="P307 P305">
    <cfRule type="expression" dxfId="4545" priority="1074">
      <formula>P$1=""</formula>
    </cfRule>
  </conditionalFormatting>
  <conditionalFormatting sqref="P307 P305">
    <cfRule type="expression" dxfId="4544" priority="1073">
      <formula>P$1=""</formula>
    </cfRule>
  </conditionalFormatting>
  <conditionalFormatting sqref="P307 P305">
    <cfRule type="expression" dxfId="4543" priority="1072">
      <formula>P$1=""</formula>
    </cfRule>
  </conditionalFormatting>
  <conditionalFormatting sqref="P307 P305">
    <cfRule type="expression" dxfId="4542" priority="1071">
      <formula>P$1=""</formula>
    </cfRule>
  </conditionalFormatting>
  <conditionalFormatting sqref="P307 P305">
    <cfRule type="expression" dxfId="4541" priority="1070">
      <formula>P$1=""</formula>
    </cfRule>
  </conditionalFormatting>
  <conditionalFormatting sqref="P307 P305">
    <cfRule type="expression" dxfId="4540" priority="1069">
      <formula>P$1=""</formula>
    </cfRule>
  </conditionalFormatting>
  <conditionalFormatting sqref="P307 P305">
    <cfRule type="expression" dxfId="4539" priority="1068">
      <formula>P$1=""</formula>
    </cfRule>
  </conditionalFormatting>
  <conditionalFormatting sqref="P307 P305">
    <cfRule type="expression" dxfId="4538" priority="1067">
      <formula>P$1=""</formula>
    </cfRule>
  </conditionalFormatting>
  <conditionalFormatting sqref="P307 P305">
    <cfRule type="expression" dxfId="4537" priority="1066">
      <formula>P$1=""</formula>
    </cfRule>
  </conditionalFormatting>
  <conditionalFormatting sqref="P307 P305">
    <cfRule type="expression" dxfId="4536" priority="1065">
      <formula>P$1=""</formula>
    </cfRule>
  </conditionalFormatting>
  <conditionalFormatting sqref="Q307:AA307 Q305:AA305">
    <cfRule type="expression" dxfId="4535" priority="1064">
      <formula>Q$1=""</formula>
    </cfRule>
  </conditionalFormatting>
  <conditionalFormatting sqref="Q307:AA307 Q305:AA305">
    <cfRule type="expression" dxfId="4534" priority="1063">
      <formula>Q$1=""</formula>
    </cfRule>
  </conditionalFormatting>
  <conditionalFormatting sqref="Q307:AA307 Q305:AA305">
    <cfRule type="expression" dxfId="4533" priority="1062">
      <formula>Q$1=""</formula>
    </cfRule>
  </conditionalFormatting>
  <conditionalFormatting sqref="Q307:AA307 Q305:AA305">
    <cfRule type="expression" dxfId="4532" priority="1061">
      <formula>Q$1=""</formula>
    </cfRule>
  </conditionalFormatting>
  <conditionalFormatting sqref="Q307:AA307 Q305:AA305">
    <cfRule type="expression" dxfId="4531" priority="1060">
      <formula>Q$1=""</formula>
    </cfRule>
  </conditionalFormatting>
  <conditionalFormatting sqref="Q307:AA307 Q305:AA305">
    <cfRule type="expression" dxfId="4530" priority="1059">
      <formula>Q$1=""</formula>
    </cfRule>
  </conditionalFormatting>
  <conditionalFormatting sqref="Q307:AA307 Q305:AA305">
    <cfRule type="expression" dxfId="4529" priority="1058">
      <formula>Q$1=""</formula>
    </cfRule>
  </conditionalFormatting>
  <conditionalFormatting sqref="Q307:AA307 Q305:AA305">
    <cfRule type="expression" dxfId="4528" priority="1057">
      <formula>Q$1=""</formula>
    </cfRule>
  </conditionalFormatting>
  <conditionalFormatting sqref="Q307:AA307 Q305:AA305">
    <cfRule type="expression" dxfId="4527" priority="1056">
      <formula>Q$1=""</formula>
    </cfRule>
  </conditionalFormatting>
  <conditionalFormatting sqref="Q307:AA307 Q305:AA305">
    <cfRule type="expression" dxfId="4526" priority="1055">
      <formula>Q$1=""</formula>
    </cfRule>
  </conditionalFormatting>
  <conditionalFormatting sqref="Q307:AA307 Q305:AA305">
    <cfRule type="expression" dxfId="4525" priority="1054">
      <formula>Q$1=""</formula>
    </cfRule>
  </conditionalFormatting>
  <conditionalFormatting sqref="Q307:AA307 Q305:AA305">
    <cfRule type="expression" dxfId="4524" priority="1053">
      <formula>Q$1=""</formula>
    </cfRule>
  </conditionalFormatting>
  <conditionalFormatting sqref="Q307:AA307 Q305:AA305">
    <cfRule type="expression" dxfId="4523" priority="1052">
      <formula>Q$1=""</formula>
    </cfRule>
  </conditionalFormatting>
  <conditionalFormatting sqref="Q307:AA307 Q305:AA305">
    <cfRule type="expression" dxfId="4522" priority="1051">
      <formula>Q$1=""</formula>
    </cfRule>
  </conditionalFormatting>
  <conditionalFormatting sqref="Q307:AA307 Q305:AA305">
    <cfRule type="expression" dxfId="4521" priority="1050">
      <formula>Q$1=""</formula>
    </cfRule>
  </conditionalFormatting>
  <conditionalFormatting sqref="Q307:AA307 Q305:AA305">
    <cfRule type="expression" dxfId="4520" priority="1049">
      <formula>Q$1=""</formula>
    </cfRule>
  </conditionalFormatting>
  <conditionalFormatting sqref="Q307:AA307 Q305:AA305">
    <cfRule type="expression" dxfId="4519" priority="1048">
      <formula>Q$1=""</formula>
    </cfRule>
  </conditionalFormatting>
  <conditionalFormatting sqref="Q307:AA307 Q305:AA305">
    <cfRule type="expression" dxfId="4518" priority="1047">
      <formula>Q$1=""</formula>
    </cfRule>
  </conditionalFormatting>
  <conditionalFormatting sqref="Q307:AA307 Q305:AA305">
    <cfRule type="expression" dxfId="4517" priority="1046">
      <formula>Q$1=""</formula>
    </cfRule>
  </conditionalFormatting>
  <conditionalFormatting sqref="Q307:AA307 Q305:AA305">
    <cfRule type="expression" dxfId="4516" priority="1045">
      <formula>Q$1=""</formula>
    </cfRule>
  </conditionalFormatting>
  <conditionalFormatting sqref="Q307:AA307 Q305:AA305">
    <cfRule type="expression" dxfId="4515" priority="1044">
      <formula>Q$1=""</formula>
    </cfRule>
  </conditionalFormatting>
  <conditionalFormatting sqref="Q307:AA307 Q305:AA305">
    <cfRule type="expression" dxfId="4514" priority="1043">
      <formula>Q$1=""</formula>
    </cfRule>
  </conditionalFormatting>
  <conditionalFormatting sqref="Q307:AA307 Q305:AA305">
    <cfRule type="expression" dxfId="4513" priority="1042">
      <formula>Q$1=""</formula>
    </cfRule>
  </conditionalFormatting>
  <conditionalFormatting sqref="Q307:AA307 Q305:AA305">
    <cfRule type="expression" dxfId="4512" priority="1041">
      <formula>Q$1=""</formula>
    </cfRule>
  </conditionalFormatting>
  <conditionalFormatting sqref="Q307:AA307 Q305:AA305">
    <cfRule type="expression" dxfId="4511" priority="1040">
      <formula>Q$1=""</formula>
    </cfRule>
  </conditionalFormatting>
  <conditionalFormatting sqref="Q307:AA307 Q305:AA305">
    <cfRule type="expression" dxfId="4510" priority="1039">
      <formula>Q$1=""</formula>
    </cfRule>
  </conditionalFormatting>
  <conditionalFormatting sqref="Q307:AA307 Q305:AA305">
    <cfRule type="expression" dxfId="4509" priority="1038">
      <formula>Q$1=""</formula>
    </cfRule>
  </conditionalFormatting>
  <conditionalFormatting sqref="Q307:AA307 Q305:AA305">
    <cfRule type="expression" dxfId="4508" priority="1037">
      <formula>Q$1=""</formula>
    </cfRule>
  </conditionalFormatting>
  <conditionalFormatting sqref="Q307:AA307 Q305:AA305">
    <cfRule type="expression" dxfId="4507" priority="1036">
      <formula>Q$1=""</formula>
    </cfRule>
  </conditionalFormatting>
  <conditionalFormatting sqref="Q307:AA307 Q305:AA305">
    <cfRule type="expression" dxfId="4506" priority="1035">
      <formula>Q$1=""</formula>
    </cfRule>
  </conditionalFormatting>
  <conditionalFormatting sqref="Q307:AA307 Q305:AA305">
    <cfRule type="expression" dxfId="4505" priority="1034">
      <formula>Q$1=""</formula>
    </cfRule>
  </conditionalFormatting>
  <conditionalFormatting sqref="Q307:AA307 Q305:AA305">
    <cfRule type="expression" dxfId="4504" priority="1033">
      <formula>Q$1=""</formula>
    </cfRule>
  </conditionalFormatting>
  <conditionalFormatting sqref="Q307:AA307 Q305:AA305">
    <cfRule type="expression" dxfId="4503" priority="1032">
      <formula>Q$1=""</formula>
    </cfRule>
  </conditionalFormatting>
  <conditionalFormatting sqref="Q307:AA307 Q305:AA305">
    <cfRule type="expression" dxfId="4502" priority="1031">
      <formula>Q$1=""</formula>
    </cfRule>
  </conditionalFormatting>
  <conditionalFormatting sqref="P301:AA301">
    <cfRule type="expression" dxfId="4501" priority="1030">
      <formula>P$1=""</formula>
    </cfRule>
  </conditionalFormatting>
  <conditionalFormatting sqref="P301:AA301">
    <cfRule type="expression" dxfId="4500" priority="1029">
      <formula>P$1=""</formula>
    </cfRule>
  </conditionalFormatting>
  <conditionalFormatting sqref="P301:AA301">
    <cfRule type="expression" dxfId="4499" priority="1028">
      <formula>P$1=""</formula>
    </cfRule>
  </conditionalFormatting>
  <conditionalFormatting sqref="P301:AA301">
    <cfRule type="expression" dxfId="4498" priority="1027">
      <formula>P$1=""</formula>
    </cfRule>
  </conditionalFormatting>
  <conditionalFormatting sqref="P301:AA301">
    <cfRule type="expression" dxfId="4497" priority="1026">
      <formula>P$1=""</formula>
    </cfRule>
  </conditionalFormatting>
  <conditionalFormatting sqref="P301:AA301">
    <cfRule type="expression" dxfId="4496" priority="1025">
      <formula>P$1=""</formula>
    </cfRule>
  </conditionalFormatting>
  <conditionalFormatting sqref="P301:AA301">
    <cfRule type="expression" dxfId="4495" priority="1024">
      <formula>P$1=""</formula>
    </cfRule>
  </conditionalFormatting>
  <conditionalFormatting sqref="P301:AA301">
    <cfRule type="expression" dxfId="4494" priority="1023">
      <formula>P$1=""</formula>
    </cfRule>
  </conditionalFormatting>
  <conditionalFormatting sqref="P301:AA301">
    <cfRule type="expression" dxfId="4493" priority="1022">
      <formula>P$1=""</formula>
    </cfRule>
  </conditionalFormatting>
  <conditionalFormatting sqref="P301:AA301">
    <cfRule type="expression" dxfId="4492" priority="1021">
      <formula>P$1=""</formula>
    </cfRule>
  </conditionalFormatting>
  <conditionalFormatting sqref="P301:AA301">
    <cfRule type="expression" dxfId="4491" priority="1020">
      <formula>P$1=""</formula>
    </cfRule>
  </conditionalFormatting>
  <conditionalFormatting sqref="P301:AA301">
    <cfRule type="expression" dxfId="4490" priority="1019">
      <formula>P$1=""</formula>
    </cfRule>
  </conditionalFormatting>
  <conditionalFormatting sqref="P301:AA301">
    <cfRule type="expression" dxfId="4489" priority="1018">
      <formula>P$1=""</formula>
    </cfRule>
  </conditionalFormatting>
  <conditionalFormatting sqref="P301:AA301">
    <cfRule type="expression" dxfId="4488" priority="1017">
      <formula>P$1=""</formula>
    </cfRule>
  </conditionalFormatting>
  <conditionalFormatting sqref="P301:AA301">
    <cfRule type="expression" dxfId="4487" priority="1016">
      <formula>P$1=""</formula>
    </cfRule>
  </conditionalFormatting>
  <conditionalFormatting sqref="P301:AA301">
    <cfRule type="expression" dxfId="4486" priority="1015">
      <formula>P$1=""</formula>
    </cfRule>
  </conditionalFormatting>
  <conditionalFormatting sqref="P311:AA311">
    <cfRule type="expression" dxfId="4485" priority="1014">
      <formula>P$1=""</formula>
    </cfRule>
  </conditionalFormatting>
  <conditionalFormatting sqref="P313:AA313">
    <cfRule type="expression" dxfId="4484" priority="1013">
      <formula>P$1=""</formula>
    </cfRule>
  </conditionalFormatting>
  <conditionalFormatting sqref="P315:AA315">
    <cfRule type="expression" dxfId="4483" priority="1012">
      <formula>P$1=""</formula>
    </cfRule>
  </conditionalFormatting>
  <conditionalFormatting sqref="P317:AA317">
    <cfRule type="expression" dxfId="4482" priority="1011">
      <formula>P$1=""</formula>
    </cfRule>
  </conditionalFormatting>
  <conditionalFormatting sqref="P313:AA313 P315:AA315 P317:AA317">
    <cfRule type="expression" dxfId="4481" priority="1010">
      <formula>P$1=""</formula>
    </cfRule>
  </conditionalFormatting>
  <conditionalFormatting sqref="P313:AA313 P315:AA315 P317:AA317">
    <cfRule type="expression" dxfId="4480" priority="1009">
      <formula>P$1=""</formula>
    </cfRule>
  </conditionalFormatting>
  <conditionalFormatting sqref="P313:AA313 P315:AA315 P317:AA317">
    <cfRule type="expression" dxfId="4479" priority="1008">
      <formula>P$1=""</formula>
    </cfRule>
  </conditionalFormatting>
  <conditionalFormatting sqref="P313:AA313 P315:AA315 P317:AA317">
    <cfRule type="expression" dxfId="4478" priority="1007">
      <formula>P$1=""</formula>
    </cfRule>
  </conditionalFormatting>
  <conditionalFormatting sqref="P313:AA313 P315:AA315 P317:AA317">
    <cfRule type="expression" dxfId="4477" priority="1006">
      <formula>P$1=""</formula>
    </cfRule>
  </conditionalFormatting>
  <conditionalFormatting sqref="P315:AA315 P317:AA317">
    <cfRule type="expression" dxfId="4476" priority="1005">
      <formula>P$1=""</formula>
    </cfRule>
  </conditionalFormatting>
  <conditionalFormatting sqref="P313:AA313">
    <cfRule type="expression" dxfId="4475" priority="1004">
      <formula>P$1=""</formula>
    </cfRule>
  </conditionalFormatting>
  <conditionalFormatting sqref="P315:AA315 P317:AA317">
    <cfRule type="expression" dxfId="4474" priority="1003">
      <formula>P$1=""</formula>
    </cfRule>
  </conditionalFormatting>
  <conditionalFormatting sqref="P315:AA315 P317:AA317">
    <cfRule type="expression" dxfId="4473" priority="1002">
      <formula>P$1=""</formula>
    </cfRule>
  </conditionalFormatting>
  <conditionalFormatting sqref="P317:AA317">
    <cfRule type="expression" dxfId="4472" priority="1001">
      <formula>P$1=""</formula>
    </cfRule>
  </conditionalFormatting>
  <conditionalFormatting sqref="P317:AA317">
    <cfRule type="expression" dxfId="4471" priority="1000">
      <formula>P$1=""</formula>
    </cfRule>
  </conditionalFormatting>
  <conditionalFormatting sqref="P317:AA317">
    <cfRule type="expression" dxfId="4470" priority="999">
      <formula>P$1=""</formula>
    </cfRule>
  </conditionalFormatting>
  <conditionalFormatting sqref="P317:AA317">
    <cfRule type="expression" dxfId="4469" priority="998">
      <formula>P$1=""</formula>
    </cfRule>
  </conditionalFormatting>
  <conditionalFormatting sqref="P311:AA311">
    <cfRule type="expression" dxfId="4468" priority="997">
      <formula>P$1=""</formula>
    </cfRule>
  </conditionalFormatting>
  <conditionalFormatting sqref="P311:AA311">
    <cfRule type="expression" dxfId="4467" priority="996">
      <formula>P$1=""</formula>
    </cfRule>
  </conditionalFormatting>
  <conditionalFormatting sqref="P311:AA311">
    <cfRule type="expression" dxfId="4466" priority="995">
      <formula>P$1=""</formula>
    </cfRule>
  </conditionalFormatting>
  <conditionalFormatting sqref="P311:AA311">
    <cfRule type="expression" dxfId="4465" priority="994">
      <formula>P$1=""</formula>
    </cfRule>
  </conditionalFormatting>
  <conditionalFormatting sqref="P311:AA311">
    <cfRule type="expression" dxfId="4464" priority="993">
      <formula>P$1=""</formula>
    </cfRule>
  </conditionalFormatting>
  <conditionalFormatting sqref="P311:AA311">
    <cfRule type="expression" dxfId="4463" priority="992">
      <formula>P$1=""</formula>
    </cfRule>
  </conditionalFormatting>
  <conditionalFormatting sqref="P311:AA311">
    <cfRule type="expression" dxfId="4462" priority="991">
      <formula>P$1=""</formula>
    </cfRule>
  </conditionalFormatting>
  <conditionalFormatting sqref="P315:AA315 P317:AA317">
    <cfRule type="expression" dxfId="4461" priority="990">
      <formula>P$1=""</formula>
    </cfRule>
  </conditionalFormatting>
  <conditionalFormatting sqref="P315:AA315 P317:AA317">
    <cfRule type="expression" dxfId="4460" priority="989">
      <formula>P$1=""</formula>
    </cfRule>
  </conditionalFormatting>
  <conditionalFormatting sqref="P315:AA315 P317:AA317">
    <cfRule type="expression" dxfId="4459" priority="988">
      <formula>P$1=""</formula>
    </cfRule>
  </conditionalFormatting>
  <conditionalFormatting sqref="P315:AA315 P317:AA317">
    <cfRule type="expression" dxfId="4458" priority="987">
      <formula>P$1=""</formula>
    </cfRule>
  </conditionalFormatting>
  <conditionalFormatting sqref="P313:AA313 P315:AA315 P317:AA317">
    <cfRule type="expression" dxfId="4457" priority="986">
      <formula>P$1=""</formula>
    </cfRule>
  </conditionalFormatting>
  <conditionalFormatting sqref="P313:AA313 P315:AA315 P317:AA317">
    <cfRule type="expression" dxfId="4456" priority="985">
      <formula>P$1=""</formula>
    </cfRule>
  </conditionalFormatting>
  <conditionalFormatting sqref="P313:AA313 P315:AA315 P317:AA317">
    <cfRule type="expression" dxfId="4455" priority="984">
      <formula>P$1=""</formula>
    </cfRule>
  </conditionalFormatting>
  <conditionalFormatting sqref="P313:AA313 P315:AA315 P317:AA317">
    <cfRule type="expression" dxfId="4454" priority="983">
      <formula>P$1=""</formula>
    </cfRule>
  </conditionalFormatting>
  <conditionalFormatting sqref="P313:AA313 P315:AA315 P317:AA317">
    <cfRule type="expression" dxfId="4453" priority="982">
      <formula>P$1=""</formula>
    </cfRule>
  </conditionalFormatting>
  <conditionalFormatting sqref="P313:AA313 P315:AA315 P317:AA317">
    <cfRule type="expression" dxfId="4452" priority="981">
      <formula>P$1=""</formula>
    </cfRule>
  </conditionalFormatting>
  <conditionalFormatting sqref="P313:AA313 P315:AA315 P317:AA317">
    <cfRule type="expression" dxfId="4451" priority="980">
      <formula>P$1=""</formula>
    </cfRule>
  </conditionalFormatting>
  <conditionalFormatting sqref="P313:AA313 P315:AA315 P317:AA317">
    <cfRule type="expression" dxfId="4450" priority="979">
      <formula>P$1=""</formula>
    </cfRule>
  </conditionalFormatting>
  <conditionalFormatting sqref="Q313:AA313">
    <cfRule type="expression" dxfId="4449" priority="978">
      <formula>Q$1=""</formula>
    </cfRule>
  </conditionalFormatting>
  <conditionalFormatting sqref="Q313:AA313">
    <cfRule type="expression" dxfId="4448" priority="977">
      <formula>Q$1=""</formula>
    </cfRule>
  </conditionalFormatting>
  <conditionalFormatting sqref="Q313:AA313">
    <cfRule type="expression" dxfId="4447" priority="976">
      <formula>Q$1=""</formula>
    </cfRule>
  </conditionalFormatting>
  <conditionalFormatting sqref="Q313:AA313">
    <cfRule type="expression" dxfId="4446" priority="975">
      <formula>Q$1=""</formula>
    </cfRule>
  </conditionalFormatting>
  <conditionalFormatting sqref="Q313:AA313">
    <cfRule type="expression" dxfId="4445" priority="974">
      <formula>Q$1=""</formula>
    </cfRule>
  </conditionalFormatting>
  <conditionalFormatting sqref="Q313:AA313">
    <cfRule type="expression" dxfId="4444" priority="973">
      <formula>Q$1=""</formula>
    </cfRule>
  </conditionalFormatting>
  <conditionalFormatting sqref="Q313:AA313">
    <cfRule type="expression" dxfId="4443" priority="972">
      <formula>Q$1=""</formula>
    </cfRule>
  </conditionalFormatting>
  <conditionalFormatting sqref="Q313:AA313">
    <cfRule type="expression" dxfId="4442" priority="971">
      <formula>Q$1=""</formula>
    </cfRule>
  </conditionalFormatting>
  <conditionalFormatting sqref="Q315:AA315 Q317:AA317">
    <cfRule type="expression" dxfId="4441" priority="970">
      <formula>Q$1=""</formula>
    </cfRule>
  </conditionalFormatting>
  <conditionalFormatting sqref="Q315:AA315 Q317:AA317">
    <cfRule type="expression" dxfId="4440" priority="969">
      <formula>Q$1=""</formula>
    </cfRule>
  </conditionalFormatting>
  <conditionalFormatting sqref="Q315:AA315 Q317:AA317">
    <cfRule type="expression" dxfId="4439" priority="968">
      <formula>Q$1=""</formula>
    </cfRule>
  </conditionalFormatting>
  <conditionalFormatting sqref="Q315:AA315 Q317:AA317">
    <cfRule type="expression" dxfId="4438" priority="967">
      <formula>Q$1=""</formula>
    </cfRule>
  </conditionalFormatting>
  <conditionalFormatting sqref="Q315:AA315 Q317:AA317">
    <cfRule type="expression" dxfId="4437" priority="966">
      <formula>Q$1=""</formula>
    </cfRule>
  </conditionalFormatting>
  <conditionalFormatting sqref="Q315:AA315 Q317:AA317">
    <cfRule type="expression" dxfId="4436" priority="965">
      <formula>Q$1=""</formula>
    </cfRule>
  </conditionalFormatting>
  <conditionalFormatting sqref="Q315:AA315 Q317:AA317">
    <cfRule type="expression" dxfId="4435" priority="964">
      <formula>Q$1=""</formula>
    </cfRule>
  </conditionalFormatting>
  <conditionalFormatting sqref="Q315:AA315 Q317:AA317">
    <cfRule type="expression" dxfId="4434" priority="963">
      <formula>Q$1=""</formula>
    </cfRule>
  </conditionalFormatting>
  <conditionalFormatting sqref="Q315:AA315 Q317:AA317">
    <cfRule type="expression" dxfId="4433" priority="962">
      <formula>Q$1=""</formula>
    </cfRule>
  </conditionalFormatting>
  <conditionalFormatting sqref="Q315:AA315 Q317:AA317">
    <cfRule type="expression" dxfId="4432" priority="961">
      <formula>Q$1=""</formula>
    </cfRule>
  </conditionalFormatting>
  <conditionalFormatting sqref="P311:AA311">
    <cfRule type="expression" dxfId="4431" priority="960">
      <formula>P$1=""</formula>
    </cfRule>
  </conditionalFormatting>
  <conditionalFormatting sqref="P311:AA311">
    <cfRule type="expression" dxfId="4430" priority="959">
      <formula>P$1=""</formula>
    </cfRule>
  </conditionalFormatting>
  <conditionalFormatting sqref="P311:AA311">
    <cfRule type="expression" dxfId="4429" priority="958">
      <formula>P$1=""</formula>
    </cfRule>
  </conditionalFormatting>
  <conditionalFormatting sqref="P311:AA311">
    <cfRule type="expression" dxfId="4428" priority="957">
      <formula>P$1=""</formula>
    </cfRule>
  </conditionalFormatting>
  <conditionalFormatting sqref="P311:AA311">
    <cfRule type="expression" dxfId="4427" priority="956">
      <formula>P$1=""</formula>
    </cfRule>
  </conditionalFormatting>
  <conditionalFormatting sqref="P311:AA311">
    <cfRule type="expression" dxfId="4426" priority="955">
      <formula>P$1=""</formula>
    </cfRule>
  </conditionalFormatting>
  <conditionalFormatting sqref="P311:AA311">
    <cfRule type="expression" dxfId="4425" priority="954">
      <formula>P$1=""</formula>
    </cfRule>
  </conditionalFormatting>
  <conditionalFormatting sqref="P311:AA311">
    <cfRule type="expression" dxfId="4424" priority="953">
      <formula>P$1=""</formula>
    </cfRule>
  </conditionalFormatting>
  <conditionalFormatting sqref="P313:AA313">
    <cfRule type="expression" dxfId="4423" priority="952">
      <formula>P$1=""</formula>
    </cfRule>
  </conditionalFormatting>
  <conditionalFormatting sqref="P313:AA313">
    <cfRule type="expression" dxfId="4422" priority="951">
      <formula>P$1=""</formula>
    </cfRule>
  </conditionalFormatting>
  <conditionalFormatting sqref="P313:AA313">
    <cfRule type="expression" dxfId="4421" priority="950">
      <formula>P$1=""</formula>
    </cfRule>
  </conditionalFormatting>
  <conditionalFormatting sqref="P313:AA313">
    <cfRule type="expression" dxfId="4420" priority="949">
      <formula>P$1=""</formula>
    </cfRule>
  </conditionalFormatting>
  <conditionalFormatting sqref="P313:AA313">
    <cfRule type="expression" dxfId="4419" priority="948">
      <formula>P$1=""</formula>
    </cfRule>
  </conditionalFormatting>
  <conditionalFormatting sqref="P313:AA313">
    <cfRule type="expression" dxfId="4418" priority="947">
      <formula>P$1=""</formula>
    </cfRule>
  </conditionalFormatting>
  <conditionalFormatting sqref="P313:AA313">
    <cfRule type="expression" dxfId="4417" priority="946">
      <formula>P$1=""</formula>
    </cfRule>
  </conditionalFormatting>
  <conditionalFormatting sqref="P313:AA313">
    <cfRule type="expression" dxfId="4416" priority="945">
      <formula>P$1=""</formula>
    </cfRule>
  </conditionalFormatting>
  <conditionalFormatting sqref="P313:AA313">
    <cfRule type="expression" dxfId="4415" priority="944">
      <formula>P$1=""</formula>
    </cfRule>
  </conditionalFormatting>
  <conditionalFormatting sqref="P313:AA313">
    <cfRule type="expression" dxfId="4414" priority="943">
      <formula>P$1=""</formula>
    </cfRule>
  </conditionalFormatting>
  <conditionalFormatting sqref="P313:AA313">
    <cfRule type="expression" dxfId="4413" priority="942">
      <formula>P$1=""</formula>
    </cfRule>
  </conditionalFormatting>
  <conditionalFormatting sqref="P313:AA313">
    <cfRule type="expression" dxfId="4412" priority="941">
      <formula>P$1=""</formula>
    </cfRule>
  </conditionalFormatting>
  <conditionalFormatting sqref="P313:AA313">
    <cfRule type="expression" dxfId="4411" priority="940">
      <formula>P$1=""</formula>
    </cfRule>
  </conditionalFormatting>
  <conditionalFormatting sqref="P313:AA313">
    <cfRule type="expression" dxfId="4410" priority="939">
      <formula>P$1=""</formula>
    </cfRule>
  </conditionalFormatting>
  <conditionalFormatting sqref="P313:AA313">
    <cfRule type="expression" dxfId="4409" priority="938">
      <formula>P$1=""</formula>
    </cfRule>
  </conditionalFormatting>
  <conditionalFormatting sqref="P313:AA313">
    <cfRule type="expression" dxfId="4408" priority="937">
      <formula>P$1=""</formula>
    </cfRule>
  </conditionalFormatting>
  <conditionalFormatting sqref="P317 P315">
    <cfRule type="expression" dxfId="4407" priority="936">
      <formula>P$1=""</formula>
    </cfRule>
  </conditionalFormatting>
  <conditionalFormatting sqref="P317 P315">
    <cfRule type="expression" dxfId="4406" priority="935">
      <formula>P$1=""</formula>
    </cfRule>
  </conditionalFormatting>
  <conditionalFormatting sqref="P317 P315">
    <cfRule type="expression" dxfId="4405" priority="934">
      <formula>P$1=""</formula>
    </cfRule>
  </conditionalFormatting>
  <conditionalFormatting sqref="P317 P315">
    <cfRule type="expression" dxfId="4404" priority="933">
      <formula>P$1=""</formula>
    </cfRule>
  </conditionalFormatting>
  <conditionalFormatting sqref="P317 P315">
    <cfRule type="expression" dxfId="4403" priority="932">
      <formula>P$1=""</formula>
    </cfRule>
  </conditionalFormatting>
  <conditionalFormatting sqref="P317 P315">
    <cfRule type="expression" dxfId="4402" priority="931">
      <formula>P$1=""</formula>
    </cfRule>
  </conditionalFormatting>
  <conditionalFormatting sqref="P317 P315">
    <cfRule type="expression" dxfId="4401" priority="930">
      <formula>P$1=""</formula>
    </cfRule>
  </conditionalFormatting>
  <conditionalFormatting sqref="P317 P315">
    <cfRule type="expression" dxfId="4400" priority="929">
      <formula>P$1=""</formula>
    </cfRule>
  </conditionalFormatting>
  <conditionalFormatting sqref="P317 P315">
    <cfRule type="expression" dxfId="4399" priority="928">
      <formula>P$1=""</formula>
    </cfRule>
  </conditionalFormatting>
  <conditionalFormatting sqref="P317 P315">
    <cfRule type="expression" dxfId="4398" priority="927">
      <formula>P$1=""</formula>
    </cfRule>
  </conditionalFormatting>
  <conditionalFormatting sqref="P317 P315">
    <cfRule type="expression" dxfId="4397" priority="926">
      <formula>P$1=""</formula>
    </cfRule>
  </conditionalFormatting>
  <conditionalFormatting sqref="P317 P315">
    <cfRule type="expression" dxfId="4396" priority="925">
      <formula>P$1=""</formula>
    </cfRule>
  </conditionalFormatting>
  <conditionalFormatting sqref="P317 P315">
    <cfRule type="expression" dxfId="4395" priority="924">
      <formula>P$1=""</formula>
    </cfRule>
  </conditionalFormatting>
  <conditionalFormatting sqref="P317 P315">
    <cfRule type="expression" dxfId="4394" priority="923">
      <formula>P$1=""</formula>
    </cfRule>
  </conditionalFormatting>
  <conditionalFormatting sqref="P317 P315">
    <cfRule type="expression" dxfId="4393" priority="922">
      <formula>P$1=""</formula>
    </cfRule>
  </conditionalFormatting>
  <conditionalFormatting sqref="P317 P315">
    <cfRule type="expression" dxfId="4392" priority="921">
      <formula>P$1=""</formula>
    </cfRule>
  </conditionalFormatting>
  <conditionalFormatting sqref="P317 P315">
    <cfRule type="expression" dxfId="4391" priority="920">
      <formula>P$1=""</formula>
    </cfRule>
  </conditionalFormatting>
  <conditionalFormatting sqref="P317 P315">
    <cfRule type="expression" dxfId="4390" priority="919">
      <formula>P$1=""</formula>
    </cfRule>
  </conditionalFormatting>
  <conditionalFormatting sqref="Q317:AA317 Q315:AA315">
    <cfRule type="expression" dxfId="4389" priority="918">
      <formula>Q$1=""</formula>
    </cfRule>
  </conditionalFormatting>
  <conditionalFormatting sqref="Q317:AA317 Q315:AA315">
    <cfRule type="expression" dxfId="4388" priority="917">
      <formula>Q$1=""</formula>
    </cfRule>
  </conditionalFormatting>
  <conditionalFormatting sqref="Q317:AA317 Q315:AA315">
    <cfRule type="expression" dxfId="4387" priority="916">
      <formula>Q$1=""</formula>
    </cfRule>
  </conditionalFormatting>
  <conditionalFormatting sqref="Q317:AA317 Q315:AA315">
    <cfRule type="expression" dxfId="4386" priority="915">
      <formula>Q$1=""</formula>
    </cfRule>
  </conditionalFormatting>
  <conditionalFormatting sqref="Q317:AA317 Q315:AA315">
    <cfRule type="expression" dxfId="4385" priority="914">
      <formula>Q$1=""</formula>
    </cfRule>
  </conditionalFormatting>
  <conditionalFormatting sqref="Q317:AA317 Q315:AA315">
    <cfRule type="expression" dxfId="4384" priority="913">
      <formula>Q$1=""</formula>
    </cfRule>
  </conditionalFormatting>
  <conditionalFormatting sqref="Q317:AA317 Q315:AA315">
    <cfRule type="expression" dxfId="4383" priority="912">
      <formula>Q$1=""</formula>
    </cfRule>
  </conditionalFormatting>
  <conditionalFormatting sqref="Q317:AA317 Q315:AA315">
    <cfRule type="expression" dxfId="4382" priority="911">
      <formula>Q$1=""</formula>
    </cfRule>
  </conditionalFormatting>
  <conditionalFormatting sqref="Q317:AA317 Q315:AA315">
    <cfRule type="expression" dxfId="4381" priority="910">
      <formula>Q$1=""</formula>
    </cfRule>
  </conditionalFormatting>
  <conditionalFormatting sqref="Q317:AA317 Q315:AA315">
    <cfRule type="expression" dxfId="4380" priority="909">
      <formula>Q$1=""</formula>
    </cfRule>
  </conditionalFormatting>
  <conditionalFormatting sqref="Q317:AA317 Q315:AA315">
    <cfRule type="expression" dxfId="4379" priority="908">
      <formula>Q$1=""</formula>
    </cfRule>
  </conditionalFormatting>
  <conditionalFormatting sqref="Q317:AA317 Q315:AA315">
    <cfRule type="expression" dxfId="4378" priority="907">
      <formula>Q$1=""</formula>
    </cfRule>
  </conditionalFormatting>
  <conditionalFormatting sqref="Q317:AA317 Q315:AA315">
    <cfRule type="expression" dxfId="4377" priority="906">
      <formula>Q$1=""</formula>
    </cfRule>
  </conditionalFormatting>
  <conditionalFormatting sqref="Q317:AA317 Q315:AA315">
    <cfRule type="expression" dxfId="4376" priority="905">
      <formula>Q$1=""</formula>
    </cfRule>
  </conditionalFormatting>
  <conditionalFormatting sqref="Q317:AA317 Q315:AA315">
    <cfRule type="expression" dxfId="4375" priority="904">
      <formula>Q$1=""</formula>
    </cfRule>
  </conditionalFormatting>
  <conditionalFormatting sqref="Q317:AA317 Q315:AA315">
    <cfRule type="expression" dxfId="4374" priority="903">
      <formula>Q$1=""</formula>
    </cfRule>
  </conditionalFormatting>
  <conditionalFormatting sqref="Q317:AA317 Q315:AA315">
    <cfRule type="expression" dxfId="4373" priority="902">
      <formula>Q$1=""</formula>
    </cfRule>
  </conditionalFormatting>
  <conditionalFormatting sqref="Q317:AA317 Q315:AA315">
    <cfRule type="expression" dxfId="4372" priority="901">
      <formula>Q$1=""</formula>
    </cfRule>
  </conditionalFormatting>
  <conditionalFormatting sqref="Q317:AA317 Q315:AA315">
    <cfRule type="expression" dxfId="4371" priority="900">
      <formula>Q$1=""</formula>
    </cfRule>
  </conditionalFormatting>
  <conditionalFormatting sqref="Q317:AA317 Q315:AA315">
    <cfRule type="expression" dxfId="4370" priority="899">
      <formula>Q$1=""</formula>
    </cfRule>
  </conditionalFormatting>
  <conditionalFormatting sqref="Q317:AA317 Q315:AA315">
    <cfRule type="expression" dxfId="4369" priority="898">
      <formula>Q$1=""</formula>
    </cfRule>
  </conditionalFormatting>
  <conditionalFormatting sqref="Q317:AA317 Q315:AA315">
    <cfRule type="expression" dxfId="4368" priority="897">
      <formula>Q$1=""</formula>
    </cfRule>
  </conditionalFormatting>
  <conditionalFormatting sqref="Q317:AA317 Q315:AA315">
    <cfRule type="expression" dxfId="4367" priority="896">
      <formula>Q$1=""</formula>
    </cfRule>
  </conditionalFormatting>
  <conditionalFormatting sqref="Q317:AA317 Q315:AA315">
    <cfRule type="expression" dxfId="4366" priority="895">
      <formula>Q$1=""</formula>
    </cfRule>
  </conditionalFormatting>
  <conditionalFormatting sqref="Q317:AA317 Q315:AA315">
    <cfRule type="expression" dxfId="4365" priority="894">
      <formula>Q$1=""</formula>
    </cfRule>
  </conditionalFormatting>
  <conditionalFormatting sqref="Q317:AA317 Q315:AA315">
    <cfRule type="expression" dxfId="4364" priority="893">
      <formula>Q$1=""</formula>
    </cfRule>
  </conditionalFormatting>
  <conditionalFormatting sqref="Q317:AA317 Q315:AA315">
    <cfRule type="expression" dxfId="4363" priority="892">
      <formula>Q$1=""</formula>
    </cfRule>
  </conditionalFormatting>
  <conditionalFormatting sqref="Q317:AA317 Q315:AA315">
    <cfRule type="expression" dxfId="4362" priority="891">
      <formula>Q$1=""</formula>
    </cfRule>
  </conditionalFormatting>
  <conditionalFormatting sqref="Q317:AA317 Q315:AA315">
    <cfRule type="expression" dxfId="4361" priority="890">
      <formula>Q$1=""</formula>
    </cfRule>
  </conditionalFormatting>
  <conditionalFormatting sqref="Q317:AA317 Q315:AA315">
    <cfRule type="expression" dxfId="4360" priority="889">
      <formula>Q$1=""</formula>
    </cfRule>
  </conditionalFormatting>
  <conditionalFormatting sqref="Q317:AA317 Q315:AA315">
    <cfRule type="expression" dxfId="4359" priority="888">
      <formula>Q$1=""</formula>
    </cfRule>
  </conditionalFormatting>
  <conditionalFormatting sqref="Q317:AA317 Q315:AA315">
    <cfRule type="expression" dxfId="4358" priority="887">
      <formula>Q$1=""</formula>
    </cfRule>
  </conditionalFormatting>
  <conditionalFormatting sqref="Q317:AA317 Q315:AA315">
    <cfRule type="expression" dxfId="4357" priority="886">
      <formula>Q$1=""</formula>
    </cfRule>
  </conditionalFormatting>
  <conditionalFormatting sqref="Q317:AA317 Q315:AA315">
    <cfRule type="expression" dxfId="4356" priority="885">
      <formula>Q$1=""</formula>
    </cfRule>
  </conditionalFormatting>
  <conditionalFormatting sqref="P311:AA311">
    <cfRule type="expression" dxfId="4355" priority="884">
      <formula>P$1=""</formula>
    </cfRule>
  </conditionalFormatting>
  <conditionalFormatting sqref="P311:AA311">
    <cfRule type="expression" dxfId="4354" priority="883">
      <formula>P$1=""</formula>
    </cfRule>
  </conditionalFormatting>
  <conditionalFormatting sqref="P311:AA311">
    <cfRule type="expression" dxfId="4353" priority="882">
      <formula>P$1=""</formula>
    </cfRule>
  </conditionalFormatting>
  <conditionalFormatting sqref="P311:AA311">
    <cfRule type="expression" dxfId="4352" priority="881">
      <formula>P$1=""</formula>
    </cfRule>
  </conditionalFormatting>
  <conditionalFormatting sqref="P311:AA311">
    <cfRule type="expression" dxfId="4351" priority="880">
      <formula>P$1=""</formula>
    </cfRule>
  </conditionalFormatting>
  <conditionalFormatting sqref="P311:AA311">
    <cfRule type="expression" dxfId="4350" priority="879">
      <formula>P$1=""</formula>
    </cfRule>
  </conditionalFormatting>
  <conditionalFormatting sqref="P311:AA311">
    <cfRule type="expression" dxfId="4349" priority="878">
      <formula>P$1=""</formula>
    </cfRule>
  </conditionalFormatting>
  <conditionalFormatting sqref="P311:AA311">
    <cfRule type="expression" dxfId="4348" priority="877">
      <formula>P$1=""</formula>
    </cfRule>
  </conditionalFormatting>
  <conditionalFormatting sqref="P311:AA311">
    <cfRule type="expression" dxfId="4347" priority="876">
      <formula>P$1=""</formula>
    </cfRule>
  </conditionalFormatting>
  <conditionalFormatting sqref="P311:AA311">
    <cfRule type="expression" dxfId="4346" priority="875">
      <formula>P$1=""</formula>
    </cfRule>
  </conditionalFormatting>
  <conditionalFormatting sqref="P311:AA311">
    <cfRule type="expression" dxfId="4345" priority="874">
      <formula>P$1=""</formula>
    </cfRule>
  </conditionalFormatting>
  <conditionalFormatting sqref="P311:AA311">
    <cfRule type="expression" dxfId="4344" priority="873">
      <formula>P$1=""</formula>
    </cfRule>
  </conditionalFormatting>
  <conditionalFormatting sqref="P311:AA311">
    <cfRule type="expression" dxfId="4343" priority="872">
      <formula>P$1=""</formula>
    </cfRule>
  </conditionalFormatting>
  <conditionalFormatting sqref="P311:AA311">
    <cfRule type="expression" dxfId="4342" priority="871">
      <formula>P$1=""</formula>
    </cfRule>
  </conditionalFormatting>
  <conditionalFormatting sqref="P311:AA311">
    <cfRule type="expression" dxfId="4341" priority="870">
      <formula>P$1=""</formula>
    </cfRule>
  </conditionalFormatting>
  <conditionalFormatting sqref="P311:AA311">
    <cfRule type="expression" dxfId="4340" priority="869">
      <formula>P$1=""</formula>
    </cfRule>
  </conditionalFormatting>
  <conditionalFormatting sqref="P277:AA277 P275:AA275 P273:AA273">
    <cfRule type="expression" dxfId="4339" priority="868">
      <formula>P$1=""</formula>
    </cfRule>
  </conditionalFormatting>
  <conditionalFormatting sqref="P277:AA277 P275:AA275 P273:AA273">
    <cfRule type="expression" dxfId="4338" priority="867">
      <formula>P$1=""</formula>
    </cfRule>
  </conditionalFormatting>
  <conditionalFormatting sqref="P277:AA277 P275:AA275 P273:AA273">
    <cfRule type="expression" dxfId="4337" priority="866">
      <formula>P$1=""</formula>
    </cfRule>
  </conditionalFormatting>
  <conditionalFormatting sqref="P277:AA277 P275:AA275 P273:AA273">
    <cfRule type="expression" dxfId="4336" priority="865">
      <formula>P$1=""</formula>
    </cfRule>
  </conditionalFormatting>
  <conditionalFormatting sqref="P277:AA277 P275:AA275 P273:AA273">
    <cfRule type="expression" dxfId="4335" priority="864">
      <formula>P$1=""</formula>
    </cfRule>
  </conditionalFormatting>
  <conditionalFormatting sqref="P277:AA277 P275:AA275 P273:AA273">
    <cfRule type="expression" dxfId="4334" priority="863">
      <formula>P$1=""</formula>
    </cfRule>
  </conditionalFormatting>
  <conditionalFormatting sqref="P277:AA277 P275:AA275 P273:AA273">
    <cfRule type="expression" dxfId="4333" priority="862">
      <formula>P$1=""</formula>
    </cfRule>
  </conditionalFormatting>
  <conditionalFormatting sqref="P277:AA277 P275:AA275 P273:AA273">
    <cfRule type="expression" dxfId="4332" priority="861">
      <formula>P$1=""</formula>
    </cfRule>
  </conditionalFormatting>
  <conditionalFormatting sqref="Q307:AA307 Q305:AA305 Q303:AA303">
    <cfRule type="expression" dxfId="4331" priority="860">
      <formula>Q$1=""</formula>
    </cfRule>
  </conditionalFormatting>
  <conditionalFormatting sqref="Q307:AA307 Q305:AA305 Q303:AA303">
    <cfRule type="expression" dxfId="4330" priority="859">
      <formula>Q$1=""</formula>
    </cfRule>
  </conditionalFormatting>
  <conditionalFormatting sqref="Q307:AA307 Q305:AA305 Q303:AA303">
    <cfRule type="expression" dxfId="4329" priority="858">
      <formula>Q$1=""</formula>
    </cfRule>
  </conditionalFormatting>
  <conditionalFormatting sqref="Q307:AA307 Q305:AA305 Q303:AA303">
    <cfRule type="expression" dxfId="4328" priority="857">
      <formula>Q$1=""</formula>
    </cfRule>
  </conditionalFormatting>
  <conditionalFormatting sqref="Q307:AA307 Q305:AA305 Q303:AA303">
    <cfRule type="expression" dxfId="4327" priority="856">
      <formula>Q$1=""</formula>
    </cfRule>
  </conditionalFormatting>
  <conditionalFormatting sqref="Q307:AA307 Q305:AA305 Q303:AA303">
    <cfRule type="expression" dxfId="4326" priority="855">
      <formula>Q$1=""</formula>
    </cfRule>
  </conditionalFormatting>
  <conditionalFormatting sqref="Q307:AA307 Q305:AA305 Q303:AA303">
    <cfRule type="expression" dxfId="4325" priority="854">
      <formula>Q$1=""</formula>
    </cfRule>
  </conditionalFormatting>
  <conditionalFormatting sqref="Q307:AA307 Q305:AA305 Q303:AA303">
    <cfRule type="expression" dxfId="4324" priority="853">
      <formula>Q$1=""</formula>
    </cfRule>
  </conditionalFormatting>
  <conditionalFormatting sqref="Q307:AA307 Q305:AA305 Q303:AA303">
    <cfRule type="expression" dxfId="4323" priority="852">
      <formula>Q$1=""</formula>
    </cfRule>
  </conditionalFormatting>
  <conditionalFormatting sqref="Q307:AA307 Q305:AA305 Q303:AA303">
    <cfRule type="expression" dxfId="4322" priority="851">
      <formula>Q$1=""</formula>
    </cfRule>
  </conditionalFormatting>
  <conditionalFormatting sqref="Q307:AA307 Q305:AA305 Q303:AA303">
    <cfRule type="expression" dxfId="4321" priority="850">
      <formula>Q$1=""</formula>
    </cfRule>
  </conditionalFormatting>
  <conditionalFormatting sqref="Q307:AA307 Q305:AA305 Q303:AA303">
    <cfRule type="expression" dxfId="4320" priority="849">
      <formula>Q$1=""</formula>
    </cfRule>
  </conditionalFormatting>
  <conditionalFormatting sqref="Q307:AA307 Q305:AA305 Q303:AA303">
    <cfRule type="expression" dxfId="4319" priority="848">
      <formula>Q$1=""</formula>
    </cfRule>
  </conditionalFormatting>
  <conditionalFormatting sqref="Q307:AA307 Q305:AA305 Q303:AA303">
    <cfRule type="expression" dxfId="4318" priority="847">
      <formula>Q$1=""</formula>
    </cfRule>
  </conditionalFormatting>
  <conditionalFormatting sqref="Q307:AA307 Q305:AA305 Q303:AA303">
    <cfRule type="expression" dxfId="4317" priority="846">
      <formula>Q$1=""</formula>
    </cfRule>
  </conditionalFormatting>
  <conditionalFormatting sqref="Q307:AA307 Q305:AA305 Q303:AA303">
    <cfRule type="expression" dxfId="4316" priority="845">
      <formula>Q$1=""</formula>
    </cfRule>
  </conditionalFormatting>
  <conditionalFormatting sqref="Q307:AA307 Q305:AA305 Q303:AA303">
    <cfRule type="expression" dxfId="4315" priority="844">
      <formula>Q$1=""</formula>
    </cfRule>
  </conditionalFormatting>
  <conditionalFormatting sqref="Q307:AA307 Q305:AA305 Q303:AA303">
    <cfRule type="expression" dxfId="4314" priority="843">
      <formula>Q$1=""</formula>
    </cfRule>
  </conditionalFormatting>
  <conditionalFormatting sqref="Q307:AA307 Q305:AA305 Q303:AA303">
    <cfRule type="expression" dxfId="4313" priority="842">
      <formula>Q$1=""</formula>
    </cfRule>
  </conditionalFormatting>
  <conditionalFormatting sqref="Q307:AA307 Q305:AA305 Q303:AA303">
    <cfRule type="expression" dxfId="4312" priority="841">
      <formula>Q$1=""</formula>
    </cfRule>
  </conditionalFormatting>
  <conditionalFormatting sqref="Q307:AA307 Q305:AA305 Q303:AA303">
    <cfRule type="expression" dxfId="4311" priority="840">
      <formula>Q$1=""</formula>
    </cfRule>
  </conditionalFormatting>
  <conditionalFormatting sqref="Q307:AA307 Q305:AA305 Q303:AA303">
    <cfRule type="expression" dxfId="4310" priority="839">
      <formula>Q$1=""</formula>
    </cfRule>
  </conditionalFormatting>
  <conditionalFormatting sqref="Q307:AA307 Q305:AA305 Q303:AA303">
    <cfRule type="expression" dxfId="4309" priority="838">
      <formula>Q$1=""</formula>
    </cfRule>
  </conditionalFormatting>
  <conditionalFormatting sqref="Q307:AA307 Q305:AA305 Q303:AA303">
    <cfRule type="expression" dxfId="4308" priority="837">
      <formula>Q$1=""</formula>
    </cfRule>
  </conditionalFormatting>
  <conditionalFormatting sqref="Q307:AA307 Q305:AA305 Q303:AA303">
    <cfRule type="expression" dxfId="4307" priority="836">
      <formula>Q$1=""</formula>
    </cfRule>
  </conditionalFormatting>
  <conditionalFormatting sqref="Q307:AA307 Q305:AA305 Q303:AA303">
    <cfRule type="expression" dxfId="4306" priority="835">
      <formula>Q$1=""</formula>
    </cfRule>
  </conditionalFormatting>
  <conditionalFormatting sqref="Q307:AA307 Q305:AA305 Q303:AA303">
    <cfRule type="expression" dxfId="4305" priority="834">
      <formula>Q$1=""</formula>
    </cfRule>
  </conditionalFormatting>
  <conditionalFormatting sqref="Q307:AA307 Q305:AA305 Q303:AA303">
    <cfRule type="expression" dxfId="4304" priority="833">
      <formula>Q$1=""</formula>
    </cfRule>
  </conditionalFormatting>
  <conditionalFormatting sqref="Q307:AA307 Q305:AA305 Q303:AA303">
    <cfRule type="expression" dxfId="4303" priority="832">
      <formula>Q$1=""</formula>
    </cfRule>
  </conditionalFormatting>
  <conditionalFormatting sqref="Q307:AA307 Q305:AA305 Q303:AA303">
    <cfRule type="expression" dxfId="4302" priority="831">
      <formula>Q$1=""</formula>
    </cfRule>
  </conditionalFormatting>
  <conditionalFormatting sqref="Q307:AA307 Q305:AA305 Q303:AA303">
    <cfRule type="expression" dxfId="4301" priority="830">
      <formula>Q$1=""</formula>
    </cfRule>
  </conditionalFormatting>
  <conditionalFormatting sqref="Q307:AA307 Q305:AA305 Q303:AA303">
    <cfRule type="expression" dxfId="4300" priority="829">
      <formula>Q$1=""</formula>
    </cfRule>
  </conditionalFormatting>
  <conditionalFormatting sqref="P307 P305">
    <cfRule type="expression" dxfId="4299" priority="828">
      <formula>P$1=""</formula>
    </cfRule>
  </conditionalFormatting>
  <conditionalFormatting sqref="P307 P305">
    <cfRule type="expression" dxfId="4298" priority="827">
      <formula>P$1=""</formula>
    </cfRule>
  </conditionalFormatting>
  <conditionalFormatting sqref="P307 P305">
    <cfRule type="expression" dxfId="4297" priority="826">
      <formula>P$1=""</formula>
    </cfRule>
  </conditionalFormatting>
  <conditionalFormatting sqref="P307 P305">
    <cfRule type="expression" dxfId="4296" priority="825">
      <formula>P$1=""</formula>
    </cfRule>
  </conditionalFormatting>
  <conditionalFormatting sqref="P307 P305">
    <cfRule type="expression" dxfId="4295" priority="824">
      <formula>P$1=""</formula>
    </cfRule>
  </conditionalFormatting>
  <conditionalFormatting sqref="P307 P305">
    <cfRule type="expression" dxfId="4294" priority="823">
      <formula>P$1=""</formula>
    </cfRule>
  </conditionalFormatting>
  <conditionalFormatting sqref="P307 P305">
    <cfRule type="expression" dxfId="4293" priority="822">
      <formula>P$1=""</formula>
    </cfRule>
  </conditionalFormatting>
  <conditionalFormatting sqref="P307 P305">
    <cfRule type="expression" dxfId="4292" priority="821">
      <formula>P$1=""</formula>
    </cfRule>
  </conditionalFormatting>
  <conditionalFormatting sqref="P307 P305">
    <cfRule type="expression" dxfId="4291" priority="820">
      <formula>P$1=""</formula>
    </cfRule>
  </conditionalFormatting>
  <conditionalFormatting sqref="P307 P305">
    <cfRule type="expression" dxfId="4290" priority="819">
      <formula>P$1=""</formula>
    </cfRule>
  </conditionalFormatting>
  <conditionalFormatting sqref="P307 P305">
    <cfRule type="expression" dxfId="4289" priority="818">
      <formula>P$1=""</formula>
    </cfRule>
  </conditionalFormatting>
  <conditionalFormatting sqref="P307 P305">
    <cfRule type="expression" dxfId="4288" priority="817">
      <formula>P$1=""</formula>
    </cfRule>
  </conditionalFormatting>
  <conditionalFormatting sqref="P307 P305">
    <cfRule type="expression" dxfId="4287" priority="816">
      <formula>P$1=""</formula>
    </cfRule>
  </conditionalFormatting>
  <conditionalFormatting sqref="P307 P305">
    <cfRule type="expression" dxfId="4286" priority="815">
      <formula>P$1=""</formula>
    </cfRule>
  </conditionalFormatting>
  <conditionalFormatting sqref="P307 P305">
    <cfRule type="expression" dxfId="4285" priority="814">
      <formula>P$1=""</formula>
    </cfRule>
  </conditionalFormatting>
  <conditionalFormatting sqref="P307 P305">
    <cfRule type="expression" dxfId="4284" priority="813">
      <formula>P$1=""</formula>
    </cfRule>
  </conditionalFormatting>
  <conditionalFormatting sqref="P307 P305">
    <cfRule type="expression" dxfId="4283" priority="812">
      <formula>P$1=""</formula>
    </cfRule>
  </conditionalFormatting>
  <conditionalFormatting sqref="P307 P305">
    <cfRule type="expression" dxfId="4282" priority="811">
      <formula>P$1=""</formula>
    </cfRule>
  </conditionalFormatting>
  <conditionalFormatting sqref="P313:AA313">
    <cfRule type="expression" dxfId="4281" priority="810">
      <formula>P$1=""</formula>
    </cfRule>
  </conditionalFormatting>
  <conditionalFormatting sqref="P313:AA313">
    <cfRule type="expression" dxfId="4280" priority="809">
      <formula>P$1=""</formula>
    </cfRule>
  </conditionalFormatting>
  <conditionalFormatting sqref="P313:AA313">
    <cfRule type="expression" dxfId="4279" priority="808">
      <formula>P$1=""</formula>
    </cfRule>
  </conditionalFormatting>
  <conditionalFormatting sqref="P313:AA313">
    <cfRule type="expression" dxfId="4278" priority="807">
      <formula>P$1=""</formula>
    </cfRule>
  </conditionalFormatting>
  <conditionalFormatting sqref="P313:AA313">
    <cfRule type="expression" dxfId="4277" priority="806">
      <formula>P$1=""</formula>
    </cfRule>
  </conditionalFormatting>
  <conditionalFormatting sqref="P313:AA313">
    <cfRule type="expression" dxfId="4276" priority="805">
      <formula>P$1=""</formula>
    </cfRule>
  </conditionalFormatting>
  <conditionalFormatting sqref="P313:AA313">
    <cfRule type="expression" dxfId="4275" priority="804">
      <formula>P$1=""</formula>
    </cfRule>
  </conditionalFormatting>
  <conditionalFormatting sqref="P313:AA313">
    <cfRule type="expression" dxfId="4274" priority="803">
      <formula>P$1=""</formula>
    </cfRule>
  </conditionalFormatting>
  <conditionalFormatting sqref="P313:AA313">
    <cfRule type="expression" dxfId="4273" priority="802">
      <formula>P$1=""</formula>
    </cfRule>
  </conditionalFormatting>
  <conditionalFormatting sqref="P313:AA313">
    <cfRule type="expression" dxfId="4272" priority="801">
      <formula>P$1=""</formula>
    </cfRule>
  </conditionalFormatting>
  <conditionalFormatting sqref="P313:AA313">
    <cfRule type="expression" dxfId="4271" priority="800">
      <formula>P$1=""</formula>
    </cfRule>
  </conditionalFormatting>
  <conditionalFormatting sqref="P313:AA313">
    <cfRule type="expression" dxfId="4270" priority="799">
      <formula>P$1=""</formula>
    </cfRule>
  </conditionalFormatting>
  <conditionalFormatting sqref="P313:AA313">
    <cfRule type="expression" dxfId="4269" priority="798">
      <formula>P$1=""</formula>
    </cfRule>
  </conditionalFormatting>
  <conditionalFormatting sqref="P313:AA313">
    <cfRule type="expression" dxfId="4268" priority="797">
      <formula>P$1=""</formula>
    </cfRule>
  </conditionalFormatting>
  <conditionalFormatting sqref="P313:AA313">
    <cfRule type="expression" dxfId="4267" priority="796">
      <formula>P$1=""</formula>
    </cfRule>
  </conditionalFormatting>
  <conditionalFormatting sqref="P313:AA313">
    <cfRule type="expression" dxfId="4266" priority="795">
      <formula>P$1=""</formula>
    </cfRule>
  </conditionalFormatting>
  <conditionalFormatting sqref="P313:AA313">
    <cfRule type="expression" dxfId="4265" priority="794">
      <formula>P$1=""</formula>
    </cfRule>
  </conditionalFormatting>
  <conditionalFormatting sqref="P313:AA313">
    <cfRule type="expression" dxfId="4264" priority="793">
      <formula>P$1=""</formula>
    </cfRule>
  </conditionalFormatting>
  <conditionalFormatting sqref="P313:AA313">
    <cfRule type="expression" dxfId="4263" priority="792">
      <formula>P$1=""</formula>
    </cfRule>
  </conditionalFormatting>
  <conditionalFormatting sqref="P313:AA313">
    <cfRule type="expression" dxfId="4262" priority="791">
      <formula>P$1=""</formula>
    </cfRule>
  </conditionalFormatting>
  <conditionalFormatting sqref="P313:AA313">
    <cfRule type="expression" dxfId="4261" priority="790">
      <formula>P$1=""</formula>
    </cfRule>
  </conditionalFormatting>
  <conditionalFormatting sqref="P313:AA313">
    <cfRule type="expression" dxfId="4260" priority="789">
      <formula>P$1=""</formula>
    </cfRule>
  </conditionalFormatting>
  <conditionalFormatting sqref="P313:AA313">
    <cfRule type="expression" dxfId="4259" priority="788">
      <formula>P$1=""</formula>
    </cfRule>
  </conditionalFormatting>
  <conditionalFormatting sqref="P313:AA313">
    <cfRule type="expression" dxfId="4258" priority="787">
      <formula>P$1=""</formula>
    </cfRule>
  </conditionalFormatting>
  <conditionalFormatting sqref="P313:AA313">
    <cfRule type="expression" dxfId="4257" priority="786">
      <formula>P$1=""</formula>
    </cfRule>
  </conditionalFormatting>
  <conditionalFormatting sqref="P313:AA313">
    <cfRule type="expression" dxfId="4256" priority="785">
      <formula>P$1=""</formula>
    </cfRule>
  </conditionalFormatting>
  <conditionalFormatting sqref="P313:AA313">
    <cfRule type="expression" dxfId="4255" priority="784">
      <formula>P$1=""</formula>
    </cfRule>
  </conditionalFormatting>
  <conditionalFormatting sqref="P313:AA313">
    <cfRule type="expression" dxfId="4254" priority="783">
      <formula>P$1=""</formula>
    </cfRule>
  </conditionalFormatting>
  <conditionalFormatting sqref="P313:AA313">
    <cfRule type="expression" dxfId="4253" priority="782">
      <formula>P$1=""</formula>
    </cfRule>
  </conditionalFormatting>
  <conditionalFormatting sqref="P313:AA313">
    <cfRule type="expression" dxfId="4252" priority="781">
      <formula>P$1=""</formula>
    </cfRule>
  </conditionalFormatting>
  <conditionalFormatting sqref="P313:AA313">
    <cfRule type="expression" dxfId="4251" priority="780">
      <formula>P$1=""</formula>
    </cfRule>
  </conditionalFormatting>
  <conditionalFormatting sqref="P313:AA313">
    <cfRule type="expression" dxfId="4250" priority="779">
      <formula>P$1=""</formula>
    </cfRule>
  </conditionalFormatting>
  <conditionalFormatting sqref="P313:AA313">
    <cfRule type="expression" dxfId="4249" priority="778">
      <formula>P$1=""</formula>
    </cfRule>
  </conditionalFormatting>
  <conditionalFormatting sqref="P313:AA313">
    <cfRule type="expression" dxfId="4248" priority="777">
      <formula>P$1=""</formula>
    </cfRule>
  </conditionalFormatting>
  <conditionalFormatting sqref="P313:AA313">
    <cfRule type="expression" dxfId="4247" priority="776">
      <formula>P$1=""</formula>
    </cfRule>
  </conditionalFormatting>
  <conditionalFormatting sqref="P313:AA313">
    <cfRule type="expression" dxfId="4246" priority="775">
      <formula>P$1=""</formula>
    </cfRule>
  </conditionalFormatting>
  <conditionalFormatting sqref="P313:AA313">
    <cfRule type="expression" dxfId="4245" priority="774">
      <formula>P$1=""</formula>
    </cfRule>
  </conditionalFormatting>
  <conditionalFormatting sqref="P313:AA313">
    <cfRule type="expression" dxfId="4244" priority="773">
      <formula>P$1=""</formula>
    </cfRule>
  </conditionalFormatting>
  <conditionalFormatting sqref="P313:AA313">
    <cfRule type="expression" dxfId="4243" priority="772">
      <formula>P$1=""</formula>
    </cfRule>
  </conditionalFormatting>
  <conditionalFormatting sqref="P313:AA313">
    <cfRule type="expression" dxfId="4242" priority="771">
      <formula>P$1=""</formula>
    </cfRule>
  </conditionalFormatting>
  <conditionalFormatting sqref="P313:AA313">
    <cfRule type="expression" dxfId="4241" priority="770">
      <formula>P$1=""</formula>
    </cfRule>
  </conditionalFormatting>
  <conditionalFormatting sqref="P313:AA313">
    <cfRule type="expression" dxfId="4240" priority="769">
      <formula>P$1=""</formula>
    </cfRule>
  </conditionalFormatting>
  <conditionalFormatting sqref="P313:AA313">
    <cfRule type="expression" dxfId="4239" priority="768">
      <formula>P$1=""</formula>
    </cfRule>
  </conditionalFormatting>
  <conditionalFormatting sqref="P313:AA313">
    <cfRule type="expression" dxfId="4238" priority="767">
      <formula>P$1=""</formula>
    </cfRule>
  </conditionalFormatting>
  <conditionalFormatting sqref="P313:AA313">
    <cfRule type="expression" dxfId="4237" priority="766">
      <formula>P$1=""</formula>
    </cfRule>
  </conditionalFormatting>
  <conditionalFormatting sqref="P313:AA313">
    <cfRule type="expression" dxfId="4236" priority="765">
      <formula>P$1=""</formula>
    </cfRule>
  </conditionalFormatting>
  <conditionalFormatting sqref="P313:AA313">
    <cfRule type="expression" dxfId="4235" priority="764">
      <formula>P$1=""</formula>
    </cfRule>
  </conditionalFormatting>
  <conditionalFormatting sqref="P313:AA313">
    <cfRule type="expression" dxfId="4234" priority="763">
      <formula>P$1=""</formula>
    </cfRule>
  </conditionalFormatting>
  <conditionalFormatting sqref="P313:AA313">
    <cfRule type="expression" dxfId="4233" priority="762">
      <formula>P$1=""</formula>
    </cfRule>
  </conditionalFormatting>
  <conditionalFormatting sqref="P313:AA313">
    <cfRule type="expression" dxfId="4232" priority="761">
      <formula>P$1=""</formula>
    </cfRule>
  </conditionalFormatting>
  <conditionalFormatting sqref="P313:AA313">
    <cfRule type="expression" dxfId="4231" priority="760">
      <formula>P$1=""</formula>
    </cfRule>
  </conditionalFormatting>
  <conditionalFormatting sqref="P313:AA313">
    <cfRule type="expression" dxfId="4230" priority="759">
      <formula>P$1=""</formula>
    </cfRule>
  </conditionalFormatting>
  <conditionalFormatting sqref="P313:AA313">
    <cfRule type="expression" dxfId="4229" priority="758">
      <formula>P$1=""</formula>
    </cfRule>
  </conditionalFormatting>
  <conditionalFormatting sqref="P313:AA313">
    <cfRule type="expression" dxfId="4228" priority="757">
      <formula>P$1=""</formula>
    </cfRule>
  </conditionalFormatting>
  <conditionalFormatting sqref="P313:AA313">
    <cfRule type="expression" dxfId="4227" priority="756">
      <formula>P$1=""</formula>
    </cfRule>
  </conditionalFormatting>
  <conditionalFormatting sqref="P313:AA313">
    <cfRule type="expression" dxfId="4226" priority="755">
      <formula>P$1=""</formula>
    </cfRule>
  </conditionalFormatting>
  <conditionalFormatting sqref="P313:AA313">
    <cfRule type="expression" dxfId="4225" priority="754">
      <formula>P$1=""</formula>
    </cfRule>
  </conditionalFormatting>
  <conditionalFormatting sqref="P313:AA313">
    <cfRule type="expression" dxfId="4224" priority="753">
      <formula>P$1=""</formula>
    </cfRule>
  </conditionalFormatting>
  <conditionalFormatting sqref="P313:AA313">
    <cfRule type="expression" dxfId="4223" priority="752">
      <formula>P$1=""</formula>
    </cfRule>
  </conditionalFormatting>
  <conditionalFormatting sqref="P313:AA313">
    <cfRule type="expression" dxfId="4222" priority="751">
      <formula>P$1=""</formula>
    </cfRule>
  </conditionalFormatting>
  <conditionalFormatting sqref="P313:AA313">
    <cfRule type="expression" dxfId="4221" priority="750">
      <formula>P$1=""</formula>
    </cfRule>
  </conditionalFormatting>
  <conditionalFormatting sqref="P313:AA313">
    <cfRule type="expression" dxfId="4220" priority="749">
      <formula>P$1=""</formula>
    </cfRule>
  </conditionalFormatting>
  <conditionalFormatting sqref="P313:AA313">
    <cfRule type="expression" dxfId="4219" priority="748">
      <formula>P$1=""</formula>
    </cfRule>
  </conditionalFormatting>
  <conditionalFormatting sqref="P313:AA313">
    <cfRule type="expression" dxfId="4218" priority="747">
      <formula>P$1=""</formula>
    </cfRule>
  </conditionalFormatting>
  <conditionalFormatting sqref="P317:AA317 P315:AA315">
    <cfRule type="expression" dxfId="4217" priority="746">
      <formula>P$1=""</formula>
    </cfRule>
  </conditionalFormatting>
  <conditionalFormatting sqref="P317:AA317 P315:AA315">
    <cfRule type="expression" dxfId="4216" priority="745">
      <formula>P$1=""</formula>
    </cfRule>
  </conditionalFormatting>
  <conditionalFormatting sqref="Q317:AA317 Q315:AA315">
    <cfRule type="expression" dxfId="4215" priority="744">
      <formula>Q$1=""</formula>
    </cfRule>
  </conditionalFormatting>
  <conditionalFormatting sqref="Q317:AA317 Q315:AA315">
    <cfRule type="expression" dxfId="4214" priority="743">
      <formula>Q$1=""</formula>
    </cfRule>
  </conditionalFormatting>
  <conditionalFormatting sqref="Q317:AA317 Q315:AA315">
    <cfRule type="expression" dxfId="4213" priority="742">
      <formula>Q$1=""</formula>
    </cfRule>
  </conditionalFormatting>
  <conditionalFormatting sqref="Q317:AA317 Q315:AA315">
    <cfRule type="expression" dxfId="4212" priority="741">
      <formula>Q$1=""</formula>
    </cfRule>
  </conditionalFormatting>
  <conditionalFormatting sqref="Q317:AA317 Q315:AA315">
    <cfRule type="expression" dxfId="4211" priority="740">
      <formula>Q$1=""</formula>
    </cfRule>
  </conditionalFormatting>
  <conditionalFormatting sqref="Q317:AA317 Q315:AA315">
    <cfRule type="expression" dxfId="4210" priority="739">
      <formula>Q$1=""</formula>
    </cfRule>
  </conditionalFormatting>
  <conditionalFormatting sqref="Q317:AA317 Q315:AA315">
    <cfRule type="expression" dxfId="4209" priority="738">
      <formula>Q$1=""</formula>
    </cfRule>
  </conditionalFormatting>
  <conditionalFormatting sqref="Q317:AA317 Q315:AA315">
    <cfRule type="expression" dxfId="4208" priority="737">
      <formula>Q$1=""</formula>
    </cfRule>
  </conditionalFormatting>
  <conditionalFormatting sqref="P317:AA317 P315:AA315">
    <cfRule type="expression" dxfId="4207" priority="736">
      <formula>P$1=""</formula>
    </cfRule>
  </conditionalFormatting>
  <conditionalFormatting sqref="P317:AA317 P315:AA315">
    <cfRule type="expression" dxfId="4206" priority="735">
      <formula>P$1=""</formula>
    </cfRule>
  </conditionalFormatting>
  <conditionalFormatting sqref="P317:AA317 P315:AA315">
    <cfRule type="expression" dxfId="4205" priority="734">
      <formula>P$1=""</formula>
    </cfRule>
  </conditionalFormatting>
  <conditionalFormatting sqref="P317:AA317 P315:AA315">
    <cfRule type="expression" dxfId="4204" priority="733">
      <formula>P$1=""</formula>
    </cfRule>
  </conditionalFormatting>
  <conditionalFormatting sqref="P317:AA317 P315:AA315">
    <cfRule type="expression" dxfId="4203" priority="732">
      <formula>P$1=""</formula>
    </cfRule>
  </conditionalFormatting>
  <conditionalFormatting sqref="P317:AA317 P315:AA315">
    <cfRule type="expression" dxfId="4202" priority="731">
      <formula>P$1=""</formula>
    </cfRule>
  </conditionalFormatting>
  <conditionalFormatting sqref="P317:AA317 P315:AA315">
    <cfRule type="expression" dxfId="4201" priority="730">
      <formula>P$1=""</formula>
    </cfRule>
  </conditionalFormatting>
  <conditionalFormatting sqref="P317:AA317 P315:AA315">
    <cfRule type="expression" dxfId="4200" priority="729">
      <formula>P$1=""</formula>
    </cfRule>
  </conditionalFormatting>
  <conditionalFormatting sqref="P317:AA317 P315:AA315">
    <cfRule type="expression" dxfId="4199" priority="728">
      <formula>P$1=""</formula>
    </cfRule>
  </conditionalFormatting>
  <conditionalFormatting sqref="P317:AA317 P315:AA315">
    <cfRule type="expression" dxfId="4198" priority="727">
      <formula>P$1=""</formula>
    </cfRule>
  </conditionalFormatting>
  <conditionalFormatting sqref="P317:AA317 P315:AA315">
    <cfRule type="expression" dxfId="4197" priority="726">
      <formula>P$1=""</formula>
    </cfRule>
  </conditionalFormatting>
  <conditionalFormatting sqref="P317:AA317 P315:AA315">
    <cfRule type="expression" dxfId="4196" priority="725">
      <formula>P$1=""</formula>
    </cfRule>
  </conditionalFormatting>
  <conditionalFormatting sqref="P317:AA317 P315:AA315">
    <cfRule type="expression" dxfId="4195" priority="724">
      <formula>P$1=""</formula>
    </cfRule>
  </conditionalFormatting>
  <conditionalFormatting sqref="P317:AA317 P315:AA315">
    <cfRule type="expression" dxfId="4194" priority="723">
      <formula>P$1=""</formula>
    </cfRule>
  </conditionalFormatting>
  <conditionalFormatting sqref="P317:AA317 P315:AA315">
    <cfRule type="expression" dxfId="4193" priority="722">
      <formula>P$1=""</formula>
    </cfRule>
  </conditionalFormatting>
  <conditionalFormatting sqref="P317:AA317 P315:AA315">
    <cfRule type="expression" dxfId="4192" priority="721">
      <formula>P$1=""</formula>
    </cfRule>
  </conditionalFormatting>
  <conditionalFormatting sqref="P317:AA317 P315:AA315">
    <cfRule type="expression" dxfId="4191" priority="720">
      <formula>P$1=""</formula>
    </cfRule>
  </conditionalFormatting>
  <conditionalFormatting sqref="P317:AA317 P315:AA315">
    <cfRule type="expression" dxfId="4190" priority="719">
      <formula>P$1=""</formula>
    </cfRule>
  </conditionalFormatting>
  <conditionalFormatting sqref="P317:AA317 P315:AA315">
    <cfRule type="expression" dxfId="4189" priority="718">
      <formula>P$1=""</formula>
    </cfRule>
  </conditionalFormatting>
  <conditionalFormatting sqref="P317:AA317 P315:AA315">
    <cfRule type="expression" dxfId="4188" priority="717">
      <formula>P$1=""</formula>
    </cfRule>
  </conditionalFormatting>
  <conditionalFormatting sqref="P317:AA317 P315:AA315">
    <cfRule type="expression" dxfId="4187" priority="716">
      <formula>P$1=""</formula>
    </cfRule>
  </conditionalFormatting>
  <conditionalFormatting sqref="P317:AA317 P315:AA315">
    <cfRule type="expression" dxfId="4186" priority="715">
      <formula>P$1=""</formula>
    </cfRule>
  </conditionalFormatting>
  <conditionalFormatting sqref="P317:AA317 P315:AA315">
    <cfRule type="expression" dxfId="4185" priority="714">
      <formula>P$1=""</formula>
    </cfRule>
  </conditionalFormatting>
  <conditionalFormatting sqref="P317:AA317 P315:AA315">
    <cfRule type="expression" dxfId="4184" priority="713">
      <formula>P$1=""</formula>
    </cfRule>
  </conditionalFormatting>
  <conditionalFormatting sqref="P317:AA317 P315:AA315">
    <cfRule type="expression" dxfId="4183" priority="712">
      <formula>P$1=""</formula>
    </cfRule>
  </conditionalFormatting>
  <conditionalFormatting sqref="P317:AA317 P315:AA315">
    <cfRule type="expression" dxfId="4182" priority="711">
      <formula>P$1=""</formula>
    </cfRule>
  </conditionalFormatting>
  <conditionalFormatting sqref="P317:AA317 P315:AA315">
    <cfRule type="expression" dxfId="4181" priority="710">
      <formula>P$1=""</formula>
    </cfRule>
  </conditionalFormatting>
  <conditionalFormatting sqref="P317:AA317 P315:AA315">
    <cfRule type="expression" dxfId="4180" priority="709">
      <formula>P$1=""</formula>
    </cfRule>
  </conditionalFormatting>
  <conditionalFormatting sqref="P317:AA317 P315:AA315">
    <cfRule type="expression" dxfId="4179" priority="708">
      <formula>P$1=""</formula>
    </cfRule>
  </conditionalFormatting>
  <conditionalFormatting sqref="P317:AA317 P315:AA315">
    <cfRule type="expression" dxfId="4178" priority="707">
      <formula>P$1=""</formula>
    </cfRule>
  </conditionalFormatting>
  <conditionalFormatting sqref="P317:AA317 P315:AA315">
    <cfRule type="expression" dxfId="4177" priority="706">
      <formula>P$1=""</formula>
    </cfRule>
  </conditionalFormatting>
  <conditionalFormatting sqref="P317:AA317 P315:AA315">
    <cfRule type="expression" dxfId="4176" priority="705">
      <formula>P$1=""</formula>
    </cfRule>
  </conditionalFormatting>
  <conditionalFormatting sqref="P317:AA317 P315:AA315">
    <cfRule type="expression" dxfId="4175" priority="704">
      <formula>P$1=""</formula>
    </cfRule>
  </conditionalFormatting>
  <conditionalFormatting sqref="P317:AA317 P315:AA315">
    <cfRule type="expression" dxfId="4174" priority="703">
      <formula>P$1=""</formula>
    </cfRule>
  </conditionalFormatting>
  <conditionalFormatting sqref="P317:AA317 P315:AA315">
    <cfRule type="expression" dxfId="4173" priority="702">
      <formula>P$1=""</formula>
    </cfRule>
  </conditionalFormatting>
  <conditionalFormatting sqref="P317:AA317 P315:AA315">
    <cfRule type="expression" dxfId="4172" priority="701">
      <formula>P$1=""</formula>
    </cfRule>
  </conditionalFormatting>
  <conditionalFormatting sqref="P317:AA317 P315:AA315">
    <cfRule type="expression" dxfId="4171" priority="700">
      <formula>P$1=""</formula>
    </cfRule>
  </conditionalFormatting>
  <conditionalFormatting sqref="P317:AA317 P315:AA315">
    <cfRule type="expression" dxfId="4170" priority="699">
      <formula>P$1=""</formula>
    </cfRule>
  </conditionalFormatting>
  <conditionalFormatting sqref="P317:AA317 P315:AA315">
    <cfRule type="expression" dxfId="4169" priority="698">
      <formula>P$1=""</formula>
    </cfRule>
  </conditionalFormatting>
  <conditionalFormatting sqref="P317:AA317 P315:AA315">
    <cfRule type="expression" dxfId="4168" priority="697">
      <formula>P$1=""</formula>
    </cfRule>
  </conditionalFormatting>
  <conditionalFormatting sqref="P317:AA317 P315:AA315">
    <cfRule type="expression" dxfId="4167" priority="696">
      <formula>P$1=""</formula>
    </cfRule>
  </conditionalFormatting>
  <conditionalFormatting sqref="P317:AA317 P315:AA315">
    <cfRule type="expression" dxfId="4166" priority="695">
      <formula>P$1=""</formula>
    </cfRule>
  </conditionalFormatting>
  <conditionalFormatting sqref="P317:AA317 P315:AA315">
    <cfRule type="expression" dxfId="4165" priority="694">
      <formula>P$1=""</formula>
    </cfRule>
  </conditionalFormatting>
  <conditionalFormatting sqref="P317:AA317 P315:AA315">
    <cfRule type="expression" dxfId="4164" priority="693">
      <formula>P$1=""</formula>
    </cfRule>
  </conditionalFormatting>
  <conditionalFormatting sqref="P317:AA317 P315:AA315">
    <cfRule type="expression" dxfId="4163" priority="692">
      <formula>P$1=""</formula>
    </cfRule>
  </conditionalFormatting>
  <conditionalFormatting sqref="P317:AA317 P315:AA315">
    <cfRule type="expression" dxfId="4162" priority="691">
      <formula>P$1=""</formula>
    </cfRule>
  </conditionalFormatting>
  <conditionalFormatting sqref="P317:AA317 P315:AA315">
    <cfRule type="expression" dxfId="4161" priority="690">
      <formula>P$1=""</formula>
    </cfRule>
  </conditionalFormatting>
  <conditionalFormatting sqref="P317:AA317 P315:AA315">
    <cfRule type="expression" dxfId="4160" priority="689">
      <formula>P$1=""</formula>
    </cfRule>
  </conditionalFormatting>
  <conditionalFormatting sqref="P317:AA317 P315:AA315">
    <cfRule type="expression" dxfId="4159" priority="688">
      <formula>P$1=""</formula>
    </cfRule>
  </conditionalFormatting>
  <conditionalFormatting sqref="P317:AA317 P315:AA315">
    <cfRule type="expression" dxfId="4158" priority="687">
      <formula>P$1=""</formula>
    </cfRule>
  </conditionalFormatting>
  <conditionalFormatting sqref="P317:AA317 P315:AA315">
    <cfRule type="expression" dxfId="4157" priority="686">
      <formula>P$1=""</formula>
    </cfRule>
  </conditionalFormatting>
  <conditionalFormatting sqref="P317:AA317 P315:AA315">
    <cfRule type="expression" dxfId="4156" priority="685">
      <formula>P$1=""</formula>
    </cfRule>
  </conditionalFormatting>
  <conditionalFormatting sqref="P317:AA317 P315:AA315">
    <cfRule type="expression" dxfId="4155" priority="684">
      <formula>P$1=""</formula>
    </cfRule>
  </conditionalFormatting>
  <conditionalFormatting sqref="P317:AA317 P315:AA315">
    <cfRule type="expression" dxfId="4154" priority="683">
      <formula>P$1=""</formula>
    </cfRule>
  </conditionalFormatting>
  <conditionalFormatting sqref="P317:AA317 P315:AA315">
    <cfRule type="expression" dxfId="4153" priority="682">
      <formula>P$1=""</formula>
    </cfRule>
  </conditionalFormatting>
  <conditionalFormatting sqref="P317:AA317 P315:AA315">
    <cfRule type="expression" dxfId="4152" priority="681">
      <formula>P$1=""</formula>
    </cfRule>
  </conditionalFormatting>
  <conditionalFormatting sqref="P317:AA317 P315:AA315">
    <cfRule type="expression" dxfId="4151" priority="680">
      <formula>P$1=""</formula>
    </cfRule>
  </conditionalFormatting>
  <conditionalFormatting sqref="P317:AA317 P315:AA315">
    <cfRule type="expression" dxfId="4150" priority="679">
      <formula>P$1=""</formula>
    </cfRule>
  </conditionalFormatting>
  <conditionalFormatting sqref="P317:AA317 P315:AA315">
    <cfRule type="expression" dxfId="4149" priority="678">
      <formula>P$1=""</formula>
    </cfRule>
  </conditionalFormatting>
  <conditionalFormatting sqref="P317:AA317 P315:AA315">
    <cfRule type="expression" dxfId="4148" priority="677">
      <formula>P$1=""</formula>
    </cfRule>
  </conditionalFormatting>
  <conditionalFormatting sqref="P317:AA317 P315:AA315">
    <cfRule type="expression" dxfId="4147" priority="676">
      <formula>P$1=""</formula>
    </cfRule>
  </conditionalFormatting>
  <conditionalFormatting sqref="P317:AA317 P315:AA315">
    <cfRule type="expression" dxfId="4146" priority="675">
      <formula>P$1=""</formula>
    </cfRule>
  </conditionalFormatting>
  <conditionalFormatting sqref="P317:AA317 P315:AA315">
    <cfRule type="expression" dxfId="4145" priority="674">
      <formula>P$1=""</formula>
    </cfRule>
  </conditionalFormatting>
  <conditionalFormatting sqref="P317:AA317 P315:AA315">
    <cfRule type="expression" dxfId="4144" priority="673">
      <formula>P$1=""</formula>
    </cfRule>
  </conditionalFormatting>
  <conditionalFormatting sqref="P317:AA317 P315:AA315">
    <cfRule type="expression" dxfId="4143" priority="672">
      <formula>P$1=""</formula>
    </cfRule>
  </conditionalFormatting>
  <conditionalFormatting sqref="P317:AA317 P315:AA315">
    <cfRule type="expression" dxfId="4142" priority="671">
      <formula>P$1=""</formula>
    </cfRule>
  </conditionalFormatting>
  <conditionalFormatting sqref="P317:AA317 P315:AA315">
    <cfRule type="expression" dxfId="4141" priority="670">
      <formula>P$1=""</formula>
    </cfRule>
  </conditionalFormatting>
  <conditionalFormatting sqref="P317:AA317 P315:AA315">
    <cfRule type="expression" dxfId="4140" priority="669">
      <formula>P$1=""</formula>
    </cfRule>
  </conditionalFormatting>
  <conditionalFormatting sqref="P317:AA317 P315:AA315">
    <cfRule type="expression" dxfId="4139" priority="668">
      <formula>P$1=""</formula>
    </cfRule>
  </conditionalFormatting>
  <conditionalFormatting sqref="P317:AA317 P315:AA315">
    <cfRule type="expression" dxfId="4138" priority="667">
      <formula>P$1=""</formula>
    </cfRule>
  </conditionalFormatting>
  <conditionalFormatting sqref="P317:AA317 P315:AA315">
    <cfRule type="expression" dxfId="4137" priority="666">
      <formula>P$1=""</formula>
    </cfRule>
  </conditionalFormatting>
  <conditionalFormatting sqref="P317:AA317 P315:AA315">
    <cfRule type="expression" dxfId="4136" priority="665">
      <formula>P$1=""</formula>
    </cfRule>
  </conditionalFormatting>
  <conditionalFormatting sqref="P317:AA317 P315:AA315">
    <cfRule type="expression" dxfId="4135" priority="664">
      <formula>P$1=""</formula>
    </cfRule>
  </conditionalFormatting>
  <conditionalFormatting sqref="P317:AA317 P315:AA315">
    <cfRule type="expression" dxfId="4134" priority="663">
      <formula>P$1=""</formula>
    </cfRule>
  </conditionalFormatting>
  <conditionalFormatting sqref="P317:AA317 P315:AA315">
    <cfRule type="expression" dxfId="4133" priority="662">
      <formula>P$1=""</formula>
    </cfRule>
  </conditionalFormatting>
  <conditionalFormatting sqref="P317:AA317 P315:AA315">
    <cfRule type="expression" dxfId="4132" priority="661">
      <formula>P$1=""</formula>
    </cfRule>
  </conditionalFormatting>
  <conditionalFormatting sqref="P317:AA317 P315:AA315">
    <cfRule type="expression" dxfId="4131" priority="660">
      <formula>P$1=""</formula>
    </cfRule>
  </conditionalFormatting>
  <conditionalFormatting sqref="P317:AA317 P315:AA315">
    <cfRule type="expression" dxfId="4130" priority="659">
      <formula>P$1=""</formula>
    </cfRule>
  </conditionalFormatting>
  <conditionalFormatting sqref="P317:AA317 P315:AA315">
    <cfRule type="expression" dxfId="4129" priority="658">
      <formula>P$1=""</formula>
    </cfRule>
  </conditionalFormatting>
  <conditionalFormatting sqref="P317:AA317 P315:AA315">
    <cfRule type="expression" dxfId="4128" priority="657">
      <formula>P$1=""</formula>
    </cfRule>
  </conditionalFormatting>
  <conditionalFormatting sqref="P161:AA161 P159:AA159 P157:AA157">
    <cfRule type="expression" dxfId="4127" priority="656">
      <formula>P$1=""</formula>
    </cfRule>
  </conditionalFormatting>
  <conditionalFormatting sqref="P161:AA161 P159:AA159 P157:AA157">
    <cfRule type="expression" dxfId="4126" priority="655">
      <formula>P$1=""</formula>
    </cfRule>
  </conditionalFormatting>
  <conditionalFormatting sqref="P161:AA161 P159:AA159 P157:AA157">
    <cfRule type="expression" dxfId="4125" priority="654">
      <formula>P$1=""</formula>
    </cfRule>
  </conditionalFormatting>
  <conditionalFormatting sqref="P161:AA161 P159:AA159 P157:AA157">
    <cfRule type="expression" dxfId="4124" priority="653">
      <formula>P$1=""</formula>
    </cfRule>
  </conditionalFormatting>
  <conditionalFormatting sqref="P161:AA161 P159:AA159 P157:AA157">
    <cfRule type="expression" dxfId="4123" priority="652">
      <formula>P$1=""</formula>
    </cfRule>
  </conditionalFormatting>
  <conditionalFormatting sqref="P161:AA161 P159:AA159 P157:AA157">
    <cfRule type="expression" dxfId="4122" priority="651">
      <formula>P$1=""</formula>
    </cfRule>
  </conditionalFormatting>
  <conditionalFormatting sqref="P161:AA161 P159:AA159 P157:AA157">
    <cfRule type="expression" dxfId="4121" priority="650">
      <formula>P$1=""</formula>
    </cfRule>
  </conditionalFormatting>
  <conditionalFormatting sqref="P161:AA161 P159:AA159 P157:AA157">
    <cfRule type="expression" dxfId="4120" priority="649">
      <formula>P$1=""</formula>
    </cfRule>
  </conditionalFormatting>
  <conditionalFormatting sqref="P171:AA171 P169:AA169 P167:AA167">
    <cfRule type="expression" dxfId="4119" priority="648">
      <formula>P$1=""</formula>
    </cfRule>
  </conditionalFormatting>
  <conditionalFormatting sqref="P171:AA171 P169:AA169 P167:AA167">
    <cfRule type="expression" dxfId="4118" priority="647">
      <formula>P$1=""</formula>
    </cfRule>
  </conditionalFormatting>
  <conditionalFormatting sqref="P171:AA171 P169:AA169 P167:AA167">
    <cfRule type="expression" dxfId="4117" priority="646">
      <formula>P$1=""</formula>
    </cfRule>
  </conditionalFormatting>
  <conditionalFormatting sqref="P171:AA171 P169:AA169 P167:AA167">
    <cfRule type="expression" dxfId="4116" priority="645">
      <formula>P$1=""</formula>
    </cfRule>
  </conditionalFormatting>
  <conditionalFormatting sqref="P171:AA171 P169:AA169 P167:AA167">
    <cfRule type="expression" dxfId="4115" priority="644">
      <formula>P$1=""</formula>
    </cfRule>
  </conditionalFormatting>
  <conditionalFormatting sqref="P171:AA171 P169:AA169 P167:AA167">
    <cfRule type="expression" dxfId="4114" priority="643">
      <formula>P$1=""</formula>
    </cfRule>
  </conditionalFormatting>
  <conditionalFormatting sqref="P171:AA171 P169:AA169 P167:AA167">
    <cfRule type="expression" dxfId="4113" priority="642">
      <formula>P$1=""</formula>
    </cfRule>
  </conditionalFormatting>
  <conditionalFormatting sqref="P171:AA171 P169:AA169 P167:AA167">
    <cfRule type="expression" dxfId="4112" priority="641">
      <formula>P$1=""</formula>
    </cfRule>
  </conditionalFormatting>
  <conditionalFormatting sqref="P177:AA177 P179:AA179 P181:AA181">
    <cfRule type="expression" dxfId="4111" priority="640">
      <formula>P$1=""</formula>
    </cfRule>
  </conditionalFormatting>
  <conditionalFormatting sqref="P177:AA177 P179:AA179 P181:AA181">
    <cfRule type="expression" dxfId="4110" priority="639">
      <formula>P$1=""</formula>
    </cfRule>
  </conditionalFormatting>
  <conditionalFormatting sqref="P177:AA177 P179:AA179 P181:AA181">
    <cfRule type="expression" dxfId="4109" priority="638">
      <formula>P$1=""</formula>
    </cfRule>
  </conditionalFormatting>
  <conditionalFormatting sqref="P177:AA177 P179:AA179 P181:AA181">
    <cfRule type="expression" dxfId="4108" priority="637">
      <formula>P$1=""</formula>
    </cfRule>
  </conditionalFormatting>
  <conditionalFormatting sqref="P177:AA177 P179:AA179 P181:AA181">
    <cfRule type="expression" dxfId="4107" priority="636">
      <formula>P$1=""</formula>
    </cfRule>
  </conditionalFormatting>
  <conditionalFormatting sqref="P177:AA177 P179:AA179 P181:AA181">
    <cfRule type="expression" dxfId="4106" priority="635">
      <formula>P$1=""</formula>
    </cfRule>
  </conditionalFormatting>
  <conditionalFormatting sqref="P177:AA177 P179:AA179 P181:AA181">
    <cfRule type="expression" dxfId="4105" priority="634">
      <formula>P$1=""</formula>
    </cfRule>
  </conditionalFormatting>
  <conditionalFormatting sqref="P177:AA177 P179:AA179 P181:AA181">
    <cfRule type="expression" dxfId="4104" priority="633">
      <formula>P$1=""</formula>
    </cfRule>
  </conditionalFormatting>
  <conditionalFormatting sqref="P177:AA177">
    <cfRule type="expression" dxfId="4103" priority="632">
      <formula>P$1=""</formula>
    </cfRule>
  </conditionalFormatting>
  <conditionalFormatting sqref="P177:AA177 P179:AA179 P181:AA181">
    <cfRule type="expression" dxfId="4102" priority="631">
      <formula>P$1=""</formula>
    </cfRule>
  </conditionalFormatting>
  <conditionalFormatting sqref="P177:AA177 P179:AA179 P181:AA181">
    <cfRule type="expression" dxfId="4101" priority="630">
      <formula>P$1=""</formula>
    </cfRule>
  </conditionalFormatting>
  <conditionalFormatting sqref="P177:AA177 P179:AA179 P181:AA181">
    <cfRule type="expression" dxfId="4100" priority="629">
      <formula>P$1=""</formula>
    </cfRule>
  </conditionalFormatting>
  <conditionalFormatting sqref="P177:AA177 P179:AA179 P181:AA181">
    <cfRule type="expression" dxfId="4099" priority="628">
      <formula>P$1=""</formula>
    </cfRule>
  </conditionalFormatting>
  <conditionalFormatting sqref="P177:AA177 P179:AA179 P181:AA181">
    <cfRule type="expression" dxfId="4098" priority="627">
      <formula>P$1=""</formula>
    </cfRule>
  </conditionalFormatting>
  <conditionalFormatting sqref="P177:AA177">
    <cfRule type="expression" dxfId="4097" priority="626">
      <formula>P$1=""</formula>
    </cfRule>
  </conditionalFormatting>
  <conditionalFormatting sqref="P177:AA177 P179:AA179 P181:AA181">
    <cfRule type="expression" dxfId="4096" priority="625">
      <formula>P$1=""</formula>
    </cfRule>
  </conditionalFormatting>
  <conditionalFormatting sqref="P177:AA177 P179:AA179 P181:AA181">
    <cfRule type="expression" dxfId="4095" priority="624">
      <formula>P$1=""</formula>
    </cfRule>
  </conditionalFormatting>
  <conditionalFormatting sqref="P177:AA177 P179:AA179 P181:AA181">
    <cfRule type="expression" dxfId="4094" priority="623">
      <formula>P$1=""</formula>
    </cfRule>
  </conditionalFormatting>
  <conditionalFormatting sqref="P177:AA177 P179:AA179 P181:AA181">
    <cfRule type="expression" dxfId="4093" priority="622">
      <formula>P$1=""</formula>
    </cfRule>
  </conditionalFormatting>
  <conditionalFormatting sqref="P177:AA177 P179:AA179 P181:AA181">
    <cfRule type="expression" dxfId="4092" priority="621">
      <formula>P$1=""</formula>
    </cfRule>
  </conditionalFormatting>
  <conditionalFormatting sqref="P177:AA177 P179:AA179 P181:AA181">
    <cfRule type="expression" dxfId="4091" priority="620">
      <formula>P$1=""</formula>
    </cfRule>
  </conditionalFormatting>
  <conditionalFormatting sqref="P177:AA177 P179:AA179 P181:AA181">
    <cfRule type="expression" dxfId="4090" priority="619">
      <formula>P$1=""</formula>
    </cfRule>
  </conditionalFormatting>
  <conditionalFormatting sqref="P177:AA177 P179:AA179 P181:AA181">
    <cfRule type="expression" dxfId="4089" priority="618">
      <formula>P$1=""</formula>
    </cfRule>
  </conditionalFormatting>
  <conditionalFormatting sqref="P181:AA181 P179:AA179">
    <cfRule type="expression" dxfId="4088" priority="617">
      <formula>P$1=""</formula>
    </cfRule>
  </conditionalFormatting>
  <conditionalFormatting sqref="P181:AA181 P179:AA179">
    <cfRule type="expression" dxfId="4087" priority="616">
      <formula>P$1=""</formula>
    </cfRule>
  </conditionalFormatting>
  <conditionalFormatting sqref="Q181:AA181 Q179:AA179">
    <cfRule type="expression" dxfId="4086" priority="615">
      <formula>Q$1=""</formula>
    </cfRule>
  </conditionalFormatting>
  <conditionalFormatting sqref="Q181:AA181 Q179:AA179">
    <cfRule type="expression" dxfId="4085" priority="614">
      <formula>Q$1=""</formula>
    </cfRule>
  </conditionalFormatting>
  <conditionalFormatting sqref="Q181:AA181 Q179:AA179">
    <cfRule type="expression" dxfId="4084" priority="613">
      <formula>Q$1=""</formula>
    </cfRule>
  </conditionalFormatting>
  <conditionalFormatting sqref="Q181:AA181 Q179:AA179">
    <cfRule type="expression" dxfId="4083" priority="612">
      <formula>Q$1=""</formula>
    </cfRule>
  </conditionalFormatting>
  <conditionalFormatting sqref="Q181:AA181 Q179:AA179">
    <cfRule type="expression" dxfId="4082" priority="611">
      <formula>Q$1=""</formula>
    </cfRule>
  </conditionalFormatting>
  <conditionalFormatting sqref="Q181:AA181 Q179:AA179">
    <cfRule type="expression" dxfId="4081" priority="610">
      <formula>Q$1=""</formula>
    </cfRule>
  </conditionalFormatting>
  <conditionalFormatting sqref="Q181:AA181 Q179:AA179">
    <cfRule type="expression" dxfId="4080" priority="609">
      <formula>Q$1=""</formula>
    </cfRule>
  </conditionalFormatting>
  <conditionalFormatting sqref="Q181:AA181 Q179:AA179">
    <cfRule type="expression" dxfId="4079" priority="608">
      <formula>Q$1=""</formula>
    </cfRule>
  </conditionalFormatting>
  <conditionalFormatting sqref="P181:AA181 P179:AA179">
    <cfRule type="expression" dxfId="4078" priority="607">
      <formula>P$1=""</formula>
    </cfRule>
  </conditionalFormatting>
  <conditionalFormatting sqref="P181:AA181 P179:AA179">
    <cfRule type="expression" dxfId="4077" priority="606">
      <formula>P$1=""</formula>
    </cfRule>
  </conditionalFormatting>
  <conditionalFormatting sqref="P297:AA297 P295:AA295 P293:AA293 P291:AA291">
    <cfRule type="expression" dxfId="4076" priority="605">
      <formula>P$1=""</formula>
    </cfRule>
  </conditionalFormatting>
  <conditionalFormatting sqref="P297:AA297 P295:AA295 P293:AA293 P291:AA291">
    <cfRule type="expression" dxfId="4075" priority="604">
      <formula>P$1=""</formula>
    </cfRule>
  </conditionalFormatting>
  <conditionalFormatting sqref="P297:AA297 P295:AA295 P293:AA293 P291:AA291">
    <cfRule type="expression" dxfId="4074" priority="603">
      <formula>P$1=""</formula>
    </cfRule>
  </conditionalFormatting>
  <conditionalFormatting sqref="P297:AA297 P295:AA295 P293:AA293 P291:AA291">
    <cfRule type="expression" dxfId="4073" priority="602">
      <formula>P$1=""</formula>
    </cfRule>
  </conditionalFormatting>
  <conditionalFormatting sqref="P297:AA297 P295:AA295 P293:AA293 P291:AA291">
    <cfRule type="expression" dxfId="4072" priority="601">
      <formula>P$1=""</formula>
    </cfRule>
  </conditionalFormatting>
  <conditionalFormatting sqref="P297:AA297 P295:AA295 P293:AA293 P291:AA291">
    <cfRule type="expression" dxfId="4071" priority="600">
      <formula>P$1=""</formula>
    </cfRule>
  </conditionalFormatting>
  <conditionalFormatting sqref="P297:AA297 P295:AA295 P293:AA293 P291:AA291">
    <cfRule type="expression" dxfId="4070" priority="599">
      <formula>P$1=""</formula>
    </cfRule>
  </conditionalFormatting>
  <conditionalFormatting sqref="P297:AA297 P295:AA295 P293:AA293 P291:AA291">
    <cfRule type="expression" dxfId="4069" priority="598">
      <formula>P$1=""</formula>
    </cfRule>
  </conditionalFormatting>
  <conditionalFormatting sqref="P297:AA297 P295:AA295 P293:AA293 P291:AA291">
    <cfRule type="expression" dxfId="4068" priority="597">
      <formula>P$1=""</formula>
    </cfRule>
  </conditionalFormatting>
  <conditionalFormatting sqref="P297:AA297 P295:AA295 P293:AA293 P291:AA291">
    <cfRule type="expression" dxfId="4067" priority="596">
      <formula>P$1=""</formula>
    </cfRule>
  </conditionalFormatting>
  <conditionalFormatting sqref="P297:AA297 P295:AA295 P293:AA293 P291:AA291">
    <cfRule type="expression" dxfId="4066" priority="595">
      <formula>P$1=""</formula>
    </cfRule>
  </conditionalFormatting>
  <conditionalFormatting sqref="P297:AA297 P295:AA295 P293:AA293 P291:AA291">
    <cfRule type="expression" dxfId="4065" priority="594">
      <formula>P$1=""</formula>
    </cfRule>
  </conditionalFormatting>
  <conditionalFormatting sqref="P297:AA297 P295:AA295 P293:AA293 P291:AA291">
    <cfRule type="expression" dxfId="4064" priority="593">
      <formula>P$1=""</formula>
    </cfRule>
  </conditionalFormatting>
  <conditionalFormatting sqref="P297:AA297 P295:AA295 P293:AA293 P291:AA291">
    <cfRule type="expression" dxfId="4063" priority="592">
      <formula>P$1=""</formula>
    </cfRule>
  </conditionalFormatting>
  <conditionalFormatting sqref="P297:AA297 P295:AA295 P293:AA293 P291:AA291">
    <cfRule type="expression" dxfId="4062" priority="591">
      <formula>P$1=""</formula>
    </cfRule>
  </conditionalFormatting>
  <conditionalFormatting sqref="P297:AA297 P295:AA295 P293:AA293 P291:AA291">
    <cfRule type="expression" dxfId="4061" priority="590">
      <formula>P$1=""</formula>
    </cfRule>
  </conditionalFormatting>
  <conditionalFormatting sqref="P297:AA297 P295:AA295 P293:AA293 P291:AA291">
    <cfRule type="expression" dxfId="4060" priority="589">
      <formula>P$1=""</formula>
    </cfRule>
  </conditionalFormatting>
  <conditionalFormatting sqref="P297:AA297 P295:AA295 P293:AA293 P291:AA291">
    <cfRule type="expression" dxfId="4059" priority="588">
      <formula>P$1=""</formula>
    </cfRule>
  </conditionalFormatting>
  <conditionalFormatting sqref="P297:AA297 P295:AA295 P293:AA293 P291:AA291">
    <cfRule type="expression" dxfId="4058" priority="587">
      <formula>P$1=""</formula>
    </cfRule>
  </conditionalFormatting>
  <conditionalFormatting sqref="P297:AA297 P295:AA295 P293:AA293 P291:AA291">
    <cfRule type="expression" dxfId="4057" priority="586">
      <formula>P$1=""</formula>
    </cfRule>
  </conditionalFormatting>
  <conditionalFormatting sqref="P297:AA297 P295:AA295 P293:AA293 P291:AA291">
    <cfRule type="expression" dxfId="4056" priority="585">
      <formula>P$1=""</formula>
    </cfRule>
  </conditionalFormatting>
  <conditionalFormatting sqref="P297:AA297 P295:AA295 P293:AA293 P291:AA291">
    <cfRule type="expression" dxfId="4055" priority="584">
      <formula>P$1=""</formula>
    </cfRule>
  </conditionalFormatting>
  <conditionalFormatting sqref="P297:AA297 P295:AA295 P293:AA293 P291:AA291">
    <cfRule type="expression" dxfId="4054" priority="583">
      <formula>P$1=""</formula>
    </cfRule>
  </conditionalFormatting>
  <conditionalFormatting sqref="P193:AA193">
    <cfRule type="expression" dxfId="4053" priority="582">
      <formula>P$1=""</formula>
    </cfRule>
  </conditionalFormatting>
  <conditionalFormatting sqref="P193:AA193">
    <cfRule type="expression" dxfId="4052" priority="581">
      <formula>P$1=""</formula>
    </cfRule>
  </conditionalFormatting>
  <conditionalFormatting sqref="P193:AA193">
    <cfRule type="expression" dxfId="4051" priority="580">
      <formula>P$1=""</formula>
    </cfRule>
  </conditionalFormatting>
  <conditionalFormatting sqref="P193:AA193">
    <cfRule type="expression" dxfId="4050" priority="579">
      <formula>P$1=""</formula>
    </cfRule>
  </conditionalFormatting>
  <conditionalFormatting sqref="P193:AA193">
    <cfRule type="expression" dxfId="4049" priority="578">
      <formula>P$1=""</formula>
    </cfRule>
  </conditionalFormatting>
  <conditionalFormatting sqref="P193:AA193">
    <cfRule type="expression" dxfId="4048" priority="577">
      <formula>P$1=""</formula>
    </cfRule>
  </conditionalFormatting>
  <conditionalFormatting sqref="P193:AA193">
    <cfRule type="expression" dxfId="4047" priority="576">
      <formula>P$1=""</formula>
    </cfRule>
  </conditionalFormatting>
  <conditionalFormatting sqref="P193:AA193">
    <cfRule type="expression" dxfId="4046" priority="575">
      <formula>P$1=""</formula>
    </cfRule>
  </conditionalFormatting>
  <conditionalFormatting sqref="P206:AA206">
    <cfRule type="expression" dxfId="4045" priority="574">
      <formula>P$1=""</formula>
    </cfRule>
  </conditionalFormatting>
  <conditionalFormatting sqref="P208:AA208">
    <cfRule type="expression" dxfId="4044" priority="573">
      <formula>P$1=""</formula>
    </cfRule>
  </conditionalFormatting>
  <conditionalFormatting sqref="P210:AA210">
    <cfRule type="expression" dxfId="4043" priority="572">
      <formula>P$1=""</formula>
    </cfRule>
  </conditionalFormatting>
  <conditionalFormatting sqref="P212:AA212">
    <cfRule type="expression" dxfId="4042" priority="571">
      <formula>P$1=""</formula>
    </cfRule>
  </conditionalFormatting>
  <conditionalFormatting sqref="P208:AA208 P210:AA210 P212:AA212">
    <cfRule type="expression" dxfId="4041" priority="570">
      <formula>P$1=""</formula>
    </cfRule>
  </conditionalFormatting>
  <conditionalFormatting sqref="P208:AA208 P210:AA210 P212:AA212">
    <cfRule type="expression" dxfId="4040" priority="569">
      <formula>P$1=""</formula>
    </cfRule>
  </conditionalFormatting>
  <conditionalFormatting sqref="P208:AA208 P210:AA210 P212:AA212">
    <cfRule type="expression" dxfId="4039" priority="568">
      <formula>P$1=""</formula>
    </cfRule>
  </conditionalFormatting>
  <conditionalFormatting sqref="P208:AA208 P210:AA210 P212:AA212">
    <cfRule type="expression" dxfId="4038" priority="567">
      <formula>P$1=""</formula>
    </cfRule>
  </conditionalFormatting>
  <conditionalFormatting sqref="P208:AA208 P210:AA210 P212:AA212">
    <cfRule type="expression" dxfId="4037" priority="566">
      <formula>P$1=""</formula>
    </cfRule>
  </conditionalFormatting>
  <conditionalFormatting sqref="P210:AA210 P212:AA212">
    <cfRule type="expression" dxfId="4036" priority="565">
      <formula>P$1=""</formula>
    </cfRule>
  </conditionalFormatting>
  <conditionalFormatting sqref="P208:AA208">
    <cfRule type="expression" dxfId="4035" priority="564">
      <formula>P$1=""</formula>
    </cfRule>
  </conditionalFormatting>
  <conditionalFormatting sqref="P210:AA210 P212:AA212">
    <cfRule type="expression" dxfId="4034" priority="563">
      <formula>P$1=""</formula>
    </cfRule>
  </conditionalFormatting>
  <conditionalFormatting sqref="P210:AA210 P212:AA212">
    <cfRule type="expression" dxfId="4033" priority="562">
      <formula>P$1=""</formula>
    </cfRule>
  </conditionalFormatting>
  <conditionalFormatting sqref="P212:AA212">
    <cfRule type="expression" dxfId="4032" priority="561">
      <formula>P$1=""</formula>
    </cfRule>
  </conditionalFormatting>
  <conditionalFormatting sqref="P212:AA212">
    <cfRule type="expression" dxfId="4031" priority="560">
      <formula>P$1=""</formula>
    </cfRule>
  </conditionalFormatting>
  <conditionalFormatting sqref="P212:AA212">
    <cfRule type="expression" dxfId="4030" priority="559">
      <formula>P$1=""</formula>
    </cfRule>
  </conditionalFormatting>
  <conditionalFormatting sqref="P212:AA212">
    <cfRule type="expression" dxfId="4029" priority="558">
      <formula>P$1=""</formula>
    </cfRule>
  </conditionalFormatting>
  <conditionalFormatting sqref="P206:AA206">
    <cfRule type="expression" dxfId="4028" priority="557">
      <formula>P$1=""</formula>
    </cfRule>
  </conditionalFormatting>
  <conditionalFormatting sqref="P206:AA206">
    <cfRule type="expression" dxfId="4027" priority="556">
      <formula>P$1=""</formula>
    </cfRule>
  </conditionalFormatting>
  <conditionalFormatting sqref="P206:AA206">
    <cfRule type="expression" dxfId="4026" priority="555">
      <formula>P$1=""</formula>
    </cfRule>
  </conditionalFormatting>
  <conditionalFormatting sqref="P206:AA206">
    <cfRule type="expression" dxfId="4025" priority="554">
      <formula>P$1=""</formula>
    </cfRule>
  </conditionalFormatting>
  <conditionalFormatting sqref="P206:AA206">
    <cfRule type="expression" dxfId="4024" priority="553">
      <formula>P$1=""</formula>
    </cfRule>
  </conditionalFormatting>
  <conditionalFormatting sqref="P206:AA206">
    <cfRule type="expression" dxfId="4023" priority="552">
      <formula>P$1=""</formula>
    </cfRule>
  </conditionalFormatting>
  <conditionalFormatting sqref="P206:AA206">
    <cfRule type="expression" dxfId="4022" priority="551">
      <formula>P$1=""</formula>
    </cfRule>
  </conditionalFormatting>
  <conditionalFormatting sqref="P210:AA210 P212:AA212">
    <cfRule type="expression" dxfId="4021" priority="550">
      <formula>P$1=""</formula>
    </cfRule>
  </conditionalFormatting>
  <conditionalFormatting sqref="P210:AA210 P212:AA212">
    <cfRule type="expression" dxfId="4020" priority="549">
      <formula>P$1=""</formula>
    </cfRule>
  </conditionalFormatting>
  <conditionalFormatting sqref="P210:AA210 P212:AA212">
    <cfRule type="expression" dxfId="4019" priority="548">
      <formula>P$1=""</formula>
    </cfRule>
  </conditionalFormatting>
  <conditionalFormatting sqref="P210:AA210 P212:AA212">
    <cfRule type="expression" dxfId="4018" priority="547">
      <formula>P$1=""</formula>
    </cfRule>
  </conditionalFormatting>
  <conditionalFormatting sqref="P212 P210 P208">
    <cfRule type="expression" dxfId="4017" priority="546">
      <formula>P$1=""</formula>
    </cfRule>
  </conditionalFormatting>
  <conditionalFormatting sqref="P212 P210 P208">
    <cfRule type="expression" dxfId="4016" priority="545">
      <formula>P$1=""</formula>
    </cfRule>
  </conditionalFormatting>
  <conditionalFormatting sqref="P212 P210 P208">
    <cfRule type="expression" dxfId="4015" priority="544">
      <formula>P$1=""</formula>
    </cfRule>
  </conditionalFormatting>
  <conditionalFormatting sqref="P236:AA236">
    <cfRule type="expression" dxfId="4014" priority="543">
      <formula>P$1=""</formula>
    </cfRule>
  </conditionalFormatting>
  <conditionalFormatting sqref="P238:AA238">
    <cfRule type="expression" dxfId="4013" priority="542">
      <formula>P$1=""</formula>
    </cfRule>
  </conditionalFormatting>
  <conditionalFormatting sqref="P240:AA240">
    <cfRule type="expression" dxfId="4012" priority="541">
      <formula>P$1=""</formula>
    </cfRule>
  </conditionalFormatting>
  <conditionalFormatting sqref="P242:AA242">
    <cfRule type="expression" dxfId="4011" priority="540">
      <formula>P$1=""</formula>
    </cfRule>
  </conditionalFormatting>
  <conditionalFormatting sqref="P238:AA238 P240:AA240 P242:AA242">
    <cfRule type="expression" dxfId="4010" priority="539">
      <formula>P$1=""</formula>
    </cfRule>
  </conditionalFormatting>
  <conditionalFormatting sqref="P238:AA238 P240:AA240 P242:AA242">
    <cfRule type="expression" dxfId="4009" priority="538">
      <formula>P$1=""</formula>
    </cfRule>
  </conditionalFormatting>
  <conditionalFormatting sqref="P238:AA238 P240:AA240 P242:AA242">
    <cfRule type="expression" dxfId="4008" priority="537">
      <formula>P$1=""</formula>
    </cfRule>
  </conditionalFormatting>
  <conditionalFormatting sqref="P238:AA238 P240:AA240 P242:AA242">
    <cfRule type="expression" dxfId="4007" priority="536">
      <formula>P$1=""</formula>
    </cfRule>
  </conditionalFormatting>
  <conditionalFormatting sqref="P238:AA238 P240:AA240 P242:AA242">
    <cfRule type="expression" dxfId="4006" priority="535">
      <formula>P$1=""</formula>
    </cfRule>
  </conditionalFormatting>
  <conditionalFormatting sqref="P240:AA240 P242:AA242">
    <cfRule type="expression" dxfId="4005" priority="534">
      <formula>P$1=""</formula>
    </cfRule>
  </conditionalFormatting>
  <conditionalFormatting sqref="P238:AA238">
    <cfRule type="expression" dxfId="4004" priority="533">
      <formula>P$1=""</formula>
    </cfRule>
  </conditionalFormatting>
  <conditionalFormatting sqref="P240:AA240 P242:AA242">
    <cfRule type="expression" dxfId="4003" priority="532">
      <formula>P$1=""</formula>
    </cfRule>
  </conditionalFormatting>
  <conditionalFormatting sqref="P240:AA240 P242:AA242">
    <cfRule type="expression" dxfId="4002" priority="531">
      <formula>P$1=""</formula>
    </cfRule>
  </conditionalFormatting>
  <conditionalFormatting sqref="P242:AA242">
    <cfRule type="expression" dxfId="4001" priority="530">
      <formula>P$1=""</formula>
    </cfRule>
  </conditionalFormatting>
  <conditionalFormatting sqref="P242:AA242">
    <cfRule type="expression" dxfId="4000" priority="529">
      <formula>P$1=""</formula>
    </cfRule>
  </conditionalFormatting>
  <conditionalFormatting sqref="P242:AA242">
    <cfRule type="expression" dxfId="3999" priority="528">
      <formula>P$1=""</formula>
    </cfRule>
  </conditionalFormatting>
  <conditionalFormatting sqref="P242:AA242">
    <cfRule type="expression" dxfId="3998" priority="527">
      <formula>P$1=""</formula>
    </cfRule>
  </conditionalFormatting>
  <conditionalFormatting sqref="P236:AA236">
    <cfRule type="expression" dxfId="3997" priority="526">
      <formula>P$1=""</formula>
    </cfRule>
  </conditionalFormatting>
  <conditionalFormatting sqref="P236:AA236">
    <cfRule type="expression" dxfId="3996" priority="525">
      <formula>P$1=""</formula>
    </cfRule>
  </conditionalFormatting>
  <conditionalFormatting sqref="P236:AA236">
    <cfRule type="expression" dxfId="3995" priority="524">
      <formula>P$1=""</formula>
    </cfRule>
  </conditionalFormatting>
  <conditionalFormatting sqref="P236:AA236">
    <cfRule type="expression" dxfId="3994" priority="523">
      <formula>P$1=""</formula>
    </cfRule>
  </conditionalFormatting>
  <conditionalFormatting sqref="P236:AA236">
    <cfRule type="expression" dxfId="3993" priority="522">
      <formula>P$1=""</formula>
    </cfRule>
  </conditionalFormatting>
  <conditionalFormatting sqref="P236:AA236">
    <cfRule type="expression" dxfId="3992" priority="521">
      <formula>P$1=""</formula>
    </cfRule>
  </conditionalFormatting>
  <conditionalFormatting sqref="P236:AA236">
    <cfRule type="expression" dxfId="3991" priority="520">
      <formula>P$1=""</formula>
    </cfRule>
  </conditionalFormatting>
  <conditionalFormatting sqref="P240:AA240 P242:AA242">
    <cfRule type="expression" dxfId="3990" priority="519">
      <formula>P$1=""</formula>
    </cfRule>
  </conditionalFormatting>
  <conditionalFormatting sqref="P240:AA240 P242:AA242">
    <cfRule type="expression" dxfId="3989" priority="518">
      <formula>P$1=""</formula>
    </cfRule>
  </conditionalFormatting>
  <conditionalFormatting sqref="P240:AA240 P242:AA242">
    <cfRule type="expression" dxfId="3988" priority="517">
      <formula>P$1=""</formula>
    </cfRule>
  </conditionalFormatting>
  <conditionalFormatting sqref="P240:AA240 P242:AA242">
    <cfRule type="expression" dxfId="3987" priority="516">
      <formula>P$1=""</formula>
    </cfRule>
  </conditionalFormatting>
  <conditionalFormatting sqref="P238:AA238 P240:AA240 P242:AA242">
    <cfRule type="expression" dxfId="3986" priority="515">
      <formula>P$1=""</formula>
    </cfRule>
  </conditionalFormatting>
  <conditionalFormatting sqref="P238:AA238 P240:AA240 P242:AA242">
    <cfRule type="expression" dxfId="3985" priority="514">
      <formula>P$1=""</formula>
    </cfRule>
  </conditionalFormatting>
  <conditionalFormatting sqref="P238:AA238 P240:AA240 P242:AA242">
    <cfRule type="expression" dxfId="3984" priority="513">
      <formula>P$1=""</formula>
    </cfRule>
  </conditionalFormatting>
  <conditionalFormatting sqref="P238:AA238 P240:AA240 P242:AA242">
    <cfRule type="expression" dxfId="3983" priority="512">
      <formula>P$1=""</formula>
    </cfRule>
  </conditionalFormatting>
  <conditionalFormatting sqref="P238:AA238 P240:AA240 P242:AA242">
    <cfRule type="expression" dxfId="3982" priority="511">
      <formula>P$1=""</formula>
    </cfRule>
  </conditionalFormatting>
  <conditionalFormatting sqref="P238:AA238 P240:AA240 P242:AA242">
    <cfRule type="expression" dxfId="3981" priority="510">
      <formula>P$1=""</formula>
    </cfRule>
  </conditionalFormatting>
  <conditionalFormatting sqref="P238:AA238 P240:AA240 P242:AA242">
    <cfRule type="expression" dxfId="3980" priority="509">
      <formula>P$1=""</formula>
    </cfRule>
  </conditionalFormatting>
  <conditionalFormatting sqref="P238:AA238 P240:AA240 P242:AA242">
    <cfRule type="expression" dxfId="3979" priority="508">
      <formula>P$1=""</formula>
    </cfRule>
  </conditionalFormatting>
  <conditionalFormatting sqref="Q238:AA238">
    <cfRule type="expression" dxfId="3978" priority="507">
      <formula>Q$1=""</formula>
    </cfRule>
  </conditionalFormatting>
  <conditionalFormatting sqref="Q238:AA238">
    <cfRule type="expression" dxfId="3977" priority="506">
      <formula>Q$1=""</formula>
    </cfRule>
  </conditionalFormatting>
  <conditionalFormatting sqref="Q238:AA238">
    <cfRule type="expression" dxfId="3976" priority="505">
      <formula>Q$1=""</formula>
    </cfRule>
  </conditionalFormatting>
  <conditionalFormatting sqref="Q238:AA238">
    <cfRule type="expression" dxfId="3975" priority="504">
      <formula>Q$1=""</formula>
    </cfRule>
  </conditionalFormatting>
  <conditionalFormatting sqref="Q238:AA238">
    <cfRule type="expression" dxfId="3974" priority="503">
      <formula>Q$1=""</formula>
    </cfRule>
  </conditionalFormatting>
  <conditionalFormatting sqref="Q238:AA238">
    <cfRule type="expression" dxfId="3973" priority="502">
      <formula>Q$1=""</formula>
    </cfRule>
  </conditionalFormatting>
  <conditionalFormatting sqref="Q238:AA238">
    <cfRule type="expression" dxfId="3972" priority="501">
      <formula>Q$1=""</formula>
    </cfRule>
  </conditionalFormatting>
  <conditionalFormatting sqref="Q238:AA238">
    <cfRule type="expression" dxfId="3971" priority="500">
      <formula>Q$1=""</formula>
    </cfRule>
  </conditionalFormatting>
  <conditionalFormatting sqref="Q240:AA240 Q242:AA242">
    <cfRule type="expression" dxfId="3970" priority="499">
      <formula>Q$1=""</formula>
    </cfRule>
  </conditionalFormatting>
  <conditionalFormatting sqref="Q240:AA240 Q242:AA242">
    <cfRule type="expression" dxfId="3969" priority="498">
      <formula>Q$1=""</formula>
    </cfRule>
  </conditionalFormatting>
  <conditionalFormatting sqref="Q240:AA240 Q242:AA242">
    <cfRule type="expression" dxfId="3968" priority="497">
      <formula>Q$1=""</formula>
    </cfRule>
  </conditionalFormatting>
  <conditionalFormatting sqref="Q240:AA240 Q242:AA242">
    <cfRule type="expression" dxfId="3967" priority="496">
      <formula>Q$1=""</formula>
    </cfRule>
  </conditionalFormatting>
  <conditionalFormatting sqref="Q240:AA240 Q242:AA242">
    <cfRule type="expression" dxfId="3966" priority="495">
      <formula>Q$1=""</formula>
    </cfRule>
  </conditionalFormatting>
  <conditionalFormatting sqref="Q240:AA240 Q242:AA242">
    <cfRule type="expression" dxfId="3965" priority="494">
      <formula>Q$1=""</formula>
    </cfRule>
  </conditionalFormatting>
  <conditionalFormatting sqref="Q240:AA240 Q242:AA242">
    <cfRule type="expression" dxfId="3964" priority="493">
      <formula>Q$1=""</formula>
    </cfRule>
  </conditionalFormatting>
  <conditionalFormatting sqref="Q240:AA240 Q242:AA242">
    <cfRule type="expression" dxfId="3963" priority="492">
      <formula>Q$1=""</formula>
    </cfRule>
  </conditionalFormatting>
  <conditionalFormatting sqref="Q240:AA240 Q242:AA242">
    <cfRule type="expression" dxfId="3962" priority="491">
      <formula>Q$1=""</formula>
    </cfRule>
  </conditionalFormatting>
  <conditionalFormatting sqref="Q240:AA240 Q242:AA242">
    <cfRule type="expression" dxfId="3961" priority="490">
      <formula>Q$1=""</formula>
    </cfRule>
  </conditionalFormatting>
  <conditionalFormatting sqref="P236:AA236 P240:AA240 P242:AA242">
    <cfRule type="expression" dxfId="3960" priority="489">
      <formula>P$1=""</formula>
    </cfRule>
  </conditionalFormatting>
  <conditionalFormatting sqref="P236:AA236">
    <cfRule type="expression" dxfId="3959" priority="488">
      <formula>P$1=""</formula>
    </cfRule>
  </conditionalFormatting>
  <conditionalFormatting sqref="P236:AA236">
    <cfRule type="expression" dxfId="3958" priority="487">
      <formula>P$1=""</formula>
    </cfRule>
  </conditionalFormatting>
  <conditionalFormatting sqref="P236:AA236">
    <cfRule type="expression" dxfId="3957" priority="486">
      <formula>P$1=""</formula>
    </cfRule>
  </conditionalFormatting>
  <conditionalFormatting sqref="P236:AA236">
    <cfRule type="expression" dxfId="3956" priority="485">
      <formula>P$1=""</formula>
    </cfRule>
  </conditionalFormatting>
  <conditionalFormatting sqref="P236:AA236">
    <cfRule type="expression" dxfId="3955" priority="484">
      <formula>P$1=""</formula>
    </cfRule>
  </conditionalFormatting>
  <conditionalFormatting sqref="P236:AA236 P240:AA240 P242:AA242">
    <cfRule type="expression" dxfId="3954" priority="483">
      <formula>P$1=""</formula>
    </cfRule>
  </conditionalFormatting>
  <conditionalFormatting sqref="P236:AA236">
    <cfRule type="expression" dxfId="3953" priority="482">
      <formula>P$1=""</formula>
    </cfRule>
  </conditionalFormatting>
  <conditionalFormatting sqref="P236:AA236">
    <cfRule type="expression" dxfId="3952" priority="481">
      <formula>P$1=""</formula>
    </cfRule>
  </conditionalFormatting>
  <conditionalFormatting sqref="P236:AA236">
    <cfRule type="expression" dxfId="3951" priority="480">
      <formula>P$1=""</formula>
    </cfRule>
  </conditionalFormatting>
  <conditionalFormatting sqref="P236:AA236">
    <cfRule type="expression" dxfId="3950" priority="479">
      <formula>P$1=""</formula>
    </cfRule>
  </conditionalFormatting>
  <conditionalFormatting sqref="P236:AA236">
    <cfRule type="expression" dxfId="3949" priority="478">
      <formula>P$1=""</formula>
    </cfRule>
  </conditionalFormatting>
  <conditionalFormatting sqref="P236:AA236">
    <cfRule type="expression" dxfId="3948" priority="477">
      <formula>P$1=""</formula>
    </cfRule>
  </conditionalFormatting>
  <conditionalFormatting sqref="P236:AA236">
    <cfRule type="expression" dxfId="3947" priority="476">
      <formula>P$1=""</formula>
    </cfRule>
  </conditionalFormatting>
  <conditionalFormatting sqref="P236:AA236">
    <cfRule type="expression" dxfId="3946" priority="475">
      <formula>P$1=""</formula>
    </cfRule>
  </conditionalFormatting>
  <conditionalFormatting sqref="P238:AA238 P240:AA240 P242:AA242">
    <cfRule type="expression" dxfId="3945" priority="474">
      <formula>P$1=""</formula>
    </cfRule>
  </conditionalFormatting>
  <conditionalFormatting sqref="P238:AA238 P240:AA240 P242:AA242">
    <cfRule type="expression" dxfId="3944" priority="473">
      <formula>P$1=""</formula>
    </cfRule>
  </conditionalFormatting>
  <conditionalFormatting sqref="P238:AA238 P240:AA240 P242:AA242">
    <cfRule type="expression" dxfId="3943" priority="472">
      <formula>P$1=""</formula>
    </cfRule>
  </conditionalFormatting>
  <conditionalFormatting sqref="P238:AA238 P240:AA240 P242:AA242">
    <cfRule type="expression" dxfId="3942" priority="471">
      <formula>P$1=""</formula>
    </cfRule>
  </conditionalFormatting>
  <conditionalFormatting sqref="P238:AA238 P240:AA240 P242:AA242">
    <cfRule type="expression" dxfId="3941" priority="470">
      <formula>P$1=""</formula>
    </cfRule>
  </conditionalFormatting>
  <conditionalFormatting sqref="P238:AA238 P240:AA240 P242:AA242">
    <cfRule type="expression" dxfId="3940" priority="469">
      <formula>P$1=""</formula>
    </cfRule>
  </conditionalFormatting>
  <conditionalFormatting sqref="P238:AA238 P240:AA240 P242:AA242">
    <cfRule type="expression" dxfId="3939" priority="468">
      <formula>P$1=""</formula>
    </cfRule>
  </conditionalFormatting>
  <conditionalFormatting sqref="P238:AA238 P240:AA240 P242:AA242">
    <cfRule type="expression" dxfId="3938" priority="467">
      <formula>P$1=""</formula>
    </cfRule>
  </conditionalFormatting>
  <conditionalFormatting sqref="P238:AA238">
    <cfRule type="expression" dxfId="3937" priority="466">
      <formula>P$1=""</formula>
    </cfRule>
  </conditionalFormatting>
  <conditionalFormatting sqref="P238:AA238 P240:AA240 P242:AA242">
    <cfRule type="expression" dxfId="3936" priority="465">
      <formula>P$1=""</formula>
    </cfRule>
  </conditionalFormatting>
  <conditionalFormatting sqref="P238:AA238 P240:AA240 P242:AA242">
    <cfRule type="expression" dxfId="3935" priority="464">
      <formula>P$1=""</formula>
    </cfRule>
  </conditionalFormatting>
  <conditionalFormatting sqref="P238:AA238 P240:AA240 P242:AA242">
    <cfRule type="expression" dxfId="3934" priority="463">
      <formula>P$1=""</formula>
    </cfRule>
  </conditionalFormatting>
  <conditionalFormatting sqref="P238:AA238 P240:AA240 P242:AA242">
    <cfRule type="expression" dxfId="3933" priority="462">
      <formula>P$1=""</formula>
    </cfRule>
  </conditionalFormatting>
  <conditionalFormatting sqref="P238:AA238 P240:AA240 P242:AA242">
    <cfRule type="expression" dxfId="3932" priority="461">
      <formula>P$1=""</formula>
    </cfRule>
  </conditionalFormatting>
  <conditionalFormatting sqref="P238:AA238">
    <cfRule type="expression" dxfId="3931" priority="460">
      <formula>P$1=""</formula>
    </cfRule>
  </conditionalFormatting>
  <conditionalFormatting sqref="P238:AA238 P240:AA240 P242:AA242">
    <cfRule type="expression" dxfId="3930" priority="459">
      <formula>P$1=""</formula>
    </cfRule>
  </conditionalFormatting>
  <conditionalFormatting sqref="P238:AA238 P240:AA240 P242:AA242">
    <cfRule type="expression" dxfId="3929" priority="458">
      <formula>P$1=""</formula>
    </cfRule>
  </conditionalFormatting>
  <conditionalFormatting sqref="P238:AA238 P240:AA240 P242:AA242">
    <cfRule type="expression" dxfId="3928" priority="457">
      <formula>P$1=""</formula>
    </cfRule>
  </conditionalFormatting>
  <conditionalFormatting sqref="P238:AA238 P240:AA240 P242:AA242">
    <cfRule type="expression" dxfId="3927" priority="456">
      <formula>P$1=""</formula>
    </cfRule>
  </conditionalFormatting>
  <conditionalFormatting sqref="P238:AA238 P240:AA240 P242:AA242">
    <cfRule type="expression" dxfId="3926" priority="455">
      <formula>P$1=""</formula>
    </cfRule>
  </conditionalFormatting>
  <conditionalFormatting sqref="P238:AA238 P240:AA240 P242:AA242">
    <cfRule type="expression" dxfId="3925" priority="454">
      <formula>P$1=""</formula>
    </cfRule>
  </conditionalFormatting>
  <conditionalFormatting sqref="P238:AA238 P240:AA240 P242:AA242">
    <cfRule type="expression" dxfId="3924" priority="453">
      <formula>P$1=""</formula>
    </cfRule>
  </conditionalFormatting>
  <conditionalFormatting sqref="P238:AA238 P240:AA240 P242:AA242">
    <cfRule type="expression" dxfId="3923" priority="452">
      <formula>P$1=""</formula>
    </cfRule>
  </conditionalFormatting>
  <conditionalFormatting sqref="P242:AA242 P240:AA240">
    <cfRule type="expression" dxfId="3922" priority="451">
      <formula>P$1=""</formula>
    </cfRule>
  </conditionalFormatting>
  <conditionalFormatting sqref="P242:AA242 P240:AA240">
    <cfRule type="expression" dxfId="3921" priority="450">
      <formula>P$1=""</formula>
    </cfRule>
  </conditionalFormatting>
  <conditionalFormatting sqref="Q242:AA242 Q240:AA240">
    <cfRule type="expression" dxfId="3920" priority="449">
      <formula>Q$1=""</formula>
    </cfRule>
  </conditionalFormatting>
  <conditionalFormatting sqref="Q242:AA242 Q240:AA240">
    <cfRule type="expression" dxfId="3919" priority="448">
      <formula>Q$1=""</formula>
    </cfRule>
  </conditionalFormatting>
  <conditionalFormatting sqref="Q242:AA242 Q240:AA240">
    <cfRule type="expression" dxfId="3918" priority="447">
      <formula>Q$1=""</formula>
    </cfRule>
  </conditionalFormatting>
  <conditionalFormatting sqref="Q242:AA242 Q240:AA240">
    <cfRule type="expression" dxfId="3917" priority="446">
      <formula>Q$1=""</formula>
    </cfRule>
  </conditionalFormatting>
  <conditionalFormatting sqref="Q242:AA242 Q240:AA240">
    <cfRule type="expression" dxfId="3916" priority="445">
      <formula>Q$1=""</formula>
    </cfRule>
  </conditionalFormatting>
  <conditionalFormatting sqref="Q242:AA242 Q240:AA240">
    <cfRule type="expression" dxfId="3915" priority="444">
      <formula>Q$1=""</formula>
    </cfRule>
  </conditionalFormatting>
  <conditionalFormatting sqref="Q242:AA242 Q240:AA240">
    <cfRule type="expression" dxfId="3914" priority="443">
      <formula>Q$1=""</formula>
    </cfRule>
  </conditionalFormatting>
  <conditionalFormatting sqref="Q242:AA242 Q240:AA240">
    <cfRule type="expression" dxfId="3913" priority="442">
      <formula>Q$1=""</formula>
    </cfRule>
  </conditionalFormatting>
  <conditionalFormatting sqref="P242:AA242 P240:AA240">
    <cfRule type="expression" dxfId="3912" priority="441">
      <formula>P$1=""</formula>
    </cfRule>
  </conditionalFormatting>
  <conditionalFormatting sqref="P242:AA242 P240:AA240">
    <cfRule type="expression" dxfId="3911" priority="440">
      <formula>P$1=""</formula>
    </cfRule>
  </conditionalFormatting>
  <conditionalFormatting sqref="P196:AA196">
    <cfRule type="expression" dxfId="3910" priority="439">
      <formula>P$1=""</formula>
    </cfRule>
  </conditionalFormatting>
  <conditionalFormatting sqref="P198:AA198">
    <cfRule type="expression" dxfId="3909" priority="438">
      <formula>P$1=""</formula>
    </cfRule>
  </conditionalFormatting>
  <conditionalFormatting sqref="P200:AA200">
    <cfRule type="expression" dxfId="3908" priority="437">
      <formula>P$1=""</formula>
    </cfRule>
  </conditionalFormatting>
  <conditionalFormatting sqref="P202:AA202">
    <cfRule type="expression" dxfId="3907" priority="436">
      <formula>P$1=""</formula>
    </cfRule>
  </conditionalFormatting>
  <conditionalFormatting sqref="P198:AA198 P200:AA200 P202:AA202">
    <cfRule type="expression" dxfId="3906" priority="435">
      <formula>P$1=""</formula>
    </cfRule>
  </conditionalFormatting>
  <conditionalFormatting sqref="P198:AA198 P200:AA200 P202:AA202">
    <cfRule type="expression" dxfId="3905" priority="434">
      <formula>P$1=""</formula>
    </cfRule>
  </conditionalFormatting>
  <conditionalFormatting sqref="P198:AA198 P200:AA200 P202:AA202">
    <cfRule type="expression" dxfId="3904" priority="433">
      <formula>P$1=""</formula>
    </cfRule>
  </conditionalFormatting>
  <conditionalFormatting sqref="P198:AA198 P200:AA200 P202:AA202">
    <cfRule type="expression" dxfId="3903" priority="432">
      <formula>P$1=""</formula>
    </cfRule>
  </conditionalFormatting>
  <conditionalFormatting sqref="P198:AA198 P200:AA200 P202:AA202">
    <cfRule type="expression" dxfId="3902" priority="431">
      <formula>P$1=""</formula>
    </cfRule>
  </conditionalFormatting>
  <conditionalFormatting sqref="P200:AA200 P202:AA202">
    <cfRule type="expression" dxfId="3901" priority="430">
      <formula>P$1=""</formula>
    </cfRule>
  </conditionalFormatting>
  <conditionalFormatting sqref="P198:AA198">
    <cfRule type="expression" dxfId="3900" priority="429">
      <formula>P$1=""</formula>
    </cfRule>
  </conditionalFormatting>
  <conditionalFormatting sqref="P200:AA200 P202:AA202">
    <cfRule type="expression" dxfId="3899" priority="428">
      <formula>P$1=""</formula>
    </cfRule>
  </conditionalFormatting>
  <conditionalFormatting sqref="P200:AA200 P202:AA202">
    <cfRule type="expression" dxfId="3898" priority="427">
      <formula>P$1=""</formula>
    </cfRule>
  </conditionalFormatting>
  <conditionalFormatting sqref="P202:AA202">
    <cfRule type="expression" dxfId="3897" priority="426">
      <formula>P$1=""</formula>
    </cfRule>
  </conditionalFormatting>
  <conditionalFormatting sqref="P202:AA202">
    <cfRule type="expression" dxfId="3896" priority="425">
      <formula>P$1=""</formula>
    </cfRule>
  </conditionalFormatting>
  <conditionalFormatting sqref="P202:AA202">
    <cfRule type="expression" dxfId="3895" priority="424">
      <formula>P$1=""</formula>
    </cfRule>
  </conditionalFormatting>
  <conditionalFormatting sqref="P202:AA202">
    <cfRule type="expression" dxfId="3894" priority="423">
      <formula>P$1=""</formula>
    </cfRule>
  </conditionalFormatting>
  <conditionalFormatting sqref="P196:AA196">
    <cfRule type="expression" dxfId="3893" priority="422">
      <formula>P$1=""</formula>
    </cfRule>
  </conditionalFormatting>
  <conditionalFormatting sqref="P196:AA196">
    <cfRule type="expression" dxfId="3892" priority="421">
      <formula>P$1=""</formula>
    </cfRule>
  </conditionalFormatting>
  <conditionalFormatting sqref="P196:AA196">
    <cfRule type="expression" dxfId="3891" priority="420">
      <formula>P$1=""</formula>
    </cfRule>
  </conditionalFormatting>
  <conditionalFormatting sqref="P196:AA196">
    <cfRule type="expression" dxfId="3890" priority="419">
      <formula>P$1=""</formula>
    </cfRule>
  </conditionalFormatting>
  <conditionalFormatting sqref="P196:AA196">
    <cfRule type="expression" dxfId="3889" priority="418">
      <formula>P$1=""</formula>
    </cfRule>
  </conditionalFormatting>
  <conditionalFormatting sqref="P196:AA196">
    <cfRule type="expression" dxfId="3888" priority="417">
      <formula>P$1=""</formula>
    </cfRule>
  </conditionalFormatting>
  <conditionalFormatting sqref="P196:AA196">
    <cfRule type="expression" dxfId="3887" priority="416">
      <formula>P$1=""</formula>
    </cfRule>
  </conditionalFormatting>
  <conditionalFormatting sqref="P200:AA200 P202:AA202">
    <cfRule type="expression" dxfId="3886" priority="415">
      <formula>P$1=""</formula>
    </cfRule>
  </conditionalFormatting>
  <conditionalFormatting sqref="P200:AA200 P202:AA202">
    <cfRule type="expression" dxfId="3885" priority="414">
      <formula>P$1=""</formula>
    </cfRule>
  </conditionalFormatting>
  <conditionalFormatting sqref="P200:AA200 P202:AA202">
    <cfRule type="expression" dxfId="3884" priority="413">
      <formula>P$1=""</formula>
    </cfRule>
  </conditionalFormatting>
  <conditionalFormatting sqref="P200:AA200 P202:AA202">
    <cfRule type="expression" dxfId="3883" priority="412">
      <formula>P$1=""</formula>
    </cfRule>
  </conditionalFormatting>
  <conditionalFormatting sqref="P198:AA198 P200:AA200 P202:AA202">
    <cfRule type="expression" dxfId="3882" priority="411">
      <formula>P$1=""</formula>
    </cfRule>
  </conditionalFormatting>
  <conditionalFormatting sqref="P198:AA198 P200:AA200 P202:AA202">
    <cfRule type="expression" dxfId="3881" priority="410">
      <formula>P$1=""</formula>
    </cfRule>
  </conditionalFormatting>
  <conditionalFormatting sqref="P198:AA198 P200:AA200 P202:AA202">
    <cfRule type="expression" dxfId="3880" priority="409">
      <formula>P$1=""</formula>
    </cfRule>
  </conditionalFormatting>
  <conditionalFormatting sqref="P198:AA198 P200:AA200 P202:AA202">
    <cfRule type="expression" dxfId="3879" priority="408">
      <formula>P$1=""</formula>
    </cfRule>
  </conditionalFormatting>
  <conditionalFormatting sqref="P198:AA198 P200:AA200 P202:AA202">
    <cfRule type="expression" dxfId="3878" priority="407">
      <formula>P$1=""</formula>
    </cfRule>
  </conditionalFormatting>
  <conditionalFormatting sqref="P198:AA198 P200:AA200 P202:AA202">
    <cfRule type="expression" dxfId="3877" priority="406">
      <formula>P$1=""</formula>
    </cfRule>
  </conditionalFormatting>
  <conditionalFormatting sqref="P198:AA198 P200:AA200 P202:AA202">
    <cfRule type="expression" dxfId="3876" priority="405">
      <formula>P$1=""</formula>
    </cfRule>
  </conditionalFormatting>
  <conditionalFormatting sqref="P198:AA198 P200:AA200 P202:AA202">
    <cfRule type="expression" dxfId="3875" priority="404">
      <formula>P$1=""</formula>
    </cfRule>
  </conditionalFormatting>
  <conditionalFormatting sqref="Q198:AA198">
    <cfRule type="expression" dxfId="3874" priority="403">
      <formula>Q$1=""</formula>
    </cfRule>
  </conditionalFormatting>
  <conditionalFormatting sqref="Q198:AA198">
    <cfRule type="expression" dxfId="3873" priority="402">
      <formula>Q$1=""</formula>
    </cfRule>
  </conditionalFormatting>
  <conditionalFormatting sqref="Q198:AA198">
    <cfRule type="expression" dxfId="3872" priority="401">
      <formula>Q$1=""</formula>
    </cfRule>
  </conditionalFormatting>
  <conditionalFormatting sqref="Q198:AA198">
    <cfRule type="expression" dxfId="3871" priority="400">
      <formula>Q$1=""</formula>
    </cfRule>
  </conditionalFormatting>
  <conditionalFormatting sqref="Q198:AA198">
    <cfRule type="expression" dxfId="3870" priority="399">
      <formula>Q$1=""</formula>
    </cfRule>
  </conditionalFormatting>
  <conditionalFormatting sqref="Q198:AA198">
    <cfRule type="expression" dxfId="3869" priority="398">
      <formula>Q$1=""</formula>
    </cfRule>
  </conditionalFormatting>
  <conditionalFormatting sqref="Q198:AA198">
    <cfRule type="expression" dxfId="3868" priority="397">
      <formula>Q$1=""</formula>
    </cfRule>
  </conditionalFormatting>
  <conditionalFormatting sqref="Q198:AA198">
    <cfRule type="expression" dxfId="3867" priority="396">
      <formula>Q$1=""</formula>
    </cfRule>
  </conditionalFormatting>
  <conditionalFormatting sqref="Q200:AA200 Q202:AA202">
    <cfRule type="expression" dxfId="3866" priority="395">
      <formula>Q$1=""</formula>
    </cfRule>
  </conditionalFormatting>
  <conditionalFormatting sqref="Q200:AA200 Q202:AA202">
    <cfRule type="expression" dxfId="3865" priority="394">
      <formula>Q$1=""</formula>
    </cfRule>
  </conditionalFormatting>
  <conditionalFormatting sqref="Q200:AA200 Q202:AA202">
    <cfRule type="expression" dxfId="3864" priority="393">
      <formula>Q$1=""</formula>
    </cfRule>
  </conditionalFormatting>
  <conditionalFormatting sqref="Q200:AA200 Q202:AA202">
    <cfRule type="expression" dxfId="3863" priority="392">
      <formula>Q$1=""</formula>
    </cfRule>
  </conditionalFormatting>
  <conditionalFormatting sqref="Q200:AA200 Q202:AA202">
    <cfRule type="expression" dxfId="3862" priority="391">
      <formula>Q$1=""</formula>
    </cfRule>
  </conditionalFormatting>
  <conditionalFormatting sqref="Q200:AA200 Q202:AA202">
    <cfRule type="expression" dxfId="3861" priority="390">
      <formula>Q$1=""</formula>
    </cfRule>
  </conditionalFormatting>
  <conditionalFormatting sqref="Q200:AA200 Q202:AA202">
    <cfRule type="expression" dxfId="3860" priority="389">
      <formula>Q$1=""</formula>
    </cfRule>
  </conditionalFormatting>
  <conditionalFormatting sqref="Q200:AA200 Q202:AA202">
    <cfRule type="expression" dxfId="3859" priority="388">
      <formula>Q$1=""</formula>
    </cfRule>
  </conditionalFormatting>
  <conditionalFormatting sqref="Q200:AA200 Q202:AA202">
    <cfRule type="expression" dxfId="3858" priority="387">
      <formula>Q$1=""</formula>
    </cfRule>
  </conditionalFormatting>
  <conditionalFormatting sqref="Q200:AA200 Q202:AA202">
    <cfRule type="expression" dxfId="3857" priority="386">
      <formula>Q$1=""</formula>
    </cfRule>
  </conditionalFormatting>
  <conditionalFormatting sqref="P196:AA196 P200:AA200 P202:AA202">
    <cfRule type="expression" dxfId="3856" priority="385">
      <formula>P$1=""</formula>
    </cfRule>
  </conditionalFormatting>
  <conditionalFormatting sqref="P196:AA196">
    <cfRule type="expression" dxfId="3855" priority="384">
      <formula>P$1=""</formula>
    </cfRule>
  </conditionalFormatting>
  <conditionalFormatting sqref="P196:AA196">
    <cfRule type="expression" dxfId="3854" priority="383">
      <formula>P$1=""</formula>
    </cfRule>
  </conditionalFormatting>
  <conditionalFormatting sqref="P196:AA196">
    <cfRule type="expression" dxfId="3853" priority="382">
      <formula>P$1=""</formula>
    </cfRule>
  </conditionalFormatting>
  <conditionalFormatting sqref="P196:AA196">
    <cfRule type="expression" dxfId="3852" priority="381">
      <formula>P$1=""</formula>
    </cfRule>
  </conditionalFormatting>
  <conditionalFormatting sqref="P196:AA196">
    <cfRule type="expression" dxfId="3851" priority="380">
      <formula>P$1=""</formula>
    </cfRule>
  </conditionalFormatting>
  <conditionalFormatting sqref="P196:AA196 P200:AA200 P202:AA202">
    <cfRule type="expression" dxfId="3850" priority="379">
      <formula>P$1=""</formula>
    </cfRule>
  </conditionalFormatting>
  <conditionalFormatting sqref="P196:AA196">
    <cfRule type="expression" dxfId="3849" priority="378">
      <formula>P$1=""</formula>
    </cfRule>
  </conditionalFormatting>
  <conditionalFormatting sqref="P196:AA196">
    <cfRule type="expression" dxfId="3848" priority="377">
      <formula>P$1=""</formula>
    </cfRule>
  </conditionalFormatting>
  <conditionalFormatting sqref="P196:AA196">
    <cfRule type="expression" dxfId="3847" priority="376">
      <formula>P$1=""</formula>
    </cfRule>
  </conditionalFormatting>
  <conditionalFormatting sqref="P196:AA196">
    <cfRule type="expression" dxfId="3846" priority="375">
      <formula>P$1=""</formula>
    </cfRule>
  </conditionalFormatting>
  <conditionalFormatting sqref="P196:AA196">
    <cfRule type="expression" dxfId="3845" priority="374">
      <formula>P$1=""</formula>
    </cfRule>
  </conditionalFormatting>
  <conditionalFormatting sqref="P196:AA196">
    <cfRule type="expression" dxfId="3844" priority="373">
      <formula>P$1=""</formula>
    </cfRule>
  </conditionalFormatting>
  <conditionalFormatting sqref="P196:AA196">
    <cfRule type="expression" dxfId="3843" priority="372">
      <formula>P$1=""</formula>
    </cfRule>
  </conditionalFormatting>
  <conditionalFormatting sqref="P196:AA196">
    <cfRule type="expression" dxfId="3842" priority="371">
      <formula>P$1=""</formula>
    </cfRule>
  </conditionalFormatting>
  <conditionalFormatting sqref="P198:AA198 P200:AA200 P202:AA202">
    <cfRule type="expression" dxfId="3841" priority="370">
      <formula>P$1=""</formula>
    </cfRule>
  </conditionalFormatting>
  <conditionalFormatting sqref="P198:AA198 P200:AA200 P202:AA202">
    <cfRule type="expression" dxfId="3840" priority="369">
      <formula>P$1=""</formula>
    </cfRule>
  </conditionalFormatting>
  <conditionalFormatting sqref="P198:AA198 P200:AA200 P202:AA202">
    <cfRule type="expression" dxfId="3839" priority="368">
      <formula>P$1=""</formula>
    </cfRule>
  </conditionalFormatting>
  <conditionalFormatting sqref="P198:AA198 P200:AA200 P202:AA202">
    <cfRule type="expression" dxfId="3838" priority="367">
      <formula>P$1=""</formula>
    </cfRule>
  </conditionalFormatting>
  <conditionalFormatting sqref="P198:AA198 P200:AA200 P202:AA202">
    <cfRule type="expression" dxfId="3837" priority="366">
      <formula>P$1=""</formula>
    </cfRule>
  </conditionalFormatting>
  <conditionalFormatting sqref="P198:AA198 P200:AA200 P202:AA202">
    <cfRule type="expression" dxfId="3836" priority="365">
      <formula>P$1=""</formula>
    </cfRule>
  </conditionalFormatting>
  <conditionalFormatting sqref="P198:AA198 P200:AA200 P202:AA202">
    <cfRule type="expression" dxfId="3835" priority="364">
      <formula>P$1=""</formula>
    </cfRule>
  </conditionalFormatting>
  <conditionalFormatting sqref="P198:AA198 P200:AA200 P202:AA202">
    <cfRule type="expression" dxfId="3834" priority="363">
      <formula>P$1=""</formula>
    </cfRule>
  </conditionalFormatting>
  <conditionalFormatting sqref="P198:AA198">
    <cfRule type="expression" dxfId="3833" priority="362">
      <formula>P$1=""</formula>
    </cfRule>
  </conditionalFormatting>
  <conditionalFormatting sqref="P198:AA198 P200:AA200 P202:AA202">
    <cfRule type="expression" dxfId="3832" priority="361">
      <formula>P$1=""</formula>
    </cfRule>
  </conditionalFormatting>
  <conditionalFormatting sqref="P198:AA198 P200:AA200 P202:AA202">
    <cfRule type="expression" dxfId="3831" priority="360">
      <formula>P$1=""</formula>
    </cfRule>
  </conditionalFormatting>
  <conditionalFormatting sqref="P198:AA198 P200:AA200 P202:AA202">
    <cfRule type="expression" dxfId="3830" priority="359">
      <formula>P$1=""</formula>
    </cfRule>
  </conditionalFormatting>
  <conditionalFormatting sqref="P198:AA198 P200:AA200 P202:AA202">
    <cfRule type="expression" dxfId="3829" priority="358">
      <formula>P$1=""</formula>
    </cfRule>
  </conditionalFormatting>
  <conditionalFormatting sqref="P198:AA198 P200:AA200 P202:AA202">
    <cfRule type="expression" dxfId="3828" priority="357">
      <formula>P$1=""</formula>
    </cfRule>
  </conditionalFormatting>
  <conditionalFormatting sqref="P198:AA198">
    <cfRule type="expression" dxfId="3827" priority="356">
      <formula>P$1=""</formula>
    </cfRule>
  </conditionalFormatting>
  <conditionalFormatting sqref="P198:AA198 P200:AA200 P202:AA202">
    <cfRule type="expression" dxfId="3826" priority="355">
      <formula>P$1=""</formula>
    </cfRule>
  </conditionalFormatting>
  <conditionalFormatting sqref="P198:AA198 P200:AA200 P202:AA202">
    <cfRule type="expression" dxfId="3825" priority="354">
      <formula>P$1=""</formula>
    </cfRule>
  </conditionalFormatting>
  <conditionalFormatting sqref="P198:AA198 P200:AA200 P202:AA202">
    <cfRule type="expression" dxfId="3824" priority="353">
      <formula>P$1=""</formula>
    </cfRule>
  </conditionalFormatting>
  <conditionalFormatting sqref="P198:AA198 P200:AA200 P202:AA202">
    <cfRule type="expression" dxfId="3823" priority="352">
      <formula>P$1=""</formula>
    </cfRule>
  </conditionalFormatting>
  <conditionalFormatting sqref="P198:AA198 P200:AA200 P202:AA202">
    <cfRule type="expression" dxfId="3822" priority="351">
      <formula>P$1=""</formula>
    </cfRule>
  </conditionalFormatting>
  <conditionalFormatting sqref="P198:AA198 P200:AA200 P202:AA202">
    <cfRule type="expression" dxfId="3821" priority="350">
      <formula>P$1=""</formula>
    </cfRule>
  </conditionalFormatting>
  <conditionalFormatting sqref="P198:AA198 P200:AA200 P202:AA202">
    <cfRule type="expression" dxfId="3820" priority="349">
      <formula>P$1=""</formula>
    </cfRule>
  </conditionalFormatting>
  <conditionalFormatting sqref="P198:AA198 P200:AA200 P202:AA202">
    <cfRule type="expression" dxfId="3819" priority="348">
      <formula>P$1=""</formula>
    </cfRule>
  </conditionalFormatting>
  <conditionalFormatting sqref="P202:AA202 P200:AA200">
    <cfRule type="expression" dxfId="3818" priority="347">
      <formula>P$1=""</formula>
    </cfRule>
  </conditionalFormatting>
  <conditionalFormatting sqref="P202:AA202 P200:AA200">
    <cfRule type="expression" dxfId="3817" priority="346">
      <formula>P$1=""</formula>
    </cfRule>
  </conditionalFormatting>
  <conditionalFormatting sqref="Q202:AA202 Q200:AA200">
    <cfRule type="expression" dxfId="3816" priority="345">
      <formula>Q$1=""</formula>
    </cfRule>
  </conditionalFormatting>
  <conditionalFormatting sqref="Q202:AA202 Q200:AA200">
    <cfRule type="expression" dxfId="3815" priority="344">
      <formula>Q$1=""</formula>
    </cfRule>
  </conditionalFormatting>
  <conditionalFormatting sqref="Q202:AA202 Q200:AA200">
    <cfRule type="expression" dxfId="3814" priority="343">
      <formula>Q$1=""</formula>
    </cfRule>
  </conditionalFormatting>
  <conditionalFormatting sqref="Q202:AA202 Q200:AA200">
    <cfRule type="expression" dxfId="3813" priority="342">
      <formula>Q$1=""</formula>
    </cfRule>
  </conditionalFormatting>
  <conditionalFormatting sqref="Q202:AA202 Q200:AA200">
    <cfRule type="expression" dxfId="3812" priority="341">
      <formula>Q$1=""</formula>
    </cfRule>
  </conditionalFormatting>
  <conditionalFormatting sqref="Q202:AA202 Q200:AA200">
    <cfRule type="expression" dxfId="3811" priority="340">
      <formula>Q$1=""</formula>
    </cfRule>
  </conditionalFormatting>
  <conditionalFormatting sqref="Q202:AA202 Q200:AA200">
    <cfRule type="expression" dxfId="3810" priority="339">
      <formula>Q$1=""</formula>
    </cfRule>
  </conditionalFormatting>
  <conditionalFormatting sqref="Q202:AA202 Q200:AA200">
    <cfRule type="expression" dxfId="3809" priority="338">
      <formula>Q$1=""</formula>
    </cfRule>
  </conditionalFormatting>
  <conditionalFormatting sqref="P202:AA202 P200:AA200">
    <cfRule type="expression" dxfId="3808" priority="337">
      <formula>P$1=""</formula>
    </cfRule>
  </conditionalFormatting>
  <conditionalFormatting sqref="P202:AA202 P200:AA200">
    <cfRule type="expression" dxfId="3807" priority="336">
      <formula>P$1=""</formula>
    </cfRule>
  </conditionalFormatting>
  <conditionalFormatting sqref="P202:AA202 P200:AA200 P198:AA198">
    <cfRule type="expression" dxfId="3806" priority="335">
      <formula>P$1=""</formula>
    </cfRule>
  </conditionalFormatting>
  <conditionalFormatting sqref="P202:AA202 P200:AA200 P198:AA198">
    <cfRule type="expression" dxfId="3805" priority="334">
      <formula>P$1=""</formula>
    </cfRule>
  </conditionalFormatting>
  <conditionalFormatting sqref="P202:AA202 P200:AA200 P198:AA198">
    <cfRule type="expression" dxfId="3804" priority="333">
      <formula>P$1=""</formula>
    </cfRule>
  </conditionalFormatting>
  <conditionalFormatting sqref="P202:AA202 P200:AA200 P198:AA198">
    <cfRule type="expression" dxfId="3803" priority="332">
      <formula>P$1=""</formula>
    </cfRule>
  </conditionalFormatting>
  <conditionalFormatting sqref="P202:AA202 P200:AA200 P198:AA198">
    <cfRule type="expression" dxfId="3802" priority="331">
      <formula>P$1=""</formula>
    </cfRule>
  </conditionalFormatting>
  <conditionalFormatting sqref="P202:AA202 P200:AA200 P198:AA198">
    <cfRule type="expression" dxfId="3801" priority="330">
      <formula>P$1=""</formula>
    </cfRule>
  </conditionalFormatting>
  <conditionalFormatting sqref="P202:AA202 P200:AA200 P198:AA198">
    <cfRule type="expression" dxfId="3800" priority="329">
      <formula>P$1=""</formula>
    </cfRule>
  </conditionalFormatting>
  <conditionalFormatting sqref="P202:AA202 P200:AA200 P198:AA198">
    <cfRule type="expression" dxfId="3799" priority="328">
      <formula>P$1=""</formula>
    </cfRule>
  </conditionalFormatting>
  <conditionalFormatting sqref="P198:AA198">
    <cfRule type="expression" dxfId="3798" priority="327">
      <formula>P$1=""</formula>
    </cfRule>
  </conditionalFormatting>
  <conditionalFormatting sqref="P202:AA202 P200:AA200 P198:AA198">
    <cfRule type="expression" dxfId="3797" priority="326">
      <formula>P$1=""</formula>
    </cfRule>
  </conditionalFormatting>
  <conditionalFormatting sqref="P202:AA202 P200:AA200 P198:AA198">
    <cfRule type="expression" dxfId="3796" priority="325">
      <formula>P$1=""</formula>
    </cfRule>
  </conditionalFormatting>
  <conditionalFormatting sqref="P202:AA202 P200:AA200 P198:AA198">
    <cfRule type="expression" dxfId="3795" priority="324">
      <formula>P$1=""</formula>
    </cfRule>
  </conditionalFormatting>
  <conditionalFormatting sqref="P202:AA202 P200:AA200 P198:AA198">
    <cfRule type="expression" dxfId="3794" priority="323">
      <formula>P$1=""</formula>
    </cfRule>
  </conditionalFormatting>
  <conditionalFormatting sqref="P202:AA202 P200:AA200 P198:AA198">
    <cfRule type="expression" dxfId="3793" priority="322">
      <formula>P$1=""</formula>
    </cfRule>
  </conditionalFormatting>
  <conditionalFormatting sqref="P198:AA198">
    <cfRule type="expression" dxfId="3792" priority="321">
      <formula>P$1=""</formula>
    </cfRule>
  </conditionalFormatting>
  <conditionalFormatting sqref="P202:AA202 P200:AA200 P198:AA198">
    <cfRule type="expression" dxfId="3791" priority="320">
      <formula>P$1=""</formula>
    </cfRule>
  </conditionalFormatting>
  <conditionalFormatting sqref="P202:AA202 P200:AA200 P198:AA198">
    <cfRule type="expression" dxfId="3790" priority="319">
      <formula>P$1=""</formula>
    </cfRule>
  </conditionalFormatting>
  <conditionalFormatting sqref="P202:AA202 P200:AA200 P198:AA198">
    <cfRule type="expression" dxfId="3789" priority="318">
      <formula>P$1=""</formula>
    </cfRule>
  </conditionalFormatting>
  <conditionalFormatting sqref="P202:AA202 P200:AA200 P198:AA198">
    <cfRule type="expression" dxfId="3788" priority="317">
      <formula>P$1=""</formula>
    </cfRule>
  </conditionalFormatting>
  <conditionalFormatting sqref="P202:AA202 P200:AA200 P198:AA198">
    <cfRule type="expression" dxfId="3787" priority="316">
      <formula>P$1=""</formula>
    </cfRule>
  </conditionalFormatting>
  <conditionalFormatting sqref="P202:AA202 P200:AA200 P198:AA198">
    <cfRule type="expression" dxfId="3786" priority="315">
      <formula>P$1=""</formula>
    </cfRule>
  </conditionalFormatting>
  <conditionalFormatting sqref="P202:AA202 P200:AA200 P198:AA198">
    <cfRule type="expression" dxfId="3785" priority="314">
      <formula>P$1=""</formula>
    </cfRule>
  </conditionalFormatting>
  <conditionalFormatting sqref="P202:AA202 P200:AA200 P198:AA198">
    <cfRule type="expression" dxfId="3784" priority="313">
      <formula>P$1=""</formula>
    </cfRule>
  </conditionalFormatting>
  <conditionalFormatting sqref="P216:AA216">
    <cfRule type="expression" dxfId="3783" priority="312">
      <formula>P$1=""</formula>
    </cfRule>
  </conditionalFormatting>
  <conditionalFormatting sqref="P218:AA218">
    <cfRule type="expression" dxfId="3782" priority="311">
      <formula>P$1=""</formula>
    </cfRule>
  </conditionalFormatting>
  <conditionalFormatting sqref="P220:AA220">
    <cfRule type="expression" dxfId="3781" priority="310">
      <formula>P$1=""</formula>
    </cfRule>
  </conditionalFormatting>
  <conditionalFormatting sqref="P222:AA222">
    <cfRule type="expression" dxfId="3780" priority="309">
      <formula>P$1=""</formula>
    </cfRule>
  </conditionalFormatting>
  <conditionalFormatting sqref="P218:AA218 P220:AA220 P222:AA222">
    <cfRule type="expression" dxfId="3779" priority="308">
      <formula>P$1=""</formula>
    </cfRule>
  </conditionalFormatting>
  <conditionalFormatting sqref="P218:AA218 P220:AA220 P222:AA222">
    <cfRule type="expression" dxfId="3778" priority="307">
      <formula>P$1=""</formula>
    </cfRule>
  </conditionalFormatting>
  <conditionalFormatting sqref="P218:AA218 P220:AA220 P222:AA222">
    <cfRule type="expression" dxfId="3777" priority="306">
      <formula>P$1=""</formula>
    </cfRule>
  </conditionalFormatting>
  <conditionalFormatting sqref="P218:AA218 P220:AA220 P222:AA222">
    <cfRule type="expression" dxfId="3776" priority="305">
      <formula>P$1=""</formula>
    </cfRule>
  </conditionalFormatting>
  <conditionalFormatting sqref="P218:AA218 P220:AA220 P222:AA222">
    <cfRule type="expression" dxfId="3775" priority="304">
      <formula>P$1=""</formula>
    </cfRule>
  </conditionalFormatting>
  <conditionalFormatting sqref="P220:AA220 P222:AA222">
    <cfRule type="expression" dxfId="3774" priority="303">
      <formula>P$1=""</formula>
    </cfRule>
  </conditionalFormatting>
  <conditionalFormatting sqref="P218:AA218">
    <cfRule type="expression" dxfId="3773" priority="302">
      <formula>P$1=""</formula>
    </cfRule>
  </conditionalFormatting>
  <conditionalFormatting sqref="P220:AA220 P222:AA222">
    <cfRule type="expression" dxfId="3772" priority="301">
      <formula>P$1=""</formula>
    </cfRule>
  </conditionalFormatting>
  <conditionalFormatting sqref="P220:AA220 P222:AA222">
    <cfRule type="expression" dxfId="3771" priority="300">
      <formula>P$1=""</formula>
    </cfRule>
  </conditionalFormatting>
  <conditionalFormatting sqref="P222:AA222">
    <cfRule type="expression" dxfId="3770" priority="299">
      <formula>P$1=""</formula>
    </cfRule>
  </conditionalFormatting>
  <conditionalFormatting sqref="P222:AA222">
    <cfRule type="expression" dxfId="3769" priority="298">
      <formula>P$1=""</formula>
    </cfRule>
  </conditionalFormatting>
  <conditionalFormatting sqref="P222:AA222">
    <cfRule type="expression" dxfId="3768" priority="297">
      <formula>P$1=""</formula>
    </cfRule>
  </conditionalFormatting>
  <conditionalFormatting sqref="P222:AA222">
    <cfRule type="expression" dxfId="3767" priority="296">
      <formula>P$1=""</formula>
    </cfRule>
  </conditionalFormatting>
  <conditionalFormatting sqref="P216:AA216">
    <cfRule type="expression" dxfId="3766" priority="295">
      <formula>P$1=""</formula>
    </cfRule>
  </conditionalFormatting>
  <conditionalFormatting sqref="P216:AA216">
    <cfRule type="expression" dxfId="3765" priority="294">
      <formula>P$1=""</formula>
    </cfRule>
  </conditionalFormatting>
  <conditionalFormatting sqref="P216:AA216">
    <cfRule type="expression" dxfId="3764" priority="293">
      <formula>P$1=""</formula>
    </cfRule>
  </conditionalFormatting>
  <conditionalFormatting sqref="P216:AA216">
    <cfRule type="expression" dxfId="3763" priority="292">
      <formula>P$1=""</formula>
    </cfRule>
  </conditionalFormatting>
  <conditionalFormatting sqref="P216:AA216">
    <cfRule type="expression" dxfId="3762" priority="291">
      <formula>P$1=""</formula>
    </cfRule>
  </conditionalFormatting>
  <conditionalFormatting sqref="P216:AA216">
    <cfRule type="expression" dxfId="3761" priority="290">
      <formula>P$1=""</formula>
    </cfRule>
  </conditionalFormatting>
  <conditionalFormatting sqref="P216:AA216">
    <cfRule type="expression" dxfId="3760" priority="289">
      <formula>P$1=""</formula>
    </cfRule>
  </conditionalFormatting>
  <conditionalFormatting sqref="P220:AA220 P222:AA222">
    <cfRule type="expression" dxfId="3759" priority="288">
      <formula>P$1=""</formula>
    </cfRule>
  </conditionalFormatting>
  <conditionalFormatting sqref="P220:AA220 P222:AA222">
    <cfRule type="expression" dxfId="3758" priority="287">
      <formula>P$1=""</formula>
    </cfRule>
  </conditionalFormatting>
  <conditionalFormatting sqref="P220:AA220 P222:AA222">
    <cfRule type="expression" dxfId="3757" priority="286">
      <formula>P$1=""</formula>
    </cfRule>
  </conditionalFormatting>
  <conditionalFormatting sqref="P220:AA220 P222:AA222">
    <cfRule type="expression" dxfId="3756" priority="285">
      <formula>P$1=""</formula>
    </cfRule>
  </conditionalFormatting>
  <conditionalFormatting sqref="P222 P220 P218">
    <cfRule type="expression" dxfId="3755" priority="284">
      <formula>P$1=""</formula>
    </cfRule>
  </conditionalFormatting>
  <conditionalFormatting sqref="P222 P220 P218">
    <cfRule type="expression" dxfId="3754" priority="283">
      <formula>P$1=""</formula>
    </cfRule>
  </conditionalFormatting>
  <conditionalFormatting sqref="P222 P220 P218">
    <cfRule type="expression" dxfId="3753" priority="282">
      <formula>P$1=""</formula>
    </cfRule>
  </conditionalFormatting>
  <conditionalFormatting sqref="P226:AA226">
    <cfRule type="expression" dxfId="3752" priority="281">
      <formula>P$1=""</formula>
    </cfRule>
  </conditionalFormatting>
  <conditionalFormatting sqref="P228:AA228">
    <cfRule type="expression" dxfId="3751" priority="280">
      <formula>P$1=""</formula>
    </cfRule>
  </conditionalFormatting>
  <conditionalFormatting sqref="P230:AA230">
    <cfRule type="expression" dxfId="3750" priority="279">
      <formula>P$1=""</formula>
    </cfRule>
  </conditionalFormatting>
  <conditionalFormatting sqref="P232:AA232">
    <cfRule type="expression" dxfId="3749" priority="278">
      <formula>P$1=""</formula>
    </cfRule>
  </conditionalFormatting>
  <conditionalFormatting sqref="P228:AA228 P230:AA230 P232:AA232">
    <cfRule type="expression" dxfId="3748" priority="277">
      <formula>P$1=""</formula>
    </cfRule>
  </conditionalFormatting>
  <conditionalFormatting sqref="P228:AA228 P230:AA230 P232:AA232">
    <cfRule type="expression" dxfId="3747" priority="276">
      <formula>P$1=""</formula>
    </cfRule>
  </conditionalFormatting>
  <conditionalFormatting sqref="P228:AA228 P230:AA230 P232:AA232">
    <cfRule type="expression" dxfId="3746" priority="275">
      <formula>P$1=""</formula>
    </cfRule>
  </conditionalFormatting>
  <conditionalFormatting sqref="P228:AA228 P230:AA230 P232:AA232">
    <cfRule type="expression" dxfId="3745" priority="274">
      <formula>P$1=""</formula>
    </cfRule>
  </conditionalFormatting>
  <conditionalFormatting sqref="P228:AA228 P230:AA230 P232:AA232">
    <cfRule type="expression" dxfId="3744" priority="273">
      <formula>P$1=""</formula>
    </cfRule>
  </conditionalFormatting>
  <conditionalFormatting sqref="P230:AA230 P232:AA232">
    <cfRule type="expression" dxfId="3743" priority="272">
      <formula>P$1=""</formula>
    </cfRule>
  </conditionalFormatting>
  <conditionalFormatting sqref="P228:AA228">
    <cfRule type="expression" dxfId="3742" priority="271">
      <formula>P$1=""</formula>
    </cfRule>
  </conditionalFormatting>
  <conditionalFormatting sqref="P230:AA230 P232:AA232">
    <cfRule type="expression" dxfId="3741" priority="270">
      <formula>P$1=""</formula>
    </cfRule>
  </conditionalFormatting>
  <conditionalFormatting sqref="P230:AA230 P232:AA232">
    <cfRule type="expression" dxfId="3740" priority="269">
      <formula>P$1=""</formula>
    </cfRule>
  </conditionalFormatting>
  <conditionalFormatting sqref="P232:AA232">
    <cfRule type="expression" dxfId="3739" priority="268">
      <formula>P$1=""</formula>
    </cfRule>
  </conditionalFormatting>
  <conditionalFormatting sqref="P232:AA232">
    <cfRule type="expression" dxfId="3738" priority="267">
      <formula>P$1=""</formula>
    </cfRule>
  </conditionalFormatting>
  <conditionalFormatting sqref="P232:AA232">
    <cfRule type="expression" dxfId="3737" priority="266">
      <formula>P$1=""</formula>
    </cfRule>
  </conditionalFormatting>
  <conditionalFormatting sqref="P232:AA232">
    <cfRule type="expression" dxfId="3736" priority="265">
      <formula>P$1=""</formula>
    </cfRule>
  </conditionalFormatting>
  <conditionalFormatting sqref="P226:AA226">
    <cfRule type="expression" dxfId="3735" priority="264">
      <formula>P$1=""</formula>
    </cfRule>
  </conditionalFormatting>
  <conditionalFormatting sqref="P226:AA226">
    <cfRule type="expression" dxfId="3734" priority="263">
      <formula>P$1=""</formula>
    </cfRule>
  </conditionalFormatting>
  <conditionalFormatting sqref="P226:AA226">
    <cfRule type="expression" dxfId="3733" priority="262">
      <formula>P$1=""</formula>
    </cfRule>
  </conditionalFormatting>
  <conditionalFormatting sqref="P226:AA226">
    <cfRule type="expression" dxfId="3732" priority="261">
      <formula>P$1=""</formula>
    </cfRule>
  </conditionalFormatting>
  <conditionalFormatting sqref="P226:AA226">
    <cfRule type="expression" dxfId="3731" priority="260">
      <formula>P$1=""</formula>
    </cfRule>
  </conditionalFormatting>
  <conditionalFormatting sqref="P226:AA226">
    <cfRule type="expression" dxfId="3730" priority="259">
      <formula>P$1=""</formula>
    </cfRule>
  </conditionalFormatting>
  <conditionalFormatting sqref="P226:AA226">
    <cfRule type="expression" dxfId="3729" priority="258">
      <formula>P$1=""</formula>
    </cfRule>
  </conditionalFormatting>
  <conditionalFormatting sqref="P230:AA230 P232:AA232">
    <cfRule type="expression" dxfId="3728" priority="257">
      <formula>P$1=""</formula>
    </cfRule>
  </conditionalFormatting>
  <conditionalFormatting sqref="P230:AA230 P232:AA232">
    <cfRule type="expression" dxfId="3727" priority="256">
      <formula>P$1=""</formula>
    </cfRule>
  </conditionalFormatting>
  <conditionalFormatting sqref="P230:AA230 P232:AA232">
    <cfRule type="expression" dxfId="3726" priority="255">
      <formula>P$1=""</formula>
    </cfRule>
  </conditionalFormatting>
  <conditionalFormatting sqref="P230:AA230 P232:AA232">
    <cfRule type="expression" dxfId="3725" priority="254">
      <formula>P$1=""</formula>
    </cfRule>
  </conditionalFormatting>
  <conditionalFormatting sqref="P232 P230 P228">
    <cfRule type="expression" dxfId="3724" priority="253">
      <formula>P$1=""</formula>
    </cfRule>
  </conditionalFormatting>
  <conditionalFormatting sqref="P232 P230 P228">
    <cfRule type="expression" dxfId="3723" priority="252">
      <formula>P$1=""</formula>
    </cfRule>
  </conditionalFormatting>
  <conditionalFormatting sqref="P232 P230 P228">
    <cfRule type="expression" dxfId="3722" priority="251">
      <formula>P$1=""</formula>
    </cfRule>
  </conditionalFormatting>
  <conditionalFormatting sqref="P238:AA238">
    <cfRule type="expression" dxfId="3721" priority="250">
      <formula>P$1=""</formula>
    </cfRule>
  </conditionalFormatting>
  <conditionalFormatting sqref="P238:AA238">
    <cfRule type="expression" dxfId="3720" priority="249">
      <formula>P$1=""</formula>
    </cfRule>
  </conditionalFormatting>
  <conditionalFormatting sqref="P238:AA238">
    <cfRule type="expression" dxfId="3719" priority="248">
      <formula>P$1=""</formula>
    </cfRule>
  </conditionalFormatting>
  <conditionalFormatting sqref="P238:AA238">
    <cfRule type="expression" dxfId="3718" priority="247">
      <formula>P$1=""</formula>
    </cfRule>
  </conditionalFormatting>
  <conditionalFormatting sqref="P238:AA238">
    <cfRule type="expression" dxfId="3717" priority="246">
      <formula>P$1=""</formula>
    </cfRule>
  </conditionalFormatting>
  <conditionalFormatting sqref="P238:AA238">
    <cfRule type="expression" dxfId="3716" priority="245">
      <formula>P$1=""</formula>
    </cfRule>
  </conditionalFormatting>
  <conditionalFormatting sqref="P238:AA238">
    <cfRule type="expression" dxfId="3715" priority="244">
      <formula>P$1=""</formula>
    </cfRule>
  </conditionalFormatting>
  <conditionalFormatting sqref="P238:AA238">
    <cfRule type="expression" dxfId="3714" priority="243">
      <formula>P$1=""</formula>
    </cfRule>
  </conditionalFormatting>
  <conditionalFormatting sqref="P238:AA238">
    <cfRule type="expression" dxfId="3713" priority="242">
      <formula>P$1=""</formula>
    </cfRule>
  </conditionalFormatting>
  <conditionalFormatting sqref="P238:AA238">
    <cfRule type="expression" dxfId="3712" priority="241">
      <formula>P$1=""</formula>
    </cfRule>
  </conditionalFormatting>
  <conditionalFormatting sqref="P238:AA238">
    <cfRule type="expression" dxfId="3711" priority="240">
      <formula>P$1=""</formula>
    </cfRule>
  </conditionalFormatting>
  <conditionalFormatting sqref="P238:AA238">
    <cfRule type="expression" dxfId="3710" priority="239">
      <formula>P$1=""</formula>
    </cfRule>
  </conditionalFormatting>
  <conditionalFormatting sqref="P238:AA238">
    <cfRule type="expression" dxfId="3709" priority="238">
      <formula>P$1=""</formula>
    </cfRule>
  </conditionalFormatting>
  <conditionalFormatting sqref="P238:AA238">
    <cfRule type="expression" dxfId="3708" priority="237">
      <formula>P$1=""</formula>
    </cfRule>
  </conditionalFormatting>
  <conditionalFormatting sqref="P238:AA238">
    <cfRule type="expression" dxfId="3707" priority="236">
      <formula>P$1=""</formula>
    </cfRule>
  </conditionalFormatting>
  <conditionalFormatting sqref="P238:AA238">
    <cfRule type="expression" dxfId="3706" priority="235">
      <formula>P$1=""</formula>
    </cfRule>
  </conditionalFormatting>
  <conditionalFormatting sqref="P238:AA238">
    <cfRule type="expression" dxfId="3705" priority="234">
      <formula>P$1=""</formula>
    </cfRule>
  </conditionalFormatting>
  <conditionalFormatting sqref="P238:AA238">
    <cfRule type="expression" dxfId="3704" priority="233">
      <formula>P$1=""</formula>
    </cfRule>
  </conditionalFormatting>
  <conditionalFormatting sqref="P238:AA238">
    <cfRule type="expression" dxfId="3703" priority="232">
      <formula>P$1=""</formula>
    </cfRule>
  </conditionalFormatting>
  <conditionalFormatting sqref="P238:AA238">
    <cfRule type="expression" dxfId="3702" priority="231">
      <formula>P$1=""</formula>
    </cfRule>
  </conditionalFormatting>
  <conditionalFormatting sqref="P238:AA238">
    <cfRule type="expression" dxfId="3701" priority="230">
      <formula>P$1=""</formula>
    </cfRule>
  </conditionalFormatting>
  <conditionalFormatting sqref="P238:AA238">
    <cfRule type="expression" dxfId="3700" priority="229">
      <formula>P$1=""</formula>
    </cfRule>
  </conditionalFormatting>
  <conditionalFormatting sqref="P238:AA238">
    <cfRule type="expression" dxfId="3699" priority="228">
      <formula>P$1=""</formula>
    </cfRule>
  </conditionalFormatting>
  <conditionalFormatting sqref="P240:AA240">
    <cfRule type="expression" dxfId="3698" priority="227">
      <formula>P$1=""</formula>
    </cfRule>
  </conditionalFormatting>
  <conditionalFormatting sqref="P240:AA240">
    <cfRule type="expression" dxfId="3697" priority="226">
      <formula>P$1=""</formula>
    </cfRule>
  </conditionalFormatting>
  <conditionalFormatting sqref="P240:AA240">
    <cfRule type="expression" dxfId="3696" priority="225">
      <formula>P$1=""</formula>
    </cfRule>
  </conditionalFormatting>
  <conditionalFormatting sqref="P240:AA240">
    <cfRule type="expression" dxfId="3695" priority="224">
      <formula>P$1=""</formula>
    </cfRule>
  </conditionalFormatting>
  <conditionalFormatting sqref="P240:AA240">
    <cfRule type="expression" dxfId="3694" priority="223">
      <formula>P$1=""</formula>
    </cfRule>
  </conditionalFormatting>
  <conditionalFormatting sqref="P240:AA240">
    <cfRule type="expression" dxfId="3693" priority="222">
      <formula>P$1=""</formula>
    </cfRule>
  </conditionalFormatting>
  <conditionalFormatting sqref="P240:AA240">
    <cfRule type="expression" dxfId="3692" priority="221">
      <formula>P$1=""</formula>
    </cfRule>
  </conditionalFormatting>
  <conditionalFormatting sqref="P240:AA240">
    <cfRule type="expression" dxfId="3691" priority="220">
      <formula>P$1=""</formula>
    </cfRule>
  </conditionalFormatting>
  <conditionalFormatting sqref="P240:AA240">
    <cfRule type="expression" dxfId="3690" priority="219">
      <formula>P$1=""</formula>
    </cfRule>
  </conditionalFormatting>
  <conditionalFormatting sqref="P240:AA240">
    <cfRule type="expression" dxfId="3689" priority="218">
      <formula>P$1=""</formula>
    </cfRule>
  </conditionalFormatting>
  <conditionalFormatting sqref="P240:AA240">
    <cfRule type="expression" dxfId="3688" priority="217">
      <formula>P$1=""</formula>
    </cfRule>
  </conditionalFormatting>
  <conditionalFormatting sqref="P240:AA240">
    <cfRule type="expression" dxfId="3687" priority="216">
      <formula>P$1=""</formula>
    </cfRule>
  </conditionalFormatting>
  <conditionalFormatting sqref="P240:AA240">
    <cfRule type="expression" dxfId="3686" priority="215">
      <formula>P$1=""</formula>
    </cfRule>
  </conditionalFormatting>
  <conditionalFormatting sqref="P240:AA240">
    <cfRule type="expression" dxfId="3685" priority="214">
      <formula>P$1=""</formula>
    </cfRule>
  </conditionalFormatting>
  <conditionalFormatting sqref="P240:AA240">
    <cfRule type="expression" dxfId="3684" priority="213">
      <formula>P$1=""</formula>
    </cfRule>
  </conditionalFormatting>
  <conditionalFormatting sqref="P240:AA240">
    <cfRule type="expression" dxfId="3683" priority="212">
      <formula>P$1=""</formula>
    </cfRule>
  </conditionalFormatting>
  <conditionalFormatting sqref="P240:AA240">
    <cfRule type="expression" dxfId="3682" priority="211">
      <formula>P$1=""</formula>
    </cfRule>
  </conditionalFormatting>
  <conditionalFormatting sqref="P240:AA240">
    <cfRule type="expression" dxfId="3681" priority="210">
      <formula>P$1=""</formula>
    </cfRule>
  </conditionalFormatting>
  <conditionalFormatting sqref="P240:AA240">
    <cfRule type="expression" dxfId="3680" priority="209">
      <formula>P$1=""</formula>
    </cfRule>
  </conditionalFormatting>
  <conditionalFormatting sqref="P240:AA240">
    <cfRule type="expression" dxfId="3679" priority="208">
      <formula>P$1=""</formula>
    </cfRule>
  </conditionalFormatting>
  <conditionalFormatting sqref="P240:AA240">
    <cfRule type="expression" dxfId="3678" priority="207">
      <formula>P$1=""</formula>
    </cfRule>
  </conditionalFormatting>
  <conditionalFormatting sqref="P242:AA242">
    <cfRule type="expression" dxfId="3677" priority="206">
      <formula>P$1=""</formula>
    </cfRule>
  </conditionalFormatting>
  <conditionalFormatting sqref="P242:AA242">
    <cfRule type="expression" dxfId="3676" priority="205">
      <formula>P$1=""</formula>
    </cfRule>
  </conditionalFormatting>
  <conditionalFormatting sqref="P242:AA242">
    <cfRule type="expression" dxfId="3675" priority="204">
      <formula>P$1=""</formula>
    </cfRule>
  </conditionalFormatting>
  <conditionalFormatting sqref="P242:AA242">
    <cfRule type="expression" dxfId="3674" priority="203">
      <formula>P$1=""</formula>
    </cfRule>
  </conditionalFormatting>
  <conditionalFormatting sqref="P242:AA242">
    <cfRule type="expression" dxfId="3673" priority="202">
      <formula>P$1=""</formula>
    </cfRule>
  </conditionalFormatting>
  <conditionalFormatting sqref="P242:AA242">
    <cfRule type="expression" dxfId="3672" priority="201">
      <formula>P$1=""</formula>
    </cfRule>
  </conditionalFormatting>
  <conditionalFormatting sqref="P242:AA242">
    <cfRule type="expression" dxfId="3671" priority="200">
      <formula>P$1=""</formula>
    </cfRule>
  </conditionalFormatting>
  <conditionalFormatting sqref="P242:AA242">
    <cfRule type="expression" dxfId="3670" priority="199">
      <formula>P$1=""</formula>
    </cfRule>
  </conditionalFormatting>
  <conditionalFormatting sqref="P242:AA242">
    <cfRule type="expression" dxfId="3669" priority="198">
      <formula>P$1=""</formula>
    </cfRule>
  </conditionalFormatting>
  <conditionalFormatting sqref="P242:AA242">
    <cfRule type="expression" dxfId="3668" priority="197">
      <formula>P$1=""</formula>
    </cfRule>
  </conditionalFormatting>
  <conditionalFormatting sqref="P242:AA242">
    <cfRule type="expression" dxfId="3667" priority="196">
      <formula>P$1=""</formula>
    </cfRule>
  </conditionalFormatting>
  <conditionalFormatting sqref="P242:AA242">
    <cfRule type="expression" dxfId="3666" priority="195">
      <formula>P$1=""</formula>
    </cfRule>
  </conditionalFormatting>
  <conditionalFormatting sqref="P242:AA242">
    <cfRule type="expression" dxfId="3665" priority="194">
      <formula>P$1=""</formula>
    </cfRule>
  </conditionalFormatting>
  <conditionalFormatting sqref="P242:AA242">
    <cfRule type="expression" dxfId="3664" priority="193">
      <formula>P$1=""</formula>
    </cfRule>
  </conditionalFormatting>
  <conditionalFormatting sqref="P242:AA242">
    <cfRule type="expression" dxfId="3663" priority="192">
      <formula>P$1=""</formula>
    </cfRule>
  </conditionalFormatting>
  <conditionalFormatting sqref="P242:AA242">
    <cfRule type="expression" dxfId="3662" priority="191">
      <formula>P$1=""</formula>
    </cfRule>
  </conditionalFormatting>
  <conditionalFormatting sqref="P242:AA242">
    <cfRule type="expression" dxfId="3661" priority="190">
      <formula>P$1=""</formula>
    </cfRule>
  </conditionalFormatting>
  <conditionalFormatting sqref="P242:AA242">
    <cfRule type="expression" dxfId="3660" priority="189">
      <formula>P$1=""</formula>
    </cfRule>
  </conditionalFormatting>
  <conditionalFormatting sqref="P242:AA242">
    <cfRule type="expression" dxfId="3659" priority="188">
      <formula>P$1=""</formula>
    </cfRule>
  </conditionalFormatting>
  <conditionalFormatting sqref="P242:AA242">
    <cfRule type="expression" dxfId="3658" priority="187">
      <formula>P$1=""</formula>
    </cfRule>
  </conditionalFormatting>
  <conditionalFormatting sqref="P242:AA242">
    <cfRule type="expression" dxfId="3657" priority="186">
      <formula>P$1=""</formula>
    </cfRule>
  </conditionalFormatting>
  <conditionalFormatting sqref="P246:AA246">
    <cfRule type="expression" dxfId="3656" priority="185">
      <formula>P$1=""</formula>
    </cfRule>
  </conditionalFormatting>
  <conditionalFormatting sqref="P248:AA248">
    <cfRule type="expression" dxfId="3655" priority="184">
      <formula>P$1=""</formula>
    </cfRule>
  </conditionalFormatting>
  <conditionalFormatting sqref="P250:AA250">
    <cfRule type="expression" dxfId="3654" priority="183">
      <formula>P$1=""</formula>
    </cfRule>
  </conditionalFormatting>
  <conditionalFormatting sqref="P252:AA252">
    <cfRule type="expression" dxfId="3653" priority="182">
      <formula>P$1=""</formula>
    </cfRule>
  </conditionalFormatting>
  <conditionalFormatting sqref="P248:AA248 P250:AA250 P252:AA252">
    <cfRule type="expression" dxfId="3652" priority="181">
      <formula>P$1=""</formula>
    </cfRule>
  </conditionalFormatting>
  <conditionalFormatting sqref="P248:AA248 P250:AA250 P252:AA252">
    <cfRule type="expression" dxfId="3651" priority="180">
      <formula>P$1=""</formula>
    </cfRule>
  </conditionalFormatting>
  <conditionalFormatting sqref="P248:AA248 P250:AA250 P252:AA252">
    <cfRule type="expression" dxfId="3650" priority="179">
      <formula>P$1=""</formula>
    </cfRule>
  </conditionalFormatting>
  <conditionalFormatting sqref="P248:AA248 P250:AA250 P252:AA252">
    <cfRule type="expression" dxfId="3649" priority="178">
      <formula>P$1=""</formula>
    </cfRule>
  </conditionalFormatting>
  <conditionalFormatting sqref="P248:AA248 P250:AA250 P252:AA252">
    <cfRule type="expression" dxfId="3648" priority="177">
      <formula>P$1=""</formula>
    </cfRule>
  </conditionalFormatting>
  <conditionalFormatting sqref="P250:AA250 P252:AA252">
    <cfRule type="expression" dxfId="3647" priority="176">
      <formula>P$1=""</formula>
    </cfRule>
  </conditionalFormatting>
  <conditionalFormatting sqref="P248:AA248">
    <cfRule type="expression" dxfId="3646" priority="175">
      <formula>P$1=""</formula>
    </cfRule>
  </conditionalFormatting>
  <conditionalFormatting sqref="P250:AA250 P252:AA252">
    <cfRule type="expression" dxfId="3645" priority="174">
      <formula>P$1=""</formula>
    </cfRule>
  </conditionalFormatting>
  <conditionalFormatting sqref="P250:AA250 P252:AA252">
    <cfRule type="expression" dxfId="3644" priority="173">
      <formula>P$1=""</formula>
    </cfRule>
  </conditionalFormatting>
  <conditionalFormatting sqref="P252:AA252">
    <cfRule type="expression" dxfId="3643" priority="172">
      <formula>P$1=""</formula>
    </cfRule>
  </conditionalFormatting>
  <conditionalFormatting sqref="P252:AA252">
    <cfRule type="expression" dxfId="3642" priority="171">
      <formula>P$1=""</formula>
    </cfRule>
  </conditionalFormatting>
  <conditionalFormatting sqref="P252:AA252">
    <cfRule type="expression" dxfId="3641" priority="170">
      <formula>P$1=""</formula>
    </cfRule>
  </conditionalFormatting>
  <conditionalFormatting sqref="P252:AA252">
    <cfRule type="expression" dxfId="3640" priority="169">
      <formula>P$1=""</formula>
    </cfRule>
  </conditionalFormatting>
  <conditionalFormatting sqref="P246:AA246">
    <cfRule type="expression" dxfId="3639" priority="168">
      <formula>P$1=""</formula>
    </cfRule>
  </conditionalFormatting>
  <conditionalFormatting sqref="P246:AA246">
    <cfRule type="expression" dxfId="3638" priority="167">
      <formula>P$1=""</formula>
    </cfRule>
  </conditionalFormatting>
  <conditionalFormatting sqref="P246:AA246">
    <cfRule type="expression" dxfId="3637" priority="166">
      <formula>P$1=""</formula>
    </cfRule>
  </conditionalFormatting>
  <conditionalFormatting sqref="P246:AA246">
    <cfRule type="expression" dxfId="3636" priority="165">
      <formula>P$1=""</formula>
    </cfRule>
  </conditionalFormatting>
  <conditionalFormatting sqref="P246:AA246">
    <cfRule type="expression" dxfId="3635" priority="164">
      <formula>P$1=""</formula>
    </cfRule>
  </conditionalFormatting>
  <conditionalFormatting sqref="P246:AA246">
    <cfRule type="expression" dxfId="3634" priority="163">
      <formula>P$1=""</formula>
    </cfRule>
  </conditionalFormatting>
  <conditionalFormatting sqref="P246:AA246">
    <cfRule type="expression" dxfId="3633" priority="162">
      <formula>P$1=""</formula>
    </cfRule>
  </conditionalFormatting>
  <conditionalFormatting sqref="P250:AA250 P252:AA252">
    <cfRule type="expression" dxfId="3632" priority="161">
      <formula>P$1=""</formula>
    </cfRule>
  </conditionalFormatting>
  <conditionalFormatting sqref="P250:AA250 P252:AA252">
    <cfRule type="expression" dxfId="3631" priority="160">
      <formula>P$1=""</formula>
    </cfRule>
  </conditionalFormatting>
  <conditionalFormatting sqref="P250:AA250 P252:AA252">
    <cfRule type="expression" dxfId="3630" priority="159">
      <formula>P$1=""</formula>
    </cfRule>
  </conditionalFormatting>
  <conditionalFormatting sqref="P250:AA250 P252:AA252">
    <cfRule type="expression" dxfId="3629" priority="158">
      <formula>P$1=""</formula>
    </cfRule>
  </conditionalFormatting>
  <conditionalFormatting sqref="P252 P250 P248">
    <cfRule type="expression" dxfId="3628" priority="157">
      <formula>P$1=""</formula>
    </cfRule>
  </conditionalFormatting>
  <conditionalFormatting sqref="P252 P250 P248">
    <cfRule type="expression" dxfId="3627" priority="156">
      <formula>P$1=""</formula>
    </cfRule>
  </conditionalFormatting>
  <conditionalFormatting sqref="P252 P250 P248">
    <cfRule type="expression" dxfId="3626" priority="155">
      <formula>P$1=""</formula>
    </cfRule>
  </conditionalFormatting>
  <conditionalFormatting sqref="C3:E6">
    <cfRule type="cellIs" dxfId="3625" priority="154" operator="equal">
      <formula>0</formula>
    </cfRule>
  </conditionalFormatting>
  <conditionalFormatting sqref="G6">
    <cfRule type="cellIs" dxfId="3624" priority="153" operator="equal">
      <formula>0</formula>
    </cfRule>
  </conditionalFormatting>
  <conditionalFormatting sqref="A1:D1">
    <cfRule type="cellIs" dxfId="3623" priority="152" operator="equal">
      <formula>0</formula>
    </cfRule>
  </conditionalFormatting>
  <conditionalFormatting sqref="A254:XFD264">
    <cfRule type="cellIs" dxfId="3622" priority="151" operator="equal">
      <formula>0</formula>
    </cfRule>
  </conditionalFormatting>
  <hyperlinks>
    <hyperlink ref="A1:D1" location="оглавление!A1" tooltip="оглавление" display="оглавление"/>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150" id="{E301FFE1-73A8-4950-8999-37C3E69BCC18}">
            <xm:f>отчеты!P$1=""</xm:f>
            <x14:dxf>
              <fill>
                <patternFill>
                  <bgColor theme="0"/>
                </patternFill>
              </fill>
            </x14:dxf>
          </x14:cfRule>
          <xm:sqref>P256:AA256 P262:AA262 P260:AA260 P258:AA258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B418"/>
  <sheetViews>
    <sheetView workbookViewId="0">
      <pane xSplit="14" ySplit="10" topLeftCell="O11" activePane="bottomRight" state="frozen"/>
      <selection pane="topRight" activeCell="O1" sqref="O1"/>
      <selection pane="bottomLeft" activeCell="A11" sqref="A11"/>
      <selection pane="bottomRight" activeCell="A12" sqref="A12"/>
    </sheetView>
  </sheetViews>
  <sheetFormatPr defaultColWidth="9.109375" defaultRowHeight="12" x14ac:dyDescent="0.25"/>
  <cols>
    <col min="1" max="4" width="2.6640625"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
        <v>191</v>
      </c>
      <c r="N1" s="42"/>
      <c r="O1" s="42"/>
      <c r="P1" s="43">
        <f>IF($J$13="","",IF(MONTH($J$13)&lt;&gt;1,0,1))</f>
        <v>1</v>
      </c>
      <c r="Q1" s="43">
        <f t="shared" ref="Q1:AA1" si="0">IF(P1="","",IF(P1+1&gt;$J$16,"",P1+1))</f>
        <v>2</v>
      </c>
      <c r="R1" s="43">
        <f t="shared" si="0"/>
        <v>3</v>
      </c>
      <c r="S1" s="43">
        <f t="shared" si="0"/>
        <v>4</v>
      </c>
      <c r="T1" s="43">
        <f t="shared" si="0"/>
        <v>5</v>
      </c>
      <c r="U1" s="43">
        <f t="shared" si="0"/>
        <v>6</v>
      </c>
      <c r="V1" s="43">
        <f t="shared" si="0"/>
        <v>7</v>
      </c>
      <c r="W1" s="43" t="str">
        <f t="shared" si="0"/>
        <v/>
      </c>
      <c r="X1" s="43" t="str">
        <f t="shared" si="0"/>
        <v/>
      </c>
      <c r="Y1" s="43" t="str">
        <f t="shared" si="0"/>
        <v/>
      </c>
      <c r="Z1" s="43" t="str">
        <f t="shared" si="0"/>
        <v/>
      </c>
      <c r="AA1" s="43" t="str">
        <f t="shared" si="0"/>
        <v/>
      </c>
      <c r="AB1" s="2"/>
    </row>
    <row r="2" spans="1:28" x14ac:dyDescent="0.25">
      <c r="A2" s="2"/>
      <c r="B2" s="2"/>
      <c r="C2" s="2"/>
      <c r="D2" s="2"/>
      <c r="E2" s="2"/>
      <c r="F2" s="2"/>
      <c r="G2" s="2"/>
      <c r="H2" s="2"/>
      <c r="I2" s="28"/>
      <c r="J2" s="2"/>
      <c r="K2" s="28"/>
      <c r="L2" s="2"/>
      <c r="M2" s="52"/>
      <c r="N2" s="2"/>
      <c r="O2" s="2"/>
      <c r="P2" s="2"/>
      <c r="Q2" s="36"/>
      <c r="R2" s="2"/>
      <c r="S2" s="2"/>
      <c r="T2" s="2"/>
      <c r="U2" s="2"/>
      <c r="V2" s="2"/>
      <c r="W2" s="2"/>
      <c r="X2" s="2"/>
      <c r="Y2" s="2"/>
      <c r="Z2" s="2"/>
      <c r="AA2" s="2"/>
      <c r="AB2" s="2"/>
    </row>
    <row r="3" spans="1:28" x14ac:dyDescent="0.25">
      <c r="A3" s="2"/>
      <c r="B3" s="2"/>
      <c r="C3" s="89" t="str">
        <f>методология!$E$4</f>
        <v>Инвестмодель базы отдыха - Беседки &amp; Веревочный парк</v>
      </c>
      <c r="D3" s="20"/>
      <c r="E3" s="20"/>
      <c r="F3" s="2"/>
      <c r="G3" s="2"/>
      <c r="H3" s="2"/>
      <c r="I3" s="28"/>
      <c r="J3" s="2"/>
      <c r="K3" s="28"/>
      <c r="L3" s="2"/>
      <c r="M3" s="52"/>
      <c r="N3" s="2"/>
      <c r="O3" s="2"/>
      <c r="P3" s="2"/>
      <c r="Q3" s="2"/>
      <c r="R3" s="2"/>
      <c r="S3" s="2"/>
      <c r="T3" s="2"/>
      <c r="U3" s="2"/>
      <c r="V3" s="2"/>
      <c r="W3" s="2"/>
      <c r="X3" s="2"/>
      <c r="Y3" s="2"/>
      <c r="Z3" s="2"/>
      <c r="AA3" s="2"/>
      <c r="AB3" s="2"/>
    </row>
    <row r="4" spans="1:28" x14ac:dyDescent="0.25">
      <c r="A4" s="2"/>
      <c r="B4" s="2"/>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2"/>
      <c r="B5" s="2"/>
      <c r="C5" s="2"/>
      <c r="D5" s="2"/>
      <c r="E5" s="2"/>
      <c r="F5" s="2"/>
      <c r="G5" s="2"/>
      <c r="H5" s="2"/>
      <c r="I5" s="28"/>
      <c r="J5" s="2"/>
      <c r="K5" s="28"/>
      <c r="L5" s="2"/>
      <c r="M5" s="52"/>
      <c r="N5" s="2"/>
      <c r="O5" s="2"/>
      <c r="P5" s="2"/>
      <c r="Q5" s="2"/>
      <c r="R5" s="2"/>
      <c r="S5" s="2"/>
      <c r="T5" s="2"/>
      <c r="U5" s="2"/>
      <c r="V5" s="2"/>
      <c r="W5" s="2"/>
      <c r="X5" s="2"/>
      <c r="Y5" s="2"/>
      <c r="Z5" s="2"/>
      <c r="AA5" s="2"/>
      <c r="AB5" s="2"/>
    </row>
    <row r="6" spans="1:28" x14ac:dyDescent="0.25">
      <c r="A6" s="2"/>
      <c r="B6" s="2"/>
      <c r="C6" s="225" t="s">
        <v>305</v>
      </c>
      <c r="D6" s="210"/>
      <c r="E6" s="226"/>
      <c r="F6" s="2"/>
      <c r="G6" s="2"/>
      <c r="H6" s="2"/>
      <c r="I6" s="28"/>
      <c r="J6" s="2"/>
      <c r="K6" s="28"/>
      <c r="L6" s="2"/>
      <c r="M6" s="52"/>
      <c r="N6" s="2"/>
      <c r="O6" s="2"/>
      <c r="P6" s="96" t="str">
        <f>IF(P$1="","",IF(P$1&gt;0,YEAR(P8)&amp;"г.",""))</f>
        <v>2022г.</v>
      </c>
      <c r="Q6" s="96" t="str">
        <f t="shared" ref="Q6:AA6" si="1">IF(Q$1="","",IF(Q$1&gt;0,YEAR(Q8)&amp;"г.",""))</f>
        <v>2023г.</v>
      </c>
      <c r="R6" s="96" t="str">
        <f t="shared" si="1"/>
        <v>2024г.</v>
      </c>
      <c r="S6" s="96" t="str">
        <f t="shared" si="1"/>
        <v>2025г.</v>
      </c>
      <c r="T6" s="96" t="str">
        <f t="shared" si="1"/>
        <v>2026г.</v>
      </c>
      <c r="U6" s="96" t="str">
        <f t="shared" si="1"/>
        <v>2027г.</v>
      </c>
      <c r="V6" s="96" t="str">
        <f t="shared" si="1"/>
        <v>2028г.</v>
      </c>
      <c r="W6" s="96" t="str">
        <f t="shared" si="1"/>
        <v/>
      </c>
      <c r="X6" s="96" t="str">
        <f t="shared" si="1"/>
        <v/>
      </c>
      <c r="Y6" s="96" t="str">
        <f t="shared" si="1"/>
        <v/>
      </c>
      <c r="Z6" s="96" t="str">
        <f t="shared" si="1"/>
        <v/>
      </c>
      <c r="AA6" s="96" t="str">
        <f t="shared" si="1"/>
        <v/>
      </c>
      <c r="AB6" s="2"/>
    </row>
    <row r="7" spans="1:28" x14ac:dyDescent="0.25">
      <c r="A7" s="2"/>
      <c r="B7" s="2"/>
      <c r="C7" s="2"/>
      <c r="D7" s="2"/>
      <c r="E7" s="2" t="s">
        <v>166</v>
      </c>
      <c r="F7" s="2"/>
      <c r="G7" s="2"/>
      <c r="H7" s="2"/>
      <c r="I7" s="28"/>
      <c r="J7" s="2"/>
      <c r="K7" s="28"/>
      <c r="L7" s="2"/>
      <c r="M7" s="52"/>
      <c r="N7" s="2"/>
      <c r="O7" s="2"/>
      <c r="P7" s="94">
        <f>IF($J$13="","",$J$13)</f>
        <v>44562</v>
      </c>
      <c r="Q7" s="94">
        <f>IF(Q$1="","",P8+1)</f>
        <v>44927</v>
      </c>
      <c r="R7" s="94">
        <f t="shared" ref="R7:AA7" si="2">IF(R$1="","",Q8+1)</f>
        <v>45292</v>
      </c>
      <c r="S7" s="94">
        <f t="shared" si="2"/>
        <v>45658</v>
      </c>
      <c r="T7" s="94">
        <f t="shared" si="2"/>
        <v>46023</v>
      </c>
      <c r="U7" s="94">
        <f t="shared" si="2"/>
        <v>46388</v>
      </c>
      <c r="V7" s="94">
        <f t="shared" si="2"/>
        <v>46753</v>
      </c>
      <c r="W7" s="94" t="str">
        <f t="shared" si="2"/>
        <v/>
      </c>
      <c r="X7" s="94" t="str">
        <f t="shared" si="2"/>
        <v/>
      </c>
      <c r="Y7" s="94" t="str">
        <f t="shared" si="2"/>
        <v/>
      </c>
      <c r="Z7" s="94" t="str">
        <f t="shared" si="2"/>
        <v/>
      </c>
      <c r="AA7" s="94" t="str">
        <f t="shared" si="2"/>
        <v/>
      </c>
      <c r="AB7" s="2"/>
    </row>
    <row r="8" spans="1:28" s="5" customFormat="1" x14ac:dyDescent="0.25">
      <c r="A8" s="3"/>
      <c r="B8" s="3"/>
      <c r="C8" s="3"/>
      <c r="D8" s="3"/>
      <c r="E8" s="3" t="str">
        <f>KPI!$E$8</f>
        <v>KPI</v>
      </c>
      <c r="F8" s="3"/>
      <c r="G8" s="28" t="str">
        <f>KPI!$G$8</f>
        <v>ед.изм.</v>
      </c>
      <c r="H8" s="3"/>
      <c r="I8" s="28"/>
      <c r="J8" s="3"/>
      <c r="K8" s="28"/>
      <c r="L8" s="3"/>
      <c r="M8" s="53" t="s">
        <v>8</v>
      </c>
      <c r="N8" s="3"/>
      <c r="O8" s="3"/>
      <c r="P8" s="95">
        <f>IF(P7="","",EOMONTH(P7,12-MONTH(P7)))</f>
        <v>44926</v>
      </c>
      <c r="Q8" s="95">
        <f>IF(Q$1="","",EOMONTH(Q$7,11))</f>
        <v>45291</v>
      </c>
      <c r="R8" s="95">
        <f t="shared" ref="R8:AA8" si="3">IF(R$1="","",EOMONTH(R$7,11))</f>
        <v>45657</v>
      </c>
      <c r="S8" s="95">
        <f t="shared" si="3"/>
        <v>46022</v>
      </c>
      <c r="T8" s="95">
        <f t="shared" si="3"/>
        <v>46387</v>
      </c>
      <c r="U8" s="95">
        <f t="shared" si="3"/>
        <v>46752</v>
      </c>
      <c r="V8" s="95">
        <f t="shared" si="3"/>
        <v>47118</v>
      </c>
      <c r="W8" s="95" t="str">
        <f t="shared" si="3"/>
        <v/>
      </c>
      <c r="X8" s="95" t="str">
        <f t="shared" si="3"/>
        <v/>
      </c>
      <c r="Y8" s="95" t="str">
        <f t="shared" si="3"/>
        <v/>
      </c>
      <c r="Z8" s="95" t="str">
        <f t="shared" si="3"/>
        <v/>
      </c>
      <c r="AA8" s="95" t="str">
        <f t="shared" si="3"/>
        <v/>
      </c>
      <c r="AB8" s="3"/>
    </row>
    <row r="9" spans="1:28" ht="3.9" customHeight="1" x14ac:dyDescent="0.25">
      <c r="A9" s="2"/>
      <c r="B9" s="2"/>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customHeight="1" x14ac:dyDescent="0.25">
      <c r="A10" s="2"/>
      <c r="B10" s="2"/>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x14ac:dyDescent="0.25">
      <c r="A11" s="3"/>
      <c r="B11" s="3"/>
      <c r="C11" s="3"/>
      <c r="D11" s="3"/>
      <c r="E11" s="3" t="str">
        <f>структура!$S$8</f>
        <v>операционный период</v>
      </c>
      <c r="F11" s="3"/>
      <c r="G11" s="3"/>
      <c r="H11" s="3"/>
      <c r="I11" s="28"/>
      <c r="J11" s="3"/>
      <c r="K11" s="28"/>
      <c r="L11" s="3"/>
      <c r="M11" s="55"/>
      <c r="N11" s="3"/>
      <c r="O11" s="3"/>
      <c r="P11" s="46"/>
      <c r="Q11" s="46"/>
      <c r="R11" s="46"/>
      <c r="S11" s="46"/>
      <c r="T11" s="46"/>
      <c r="U11" s="46"/>
      <c r="V11" s="46"/>
      <c r="W11" s="46"/>
      <c r="X11" s="46"/>
      <c r="Y11" s="46"/>
      <c r="Z11" s="46"/>
      <c r="AA11" s="46"/>
      <c r="AB11" s="3"/>
    </row>
    <row r="12" spans="1:28" ht="3.9" customHeight="1" x14ac:dyDescent="0.25">
      <c r="A12" s="2"/>
      <c r="B12" s="2"/>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x14ac:dyDescent="0.25">
      <c r="A13" s="3"/>
      <c r="B13" s="3"/>
      <c r="C13" s="3"/>
      <c r="D13" s="3"/>
      <c r="E13" s="3" t="str">
        <f>KPI!$E$29</f>
        <v>месяц начала операционной деятельности</v>
      </c>
      <c r="F13" s="3"/>
      <c r="G13" s="3"/>
      <c r="H13" s="3"/>
      <c r="I13" s="3"/>
      <c r="J13" s="44">
        <f>EOMONTH(капитал!$J$15,0)+1</f>
        <v>44562</v>
      </c>
      <c r="K13" s="3"/>
      <c r="L13" s="3"/>
      <c r="M13" s="55"/>
      <c r="N13" s="3"/>
      <c r="O13" s="3"/>
      <c r="P13" s="46"/>
      <c r="Q13" s="46"/>
      <c r="R13" s="46"/>
      <c r="S13" s="46"/>
      <c r="T13" s="46"/>
      <c r="U13" s="46"/>
      <c r="V13" s="46"/>
      <c r="W13" s="46"/>
      <c r="X13" s="46"/>
      <c r="Y13" s="46"/>
      <c r="Z13" s="46"/>
      <c r="AA13" s="46"/>
      <c r="AB13" s="3"/>
    </row>
    <row r="14" spans="1:28" ht="3.9" customHeight="1" x14ac:dyDescent="0.25">
      <c r="A14" s="2"/>
      <c r="B14" s="2"/>
      <c r="C14" s="2"/>
      <c r="D14" s="2"/>
      <c r="E14" s="21"/>
      <c r="F14" s="2"/>
      <c r="G14" s="2"/>
      <c r="H14" s="2"/>
      <c r="I14" s="28"/>
      <c r="J14" s="21"/>
      <c r="K14" s="28"/>
      <c r="L14" s="3"/>
      <c r="M14" s="52"/>
      <c r="N14" s="2"/>
      <c r="O14" s="2"/>
      <c r="P14" s="36"/>
      <c r="Q14" s="36"/>
      <c r="R14" s="36"/>
      <c r="S14" s="36"/>
      <c r="T14" s="36"/>
      <c r="U14" s="36"/>
      <c r="V14" s="36"/>
      <c r="W14" s="36"/>
      <c r="X14" s="36"/>
      <c r="Y14" s="36"/>
      <c r="Z14" s="36"/>
      <c r="AA14" s="36"/>
      <c r="AB14" s="2"/>
    </row>
    <row r="15" spans="1:28" ht="3.9" customHeight="1" x14ac:dyDescent="0.25">
      <c r="A15" s="2"/>
      <c r="B15" s="2"/>
      <c r="C15" s="2"/>
      <c r="D15" s="2"/>
      <c r="E15" s="2"/>
      <c r="F15" s="2"/>
      <c r="G15" s="2"/>
      <c r="H15" s="2"/>
      <c r="I15" s="28"/>
      <c r="J15" s="2"/>
      <c r="K15" s="28"/>
      <c r="L15" s="3"/>
      <c r="M15" s="52"/>
      <c r="N15" s="2"/>
      <c r="O15" s="2"/>
      <c r="P15" s="36"/>
      <c r="Q15" s="36"/>
      <c r="R15" s="36"/>
      <c r="S15" s="36"/>
      <c r="T15" s="36"/>
      <c r="U15" s="36"/>
      <c r="V15" s="36"/>
      <c r="W15" s="36"/>
      <c r="X15" s="36"/>
      <c r="Y15" s="36"/>
      <c r="Z15" s="36"/>
      <c r="AA15" s="36"/>
      <c r="AB15" s="2"/>
    </row>
    <row r="16" spans="1:28" s="5" customFormat="1" x14ac:dyDescent="0.25">
      <c r="A16" s="3"/>
      <c r="B16" s="3"/>
      <c r="C16" s="3"/>
      <c r="D16" s="3"/>
      <c r="E16" s="3" t="str">
        <f>KPI!$E$30</f>
        <v>горизонт моделирования</v>
      </c>
      <c r="F16" s="3"/>
      <c r="G16" s="3" t="str">
        <f>IF($E16="","",INDEX(KPI!$G:$G,SUMIFS(KPI!$B:$B,KPI!$E:$E,$E16)))</f>
        <v>к-во лет</v>
      </c>
      <c r="H16" s="3"/>
      <c r="I16" s="6"/>
      <c r="J16" s="204">
        <f>операции!J16</f>
        <v>7</v>
      </c>
      <c r="K16" s="30"/>
      <c r="L16" s="3"/>
      <c r="M16" s="55"/>
      <c r="N16" s="3"/>
      <c r="O16" s="3"/>
      <c r="P16" s="46"/>
      <c r="Q16" s="46"/>
      <c r="R16" s="46"/>
      <c r="S16" s="46"/>
      <c r="T16" s="46"/>
      <c r="U16" s="46"/>
      <c r="V16" s="46"/>
      <c r="W16" s="46"/>
      <c r="X16" s="46"/>
      <c r="Y16" s="46"/>
      <c r="Z16" s="46"/>
      <c r="AA16" s="46"/>
      <c r="AB16" s="3"/>
    </row>
    <row r="17" spans="1:28" ht="3.9" customHeight="1" x14ac:dyDescent="0.25">
      <c r="A17" s="2"/>
      <c r="B17" s="2"/>
      <c r="C17" s="2"/>
      <c r="D17" s="2"/>
      <c r="E17" s="21"/>
      <c r="F17" s="2"/>
      <c r="G17" s="21"/>
      <c r="H17" s="2"/>
      <c r="I17" s="28"/>
      <c r="J17" s="21"/>
      <c r="K17" s="28"/>
      <c r="L17" s="2"/>
      <c r="M17" s="52"/>
      <c r="N17" s="2"/>
      <c r="O17" s="2"/>
      <c r="P17" s="36"/>
      <c r="Q17" s="36"/>
      <c r="R17" s="36"/>
      <c r="S17" s="36"/>
      <c r="T17" s="36"/>
      <c r="U17" s="36"/>
      <c r="V17" s="36"/>
      <c r="W17" s="36"/>
      <c r="X17" s="36"/>
      <c r="Y17" s="36"/>
      <c r="Z17" s="36"/>
      <c r="AA17" s="36"/>
      <c r="AB17" s="2"/>
    </row>
    <row r="18" spans="1:28" ht="8.1" customHeight="1" x14ac:dyDescent="0.25">
      <c r="A18" s="2"/>
      <c r="B18" s="2"/>
      <c r="C18" s="2"/>
      <c r="D18" s="2"/>
      <c r="E18" s="2"/>
      <c r="F18" s="2"/>
      <c r="G18" s="2"/>
      <c r="H18" s="2"/>
      <c r="I18" s="28"/>
      <c r="J18" s="2"/>
      <c r="K18" s="28"/>
      <c r="L18" s="2"/>
      <c r="M18" s="52"/>
      <c r="N18" s="2"/>
      <c r="O18" s="2"/>
      <c r="P18" s="36"/>
      <c r="Q18" s="36"/>
      <c r="R18" s="36"/>
      <c r="S18" s="36"/>
      <c r="T18" s="36"/>
      <c r="U18" s="36"/>
      <c r="V18" s="36"/>
      <c r="W18" s="36"/>
      <c r="X18" s="36"/>
      <c r="Y18" s="36"/>
      <c r="Z18" s="36"/>
      <c r="AA18" s="36"/>
      <c r="AB18" s="2"/>
    </row>
    <row r="19" spans="1:28" s="5" customFormat="1" x14ac:dyDescent="0.25">
      <c r="A19" s="3"/>
      <c r="B19" s="3"/>
      <c r="C19" s="3"/>
      <c r="D19" s="3"/>
      <c r="E19" s="3" t="str">
        <f>KPI!$E$31</f>
        <v>наполняемость арендаторами</v>
      </c>
      <c r="F19" s="3"/>
      <c r="G19" s="3" t="str">
        <f>IF($E19="","",INDEX(KPI!$G:$G,SUMIFS(KPI!$B:$B,KPI!$E:$E,$E19)))</f>
        <v>%</v>
      </c>
      <c r="H19" s="3"/>
      <c r="I19" s="28"/>
      <c r="J19" s="44"/>
      <c r="K19" s="28"/>
      <c r="L19" s="3"/>
      <c r="M19" s="55"/>
      <c r="N19" s="3"/>
      <c r="O19" s="3"/>
      <c r="P19" s="104" t="str">
        <f>сценарии!$J$5</f>
        <v>сценарий-2</v>
      </c>
      <c r="Q19" s="46"/>
      <c r="R19" s="46"/>
      <c r="S19" s="46"/>
      <c r="T19" s="46"/>
      <c r="U19" s="46"/>
      <c r="V19" s="46"/>
      <c r="W19" s="46"/>
      <c r="X19" s="46"/>
      <c r="Y19" s="46"/>
      <c r="Z19" s="46"/>
      <c r="AA19" s="46"/>
      <c r="AB19" s="3"/>
    </row>
    <row r="20" spans="1:28" s="23" customFormat="1" ht="10.199999999999999" x14ac:dyDescent="0.2">
      <c r="A20" s="22"/>
      <c r="B20" s="22"/>
      <c r="C20" s="22"/>
      <c r="D20" s="22"/>
      <c r="E20" s="22" t="str">
        <f>E19</f>
        <v>наполняемость арендаторами</v>
      </c>
      <c r="F20" s="22"/>
      <c r="G20" s="22" t="str">
        <f>IF($E20="","",INDEX(KPI!$G:$G,SUMIFS(KPI!$B:$B,KPI!$E:$E,$E20)))</f>
        <v>%</v>
      </c>
      <c r="H20" s="100">
        <f>структура!$V$12</f>
        <v>1</v>
      </c>
      <c r="I20" s="31"/>
      <c r="J20" s="98" t="str">
        <f>структура!$X$12</f>
        <v>янв</v>
      </c>
      <c r="K20" s="99"/>
      <c r="L20" s="22"/>
      <c r="M20" s="58"/>
      <c r="N20" s="22"/>
      <c r="O20" s="22"/>
      <c r="P20" s="102">
        <f>IF(P$1="",0,SUMIFS(сценарии!P:P,сценарии!$E:$E,$E20,сценарии!$J:$J,$J20,сценарии!$M:$M,$P$19))</f>
        <v>0.4</v>
      </c>
      <c r="Q20" s="102">
        <f>IF(Q$1="",0,SUMIFS(сценарии!Q:Q,сценарии!$E:$E,$E20,сценарии!$J:$J,$J20,сценарии!$M:$M,$P$19))</f>
        <v>0.4</v>
      </c>
      <c r="R20" s="102">
        <f>IF(R$1="",0,SUMIFS(сценарии!R:R,сценарии!$E:$E,$E20,сценарии!$J:$J,$J20,сценарии!$M:$M,$P$19))</f>
        <v>0.4</v>
      </c>
      <c r="S20" s="102">
        <f>IF(S$1="",0,SUMIFS(сценарии!S:S,сценарии!$E:$E,$E20,сценарии!$J:$J,$J20,сценарии!$M:$M,$P$19))</f>
        <v>0.4</v>
      </c>
      <c r="T20" s="102">
        <f>IF(T$1="",0,SUMIFS(сценарии!T:T,сценарии!$E:$E,$E20,сценарии!$J:$J,$J20,сценарии!$M:$M,$P$19))</f>
        <v>0.4</v>
      </c>
      <c r="U20" s="102">
        <f>IF(U$1="",0,SUMIFS(сценарии!U:U,сценарии!$E:$E,$E20,сценарии!$J:$J,$J20,сценарии!$M:$M,$P$19))</f>
        <v>0.4</v>
      </c>
      <c r="V20" s="102">
        <f>IF(V$1="",0,SUMIFS(сценарии!V:V,сценарии!$E:$E,$E20,сценарии!$J:$J,$J20,сценарии!$M:$M,$P$19))</f>
        <v>0.4</v>
      </c>
      <c r="W20" s="102">
        <f>IF(W$1="",0,SUMIFS(сценарии!W:W,сценарии!$E:$E,$E20,сценарии!$J:$J,$J20,сценарии!$M:$M,$P$19))</f>
        <v>0</v>
      </c>
      <c r="X20" s="102">
        <f>IF(X$1="",0,SUMIFS(сценарии!X:X,сценарии!$E:$E,$E20,сценарии!$J:$J,$J20,сценарии!$M:$M,$P$19))</f>
        <v>0</v>
      </c>
      <c r="Y20" s="102">
        <f>IF(Y$1="",0,SUMIFS(сценарии!Y:Y,сценарии!$E:$E,$E20,сценарии!$J:$J,$J20,сценарии!$M:$M,$P$19))</f>
        <v>0</v>
      </c>
      <c r="Z20" s="102">
        <f>IF(Z$1="",0,SUMIFS(сценарии!Z:Z,сценарии!$E:$E,$E20,сценарии!$J:$J,$J20,сценарии!$M:$M,$P$19))</f>
        <v>0</v>
      </c>
      <c r="AA20" s="102">
        <f>IF(AA$1="",0,SUMIFS(сценарии!AA:AA,сценарии!$E:$E,$E20,сценарии!$J:$J,$J20,сценарии!$M:$M,$P$19))</f>
        <v>0</v>
      </c>
      <c r="AB20" s="22"/>
    </row>
    <row r="21" spans="1:28" s="23" customFormat="1" ht="10.199999999999999" x14ac:dyDescent="0.2">
      <c r="A21" s="22"/>
      <c r="B21" s="22"/>
      <c r="C21" s="22"/>
      <c r="D21" s="22"/>
      <c r="E21" s="22" t="str">
        <f>E19</f>
        <v>наполняемость арендаторами</v>
      </c>
      <c r="F21" s="22"/>
      <c r="G21" s="22" t="str">
        <f>IF($E21="","",INDEX(KPI!$G:$G,SUMIFS(KPI!$B:$B,KPI!$E:$E,$E21)))</f>
        <v>%</v>
      </c>
      <c r="H21" s="100">
        <f>структура!$V$13</f>
        <v>2</v>
      </c>
      <c r="I21" s="31"/>
      <c r="J21" s="98" t="str">
        <f>структура!$X$13</f>
        <v>фев</v>
      </c>
      <c r="K21" s="99"/>
      <c r="L21" s="22"/>
      <c r="M21" s="58"/>
      <c r="N21" s="22"/>
      <c r="O21" s="22"/>
      <c r="P21" s="102">
        <f>IF(P$1="",0,SUMIFS(сценарии!P:P,сценарии!$E:$E,$E21,сценарии!$J:$J,$J21,сценарии!$M:$M,$P$19))</f>
        <v>0.4</v>
      </c>
      <c r="Q21" s="102">
        <f>IF(Q$1="",0,SUMIFS(сценарии!Q:Q,сценарии!$E:$E,$E21,сценарии!$J:$J,$J21,сценарии!$M:$M,$P$19))</f>
        <v>0.4</v>
      </c>
      <c r="R21" s="102">
        <f>IF(R$1="",0,SUMIFS(сценарии!R:R,сценарии!$E:$E,$E21,сценарии!$J:$J,$J21,сценарии!$M:$M,$P$19))</f>
        <v>0.4</v>
      </c>
      <c r="S21" s="102">
        <f>IF(S$1="",0,SUMIFS(сценарии!S:S,сценарии!$E:$E,$E21,сценарии!$J:$J,$J21,сценарии!$M:$M,$P$19))</f>
        <v>0.4</v>
      </c>
      <c r="T21" s="102">
        <f>IF(T$1="",0,SUMIFS(сценарии!T:T,сценарии!$E:$E,$E21,сценарии!$J:$J,$J21,сценарии!$M:$M,$P$19))</f>
        <v>0.4</v>
      </c>
      <c r="U21" s="102">
        <f>IF(U$1="",0,SUMIFS(сценарии!U:U,сценарии!$E:$E,$E21,сценарии!$J:$J,$J21,сценарии!$M:$M,$P$19))</f>
        <v>0.4</v>
      </c>
      <c r="V21" s="102">
        <f>IF(V$1="",0,SUMIFS(сценарии!V:V,сценарии!$E:$E,$E21,сценарии!$J:$J,$J21,сценарии!$M:$M,$P$19))</f>
        <v>0.4</v>
      </c>
      <c r="W21" s="102">
        <f>IF(W$1="",0,SUMIFS(сценарии!W:W,сценарии!$E:$E,$E21,сценарии!$J:$J,$J21,сценарии!$M:$M,$P$19))</f>
        <v>0</v>
      </c>
      <c r="X21" s="102">
        <f>IF(X$1="",0,SUMIFS(сценарии!X:X,сценарии!$E:$E,$E21,сценарии!$J:$J,$J21,сценарии!$M:$M,$P$19))</f>
        <v>0</v>
      </c>
      <c r="Y21" s="102">
        <f>IF(Y$1="",0,SUMIFS(сценарии!Y:Y,сценарии!$E:$E,$E21,сценарии!$J:$J,$J21,сценарии!$M:$M,$P$19))</f>
        <v>0</v>
      </c>
      <c r="Z21" s="102">
        <f>IF(Z$1="",0,SUMIFS(сценарии!Z:Z,сценарии!$E:$E,$E21,сценарии!$J:$J,$J21,сценарии!$M:$M,$P$19))</f>
        <v>0</v>
      </c>
      <c r="AA21" s="102">
        <f>IF(AA$1="",0,SUMIFS(сценарии!AA:AA,сценарии!$E:$E,$E21,сценарии!$J:$J,$J21,сценарии!$M:$M,$P$19))</f>
        <v>0</v>
      </c>
      <c r="AB21" s="22"/>
    </row>
    <row r="22" spans="1:28" s="23" customFormat="1" ht="10.199999999999999" x14ac:dyDescent="0.2">
      <c r="A22" s="22"/>
      <c r="B22" s="22"/>
      <c r="C22" s="22"/>
      <c r="D22" s="22"/>
      <c r="E22" s="22" t="str">
        <f>E19</f>
        <v>наполняемость арендаторами</v>
      </c>
      <c r="F22" s="22"/>
      <c r="G22" s="22" t="str">
        <f>IF($E22="","",INDEX(KPI!$G:$G,SUMIFS(KPI!$B:$B,KPI!$E:$E,$E22)))</f>
        <v>%</v>
      </c>
      <c r="H22" s="100">
        <f>структура!$V$14</f>
        <v>3</v>
      </c>
      <c r="I22" s="31"/>
      <c r="J22" s="98" t="str">
        <f>структура!$X$14</f>
        <v>мар</v>
      </c>
      <c r="K22" s="99"/>
      <c r="L22" s="22"/>
      <c r="M22" s="58"/>
      <c r="N22" s="22"/>
      <c r="O22" s="22"/>
      <c r="P22" s="102">
        <f>IF(P$1="",0,SUMIFS(сценарии!P:P,сценарии!$E:$E,$E22,сценарии!$J:$J,$J22,сценарии!$M:$M,$P$19))</f>
        <v>0.4</v>
      </c>
      <c r="Q22" s="102">
        <f>IF(Q$1="",0,SUMIFS(сценарии!Q:Q,сценарии!$E:$E,$E22,сценарии!$J:$J,$J22,сценарии!$M:$M,$P$19))</f>
        <v>0.4</v>
      </c>
      <c r="R22" s="102">
        <f>IF(R$1="",0,SUMIFS(сценарии!R:R,сценарии!$E:$E,$E22,сценарии!$J:$J,$J22,сценарии!$M:$M,$P$19))</f>
        <v>0.4</v>
      </c>
      <c r="S22" s="102">
        <f>IF(S$1="",0,SUMIFS(сценарии!S:S,сценарии!$E:$E,$E22,сценарии!$J:$J,$J22,сценарии!$M:$M,$P$19))</f>
        <v>0.4</v>
      </c>
      <c r="T22" s="102">
        <f>IF(T$1="",0,SUMIFS(сценарии!T:T,сценарии!$E:$E,$E22,сценарии!$J:$J,$J22,сценарии!$M:$M,$P$19))</f>
        <v>0.4</v>
      </c>
      <c r="U22" s="102">
        <f>IF(U$1="",0,SUMIFS(сценарии!U:U,сценарии!$E:$E,$E22,сценарии!$J:$J,$J22,сценарии!$M:$M,$P$19))</f>
        <v>0.4</v>
      </c>
      <c r="V22" s="102">
        <f>IF(V$1="",0,SUMIFS(сценарии!V:V,сценарии!$E:$E,$E22,сценарии!$J:$J,$J22,сценарии!$M:$M,$P$19))</f>
        <v>0.4</v>
      </c>
      <c r="W22" s="102">
        <f>IF(W$1="",0,SUMIFS(сценарии!W:W,сценарии!$E:$E,$E22,сценарии!$J:$J,$J22,сценарии!$M:$M,$P$19))</f>
        <v>0</v>
      </c>
      <c r="X22" s="102">
        <f>IF(X$1="",0,SUMIFS(сценарии!X:X,сценарии!$E:$E,$E22,сценарии!$J:$J,$J22,сценарии!$M:$M,$P$19))</f>
        <v>0</v>
      </c>
      <c r="Y22" s="102">
        <f>IF(Y$1="",0,SUMIFS(сценарии!Y:Y,сценарии!$E:$E,$E22,сценарии!$J:$J,$J22,сценарии!$M:$M,$P$19))</f>
        <v>0</v>
      </c>
      <c r="Z22" s="102">
        <f>IF(Z$1="",0,SUMIFS(сценарии!Z:Z,сценарии!$E:$E,$E22,сценарии!$J:$J,$J22,сценарии!$M:$M,$P$19))</f>
        <v>0</v>
      </c>
      <c r="AA22" s="102">
        <f>IF(AA$1="",0,SUMIFS(сценарии!AA:AA,сценарии!$E:$E,$E22,сценарии!$J:$J,$J22,сценарии!$M:$M,$P$19))</f>
        <v>0</v>
      </c>
      <c r="AB22" s="22"/>
    </row>
    <row r="23" spans="1:28" s="23" customFormat="1" ht="10.199999999999999" x14ac:dyDescent="0.2">
      <c r="A23" s="22"/>
      <c r="B23" s="22"/>
      <c r="C23" s="22"/>
      <c r="D23" s="22"/>
      <c r="E23" s="22" t="str">
        <f>E19</f>
        <v>наполняемость арендаторами</v>
      </c>
      <c r="F23" s="22"/>
      <c r="G23" s="22" t="str">
        <f>IF($E23="","",INDEX(KPI!$G:$G,SUMIFS(KPI!$B:$B,KPI!$E:$E,$E23)))</f>
        <v>%</v>
      </c>
      <c r="H23" s="100">
        <f>структура!$V$15</f>
        <v>4</v>
      </c>
      <c r="I23" s="31"/>
      <c r="J23" s="98" t="str">
        <f>структура!$X$15</f>
        <v>апр</v>
      </c>
      <c r="K23" s="99"/>
      <c r="L23" s="22"/>
      <c r="M23" s="58"/>
      <c r="N23" s="22"/>
      <c r="O23" s="22"/>
      <c r="P23" s="102">
        <f>IF(P$1="",0,SUMIFS(сценарии!P:P,сценарии!$E:$E,$E23,сценарии!$J:$J,$J23,сценарии!$M:$M,$P$19))</f>
        <v>0.4</v>
      </c>
      <c r="Q23" s="102">
        <f>IF(Q$1="",0,SUMIFS(сценарии!Q:Q,сценарии!$E:$E,$E23,сценарии!$J:$J,$J23,сценарии!$M:$M,$P$19))</f>
        <v>0.4</v>
      </c>
      <c r="R23" s="102">
        <f>IF(R$1="",0,SUMIFS(сценарии!R:R,сценарии!$E:$E,$E23,сценарии!$J:$J,$J23,сценарии!$M:$M,$P$19))</f>
        <v>0.4</v>
      </c>
      <c r="S23" s="102">
        <f>IF(S$1="",0,SUMIFS(сценарии!S:S,сценарии!$E:$E,$E23,сценарии!$J:$J,$J23,сценарии!$M:$M,$P$19))</f>
        <v>0.4</v>
      </c>
      <c r="T23" s="102">
        <f>IF(T$1="",0,SUMIFS(сценарии!T:T,сценарии!$E:$E,$E23,сценарии!$J:$J,$J23,сценарии!$M:$M,$P$19))</f>
        <v>0.4</v>
      </c>
      <c r="U23" s="102">
        <f>IF(U$1="",0,SUMIFS(сценарии!U:U,сценарии!$E:$E,$E23,сценарии!$J:$J,$J23,сценарии!$M:$M,$P$19))</f>
        <v>0.4</v>
      </c>
      <c r="V23" s="102">
        <f>IF(V$1="",0,SUMIFS(сценарии!V:V,сценарии!$E:$E,$E23,сценарии!$J:$J,$J23,сценарии!$M:$M,$P$19))</f>
        <v>0.4</v>
      </c>
      <c r="W23" s="102">
        <f>IF(W$1="",0,SUMIFS(сценарии!W:W,сценарии!$E:$E,$E23,сценарии!$J:$J,$J23,сценарии!$M:$M,$P$19))</f>
        <v>0</v>
      </c>
      <c r="X23" s="102">
        <f>IF(X$1="",0,SUMIFS(сценарии!X:X,сценарии!$E:$E,$E23,сценарии!$J:$J,$J23,сценарии!$M:$M,$P$19))</f>
        <v>0</v>
      </c>
      <c r="Y23" s="102">
        <f>IF(Y$1="",0,SUMIFS(сценарии!Y:Y,сценарии!$E:$E,$E23,сценарии!$J:$J,$J23,сценарии!$M:$M,$P$19))</f>
        <v>0</v>
      </c>
      <c r="Z23" s="102">
        <f>IF(Z$1="",0,SUMIFS(сценарии!Z:Z,сценарии!$E:$E,$E23,сценарии!$J:$J,$J23,сценарии!$M:$M,$P$19))</f>
        <v>0</v>
      </c>
      <c r="AA23" s="102">
        <f>IF(AA$1="",0,SUMIFS(сценарии!AA:AA,сценарии!$E:$E,$E23,сценарии!$J:$J,$J23,сценарии!$M:$M,$P$19))</f>
        <v>0</v>
      </c>
      <c r="AB23" s="22"/>
    </row>
    <row r="24" spans="1:28" s="23" customFormat="1" ht="10.199999999999999" x14ac:dyDescent="0.2">
      <c r="A24" s="22"/>
      <c r="B24" s="22"/>
      <c r="C24" s="22"/>
      <c r="D24" s="22"/>
      <c r="E24" s="22" t="str">
        <f>E19</f>
        <v>наполняемость арендаторами</v>
      </c>
      <c r="F24" s="22"/>
      <c r="G24" s="22" t="str">
        <f>IF($E24="","",INDEX(KPI!$G:$G,SUMIFS(KPI!$B:$B,KPI!$E:$E,$E24)))</f>
        <v>%</v>
      </c>
      <c r="H24" s="100">
        <f>структура!$V$16</f>
        <v>5</v>
      </c>
      <c r="I24" s="31"/>
      <c r="J24" s="98" t="str">
        <f>структура!$X$16</f>
        <v>май</v>
      </c>
      <c r="K24" s="99"/>
      <c r="L24" s="22"/>
      <c r="M24" s="58"/>
      <c r="N24" s="22"/>
      <c r="O24" s="22"/>
      <c r="P24" s="102">
        <f>IF(P$1="",0,SUMIFS(сценарии!P:P,сценарии!$E:$E,$E24,сценарии!$J:$J,$J24,сценарии!$M:$M,$P$19))</f>
        <v>0.4</v>
      </c>
      <c r="Q24" s="102">
        <f>IF(Q$1="",0,SUMIFS(сценарии!Q:Q,сценарии!$E:$E,$E24,сценарии!$J:$J,$J24,сценарии!$M:$M,$P$19))</f>
        <v>0.4</v>
      </c>
      <c r="R24" s="102">
        <f>IF(R$1="",0,SUMIFS(сценарии!R:R,сценарии!$E:$E,$E24,сценарии!$J:$J,$J24,сценарии!$M:$M,$P$19))</f>
        <v>0.4</v>
      </c>
      <c r="S24" s="102">
        <f>IF(S$1="",0,SUMIFS(сценарии!S:S,сценарии!$E:$E,$E24,сценарии!$J:$J,$J24,сценарии!$M:$M,$P$19))</f>
        <v>0.4</v>
      </c>
      <c r="T24" s="102">
        <f>IF(T$1="",0,SUMIFS(сценарии!T:T,сценарии!$E:$E,$E24,сценарии!$J:$J,$J24,сценарии!$M:$M,$P$19))</f>
        <v>0.4</v>
      </c>
      <c r="U24" s="102">
        <f>IF(U$1="",0,SUMIFS(сценарии!U:U,сценарии!$E:$E,$E24,сценарии!$J:$J,$J24,сценарии!$M:$M,$P$19))</f>
        <v>0.4</v>
      </c>
      <c r="V24" s="102">
        <f>IF(V$1="",0,SUMIFS(сценарии!V:V,сценарии!$E:$E,$E24,сценарии!$J:$J,$J24,сценарии!$M:$M,$P$19))</f>
        <v>0.4</v>
      </c>
      <c r="W24" s="102">
        <f>IF(W$1="",0,SUMIFS(сценарии!W:W,сценарии!$E:$E,$E24,сценарии!$J:$J,$J24,сценарии!$M:$M,$P$19))</f>
        <v>0</v>
      </c>
      <c r="X24" s="102">
        <f>IF(X$1="",0,SUMIFS(сценарии!X:X,сценарии!$E:$E,$E24,сценарии!$J:$J,$J24,сценарии!$M:$M,$P$19))</f>
        <v>0</v>
      </c>
      <c r="Y24" s="102">
        <f>IF(Y$1="",0,SUMIFS(сценарии!Y:Y,сценарии!$E:$E,$E24,сценарии!$J:$J,$J24,сценарии!$M:$M,$P$19))</f>
        <v>0</v>
      </c>
      <c r="Z24" s="102">
        <f>IF(Z$1="",0,SUMIFS(сценарии!Z:Z,сценарии!$E:$E,$E24,сценарии!$J:$J,$J24,сценарии!$M:$M,$P$19))</f>
        <v>0</v>
      </c>
      <c r="AA24" s="102">
        <f>IF(AA$1="",0,SUMIFS(сценарии!AA:AA,сценарии!$E:$E,$E24,сценарии!$J:$J,$J24,сценарии!$M:$M,$P$19))</f>
        <v>0</v>
      </c>
      <c r="AB24" s="22"/>
    </row>
    <row r="25" spans="1:28" s="23" customFormat="1" ht="10.199999999999999" x14ac:dyDescent="0.2">
      <c r="A25" s="22"/>
      <c r="B25" s="22"/>
      <c r="C25" s="22"/>
      <c r="D25" s="22"/>
      <c r="E25" s="22" t="str">
        <f>E19</f>
        <v>наполняемость арендаторами</v>
      </c>
      <c r="F25" s="22"/>
      <c r="G25" s="22" t="str">
        <f>IF($E25="","",INDEX(KPI!$G:$G,SUMIFS(KPI!$B:$B,KPI!$E:$E,$E25)))</f>
        <v>%</v>
      </c>
      <c r="H25" s="100">
        <f>структура!$V$17</f>
        <v>6</v>
      </c>
      <c r="I25" s="31"/>
      <c r="J25" s="98" t="str">
        <f>структура!$X$17</f>
        <v>июн</v>
      </c>
      <c r="K25" s="99"/>
      <c r="L25" s="22"/>
      <c r="M25" s="58"/>
      <c r="N25" s="22"/>
      <c r="O25" s="22"/>
      <c r="P25" s="102">
        <f>IF(P$1="",0,SUMIFS(сценарии!P:P,сценарии!$E:$E,$E25,сценарии!$J:$J,$J25,сценарии!$M:$M,$P$19))</f>
        <v>0.4</v>
      </c>
      <c r="Q25" s="102">
        <f>IF(Q$1="",0,SUMIFS(сценарии!Q:Q,сценарии!$E:$E,$E25,сценарии!$J:$J,$J25,сценарии!$M:$M,$P$19))</f>
        <v>0.4</v>
      </c>
      <c r="R25" s="102">
        <f>IF(R$1="",0,SUMIFS(сценарии!R:R,сценарии!$E:$E,$E25,сценарии!$J:$J,$J25,сценарии!$M:$M,$P$19))</f>
        <v>0.4</v>
      </c>
      <c r="S25" s="102">
        <f>IF(S$1="",0,SUMIFS(сценарии!S:S,сценарии!$E:$E,$E25,сценарии!$J:$J,$J25,сценарии!$M:$M,$P$19))</f>
        <v>0.4</v>
      </c>
      <c r="T25" s="102">
        <f>IF(T$1="",0,SUMIFS(сценарии!T:T,сценарии!$E:$E,$E25,сценарии!$J:$J,$J25,сценарии!$M:$M,$P$19))</f>
        <v>0.4</v>
      </c>
      <c r="U25" s="102">
        <f>IF(U$1="",0,SUMIFS(сценарии!U:U,сценарии!$E:$E,$E25,сценарии!$J:$J,$J25,сценарии!$M:$M,$P$19))</f>
        <v>0.4</v>
      </c>
      <c r="V25" s="102">
        <f>IF(V$1="",0,SUMIFS(сценарии!V:V,сценарии!$E:$E,$E25,сценарии!$J:$J,$J25,сценарии!$M:$M,$P$19))</f>
        <v>0.4</v>
      </c>
      <c r="W25" s="102">
        <f>IF(W$1="",0,SUMIFS(сценарии!W:W,сценарии!$E:$E,$E25,сценарии!$J:$J,$J25,сценарии!$M:$M,$P$19))</f>
        <v>0</v>
      </c>
      <c r="X25" s="102">
        <f>IF(X$1="",0,SUMIFS(сценарии!X:X,сценарии!$E:$E,$E25,сценарии!$J:$J,$J25,сценарии!$M:$M,$P$19))</f>
        <v>0</v>
      </c>
      <c r="Y25" s="102">
        <f>IF(Y$1="",0,SUMIFS(сценарии!Y:Y,сценарии!$E:$E,$E25,сценарии!$J:$J,$J25,сценарии!$M:$M,$P$19))</f>
        <v>0</v>
      </c>
      <c r="Z25" s="102">
        <f>IF(Z$1="",0,SUMIFS(сценарии!Z:Z,сценарии!$E:$E,$E25,сценарии!$J:$J,$J25,сценарии!$M:$M,$P$19))</f>
        <v>0</v>
      </c>
      <c r="AA25" s="102">
        <f>IF(AA$1="",0,SUMIFS(сценарии!AA:AA,сценарии!$E:$E,$E25,сценарии!$J:$J,$J25,сценарии!$M:$M,$P$19))</f>
        <v>0</v>
      </c>
      <c r="AB25" s="22"/>
    </row>
    <row r="26" spans="1:28" s="23" customFormat="1" ht="10.199999999999999" x14ac:dyDescent="0.2">
      <c r="A26" s="22"/>
      <c r="B26" s="22"/>
      <c r="C26" s="22"/>
      <c r="D26" s="22"/>
      <c r="E26" s="22" t="str">
        <f>E19</f>
        <v>наполняемость арендаторами</v>
      </c>
      <c r="F26" s="22"/>
      <c r="G26" s="22" t="str">
        <f>IF($E26="","",INDEX(KPI!$G:$G,SUMIFS(KPI!$B:$B,KPI!$E:$E,$E26)))</f>
        <v>%</v>
      </c>
      <c r="H26" s="100">
        <f>структура!$V$18</f>
        <v>7</v>
      </c>
      <c r="I26" s="31"/>
      <c r="J26" s="98" t="str">
        <f>структура!$X$18</f>
        <v>июл</v>
      </c>
      <c r="K26" s="99"/>
      <c r="L26" s="22"/>
      <c r="M26" s="58"/>
      <c r="N26" s="22"/>
      <c r="O26" s="22"/>
      <c r="P26" s="102">
        <f>IF(P$1="",0,SUMIFS(сценарии!P:P,сценарии!$E:$E,$E26,сценарии!$J:$J,$J26,сценарии!$M:$M,$P$19))</f>
        <v>0.4</v>
      </c>
      <c r="Q26" s="102">
        <f>IF(Q$1="",0,SUMIFS(сценарии!Q:Q,сценарии!$E:$E,$E26,сценарии!$J:$J,$J26,сценарии!$M:$M,$P$19))</f>
        <v>0.4</v>
      </c>
      <c r="R26" s="102">
        <f>IF(R$1="",0,SUMIFS(сценарии!R:R,сценарии!$E:$E,$E26,сценарии!$J:$J,$J26,сценарии!$M:$M,$P$19))</f>
        <v>0.4</v>
      </c>
      <c r="S26" s="102">
        <f>IF(S$1="",0,SUMIFS(сценарии!S:S,сценарии!$E:$E,$E26,сценарии!$J:$J,$J26,сценарии!$M:$M,$P$19))</f>
        <v>0.4</v>
      </c>
      <c r="T26" s="102">
        <f>IF(T$1="",0,SUMIFS(сценарии!T:T,сценарии!$E:$E,$E26,сценарии!$J:$J,$J26,сценарии!$M:$M,$P$19))</f>
        <v>0.4</v>
      </c>
      <c r="U26" s="102">
        <f>IF(U$1="",0,SUMIFS(сценарии!U:U,сценарии!$E:$E,$E26,сценарии!$J:$J,$J26,сценарии!$M:$M,$P$19))</f>
        <v>0.4</v>
      </c>
      <c r="V26" s="102">
        <f>IF(V$1="",0,SUMIFS(сценарии!V:V,сценарии!$E:$E,$E26,сценарии!$J:$J,$J26,сценарии!$M:$M,$P$19))</f>
        <v>0.4</v>
      </c>
      <c r="W26" s="102">
        <f>IF(W$1="",0,SUMIFS(сценарии!W:W,сценарии!$E:$E,$E26,сценарии!$J:$J,$J26,сценарии!$M:$M,$P$19))</f>
        <v>0</v>
      </c>
      <c r="X26" s="102">
        <f>IF(X$1="",0,SUMIFS(сценарии!X:X,сценарии!$E:$E,$E26,сценарии!$J:$J,$J26,сценарии!$M:$M,$P$19))</f>
        <v>0</v>
      </c>
      <c r="Y26" s="102">
        <f>IF(Y$1="",0,SUMIFS(сценарии!Y:Y,сценарии!$E:$E,$E26,сценарии!$J:$J,$J26,сценарии!$M:$M,$P$19))</f>
        <v>0</v>
      </c>
      <c r="Z26" s="102">
        <f>IF(Z$1="",0,SUMIFS(сценарии!Z:Z,сценарии!$E:$E,$E26,сценарии!$J:$J,$J26,сценарии!$M:$M,$P$19))</f>
        <v>0</v>
      </c>
      <c r="AA26" s="102">
        <f>IF(AA$1="",0,SUMIFS(сценарии!AA:AA,сценарии!$E:$E,$E26,сценарии!$J:$J,$J26,сценарии!$M:$M,$P$19))</f>
        <v>0</v>
      </c>
      <c r="AB26" s="22"/>
    </row>
    <row r="27" spans="1:28" s="23" customFormat="1" ht="10.199999999999999" x14ac:dyDescent="0.2">
      <c r="A27" s="22"/>
      <c r="B27" s="22"/>
      <c r="C27" s="22"/>
      <c r="D27" s="22"/>
      <c r="E27" s="22" t="str">
        <f>E19</f>
        <v>наполняемость арендаторами</v>
      </c>
      <c r="F27" s="22"/>
      <c r="G27" s="22" t="str">
        <f>IF($E27="","",INDEX(KPI!$G:$G,SUMIFS(KPI!$B:$B,KPI!$E:$E,$E27)))</f>
        <v>%</v>
      </c>
      <c r="H27" s="100">
        <f>структура!$V$19</f>
        <v>8</v>
      </c>
      <c r="I27" s="31"/>
      <c r="J27" s="98" t="str">
        <f>структура!$X$19</f>
        <v>авг</v>
      </c>
      <c r="K27" s="99"/>
      <c r="L27" s="22"/>
      <c r="M27" s="58"/>
      <c r="N27" s="22"/>
      <c r="O27" s="22"/>
      <c r="P27" s="102">
        <f>IF(P$1="",0,SUMIFS(сценарии!P:P,сценарии!$E:$E,$E27,сценарии!$J:$J,$J27,сценарии!$M:$M,$P$19))</f>
        <v>0.4</v>
      </c>
      <c r="Q27" s="102">
        <f>IF(Q$1="",0,SUMIFS(сценарии!Q:Q,сценарии!$E:$E,$E27,сценарии!$J:$J,$J27,сценарии!$M:$M,$P$19))</f>
        <v>0.4</v>
      </c>
      <c r="R27" s="102">
        <f>IF(R$1="",0,SUMIFS(сценарии!R:R,сценарии!$E:$E,$E27,сценарии!$J:$J,$J27,сценарии!$M:$M,$P$19))</f>
        <v>0.4</v>
      </c>
      <c r="S27" s="102">
        <f>IF(S$1="",0,SUMIFS(сценарии!S:S,сценарии!$E:$E,$E27,сценарии!$J:$J,$J27,сценарии!$M:$M,$P$19))</f>
        <v>0.4</v>
      </c>
      <c r="T27" s="102">
        <f>IF(T$1="",0,SUMIFS(сценарии!T:T,сценарии!$E:$E,$E27,сценарии!$J:$J,$J27,сценарии!$M:$M,$P$19))</f>
        <v>0.4</v>
      </c>
      <c r="U27" s="102">
        <f>IF(U$1="",0,SUMIFS(сценарии!U:U,сценарии!$E:$E,$E27,сценарии!$J:$J,$J27,сценарии!$M:$M,$P$19))</f>
        <v>0.4</v>
      </c>
      <c r="V27" s="102">
        <f>IF(V$1="",0,SUMIFS(сценарии!V:V,сценарии!$E:$E,$E27,сценарии!$J:$J,$J27,сценарии!$M:$M,$P$19))</f>
        <v>0.4</v>
      </c>
      <c r="W27" s="102">
        <f>IF(W$1="",0,SUMIFS(сценарии!W:W,сценарии!$E:$E,$E27,сценарии!$J:$J,$J27,сценарии!$M:$M,$P$19))</f>
        <v>0</v>
      </c>
      <c r="X27" s="102">
        <f>IF(X$1="",0,SUMIFS(сценарии!X:X,сценарии!$E:$E,$E27,сценарии!$J:$J,$J27,сценарии!$M:$M,$P$19))</f>
        <v>0</v>
      </c>
      <c r="Y27" s="102">
        <f>IF(Y$1="",0,SUMIFS(сценарии!Y:Y,сценарии!$E:$E,$E27,сценарии!$J:$J,$J27,сценарии!$M:$M,$P$19))</f>
        <v>0</v>
      </c>
      <c r="Z27" s="102">
        <f>IF(Z$1="",0,SUMIFS(сценарии!Z:Z,сценарии!$E:$E,$E27,сценарии!$J:$J,$J27,сценарии!$M:$M,$P$19))</f>
        <v>0</v>
      </c>
      <c r="AA27" s="102">
        <f>IF(AA$1="",0,SUMIFS(сценарии!AA:AA,сценарии!$E:$E,$E27,сценарии!$J:$J,$J27,сценарии!$M:$M,$P$19))</f>
        <v>0</v>
      </c>
      <c r="AB27" s="22"/>
    </row>
    <row r="28" spans="1:28" s="23" customFormat="1" ht="10.199999999999999" x14ac:dyDescent="0.2">
      <c r="A28" s="22"/>
      <c r="B28" s="22"/>
      <c r="C28" s="22"/>
      <c r="D28" s="22"/>
      <c r="E28" s="22" t="str">
        <f>E19</f>
        <v>наполняемость арендаторами</v>
      </c>
      <c r="F28" s="22"/>
      <c r="G28" s="22" t="str">
        <f>IF($E28="","",INDEX(KPI!$G:$G,SUMIFS(KPI!$B:$B,KPI!$E:$E,$E28)))</f>
        <v>%</v>
      </c>
      <c r="H28" s="100">
        <f>структура!$V$20</f>
        <v>9</v>
      </c>
      <c r="I28" s="31"/>
      <c r="J28" s="98" t="str">
        <f>структура!$X$20</f>
        <v>сен</v>
      </c>
      <c r="K28" s="99"/>
      <c r="L28" s="22"/>
      <c r="M28" s="58"/>
      <c r="N28" s="22"/>
      <c r="O28" s="22"/>
      <c r="P28" s="102">
        <f>IF(P$1="",0,SUMIFS(сценарии!P:P,сценарии!$E:$E,$E28,сценарии!$J:$J,$J28,сценарии!$M:$M,$P$19))</f>
        <v>0.4</v>
      </c>
      <c r="Q28" s="102">
        <f>IF(Q$1="",0,SUMIFS(сценарии!Q:Q,сценарии!$E:$E,$E28,сценарии!$J:$J,$J28,сценарии!$M:$M,$P$19))</f>
        <v>0.4</v>
      </c>
      <c r="R28" s="102">
        <f>IF(R$1="",0,SUMIFS(сценарии!R:R,сценарии!$E:$E,$E28,сценарии!$J:$J,$J28,сценарии!$M:$M,$P$19))</f>
        <v>0.4</v>
      </c>
      <c r="S28" s="102">
        <f>IF(S$1="",0,SUMIFS(сценарии!S:S,сценарии!$E:$E,$E28,сценарии!$J:$J,$J28,сценарии!$M:$M,$P$19))</f>
        <v>0.4</v>
      </c>
      <c r="T28" s="102">
        <f>IF(T$1="",0,SUMIFS(сценарии!T:T,сценарии!$E:$E,$E28,сценарии!$J:$J,$J28,сценарии!$M:$M,$P$19))</f>
        <v>0.4</v>
      </c>
      <c r="U28" s="102">
        <f>IF(U$1="",0,SUMIFS(сценарии!U:U,сценарии!$E:$E,$E28,сценарии!$J:$J,$J28,сценарии!$M:$M,$P$19))</f>
        <v>0.4</v>
      </c>
      <c r="V28" s="102">
        <f>IF(V$1="",0,SUMIFS(сценарии!V:V,сценарии!$E:$E,$E28,сценарии!$J:$J,$J28,сценарии!$M:$M,$P$19))</f>
        <v>0.4</v>
      </c>
      <c r="W28" s="102">
        <f>IF(W$1="",0,SUMIFS(сценарии!W:W,сценарии!$E:$E,$E28,сценарии!$J:$J,$J28,сценарии!$M:$M,$P$19))</f>
        <v>0</v>
      </c>
      <c r="X28" s="102">
        <f>IF(X$1="",0,SUMIFS(сценарии!X:X,сценарии!$E:$E,$E28,сценарии!$J:$J,$J28,сценарии!$M:$M,$P$19))</f>
        <v>0</v>
      </c>
      <c r="Y28" s="102">
        <f>IF(Y$1="",0,SUMIFS(сценарии!Y:Y,сценарии!$E:$E,$E28,сценарии!$J:$J,$J28,сценарии!$M:$M,$P$19))</f>
        <v>0</v>
      </c>
      <c r="Z28" s="102">
        <f>IF(Z$1="",0,SUMIFS(сценарии!Z:Z,сценарии!$E:$E,$E28,сценарии!$J:$J,$J28,сценарии!$M:$M,$P$19))</f>
        <v>0</v>
      </c>
      <c r="AA28" s="102">
        <f>IF(AA$1="",0,SUMIFS(сценарии!AA:AA,сценарии!$E:$E,$E28,сценарии!$J:$J,$J28,сценарии!$M:$M,$P$19))</f>
        <v>0</v>
      </c>
      <c r="AB28" s="22"/>
    </row>
    <row r="29" spans="1:28" s="23" customFormat="1" ht="10.199999999999999" x14ac:dyDescent="0.2">
      <c r="A29" s="22"/>
      <c r="B29" s="22"/>
      <c r="C29" s="22"/>
      <c r="D29" s="22"/>
      <c r="E29" s="22" t="str">
        <f>E19</f>
        <v>наполняемость арендаторами</v>
      </c>
      <c r="F29" s="22"/>
      <c r="G29" s="22" t="str">
        <f>IF($E29="","",INDEX(KPI!$G:$G,SUMIFS(KPI!$B:$B,KPI!$E:$E,$E29)))</f>
        <v>%</v>
      </c>
      <c r="H29" s="100">
        <f>структура!$V$21</f>
        <v>10</v>
      </c>
      <c r="I29" s="31"/>
      <c r="J29" s="98" t="str">
        <f>структура!$X$21</f>
        <v>окт</v>
      </c>
      <c r="K29" s="99"/>
      <c r="L29" s="22"/>
      <c r="M29" s="58"/>
      <c r="N29" s="22"/>
      <c r="O29" s="22"/>
      <c r="P29" s="102">
        <f>IF(P$1="",0,SUMIFS(сценарии!P:P,сценарии!$E:$E,$E29,сценарии!$J:$J,$J29,сценарии!$M:$M,$P$19))</f>
        <v>0.4</v>
      </c>
      <c r="Q29" s="102">
        <f>IF(Q$1="",0,SUMIFS(сценарии!Q:Q,сценарии!$E:$E,$E29,сценарии!$J:$J,$J29,сценарии!$M:$M,$P$19))</f>
        <v>0.4</v>
      </c>
      <c r="R29" s="102">
        <f>IF(R$1="",0,SUMIFS(сценарии!R:R,сценарии!$E:$E,$E29,сценарии!$J:$J,$J29,сценарии!$M:$M,$P$19))</f>
        <v>0.4</v>
      </c>
      <c r="S29" s="102">
        <f>IF(S$1="",0,SUMIFS(сценарии!S:S,сценарии!$E:$E,$E29,сценарии!$J:$J,$J29,сценарии!$M:$M,$P$19))</f>
        <v>0.4</v>
      </c>
      <c r="T29" s="102">
        <f>IF(T$1="",0,SUMIFS(сценарии!T:T,сценарии!$E:$E,$E29,сценарии!$J:$J,$J29,сценарии!$M:$M,$P$19))</f>
        <v>0.4</v>
      </c>
      <c r="U29" s="102">
        <f>IF(U$1="",0,SUMIFS(сценарии!U:U,сценарии!$E:$E,$E29,сценарии!$J:$J,$J29,сценарии!$M:$M,$P$19))</f>
        <v>0.4</v>
      </c>
      <c r="V29" s="102">
        <f>IF(V$1="",0,SUMIFS(сценарии!V:V,сценарии!$E:$E,$E29,сценарии!$J:$J,$J29,сценарии!$M:$M,$P$19))</f>
        <v>0.4</v>
      </c>
      <c r="W29" s="102">
        <f>IF(W$1="",0,SUMIFS(сценарии!W:W,сценарии!$E:$E,$E29,сценарии!$J:$J,$J29,сценарии!$M:$M,$P$19))</f>
        <v>0</v>
      </c>
      <c r="X29" s="102">
        <f>IF(X$1="",0,SUMIFS(сценарии!X:X,сценарии!$E:$E,$E29,сценарии!$J:$J,$J29,сценарии!$M:$M,$P$19))</f>
        <v>0</v>
      </c>
      <c r="Y29" s="102">
        <f>IF(Y$1="",0,SUMIFS(сценарии!Y:Y,сценарии!$E:$E,$E29,сценарии!$J:$J,$J29,сценарии!$M:$M,$P$19))</f>
        <v>0</v>
      </c>
      <c r="Z29" s="102">
        <f>IF(Z$1="",0,SUMIFS(сценарии!Z:Z,сценарии!$E:$E,$E29,сценарии!$J:$J,$J29,сценарии!$M:$M,$P$19))</f>
        <v>0</v>
      </c>
      <c r="AA29" s="102">
        <f>IF(AA$1="",0,SUMIFS(сценарии!AA:AA,сценарии!$E:$E,$E29,сценарии!$J:$J,$J29,сценарии!$M:$M,$P$19))</f>
        <v>0</v>
      </c>
      <c r="AB29" s="22"/>
    </row>
    <row r="30" spans="1:28" s="23" customFormat="1" ht="10.199999999999999" x14ac:dyDescent="0.2">
      <c r="A30" s="22"/>
      <c r="B30" s="22"/>
      <c r="C30" s="22"/>
      <c r="D30" s="22"/>
      <c r="E30" s="22" t="str">
        <f>E19</f>
        <v>наполняемость арендаторами</v>
      </c>
      <c r="F30" s="22"/>
      <c r="G30" s="22" t="str">
        <f>IF($E30="","",INDEX(KPI!$G:$G,SUMIFS(KPI!$B:$B,KPI!$E:$E,$E30)))</f>
        <v>%</v>
      </c>
      <c r="H30" s="100">
        <f>структура!$V$22</f>
        <v>11</v>
      </c>
      <c r="I30" s="31"/>
      <c r="J30" s="98" t="str">
        <f>структура!$X$22</f>
        <v>ноя</v>
      </c>
      <c r="K30" s="99"/>
      <c r="L30" s="22"/>
      <c r="M30" s="58"/>
      <c r="N30" s="22"/>
      <c r="O30" s="22"/>
      <c r="P30" s="102">
        <f>IF(P$1="",0,SUMIFS(сценарии!P:P,сценарии!$E:$E,$E30,сценарии!$J:$J,$J30,сценарии!$M:$M,$P$19))</f>
        <v>0.4</v>
      </c>
      <c r="Q30" s="102">
        <f>IF(Q$1="",0,SUMIFS(сценарии!Q:Q,сценарии!$E:$E,$E30,сценарии!$J:$J,$J30,сценарии!$M:$M,$P$19))</f>
        <v>0.4</v>
      </c>
      <c r="R30" s="102">
        <f>IF(R$1="",0,SUMIFS(сценарии!R:R,сценарии!$E:$E,$E30,сценарии!$J:$J,$J30,сценарии!$M:$M,$P$19))</f>
        <v>0.4</v>
      </c>
      <c r="S30" s="102">
        <f>IF(S$1="",0,SUMIFS(сценарии!S:S,сценарии!$E:$E,$E30,сценарии!$J:$J,$J30,сценарии!$M:$M,$P$19))</f>
        <v>0.4</v>
      </c>
      <c r="T30" s="102">
        <f>IF(T$1="",0,SUMIFS(сценарии!T:T,сценарии!$E:$E,$E30,сценарии!$J:$J,$J30,сценарии!$M:$M,$P$19))</f>
        <v>0.4</v>
      </c>
      <c r="U30" s="102">
        <f>IF(U$1="",0,SUMIFS(сценарии!U:U,сценарии!$E:$E,$E30,сценарии!$J:$J,$J30,сценарии!$M:$M,$P$19))</f>
        <v>0.4</v>
      </c>
      <c r="V30" s="102">
        <f>IF(V$1="",0,SUMIFS(сценарии!V:V,сценарии!$E:$E,$E30,сценарии!$J:$J,$J30,сценарии!$M:$M,$P$19))</f>
        <v>0.4</v>
      </c>
      <c r="W30" s="102">
        <f>IF(W$1="",0,SUMIFS(сценарии!W:W,сценарии!$E:$E,$E30,сценарии!$J:$J,$J30,сценарии!$M:$M,$P$19))</f>
        <v>0</v>
      </c>
      <c r="X30" s="102">
        <f>IF(X$1="",0,SUMIFS(сценарии!X:X,сценарии!$E:$E,$E30,сценарии!$J:$J,$J30,сценарии!$M:$M,$P$19))</f>
        <v>0</v>
      </c>
      <c r="Y30" s="102">
        <f>IF(Y$1="",0,SUMIFS(сценарии!Y:Y,сценарии!$E:$E,$E30,сценарии!$J:$J,$J30,сценарии!$M:$M,$P$19))</f>
        <v>0</v>
      </c>
      <c r="Z30" s="102">
        <f>IF(Z$1="",0,SUMIFS(сценарии!Z:Z,сценарии!$E:$E,$E30,сценарии!$J:$J,$J30,сценарии!$M:$M,$P$19))</f>
        <v>0</v>
      </c>
      <c r="AA30" s="102">
        <f>IF(AA$1="",0,SUMIFS(сценарии!AA:AA,сценарии!$E:$E,$E30,сценарии!$J:$J,$J30,сценарии!$M:$M,$P$19))</f>
        <v>0</v>
      </c>
      <c r="AB30" s="22"/>
    </row>
    <row r="31" spans="1:28" s="23" customFormat="1" ht="10.199999999999999" x14ac:dyDescent="0.2">
      <c r="A31" s="22"/>
      <c r="B31" s="22"/>
      <c r="C31" s="22"/>
      <c r="D31" s="22"/>
      <c r="E31" s="22" t="str">
        <f>E19</f>
        <v>наполняемость арендаторами</v>
      </c>
      <c r="F31" s="22"/>
      <c r="G31" s="22" t="str">
        <f>IF($E31="","",INDEX(KPI!$G:$G,SUMIFS(KPI!$B:$B,KPI!$E:$E,$E31)))</f>
        <v>%</v>
      </c>
      <c r="H31" s="100">
        <f>структура!$V$23</f>
        <v>12</v>
      </c>
      <c r="I31" s="31"/>
      <c r="J31" s="98" t="str">
        <f>структура!$X$23</f>
        <v>дек</v>
      </c>
      <c r="K31" s="99"/>
      <c r="L31" s="22"/>
      <c r="M31" s="58"/>
      <c r="N31" s="22"/>
      <c r="O31" s="22"/>
      <c r="P31" s="102">
        <f>IF(P$1="",0,SUMIFS(сценарии!P:P,сценарии!$E:$E,$E31,сценарии!$J:$J,$J31,сценарии!$M:$M,$P$19))</f>
        <v>0.4</v>
      </c>
      <c r="Q31" s="102">
        <f>IF(Q$1="",0,SUMIFS(сценарии!Q:Q,сценарии!$E:$E,$E31,сценарии!$J:$J,$J31,сценарии!$M:$M,$P$19))</f>
        <v>0.4</v>
      </c>
      <c r="R31" s="102">
        <f>IF(R$1="",0,SUMIFS(сценарии!R:R,сценарии!$E:$E,$E31,сценарии!$J:$J,$J31,сценарии!$M:$M,$P$19))</f>
        <v>0.4</v>
      </c>
      <c r="S31" s="102">
        <f>IF(S$1="",0,SUMIFS(сценарии!S:S,сценарии!$E:$E,$E31,сценарии!$J:$J,$J31,сценарии!$M:$M,$P$19))</f>
        <v>0.4</v>
      </c>
      <c r="T31" s="102">
        <f>IF(T$1="",0,SUMIFS(сценарии!T:T,сценарии!$E:$E,$E31,сценарии!$J:$J,$J31,сценарии!$M:$M,$P$19))</f>
        <v>0.4</v>
      </c>
      <c r="U31" s="102">
        <f>IF(U$1="",0,SUMIFS(сценарии!U:U,сценарии!$E:$E,$E31,сценарии!$J:$J,$J31,сценарии!$M:$M,$P$19))</f>
        <v>0.4</v>
      </c>
      <c r="V31" s="102">
        <f>IF(V$1="",0,SUMIFS(сценарии!V:V,сценарии!$E:$E,$E31,сценарии!$J:$J,$J31,сценарии!$M:$M,$P$19))</f>
        <v>0.4</v>
      </c>
      <c r="W31" s="102">
        <f>IF(W$1="",0,SUMIFS(сценарии!W:W,сценарии!$E:$E,$E31,сценарии!$J:$J,$J31,сценарии!$M:$M,$P$19))</f>
        <v>0</v>
      </c>
      <c r="X31" s="102">
        <f>IF(X$1="",0,SUMIFS(сценарии!X:X,сценарии!$E:$E,$E31,сценарии!$J:$J,$J31,сценарии!$M:$M,$P$19))</f>
        <v>0</v>
      </c>
      <c r="Y31" s="102">
        <f>IF(Y$1="",0,SUMIFS(сценарии!Y:Y,сценарии!$E:$E,$E31,сценарии!$J:$J,$J31,сценарии!$M:$M,$P$19))</f>
        <v>0</v>
      </c>
      <c r="Z31" s="102">
        <f>IF(Z$1="",0,SUMIFS(сценарии!Z:Z,сценарии!$E:$E,$E31,сценарии!$J:$J,$J31,сценарии!$M:$M,$P$19))</f>
        <v>0</v>
      </c>
      <c r="AA31" s="102">
        <f>IF(AA$1="",0,SUMIFS(сценарии!AA:AA,сценарии!$E:$E,$E31,сценарии!$J:$J,$J31,сценарии!$M:$M,$P$19))</f>
        <v>0</v>
      </c>
      <c r="AB31" s="22"/>
    </row>
    <row r="32" spans="1:28" ht="3.9" customHeight="1" x14ac:dyDescent="0.25">
      <c r="A32" s="2"/>
      <c r="B32" s="2"/>
      <c r="C32" s="2"/>
      <c r="D32" s="2"/>
      <c r="E32" s="21"/>
      <c r="F32" s="2"/>
      <c r="G32" s="21"/>
      <c r="H32" s="2"/>
      <c r="I32" s="28"/>
      <c r="J32" s="21"/>
      <c r="K32" s="28"/>
      <c r="L32" s="2"/>
      <c r="M32" s="52"/>
      <c r="N32" s="2"/>
      <c r="O32" s="2"/>
      <c r="P32" s="36"/>
      <c r="Q32" s="36"/>
      <c r="R32" s="36"/>
      <c r="S32" s="36"/>
      <c r="T32" s="36"/>
      <c r="U32" s="36"/>
      <c r="V32" s="36"/>
      <c r="W32" s="36"/>
      <c r="X32" s="36"/>
      <c r="Y32" s="36"/>
      <c r="Z32" s="36"/>
      <c r="AA32" s="36"/>
      <c r="AB32" s="2"/>
    </row>
    <row r="33" spans="1:28" ht="8.1" customHeight="1" x14ac:dyDescent="0.25">
      <c r="A33" s="2"/>
      <c r="B33" s="2"/>
      <c r="C33" s="2"/>
      <c r="D33" s="2"/>
      <c r="E33" s="2"/>
      <c r="F33" s="2"/>
      <c r="G33" s="2"/>
      <c r="H33" s="2"/>
      <c r="I33" s="28"/>
      <c r="J33" s="2"/>
      <c r="K33" s="28"/>
      <c r="L33" s="2"/>
      <c r="M33" s="52"/>
      <c r="N33" s="2"/>
      <c r="O33" s="2"/>
      <c r="P33" s="36"/>
      <c r="Q33" s="36"/>
      <c r="R33" s="36"/>
      <c r="S33" s="36"/>
      <c r="T33" s="36"/>
      <c r="U33" s="36"/>
      <c r="V33" s="36"/>
      <c r="W33" s="36"/>
      <c r="X33" s="36"/>
      <c r="Y33" s="36"/>
      <c r="Z33" s="36"/>
      <c r="AA33" s="36"/>
      <c r="AB33" s="2"/>
    </row>
    <row r="34" spans="1:28" s="5" customFormat="1" x14ac:dyDescent="0.25">
      <c r="A34" s="3"/>
      <c r="B34" s="3"/>
      <c r="C34" s="3"/>
      <c r="D34" s="3"/>
      <c r="E34" s="3" t="str">
        <f>KPI!$E$32</f>
        <v>стоимость аренды в сутки</v>
      </c>
      <c r="F34" s="3"/>
      <c r="G34" s="3" t="str">
        <f>IF($E34="","",INDEX(KPI!$G:$G,SUMIFS(KPI!$B:$B,KPI!$E:$E,$E34)))</f>
        <v>руб.</v>
      </c>
      <c r="H34" s="3"/>
      <c r="I34" s="28"/>
      <c r="J34" s="3"/>
      <c r="K34" s="28"/>
      <c r="L34" s="3"/>
      <c r="M34" s="55"/>
      <c r="N34" s="3"/>
      <c r="O34" s="3"/>
      <c r="P34" s="46"/>
      <c r="Q34" s="46"/>
      <c r="R34" s="46"/>
      <c r="S34" s="46"/>
      <c r="T34" s="46"/>
      <c r="U34" s="46"/>
      <c r="V34" s="46"/>
      <c r="W34" s="46"/>
      <c r="X34" s="46"/>
      <c r="Y34" s="46"/>
      <c r="Z34" s="46"/>
      <c r="AA34" s="46"/>
      <c r="AB34" s="3"/>
    </row>
    <row r="35" spans="1:28" ht="3.9" customHeight="1" x14ac:dyDescent="0.25">
      <c r="A35" s="2"/>
      <c r="B35" s="2"/>
      <c r="C35" s="2"/>
      <c r="D35" s="2"/>
      <c r="E35" s="2"/>
      <c r="F35" s="2"/>
      <c r="G35" s="2"/>
      <c r="H35" s="2"/>
      <c r="I35" s="28"/>
      <c r="J35" s="2"/>
      <c r="K35" s="28"/>
      <c r="L35" s="2"/>
      <c r="M35" s="52"/>
      <c r="N35" s="2"/>
      <c r="O35" s="2"/>
      <c r="P35" s="36"/>
      <c r="Q35" s="36"/>
      <c r="R35" s="36"/>
      <c r="S35" s="36"/>
      <c r="T35" s="36"/>
      <c r="U35" s="36"/>
      <c r="V35" s="36"/>
      <c r="W35" s="36"/>
      <c r="X35" s="36"/>
      <c r="Y35" s="36"/>
      <c r="Z35" s="36"/>
      <c r="AA35" s="36"/>
      <c r="AB35" s="2"/>
    </row>
    <row r="36" spans="1:28" x14ac:dyDescent="0.25">
      <c r="A36" s="2"/>
      <c r="B36" s="2"/>
      <c r="C36" s="2"/>
      <c r="D36" s="2"/>
      <c r="E36" s="48" t="str">
        <f>структура!$AF$12</f>
        <v>беседка большая</v>
      </c>
      <c r="F36" s="2"/>
      <c r="G36" s="2" t="str">
        <f>G34</f>
        <v>руб.</v>
      </c>
      <c r="H36" s="2"/>
      <c r="I36" s="6"/>
      <c r="J36" s="204">
        <f>операции!J36</f>
        <v>6000</v>
      </c>
      <c r="K36" s="28"/>
      <c r="L36" s="2"/>
      <c r="M36" s="52"/>
      <c r="N36" s="2"/>
      <c r="O36" s="2"/>
      <c r="P36" s="36"/>
      <c r="Q36" s="36"/>
      <c r="R36" s="36"/>
      <c r="S36" s="36"/>
      <c r="T36" s="36"/>
      <c r="U36" s="36"/>
      <c r="V36" s="36"/>
      <c r="W36" s="36"/>
      <c r="X36" s="36"/>
      <c r="Y36" s="36"/>
      <c r="Z36" s="36"/>
      <c r="AA36" s="36"/>
      <c r="AB36" s="2"/>
    </row>
    <row r="37" spans="1:28" x14ac:dyDescent="0.25">
      <c r="A37" s="2"/>
      <c r="B37" s="2"/>
      <c r="C37" s="2"/>
      <c r="D37" s="2"/>
      <c r="E37" s="49" t="str">
        <f>структура!$AF$13</f>
        <v>беседка малая</v>
      </c>
      <c r="F37" s="2"/>
      <c r="G37" s="2" t="str">
        <f>G34</f>
        <v>руб.</v>
      </c>
      <c r="H37" s="2"/>
      <c r="I37" s="6"/>
      <c r="J37" s="204">
        <f>операции!J37</f>
        <v>4600</v>
      </c>
      <c r="K37" s="28"/>
      <c r="L37" s="2"/>
      <c r="M37" s="52"/>
      <c r="N37" s="2"/>
      <c r="O37" s="2"/>
      <c r="P37" s="36"/>
      <c r="Q37" s="36"/>
      <c r="R37" s="36"/>
      <c r="S37" s="36"/>
      <c r="T37" s="36"/>
      <c r="U37" s="36"/>
      <c r="V37" s="36"/>
      <c r="W37" s="36"/>
      <c r="X37" s="36"/>
      <c r="Y37" s="36"/>
      <c r="Z37" s="36"/>
      <c r="AA37" s="36"/>
      <c r="AB37" s="2"/>
    </row>
    <row r="38" spans="1:28" x14ac:dyDescent="0.25">
      <c r="A38" s="2"/>
      <c r="B38" s="2"/>
      <c r="C38" s="2"/>
      <c r="D38" s="2"/>
      <c r="E38" s="49" t="str">
        <f>структура!$AF$14</f>
        <v>прочие для сдачи в аренду</v>
      </c>
      <c r="F38" s="2"/>
      <c r="G38" s="2" t="str">
        <f>G34</f>
        <v>руб.</v>
      </c>
      <c r="H38" s="2"/>
      <c r="I38" s="6"/>
      <c r="J38" s="204">
        <f>операции!J38</f>
        <v>0</v>
      </c>
      <c r="K38" s="28"/>
      <c r="L38" s="2"/>
      <c r="M38" s="52"/>
      <c r="N38" s="2"/>
      <c r="O38" s="2"/>
      <c r="P38" s="36"/>
      <c r="Q38" s="36"/>
      <c r="R38" s="36"/>
      <c r="S38" s="36"/>
      <c r="T38" s="36"/>
      <c r="U38" s="36"/>
      <c r="V38" s="36"/>
      <c r="W38" s="36"/>
      <c r="X38" s="36"/>
      <c r="Y38" s="36"/>
      <c r="Z38" s="36"/>
      <c r="AA38" s="36"/>
      <c r="AB38" s="2"/>
    </row>
    <row r="39" spans="1:28" ht="3.9" customHeight="1" x14ac:dyDescent="0.25">
      <c r="A39" s="2"/>
      <c r="B39" s="2"/>
      <c r="C39" s="2"/>
      <c r="D39" s="2"/>
      <c r="E39" s="50"/>
      <c r="F39" s="2"/>
      <c r="G39" s="2"/>
      <c r="H39" s="2"/>
      <c r="I39" s="28"/>
      <c r="J39" s="2"/>
      <c r="K39" s="28"/>
      <c r="L39" s="2"/>
      <c r="M39" s="52"/>
      <c r="N39" s="2"/>
      <c r="O39" s="2"/>
      <c r="P39" s="36"/>
      <c r="Q39" s="36"/>
      <c r="R39" s="36"/>
      <c r="S39" s="36"/>
      <c r="T39" s="36"/>
      <c r="U39" s="36"/>
      <c r="V39" s="36"/>
      <c r="W39" s="36"/>
      <c r="X39" s="36"/>
      <c r="Y39" s="36"/>
      <c r="Z39" s="36"/>
      <c r="AA39" s="36"/>
      <c r="AB39" s="2"/>
    </row>
    <row r="40" spans="1:28" ht="3.9" customHeight="1" x14ac:dyDescent="0.25">
      <c r="A40" s="2"/>
      <c r="B40" s="2"/>
      <c r="C40" s="2"/>
      <c r="D40" s="2"/>
      <c r="E40" s="2"/>
      <c r="F40" s="2"/>
      <c r="G40" s="2"/>
      <c r="H40" s="2"/>
      <c r="I40" s="28"/>
      <c r="J40" s="2"/>
      <c r="K40" s="28"/>
      <c r="L40" s="2"/>
      <c r="M40" s="52"/>
      <c r="N40" s="2"/>
      <c r="O40" s="2"/>
      <c r="P40" s="36"/>
      <c r="Q40" s="36"/>
      <c r="R40" s="36"/>
      <c r="S40" s="36"/>
      <c r="T40" s="36"/>
      <c r="U40" s="36"/>
      <c r="V40" s="36"/>
      <c r="W40" s="36"/>
      <c r="X40" s="36"/>
      <c r="Y40" s="36"/>
      <c r="Z40" s="36"/>
      <c r="AA40" s="36"/>
      <c r="AB40" s="2"/>
    </row>
    <row r="41" spans="1:28" s="5" customFormat="1" x14ac:dyDescent="0.25">
      <c r="A41" s="3"/>
      <c r="B41" s="3"/>
      <c r="C41" s="3"/>
      <c r="D41" s="3"/>
      <c r="E41" s="89" t="str">
        <f>KPI!$E$33</f>
        <v>средний арендный чек</v>
      </c>
      <c r="F41" s="89"/>
      <c r="G41" s="89" t="str">
        <f>IF($E41="","",INDEX(KPI!$G:$G,SUMIFS(KPI!$B:$B,KPI!$E:$E,$E41)))</f>
        <v>руб.</v>
      </c>
      <c r="H41" s="89"/>
      <c r="I41" s="90"/>
      <c r="J41" s="91" t="str">
        <f>структура!$AL$18</f>
        <v>одинаковая наполняемость</v>
      </c>
      <c r="K41" s="90"/>
      <c r="L41" s="89"/>
      <c r="M41" s="92">
        <f>IF(SUM(капитал!$J$67:$J$70)=0,0,SUMPRODUCT(капитал!$J$67:$J$70,$J$36:$J$39)/SUM(капитал!$J$67:$J$70))</f>
        <v>5246.1538461538457</v>
      </c>
      <c r="N41" s="3"/>
      <c r="O41" s="3"/>
      <c r="P41" s="93">
        <f>IF(P1="",0,IF(SUM(капитал!$J$67:$J$70)=0,0,SUMPRODUCT(капитал!$J$67:$J$70,$J$36:$J$39)/SUM(капитал!$J$67:$J$70)))</f>
        <v>5246.1538461538457</v>
      </c>
      <c r="Q41" s="93">
        <f>IF(Q1="",0,IF(SUM(капитал!$J$67:$J$70)=0,0,SUMPRODUCT(капитал!$J$67:$J$70,$J$36:$J$39)/SUM(капитал!$J$67:$J$70)))</f>
        <v>5246.1538461538457</v>
      </c>
      <c r="R41" s="93">
        <f>IF(R1="",0,IF(SUM(капитал!$J$67:$J$70)=0,0,SUMPRODUCT(капитал!$J$67:$J$70,$J$36:$J$39)/SUM(капитал!$J$67:$J$70)))</f>
        <v>5246.1538461538457</v>
      </c>
      <c r="S41" s="93">
        <f>IF(S1="",0,IF(SUM(капитал!$J$67:$J$70)=0,0,SUMPRODUCT(капитал!$J$67:$J$70,$J$36:$J$39)/SUM(капитал!$J$67:$J$70)))</f>
        <v>5246.1538461538457</v>
      </c>
      <c r="T41" s="93">
        <f>IF(T1="",0,IF(SUM(капитал!$J$67:$J$70)=0,0,SUMPRODUCT(капитал!$J$67:$J$70,$J$36:$J$39)/SUM(капитал!$J$67:$J$70)))</f>
        <v>5246.1538461538457</v>
      </c>
      <c r="U41" s="93">
        <f>IF(U1="",0,IF(SUM(капитал!$J$67:$J$70)=0,0,SUMPRODUCT(капитал!$J$67:$J$70,$J$36:$J$39)/SUM(капитал!$J$67:$J$70)))</f>
        <v>5246.1538461538457</v>
      </c>
      <c r="V41" s="93">
        <f>IF(V1="",0,IF(SUM(капитал!$J$67:$J$70)=0,0,SUMPRODUCT(капитал!$J$67:$J$70,$J$36:$J$39)/SUM(капитал!$J$67:$J$70)))</f>
        <v>5246.1538461538457</v>
      </c>
      <c r="W41" s="93">
        <f>IF(W1="",0,IF(SUM(капитал!$J$67:$J$70)=0,0,SUMPRODUCT(капитал!$J$67:$J$70,$J$36:$J$39)/SUM(капитал!$J$67:$J$70)))</f>
        <v>0</v>
      </c>
      <c r="X41" s="93">
        <f>IF(X1="",0,IF(SUM(капитал!$J$67:$J$70)=0,0,SUMPRODUCT(капитал!$J$67:$J$70,$J$36:$J$39)/SUM(капитал!$J$67:$J$70)))</f>
        <v>0</v>
      </c>
      <c r="Y41" s="93">
        <f>IF(Y1="",0,IF(SUM(капитал!$J$67:$J$70)=0,0,SUMPRODUCT(капитал!$J$67:$J$70,$J$36:$J$39)/SUM(капитал!$J$67:$J$70)))</f>
        <v>0</v>
      </c>
      <c r="Z41" s="93">
        <f>IF(Z1="",0,IF(SUM(капитал!$J$67:$J$70)=0,0,SUMPRODUCT(капитал!$J$67:$J$70,$J$36:$J$39)/SUM(капитал!$J$67:$J$70)))</f>
        <v>0</v>
      </c>
      <c r="AA41" s="93">
        <f>IF(AA1="",0,IF(SUM(капитал!$J$67:$J$70)=0,0,SUMPRODUCT(капитал!$J$67:$J$70,$J$36:$J$39)/SUM(капитал!$J$67:$J$70)))</f>
        <v>0</v>
      </c>
      <c r="AB41" s="3"/>
    </row>
    <row r="42" spans="1:28" ht="8.1" customHeight="1" x14ac:dyDescent="0.25">
      <c r="A42" s="2"/>
      <c r="B42" s="2"/>
      <c r="C42" s="2"/>
      <c r="D42" s="2"/>
      <c r="E42" s="2"/>
      <c r="F42" s="2"/>
      <c r="G42" s="2"/>
      <c r="H42" s="2"/>
      <c r="I42" s="28"/>
      <c r="J42" s="2"/>
      <c r="K42" s="28"/>
      <c r="L42" s="2"/>
      <c r="M42" s="52"/>
      <c r="N42" s="2"/>
      <c r="O42" s="2"/>
      <c r="P42" s="36"/>
      <c r="Q42" s="36"/>
      <c r="R42" s="36"/>
      <c r="S42" s="36"/>
      <c r="T42" s="36"/>
      <c r="U42" s="36"/>
      <c r="V42" s="36"/>
      <c r="W42" s="36"/>
      <c r="X42" s="36"/>
      <c r="Y42" s="36"/>
      <c r="Z42" s="36"/>
      <c r="AA42" s="36"/>
      <c r="AB42" s="2"/>
    </row>
    <row r="43" spans="1:28" s="5" customFormat="1" x14ac:dyDescent="0.25">
      <c r="A43" s="3"/>
      <c r="B43" s="3"/>
      <c r="C43" s="3"/>
      <c r="D43" s="3"/>
      <c r="E43" s="3" t="str">
        <f>KPI!$E$34</f>
        <v>количество арендных сделок</v>
      </c>
      <c r="F43" s="3"/>
      <c r="G43" s="3" t="str">
        <f>IF($E43="","",INDEX(KPI!$G:$G,SUMIFS(KPI!$B:$B,KPI!$E:$E,$E43)))</f>
        <v>шт</v>
      </c>
      <c r="H43" s="3"/>
      <c r="I43" s="28"/>
      <c r="J43" s="44"/>
      <c r="K43" s="28"/>
      <c r="L43" s="3"/>
      <c r="M43" s="55"/>
      <c r="N43" s="3"/>
      <c r="O43" s="3"/>
      <c r="P43" s="46">
        <f>IF(P$1="",0,IF(P$1=0,SUMIFS(P44:P55,H44:H55,"&gt;="&amp;MONTH($J$13)),SUM(P44:P55)))</f>
        <v>1896</v>
      </c>
      <c r="Q43" s="46">
        <f t="shared" ref="Q43:AA43" si="4">IF(Q$1="",0,SUM(Q44:Q55))</f>
        <v>1896</v>
      </c>
      <c r="R43" s="46">
        <f t="shared" si="4"/>
        <v>1901</v>
      </c>
      <c r="S43" s="46">
        <f t="shared" si="4"/>
        <v>1896</v>
      </c>
      <c r="T43" s="46">
        <f t="shared" si="4"/>
        <v>1896</v>
      </c>
      <c r="U43" s="46">
        <f t="shared" si="4"/>
        <v>1896</v>
      </c>
      <c r="V43" s="46">
        <f t="shared" si="4"/>
        <v>1901</v>
      </c>
      <c r="W43" s="46">
        <f t="shared" si="4"/>
        <v>0</v>
      </c>
      <c r="X43" s="46">
        <f t="shared" si="4"/>
        <v>0</v>
      </c>
      <c r="Y43" s="46">
        <f t="shared" si="4"/>
        <v>0</v>
      </c>
      <c r="Z43" s="46">
        <f t="shared" si="4"/>
        <v>0</v>
      </c>
      <c r="AA43" s="46">
        <f t="shared" si="4"/>
        <v>0</v>
      </c>
      <c r="AB43" s="3"/>
    </row>
    <row r="44" spans="1:28" s="23" customFormat="1" ht="10.199999999999999" x14ac:dyDescent="0.2">
      <c r="A44" s="22"/>
      <c r="B44" s="22"/>
      <c r="C44" s="22"/>
      <c r="D44" s="22"/>
      <c r="E44" s="22" t="str">
        <f t="shared" ref="E44:E55" si="5">$E$43</f>
        <v>количество арендных сделок</v>
      </c>
      <c r="F44" s="22"/>
      <c r="G44" s="22" t="str">
        <f>IF($E44="","",INDEX(KPI!$G:$G,SUMIFS(KPI!$B:$B,KPI!$E:$E,$E44)))</f>
        <v>шт</v>
      </c>
      <c r="H44" s="100">
        <f>структура!$V$12</f>
        <v>1</v>
      </c>
      <c r="I44" s="31"/>
      <c r="J44" s="98" t="str">
        <f>структура!$X$12</f>
        <v>янв</v>
      </c>
      <c r="K44" s="99"/>
      <c r="L44" s="22"/>
      <c r="M44" s="58"/>
      <c r="N44" s="22"/>
      <c r="O44" s="22"/>
      <c r="P44" s="101">
        <f>IF(P$1="",0,INT(SUM(капитал!$J$67:$J$70)*DAY(EOMONTH(P$8,$H44-MONTH(P$8)))*P20))</f>
        <v>161</v>
      </c>
      <c r="Q44" s="101">
        <f>IF(Q$1="",0,INT(SUM(капитал!$J$67:$J$70)*DAY(EOMONTH(Q$8,$H44-MONTH(Q$8)))*Q20))</f>
        <v>161</v>
      </c>
      <c r="R44" s="101">
        <f>IF(R$1="",0,INT(SUM(капитал!$J$67:$J$70)*DAY(EOMONTH(R$8,$H44-MONTH(R$8)))*R20))</f>
        <v>161</v>
      </c>
      <c r="S44" s="101">
        <f>IF(S$1="",0,INT(SUM(капитал!$J$67:$J$70)*DAY(EOMONTH(S$8,$H44-MONTH(S$8)))*S20))</f>
        <v>161</v>
      </c>
      <c r="T44" s="101">
        <f>IF(T$1="",0,INT(SUM(капитал!$J$67:$J$70)*DAY(EOMONTH(T$8,$H44-MONTH(T$8)))*T20))</f>
        <v>161</v>
      </c>
      <c r="U44" s="101">
        <f>IF(U$1="",0,INT(SUM(капитал!$J$67:$J$70)*DAY(EOMONTH(U$8,$H44-MONTH(U$8)))*U20))</f>
        <v>161</v>
      </c>
      <c r="V44" s="101">
        <f>IF(V$1="",0,INT(SUM(капитал!$J$67:$J$70)*DAY(EOMONTH(V$8,$H44-MONTH(V$8)))*V20))</f>
        <v>161</v>
      </c>
      <c r="W44" s="101">
        <f>IF(W$1="",0,INT(SUM(капитал!$J$67:$J$70)*DAY(EOMONTH(W$8,$H44-MONTH(W$8)))*W20))</f>
        <v>0</v>
      </c>
      <c r="X44" s="101">
        <f>IF(X$1="",0,INT(SUM(капитал!$J$67:$J$70)*DAY(EOMONTH(X$8,$H44-MONTH(X$8)))*X20))</f>
        <v>0</v>
      </c>
      <c r="Y44" s="101">
        <f>IF(Y$1="",0,INT(SUM(капитал!$J$67:$J$70)*DAY(EOMONTH(Y$8,$H44-MONTH(Y$8)))*Y20))</f>
        <v>0</v>
      </c>
      <c r="Z44" s="101">
        <f>IF(Z$1="",0,INT(SUM(капитал!$J$67:$J$70)*DAY(EOMONTH(Z$8,$H44-MONTH(Z$8)))*Z20))</f>
        <v>0</v>
      </c>
      <c r="AA44" s="101">
        <f>IF(AA$1="",0,INT(SUM(капитал!$J$67:$J$70)*DAY(EOMONTH(AA$8,$H44-MONTH(AA$8)))*AA20))</f>
        <v>0</v>
      </c>
      <c r="AB44" s="22"/>
    </row>
    <row r="45" spans="1:28" s="23" customFormat="1" ht="10.199999999999999" x14ac:dyDescent="0.2">
      <c r="A45" s="22"/>
      <c r="B45" s="22"/>
      <c r="C45" s="22"/>
      <c r="D45" s="22"/>
      <c r="E45" s="22" t="str">
        <f t="shared" si="5"/>
        <v>количество арендных сделок</v>
      </c>
      <c r="F45" s="22"/>
      <c r="G45" s="22" t="str">
        <f>IF($E45="","",INDEX(KPI!$G:$G,SUMIFS(KPI!$B:$B,KPI!$E:$E,$E45)))</f>
        <v>шт</v>
      </c>
      <c r="H45" s="100">
        <f>структура!$V$13</f>
        <v>2</v>
      </c>
      <c r="I45" s="31"/>
      <c r="J45" s="98" t="str">
        <f>структура!$X$13</f>
        <v>фев</v>
      </c>
      <c r="K45" s="99"/>
      <c r="L45" s="22"/>
      <c r="M45" s="58"/>
      <c r="N45" s="22"/>
      <c r="O45" s="22"/>
      <c r="P45" s="101">
        <f>IF(P$1="",0,INT(SUM(капитал!$J$67:$J$70)*DAY(EOMONTH(P$8,$H45-MONTH(P$8)))*P21))</f>
        <v>145</v>
      </c>
      <c r="Q45" s="101">
        <f>IF(Q$1="",0,INT(SUM(капитал!$J$67:$J$70)*DAY(EOMONTH(Q$8,$H45-MONTH(Q$8)))*Q21))</f>
        <v>145</v>
      </c>
      <c r="R45" s="101">
        <f>IF(R$1="",0,INT(SUM(капитал!$J$67:$J$70)*DAY(EOMONTH(R$8,$H45-MONTH(R$8)))*R21))</f>
        <v>150</v>
      </c>
      <c r="S45" s="101">
        <f>IF(S$1="",0,INT(SUM(капитал!$J$67:$J$70)*DAY(EOMONTH(S$8,$H45-MONTH(S$8)))*S21))</f>
        <v>145</v>
      </c>
      <c r="T45" s="101">
        <f>IF(T$1="",0,INT(SUM(капитал!$J$67:$J$70)*DAY(EOMONTH(T$8,$H45-MONTH(T$8)))*T21))</f>
        <v>145</v>
      </c>
      <c r="U45" s="101">
        <f>IF(U$1="",0,INT(SUM(капитал!$J$67:$J$70)*DAY(EOMONTH(U$8,$H45-MONTH(U$8)))*U21))</f>
        <v>145</v>
      </c>
      <c r="V45" s="101">
        <f>IF(V$1="",0,INT(SUM(капитал!$J$67:$J$70)*DAY(EOMONTH(V$8,$H45-MONTH(V$8)))*V21))</f>
        <v>150</v>
      </c>
      <c r="W45" s="101">
        <f>IF(W$1="",0,INT(SUM(капитал!$J$67:$J$70)*DAY(EOMONTH(W$8,$H45-MONTH(W$8)))*W21))</f>
        <v>0</v>
      </c>
      <c r="X45" s="101">
        <f>IF(X$1="",0,INT(SUM(капитал!$J$67:$J$70)*DAY(EOMONTH(X$8,$H45-MONTH(X$8)))*X21))</f>
        <v>0</v>
      </c>
      <c r="Y45" s="101">
        <f>IF(Y$1="",0,INT(SUM(капитал!$J$67:$J$70)*DAY(EOMONTH(Y$8,$H45-MONTH(Y$8)))*Y21))</f>
        <v>0</v>
      </c>
      <c r="Z45" s="101">
        <f>IF(Z$1="",0,INT(SUM(капитал!$J$67:$J$70)*DAY(EOMONTH(Z$8,$H45-MONTH(Z$8)))*Z21))</f>
        <v>0</v>
      </c>
      <c r="AA45" s="101">
        <f>IF(AA$1="",0,INT(SUM(капитал!$J$67:$J$70)*DAY(EOMONTH(AA$8,$H45-MONTH(AA$8)))*AA21))</f>
        <v>0</v>
      </c>
      <c r="AB45" s="22"/>
    </row>
    <row r="46" spans="1:28" s="23" customFormat="1" ht="10.199999999999999" x14ac:dyDescent="0.2">
      <c r="A46" s="22"/>
      <c r="B46" s="22"/>
      <c r="C46" s="22"/>
      <c r="D46" s="22"/>
      <c r="E46" s="22" t="str">
        <f t="shared" si="5"/>
        <v>количество арендных сделок</v>
      </c>
      <c r="F46" s="22"/>
      <c r="G46" s="22" t="str">
        <f>IF($E46="","",INDEX(KPI!$G:$G,SUMIFS(KPI!$B:$B,KPI!$E:$E,$E46)))</f>
        <v>шт</v>
      </c>
      <c r="H46" s="100">
        <f>структура!$V$14</f>
        <v>3</v>
      </c>
      <c r="I46" s="31"/>
      <c r="J46" s="98" t="str">
        <f>структура!$X$14</f>
        <v>мар</v>
      </c>
      <c r="K46" s="99"/>
      <c r="L46" s="22"/>
      <c r="M46" s="58"/>
      <c r="N46" s="22"/>
      <c r="O46" s="22"/>
      <c r="P46" s="101">
        <f>IF(P$1="",0,INT(SUM(капитал!$J$67:$J$70)*DAY(EOMONTH(P$8,$H46-MONTH(P$8)))*P22))</f>
        <v>161</v>
      </c>
      <c r="Q46" s="101">
        <f>IF(Q$1="",0,INT(SUM(капитал!$J$67:$J$70)*DAY(EOMONTH(Q$8,$H46-MONTH(Q$8)))*Q22))</f>
        <v>161</v>
      </c>
      <c r="R46" s="101">
        <f>IF(R$1="",0,INT(SUM(капитал!$J$67:$J$70)*DAY(EOMONTH(R$8,$H46-MONTH(R$8)))*R22))</f>
        <v>161</v>
      </c>
      <c r="S46" s="101">
        <f>IF(S$1="",0,INT(SUM(капитал!$J$67:$J$70)*DAY(EOMONTH(S$8,$H46-MONTH(S$8)))*S22))</f>
        <v>161</v>
      </c>
      <c r="T46" s="101">
        <f>IF(T$1="",0,INT(SUM(капитал!$J$67:$J$70)*DAY(EOMONTH(T$8,$H46-MONTH(T$8)))*T22))</f>
        <v>161</v>
      </c>
      <c r="U46" s="101">
        <f>IF(U$1="",0,INT(SUM(капитал!$J$67:$J$70)*DAY(EOMONTH(U$8,$H46-MONTH(U$8)))*U22))</f>
        <v>161</v>
      </c>
      <c r="V46" s="101">
        <f>IF(V$1="",0,INT(SUM(капитал!$J$67:$J$70)*DAY(EOMONTH(V$8,$H46-MONTH(V$8)))*V22))</f>
        <v>161</v>
      </c>
      <c r="W46" s="101">
        <f>IF(W$1="",0,INT(SUM(капитал!$J$67:$J$70)*DAY(EOMONTH(W$8,$H46-MONTH(W$8)))*W22))</f>
        <v>0</v>
      </c>
      <c r="X46" s="101">
        <f>IF(X$1="",0,INT(SUM(капитал!$J$67:$J$70)*DAY(EOMONTH(X$8,$H46-MONTH(X$8)))*X22))</f>
        <v>0</v>
      </c>
      <c r="Y46" s="101">
        <f>IF(Y$1="",0,INT(SUM(капитал!$J$67:$J$70)*DAY(EOMONTH(Y$8,$H46-MONTH(Y$8)))*Y22))</f>
        <v>0</v>
      </c>
      <c r="Z46" s="101">
        <f>IF(Z$1="",0,INT(SUM(капитал!$J$67:$J$70)*DAY(EOMONTH(Z$8,$H46-MONTH(Z$8)))*Z22))</f>
        <v>0</v>
      </c>
      <c r="AA46" s="101">
        <f>IF(AA$1="",0,INT(SUM(капитал!$J$67:$J$70)*DAY(EOMONTH(AA$8,$H46-MONTH(AA$8)))*AA22))</f>
        <v>0</v>
      </c>
      <c r="AB46" s="22"/>
    </row>
    <row r="47" spans="1:28" s="23" customFormat="1" ht="10.199999999999999" x14ac:dyDescent="0.2">
      <c r="A47" s="22"/>
      <c r="B47" s="22"/>
      <c r="C47" s="22"/>
      <c r="D47" s="22"/>
      <c r="E47" s="22" t="str">
        <f t="shared" si="5"/>
        <v>количество арендных сделок</v>
      </c>
      <c r="F47" s="22"/>
      <c r="G47" s="22" t="str">
        <f>IF($E47="","",INDEX(KPI!$G:$G,SUMIFS(KPI!$B:$B,KPI!$E:$E,$E47)))</f>
        <v>шт</v>
      </c>
      <c r="H47" s="100">
        <f>структура!$V$15</f>
        <v>4</v>
      </c>
      <c r="I47" s="31"/>
      <c r="J47" s="98" t="str">
        <f>структура!$X$15</f>
        <v>апр</v>
      </c>
      <c r="K47" s="99"/>
      <c r="L47" s="22"/>
      <c r="M47" s="58"/>
      <c r="N47" s="22"/>
      <c r="O47" s="22"/>
      <c r="P47" s="101">
        <f>IF(P$1="",0,INT(SUM(капитал!$J$67:$J$70)*DAY(EOMONTH(P$8,$H47-MONTH(P$8)))*P23))</f>
        <v>156</v>
      </c>
      <c r="Q47" s="101">
        <f>IF(Q$1="",0,INT(SUM(капитал!$J$67:$J$70)*DAY(EOMONTH(Q$8,$H47-MONTH(Q$8)))*Q23))</f>
        <v>156</v>
      </c>
      <c r="R47" s="101">
        <f>IF(R$1="",0,INT(SUM(капитал!$J$67:$J$70)*DAY(EOMONTH(R$8,$H47-MONTH(R$8)))*R23))</f>
        <v>156</v>
      </c>
      <c r="S47" s="101">
        <f>IF(S$1="",0,INT(SUM(капитал!$J$67:$J$70)*DAY(EOMONTH(S$8,$H47-MONTH(S$8)))*S23))</f>
        <v>156</v>
      </c>
      <c r="T47" s="101">
        <f>IF(T$1="",0,INT(SUM(капитал!$J$67:$J$70)*DAY(EOMONTH(T$8,$H47-MONTH(T$8)))*T23))</f>
        <v>156</v>
      </c>
      <c r="U47" s="101">
        <f>IF(U$1="",0,INT(SUM(капитал!$J$67:$J$70)*DAY(EOMONTH(U$8,$H47-MONTH(U$8)))*U23))</f>
        <v>156</v>
      </c>
      <c r="V47" s="101">
        <f>IF(V$1="",0,INT(SUM(капитал!$J$67:$J$70)*DAY(EOMONTH(V$8,$H47-MONTH(V$8)))*V23))</f>
        <v>156</v>
      </c>
      <c r="W47" s="101">
        <f>IF(W$1="",0,INT(SUM(капитал!$J$67:$J$70)*DAY(EOMONTH(W$8,$H47-MONTH(W$8)))*W23))</f>
        <v>0</v>
      </c>
      <c r="X47" s="101">
        <f>IF(X$1="",0,INT(SUM(капитал!$J$67:$J$70)*DAY(EOMONTH(X$8,$H47-MONTH(X$8)))*X23))</f>
        <v>0</v>
      </c>
      <c r="Y47" s="101">
        <f>IF(Y$1="",0,INT(SUM(капитал!$J$67:$J$70)*DAY(EOMONTH(Y$8,$H47-MONTH(Y$8)))*Y23))</f>
        <v>0</v>
      </c>
      <c r="Z47" s="101">
        <f>IF(Z$1="",0,INT(SUM(капитал!$J$67:$J$70)*DAY(EOMONTH(Z$8,$H47-MONTH(Z$8)))*Z23))</f>
        <v>0</v>
      </c>
      <c r="AA47" s="101">
        <f>IF(AA$1="",0,INT(SUM(капитал!$J$67:$J$70)*DAY(EOMONTH(AA$8,$H47-MONTH(AA$8)))*AA23))</f>
        <v>0</v>
      </c>
      <c r="AB47" s="22"/>
    </row>
    <row r="48" spans="1:28" s="23" customFormat="1" ht="10.199999999999999" x14ac:dyDescent="0.2">
      <c r="A48" s="22"/>
      <c r="B48" s="22"/>
      <c r="C48" s="22"/>
      <c r="D48" s="22"/>
      <c r="E48" s="22" t="str">
        <f t="shared" si="5"/>
        <v>количество арендных сделок</v>
      </c>
      <c r="F48" s="22"/>
      <c r="G48" s="22" t="str">
        <f>IF($E48="","",INDEX(KPI!$G:$G,SUMIFS(KPI!$B:$B,KPI!$E:$E,$E48)))</f>
        <v>шт</v>
      </c>
      <c r="H48" s="100">
        <f>структура!$V$16</f>
        <v>5</v>
      </c>
      <c r="I48" s="31"/>
      <c r="J48" s="98" t="str">
        <f>структура!$X$16</f>
        <v>май</v>
      </c>
      <c r="K48" s="99"/>
      <c r="L48" s="22"/>
      <c r="M48" s="58"/>
      <c r="N48" s="22"/>
      <c r="O48" s="22"/>
      <c r="P48" s="101">
        <f>IF(P$1="",0,INT(SUM(капитал!$J$67:$J$70)*DAY(EOMONTH(P$8,$H48-MONTH(P$8)))*P24))</f>
        <v>161</v>
      </c>
      <c r="Q48" s="101">
        <f>IF(Q$1="",0,INT(SUM(капитал!$J$67:$J$70)*DAY(EOMONTH(Q$8,$H48-MONTH(Q$8)))*Q24))</f>
        <v>161</v>
      </c>
      <c r="R48" s="101">
        <f>IF(R$1="",0,INT(SUM(капитал!$J$67:$J$70)*DAY(EOMONTH(R$8,$H48-MONTH(R$8)))*R24))</f>
        <v>161</v>
      </c>
      <c r="S48" s="101">
        <f>IF(S$1="",0,INT(SUM(капитал!$J$67:$J$70)*DAY(EOMONTH(S$8,$H48-MONTH(S$8)))*S24))</f>
        <v>161</v>
      </c>
      <c r="T48" s="101">
        <f>IF(T$1="",0,INT(SUM(капитал!$J$67:$J$70)*DAY(EOMONTH(T$8,$H48-MONTH(T$8)))*T24))</f>
        <v>161</v>
      </c>
      <c r="U48" s="101">
        <f>IF(U$1="",0,INT(SUM(капитал!$J$67:$J$70)*DAY(EOMONTH(U$8,$H48-MONTH(U$8)))*U24))</f>
        <v>161</v>
      </c>
      <c r="V48" s="101">
        <f>IF(V$1="",0,INT(SUM(капитал!$J$67:$J$70)*DAY(EOMONTH(V$8,$H48-MONTH(V$8)))*V24))</f>
        <v>161</v>
      </c>
      <c r="W48" s="101">
        <f>IF(W$1="",0,INT(SUM(капитал!$J$67:$J$70)*DAY(EOMONTH(W$8,$H48-MONTH(W$8)))*W24))</f>
        <v>0</v>
      </c>
      <c r="X48" s="101">
        <f>IF(X$1="",0,INT(SUM(капитал!$J$67:$J$70)*DAY(EOMONTH(X$8,$H48-MONTH(X$8)))*X24))</f>
        <v>0</v>
      </c>
      <c r="Y48" s="101">
        <f>IF(Y$1="",0,INT(SUM(капитал!$J$67:$J$70)*DAY(EOMONTH(Y$8,$H48-MONTH(Y$8)))*Y24))</f>
        <v>0</v>
      </c>
      <c r="Z48" s="101">
        <f>IF(Z$1="",0,INT(SUM(капитал!$J$67:$J$70)*DAY(EOMONTH(Z$8,$H48-MONTH(Z$8)))*Z24))</f>
        <v>0</v>
      </c>
      <c r="AA48" s="101">
        <f>IF(AA$1="",0,INT(SUM(капитал!$J$67:$J$70)*DAY(EOMONTH(AA$8,$H48-MONTH(AA$8)))*AA24))</f>
        <v>0</v>
      </c>
      <c r="AB48" s="22"/>
    </row>
    <row r="49" spans="1:28" s="23" customFormat="1" ht="10.199999999999999" x14ac:dyDescent="0.2">
      <c r="A49" s="22"/>
      <c r="B49" s="22"/>
      <c r="C49" s="22"/>
      <c r="D49" s="22"/>
      <c r="E49" s="22" t="str">
        <f t="shared" si="5"/>
        <v>количество арендных сделок</v>
      </c>
      <c r="F49" s="22"/>
      <c r="G49" s="22" t="str">
        <f>IF($E49="","",INDEX(KPI!$G:$G,SUMIFS(KPI!$B:$B,KPI!$E:$E,$E49)))</f>
        <v>шт</v>
      </c>
      <c r="H49" s="100">
        <f>структура!$V$17</f>
        <v>6</v>
      </c>
      <c r="I49" s="31"/>
      <c r="J49" s="98" t="str">
        <f>структура!$X$17</f>
        <v>июн</v>
      </c>
      <c r="K49" s="99"/>
      <c r="L49" s="22"/>
      <c r="M49" s="58"/>
      <c r="N49" s="22"/>
      <c r="O49" s="22"/>
      <c r="P49" s="101">
        <f>IF(P$1="",0,INT(SUM(капитал!$J$67:$J$70)*DAY(EOMONTH(P$8,$H49-MONTH(P$8)))*P25))</f>
        <v>156</v>
      </c>
      <c r="Q49" s="101">
        <f>IF(Q$1="",0,INT(SUM(капитал!$J$67:$J$70)*DAY(EOMONTH(Q$8,$H49-MONTH(Q$8)))*Q25))</f>
        <v>156</v>
      </c>
      <c r="R49" s="101">
        <f>IF(R$1="",0,INT(SUM(капитал!$J$67:$J$70)*DAY(EOMONTH(R$8,$H49-MONTH(R$8)))*R25))</f>
        <v>156</v>
      </c>
      <c r="S49" s="101">
        <f>IF(S$1="",0,INT(SUM(капитал!$J$67:$J$70)*DAY(EOMONTH(S$8,$H49-MONTH(S$8)))*S25))</f>
        <v>156</v>
      </c>
      <c r="T49" s="101">
        <f>IF(T$1="",0,INT(SUM(капитал!$J$67:$J$70)*DAY(EOMONTH(T$8,$H49-MONTH(T$8)))*T25))</f>
        <v>156</v>
      </c>
      <c r="U49" s="101">
        <f>IF(U$1="",0,INT(SUM(капитал!$J$67:$J$70)*DAY(EOMONTH(U$8,$H49-MONTH(U$8)))*U25))</f>
        <v>156</v>
      </c>
      <c r="V49" s="101">
        <f>IF(V$1="",0,INT(SUM(капитал!$J$67:$J$70)*DAY(EOMONTH(V$8,$H49-MONTH(V$8)))*V25))</f>
        <v>156</v>
      </c>
      <c r="W49" s="101">
        <f>IF(W$1="",0,INT(SUM(капитал!$J$67:$J$70)*DAY(EOMONTH(W$8,$H49-MONTH(W$8)))*W25))</f>
        <v>0</v>
      </c>
      <c r="X49" s="101">
        <f>IF(X$1="",0,INT(SUM(капитал!$J$67:$J$70)*DAY(EOMONTH(X$8,$H49-MONTH(X$8)))*X25))</f>
        <v>0</v>
      </c>
      <c r="Y49" s="101">
        <f>IF(Y$1="",0,INT(SUM(капитал!$J$67:$J$70)*DAY(EOMONTH(Y$8,$H49-MONTH(Y$8)))*Y25))</f>
        <v>0</v>
      </c>
      <c r="Z49" s="101">
        <f>IF(Z$1="",0,INT(SUM(капитал!$J$67:$J$70)*DAY(EOMONTH(Z$8,$H49-MONTH(Z$8)))*Z25))</f>
        <v>0</v>
      </c>
      <c r="AA49" s="101">
        <f>IF(AA$1="",0,INT(SUM(капитал!$J$67:$J$70)*DAY(EOMONTH(AA$8,$H49-MONTH(AA$8)))*AA25))</f>
        <v>0</v>
      </c>
      <c r="AB49" s="22"/>
    </row>
    <row r="50" spans="1:28" s="23" customFormat="1" ht="10.199999999999999" x14ac:dyDescent="0.2">
      <c r="A50" s="22"/>
      <c r="B50" s="22"/>
      <c r="C50" s="22"/>
      <c r="D50" s="22"/>
      <c r="E50" s="22" t="str">
        <f t="shared" si="5"/>
        <v>количество арендных сделок</v>
      </c>
      <c r="F50" s="22"/>
      <c r="G50" s="22" t="str">
        <f>IF($E50="","",INDEX(KPI!$G:$G,SUMIFS(KPI!$B:$B,KPI!$E:$E,$E50)))</f>
        <v>шт</v>
      </c>
      <c r="H50" s="100">
        <f>структура!$V$18</f>
        <v>7</v>
      </c>
      <c r="I50" s="31"/>
      <c r="J50" s="98" t="str">
        <f>структура!$X$18</f>
        <v>июл</v>
      </c>
      <c r="K50" s="99"/>
      <c r="L50" s="22"/>
      <c r="M50" s="58"/>
      <c r="N50" s="22"/>
      <c r="O50" s="22"/>
      <c r="P50" s="101">
        <f>IF(P$1="",0,INT(SUM(капитал!$J$67:$J$70)*DAY(EOMONTH(P$8,$H50-MONTH(P$8)))*P26))</f>
        <v>161</v>
      </c>
      <c r="Q50" s="101">
        <f>IF(Q$1="",0,INT(SUM(капитал!$J$67:$J$70)*DAY(EOMONTH(Q$8,$H50-MONTH(Q$8)))*Q26))</f>
        <v>161</v>
      </c>
      <c r="R50" s="101">
        <f>IF(R$1="",0,INT(SUM(капитал!$J$67:$J$70)*DAY(EOMONTH(R$8,$H50-MONTH(R$8)))*R26))</f>
        <v>161</v>
      </c>
      <c r="S50" s="101">
        <f>IF(S$1="",0,INT(SUM(капитал!$J$67:$J$70)*DAY(EOMONTH(S$8,$H50-MONTH(S$8)))*S26))</f>
        <v>161</v>
      </c>
      <c r="T50" s="101">
        <f>IF(T$1="",0,INT(SUM(капитал!$J$67:$J$70)*DAY(EOMONTH(T$8,$H50-MONTH(T$8)))*T26))</f>
        <v>161</v>
      </c>
      <c r="U50" s="101">
        <f>IF(U$1="",0,INT(SUM(капитал!$J$67:$J$70)*DAY(EOMONTH(U$8,$H50-MONTH(U$8)))*U26))</f>
        <v>161</v>
      </c>
      <c r="V50" s="101">
        <f>IF(V$1="",0,INT(SUM(капитал!$J$67:$J$70)*DAY(EOMONTH(V$8,$H50-MONTH(V$8)))*V26))</f>
        <v>161</v>
      </c>
      <c r="W50" s="101">
        <f>IF(W$1="",0,INT(SUM(капитал!$J$67:$J$70)*DAY(EOMONTH(W$8,$H50-MONTH(W$8)))*W26))</f>
        <v>0</v>
      </c>
      <c r="X50" s="101">
        <f>IF(X$1="",0,INT(SUM(капитал!$J$67:$J$70)*DAY(EOMONTH(X$8,$H50-MONTH(X$8)))*X26))</f>
        <v>0</v>
      </c>
      <c r="Y50" s="101">
        <f>IF(Y$1="",0,INT(SUM(капитал!$J$67:$J$70)*DAY(EOMONTH(Y$8,$H50-MONTH(Y$8)))*Y26))</f>
        <v>0</v>
      </c>
      <c r="Z50" s="101">
        <f>IF(Z$1="",0,INT(SUM(капитал!$J$67:$J$70)*DAY(EOMONTH(Z$8,$H50-MONTH(Z$8)))*Z26))</f>
        <v>0</v>
      </c>
      <c r="AA50" s="101">
        <f>IF(AA$1="",0,INT(SUM(капитал!$J$67:$J$70)*DAY(EOMONTH(AA$8,$H50-MONTH(AA$8)))*AA26))</f>
        <v>0</v>
      </c>
      <c r="AB50" s="22"/>
    </row>
    <row r="51" spans="1:28" s="23" customFormat="1" ht="10.199999999999999" x14ac:dyDescent="0.2">
      <c r="A51" s="22"/>
      <c r="B51" s="22"/>
      <c r="C51" s="22"/>
      <c r="D51" s="22"/>
      <c r="E51" s="22" t="str">
        <f t="shared" si="5"/>
        <v>количество арендных сделок</v>
      </c>
      <c r="F51" s="22"/>
      <c r="G51" s="22" t="str">
        <f>IF($E51="","",INDEX(KPI!$G:$G,SUMIFS(KPI!$B:$B,KPI!$E:$E,$E51)))</f>
        <v>шт</v>
      </c>
      <c r="H51" s="100">
        <f>структура!$V$19</f>
        <v>8</v>
      </c>
      <c r="I51" s="31"/>
      <c r="J51" s="98" t="str">
        <f>структура!$X$19</f>
        <v>авг</v>
      </c>
      <c r="K51" s="99"/>
      <c r="L51" s="22"/>
      <c r="M51" s="58"/>
      <c r="N51" s="22"/>
      <c r="O51" s="22"/>
      <c r="P51" s="101">
        <f>IF(P$1="",0,INT(SUM(капитал!$J$67:$J$70)*DAY(EOMONTH(P$8,$H51-MONTH(P$8)))*P27))</f>
        <v>161</v>
      </c>
      <c r="Q51" s="101">
        <f>IF(Q$1="",0,INT(SUM(капитал!$J$67:$J$70)*DAY(EOMONTH(Q$8,$H51-MONTH(Q$8)))*Q27))</f>
        <v>161</v>
      </c>
      <c r="R51" s="101">
        <f>IF(R$1="",0,INT(SUM(капитал!$J$67:$J$70)*DAY(EOMONTH(R$8,$H51-MONTH(R$8)))*R27))</f>
        <v>161</v>
      </c>
      <c r="S51" s="101">
        <f>IF(S$1="",0,INT(SUM(капитал!$J$67:$J$70)*DAY(EOMONTH(S$8,$H51-MONTH(S$8)))*S27))</f>
        <v>161</v>
      </c>
      <c r="T51" s="101">
        <f>IF(T$1="",0,INT(SUM(капитал!$J$67:$J$70)*DAY(EOMONTH(T$8,$H51-MONTH(T$8)))*T27))</f>
        <v>161</v>
      </c>
      <c r="U51" s="101">
        <f>IF(U$1="",0,INT(SUM(капитал!$J$67:$J$70)*DAY(EOMONTH(U$8,$H51-MONTH(U$8)))*U27))</f>
        <v>161</v>
      </c>
      <c r="V51" s="101">
        <f>IF(V$1="",0,INT(SUM(капитал!$J$67:$J$70)*DAY(EOMONTH(V$8,$H51-MONTH(V$8)))*V27))</f>
        <v>161</v>
      </c>
      <c r="W51" s="101">
        <f>IF(W$1="",0,INT(SUM(капитал!$J$67:$J$70)*DAY(EOMONTH(W$8,$H51-MONTH(W$8)))*W27))</f>
        <v>0</v>
      </c>
      <c r="X51" s="101">
        <f>IF(X$1="",0,INT(SUM(капитал!$J$67:$J$70)*DAY(EOMONTH(X$8,$H51-MONTH(X$8)))*X27))</f>
        <v>0</v>
      </c>
      <c r="Y51" s="101">
        <f>IF(Y$1="",0,INT(SUM(капитал!$J$67:$J$70)*DAY(EOMONTH(Y$8,$H51-MONTH(Y$8)))*Y27))</f>
        <v>0</v>
      </c>
      <c r="Z51" s="101">
        <f>IF(Z$1="",0,INT(SUM(капитал!$J$67:$J$70)*DAY(EOMONTH(Z$8,$H51-MONTH(Z$8)))*Z27))</f>
        <v>0</v>
      </c>
      <c r="AA51" s="101">
        <f>IF(AA$1="",0,INT(SUM(капитал!$J$67:$J$70)*DAY(EOMONTH(AA$8,$H51-MONTH(AA$8)))*AA27))</f>
        <v>0</v>
      </c>
      <c r="AB51" s="22"/>
    </row>
    <row r="52" spans="1:28" s="23" customFormat="1" ht="10.199999999999999" x14ac:dyDescent="0.2">
      <c r="A52" s="22"/>
      <c r="B52" s="22"/>
      <c r="C52" s="22"/>
      <c r="D52" s="22"/>
      <c r="E52" s="22" t="str">
        <f t="shared" si="5"/>
        <v>количество арендных сделок</v>
      </c>
      <c r="F52" s="22"/>
      <c r="G52" s="22" t="str">
        <f>IF($E52="","",INDEX(KPI!$G:$G,SUMIFS(KPI!$B:$B,KPI!$E:$E,$E52)))</f>
        <v>шт</v>
      </c>
      <c r="H52" s="100">
        <f>структура!$V$20</f>
        <v>9</v>
      </c>
      <c r="I52" s="31"/>
      <c r="J52" s="98" t="str">
        <f>структура!$X$20</f>
        <v>сен</v>
      </c>
      <c r="K52" s="99"/>
      <c r="L52" s="22"/>
      <c r="M52" s="58"/>
      <c r="N52" s="22"/>
      <c r="O52" s="22"/>
      <c r="P52" s="101">
        <f>IF(P$1="",0,INT(SUM(капитал!$J$67:$J$70)*DAY(EOMONTH(P$8,$H52-MONTH(P$8)))*P28))</f>
        <v>156</v>
      </c>
      <c r="Q52" s="101">
        <f>IF(Q$1="",0,INT(SUM(капитал!$J$67:$J$70)*DAY(EOMONTH(Q$8,$H52-MONTH(Q$8)))*Q28))</f>
        <v>156</v>
      </c>
      <c r="R52" s="101">
        <f>IF(R$1="",0,INT(SUM(капитал!$J$67:$J$70)*DAY(EOMONTH(R$8,$H52-MONTH(R$8)))*R28))</f>
        <v>156</v>
      </c>
      <c r="S52" s="101">
        <f>IF(S$1="",0,INT(SUM(капитал!$J$67:$J$70)*DAY(EOMONTH(S$8,$H52-MONTH(S$8)))*S28))</f>
        <v>156</v>
      </c>
      <c r="T52" s="101">
        <f>IF(T$1="",0,INT(SUM(капитал!$J$67:$J$70)*DAY(EOMONTH(T$8,$H52-MONTH(T$8)))*T28))</f>
        <v>156</v>
      </c>
      <c r="U52" s="101">
        <f>IF(U$1="",0,INT(SUM(капитал!$J$67:$J$70)*DAY(EOMONTH(U$8,$H52-MONTH(U$8)))*U28))</f>
        <v>156</v>
      </c>
      <c r="V52" s="101">
        <f>IF(V$1="",0,INT(SUM(капитал!$J$67:$J$70)*DAY(EOMONTH(V$8,$H52-MONTH(V$8)))*V28))</f>
        <v>156</v>
      </c>
      <c r="W52" s="101">
        <f>IF(W$1="",0,INT(SUM(капитал!$J$67:$J$70)*DAY(EOMONTH(W$8,$H52-MONTH(W$8)))*W28))</f>
        <v>0</v>
      </c>
      <c r="X52" s="101">
        <f>IF(X$1="",0,INT(SUM(капитал!$J$67:$J$70)*DAY(EOMONTH(X$8,$H52-MONTH(X$8)))*X28))</f>
        <v>0</v>
      </c>
      <c r="Y52" s="101">
        <f>IF(Y$1="",0,INT(SUM(капитал!$J$67:$J$70)*DAY(EOMONTH(Y$8,$H52-MONTH(Y$8)))*Y28))</f>
        <v>0</v>
      </c>
      <c r="Z52" s="101">
        <f>IF(Z$1="",0,INT(SUM(капитал!$J$67:$J$70)*DAY(EOMONTH(Z$8,$H52-MONTH(Z$8)))*Z28))</f>
        <v>0</v>
      </c>
      <c r="AA52" s="101">
        <f>IF(AA$1="",0,INT(SUM(капитал!$J$67:$J$70)*DAY(EOMONTH(AA$8,$H52-MONTH(AA$8)))*AA28))</f>
        <v>0</v>
      </c>
      <c r="AB52" s="22"/>
    </row>
    <row r="53" spans="1:28" s="23" customFormat="1" ht="10.199999999999999" x14ac:dyDescent="0.2">
      <c r="A53" s="22"/>
      <c r="B53" s="22"/>
      <c r="C53" s="22"/>
      <c r="D53" s="22"/>
      <c r="E53" s="22" t="str">
        <f t="shared" si="5"/>
        <v>количество арендных сделок</v>
      </c>
      <c r="F53" s="22"/>
      <c r="G53" s="22" t="str">
        <f>IF($E53="","",INDEX(KPI!$G:$G,SUMIFS(KPI!$B:$B,KPI!$E:$E,$E53)))</f>
        <v>шт</v>
      </c>
      <c r="H53" s="100">
        <f>структура!$V$21</f>
        <v>10</v>
      </c>
      <c r="I53" s="31"/>
      <c r="J53" s="98" t="str">
        <f>структура!$X$21</f>
        <v>окт</v>
      </c>
      <c r="K53" s="99"/>
      <c r="L53" s="22"/>
      <c r="M53" s="58"/>
      <c r="N53" s="22"/>
      <c r="O53" s="22"/>
      <c r="P53" s="101">
        <f>IF(P$1="",0,INT(SUM(капитал!$J$67:$J$70)*DAY(EOMONTH(P$8,$H53-MONTH(P$8)))*P29))</f>
        <v>161</v>
      </c>
      <c r="Q53" s="101">
        <f>IF(Q$1="",0,INT(SUM(капитал!$J$67:$J$70)*DAY(EOMONTH(Q$8,$H53-MONTH(Q$8)))*Q29))</f>
        <v>161</v>
      </c>
      <c r="R53" s="101">
        <f>IF(R$1="",0,INT(SUM(капитал!$J$67:$J$70)*DAY(EOMONTH(R$8,$H53-MONTH(R$8)))*R29))</f>
        <v>161</v>
      </c>
      <c r="S53" s="101">
        <f>IF(S$1="",0,INT(SUM(капитал!$J$67:$J$70)*DAY(EOMONTH(S$8,$H53-MONTH(S$8)))*S29))</f>
        <v>161</v>
      </c>
      <c r="T53" s="101">
        <f>IF(T$1="",0,INT(SUM(капитал!$J$67:$J$70)*DAY(EOMONTH(T$8,$H53-MONTH(T$8)))*T29))</f>
        <v>161</v>
      </c>
      <c r="U53" s="101">
        <f>IF(U$1="",0,INT(SUM(капитал!$J$67:$J$70)*DAY(EOMONTH(U$8,$H53-MONTH(U$8)))*U29))</f>
        <v>161</v>
      </c>
      <c r="V53" s="101">
        <f>IF(V$1="",0,INT(SUM(капитал!$J$67:$J$70)*DAY(EOMONTH(V$8,$H53-MONTH(V$8)))*V29))</f>
        <v>161</v>
      </c>
      <c r="W53" s="101">
        <f>IF(W$1="",0,INT(SUM(капитал!$J$67:$J$70)*DAY(EOMONTH(W$8,$H53-MONTH(W$8)))*W29))</f>
        <v>0</v>
      </c>
      <c r="X53" s="101">
        <f>IF(X$1="",0,INT(SUM(капитал!$J$67:$J$70)*DAY(EOMONTH(X$8,$H53-MONTH(X$8)))*X29))</f>
        <v>0</v>
      </c>
      <c r="Y53" s="101">
        <f>IF(Y$1="",0,INT(SUM(капитал!$J$67:$J$70)*DAY(EOMONTH(Y$8,$H53-MONTH(Y$8)))*Y29))</f>
        <v>0</v>
      </c>
      <c r="Z53" s="101">
        <f>IF(Z$1="",0,INT(SUM(капитал!$J$67:$J$70)*DAY(EOMONTH(Z$8,$H53-MONTH(Z$8)))*Z29))</f>
        <v>0</v>
      </c>
      <c r="AA53" s="101">
        <f>IF(AA$1="",0,INT(SUM(капитал!$J$67:$J$70)*DAY(EOMONTH(AA$8,$H53-MONTH(AA$8)))*AA29))</f>
        <v>0</v>
      </c>
      <c r="AB53" s="22"/>
    </row>
    <row r="54" spans="1:28" s="23" customFormat="1" ht="10.199999999999999" x14ac:dyDescent="0.2">
      <c r="A54" s="22"/>
      <c r="B54" s="22"/>
      <c r="C54" s="22"/>
      <c r="D54" s="22"/>
      <c r="E54" s="22" t="str">
        <f t="shared" si="5"/>
        <v>количество арендных сделок</v>
      </c>
      <c r="F54" s="22"/>
      <c r="G54" s="22" t="str">
        <f>IF($E54="","",INDEX(KPI!$G:$G,SUMIFS(KPI!$B:$B,KPI!$E:$E,$E54)))</f>
        <v>шт</v>
      </c>
      <c r="H54" s="100">
        <f>структура!$V$22</f>
        <v>11</v>
      </c>
      <c r="I54" s="31"/>
      <c r="J54" s="98" t="str">
        <f>структура!$X$22</f>
        <v>ноя</v>
      </c>
      <c r="K54" s="99"/>
      <c r="L54" s="22"/>
      <c r="M54" s="58"/>
      <c r="N54" s="22"/>
      <c r="O54" s="22"/>
      <c r="P54" s="101">
        <f>IF(P$1="",0,INT(SUM(капитал!$J$67:$J$70)*DAY(EOMONTH(P$8,$H54-MONTH(P$8)))*P30))</f>
        <v>156</v>
      </c>
      <c r="Q54" s="101">
        <f>IF(Q$1="",0,INT(SUM(капитал!$J$67:$J$70)*DAY(EOMONTH(Q$8,$H54-MONTH(Q$8)))*Q30))</f>
        <v>156</v>
      </c>
      <c r="R54" s="101">
        <f>IF(R$1="",0,INT(SUM(капитал!$J$67:$J$70)*DAY(EOMONTH(R$8,$H54-MONTH(R$8)))*R30))</f>
        <v>156</v>
      </c>
      <c r="S54" s="101">
        <f>IF(S$1="",0,INT(SUM(капитал!$J$67:$J$70)*DAY(EOMONTH(S$8,$H54-MONTH(S$8)))*S30))</f>
        <v>156</v>
      </c>
      <c r="T54" s="101">
        <f>IF(T$1="",0,INT(SUM(капитал!$J$67:$J$70)*DAY(EOMONTH(T$8,$H54-MONTH(T$8)))*T30))</f>
        <v>156</v>
      </c>
      <c r="U54" s="101">
        <f>IF(U$1="",0,INT(SUM(капитал!$J$67:$J$70)*DAY(EOMONTH(U$8,$H54-MONTH(U$8)))*U30))</f>
        <v>156</v>
      </c>
      <c r="V54" s="101">
        <f>IF(V$1="",0,INT(SUM(капитал!$J$67:$J$70)*DAY(EOMONTH(V$8,$H54-MONTH(V$8)))*V30))</f>
        <v>156</v>
      </c>
      <c r="W54" s="101">
        <f>IF(W$1="",0,INT(SUM(капитал!$J$67:$J$70)*DAY(EOMONTH(W$8,$H54-MONTH(W$8)))*W30))</f>
        <v>0</v>
      </c>
      <c r="X54" s="101">
        <f>IF(X$1="",0,INT(SUM(капитал!$J$67:$J$70)*DAY(EOMONTH(X$8,$H54-MONTH(X$8)))*X30))</f>
        <v>0</v>
      </c>
      <c r="Y54" s="101">
        <f>IF(Y$1="",0,INT(SUM(капитал!$J$67:$J$70)*DAY(EOMONTH(Y$8,$H54-MONTH(Y$8)))*Y30))</f>
        <v>0</v>
      </c>
      <c r="Z54" s="101">
        <f>IF(Z$1="",0,INT(SUM(капитал!$J$67:$J$70)*DAY(EOMONTH(Z$8,$H54-MONTH(Z$8)))*Z30))</f>
        <v>0</v>
      </c>
      <c r="AA54" s="101">
        <f>IF(AA$1="",0,INT(SUM(капитал!$J$67:$J$70)*DAY(EOMONTH(AA$8,$H54-MONTH(AA$8)))*AA30))</f>
        <v>0</v>
      </c>
      <c r="AB54" s="22"/>
    </row>
    <row r="55" spans="1:28" s="23" customFormat="1" ht="10.199999999999999" x14ac:dyDescent="0.2">
      <c r="A55" s="22"/>
      <c r="B55" s="22"/>
      <c r="C55" s="22"/>
      <c r="D55" s="22"/>
      <c r="E55" s="22" t="str">
        <f t="shared" si="5"/>
        <v>количество арендных сделок</v>
      </c>
      <c r="F55" s="22"/>
      <c r="G55" s="22" t="str">
        <f>IF($E55="","",INDEX(KPI!$G:$G,SUMIFS(KPI!$B:$B,KPI!$E:$E,$E55)))</f>
        <v>шт</v>
      </c>
      <c r="H55" s="100">
        <f>структура!$V$23</f>
        <v>12</v>
      </c>
      <c r="I55" s="31"/>
      <c r="J55" s="98" t="str">
        <f>структура!$X$23</f>
        <v>дек</v>
      </c>
      <c r="K55" s="99"/>
      <c r="L55" s="22"/>
      <c r="M55" s="58"/>
      <c r="N55" s="22"/>
      <c r="O55" s="22"/>
      <c r="P55" s="101">
        <f>IF(P$1="",0,INT(SUM(капитал!$J$67:$J$70)*DAY(EOMONTH(P$8,$H55-MONTH(P$8)))*P31))</f>
        <v>161</v>
      </c>
      <c r="Q55" s="101">
        <f>IF(Q$1="",0,INT(SUM(капитал!$J$67:$J$70)*DAY(EOMONTH(Q$8,$H55-MONTH(Q$8)))*Q31))</f>
        <v>161</v>
      </c>
      <c r="R55" s="101">
        <f>IF(R$1="",0,INT(SUM(капитал!$J$67:$J$70)*DAY(EOMONTH(R$8,$H55-MONTH(R$8)))*R31))</f>
        <v>161</v>
      </c>
      <c r="S55" s="101">
        <f>IF(S$1="",0,INT(SUM(капитал!$J$67:$J$70)*DAY(EOMONTH(S$8,$H55-MONTH(S$8)))*S31))</f>
        <v>161</v>
      </c>
      <c r="T55" s="101">
        <f>IF(T$1="",0,INT(SUM(капитал!$J$67:$J$70)*DAY(EOMONTH(T$8,$H55-MONTH(T$8)))*T31))</f>
        <v>161</v>
      </c>
      <c r="U55" s="101">
        <f>IF(U$1="",0,INT(SUM(капитал!$J$67:$J$70)*DAY(EOMONTH(U$8,$H55-MONTH(U$8)))*U31))</f>
        <v>161</v>
      </c>
      <c r="V55" s="101">
        <f>IF(V$1="",0,INT(SUM(капитал!$J$67:$J$70)*DAY(EOMONTH(V$8,$H55-MONTH(V$8)))*V31))</f>
        <v>161</v>
      </c>
      <c r="W55" s="101">
        <f>IF(W$1="",0,INT(SUM(капитал!$J$67:$J$70)*DAY(EOMONTH(W$8,$H55-MONTH(W$8)))*W31))</f>
        <v>0</v>
      </c>
      <c r="X55" s="101">
        <f>IF(X$1="",0,INT(SUM(капитал!$J$67:$J$70)*DAY(EOMONTH(X$8,$H55-MONTH(X$8)))*X31))</f>
        <v>0</v>
      </c>
      <c r="Y55" s="101">
        <f>IF(Y$1="",0,INT(SUM(капитал!$J$67:$J$70)*DAY(EOMONTH(Y$8,$H55-MONTH(Y$8)))*Y31))</f>
        <v>0</v>
      </c>
      <c r="Z55" s="101">
        <f>IF(Z$1="",0,INT(SUM(капитал!$J$67:$J$70)*DAY(EOMONTH(Z$8,$H55-MONTH(Z$8)))*Z31))</f>
        <v>0</v>
      </c>
      <c r="AA55" s="101">
        <f>IF(AA$1="",0,INT(SUM(капитал!$J$67:$J$70)*DAY(EOMONTH(AA$8,$H55-MONTH(AA$8)))*AA31))</f>
        <v>0</v>
      </c>
      <c r="AB55" s="22"/>
    </row>
    <row r="56" spans="1:28" ht="3.9" customHeight="1" x14ac:dyDescent="0.25">
      <c r="A56" s="2"/>
      <c r="B56" s="2"/>
      <c r="C56" s="2"/>
      <c r="D56" s="2"/>
      <c r="E56" s="21"/>
      <c r="F56" s="2"/>
      <c r="G56" s="21"/>
      <c r="H56" s="2"/>
      <c r="I56" s="28"/>
      <c r="J56" s="21"/>
      <c r="K56" s="28"/>
      <c r="L56" s="2"/>
      <c r="M56" s="52"/>
      <c r="N56" s="2"/>
      <c r="O56" s="2"/>
      <c r="P56" s="36"/>
      <c r="Q56" s="36"/>
      <c r="R56" s="36"/>
      <c r="S56" s="36"/>
      <c r="T56" s="36"/>
      <c r="U56" s="36"/>
      <c r="V56" s="36"/>
      <c r="W56" s="36"/>
      <c r="X56" s="36"/>
      <c r="Y56" s="36"/>
      <c r="Z56" s="36"/>
      <c r="AA56" s="36"/>
      <c r="AB56" s="2"/>
    </row>
    <row r="57" spans="1:28" ht="8.1" customHeight="1" x14ac:dyDescent="0.25">
      <c r="A57" s="2"/>
      <c r="B57" s="2"/>
      <c r="C57" s="2"/>
      <c r="D57" s="2"/>
      <c r="E57" s="2"/>
      <c r="F57" s="2"/>
      <c r="G57" s="2"/>
      <c r="H57" s="2"/>
      <c r="I57" s="28"/>
      <c r="J57" s="2"/>
      <c r="K57" s="28"/>
      <c r="L57" s="2"/>
      <c r="M57" s="52"/>
      <c r="N57" s="2"/>
      <c r="O57" s="2"/>
      <c r="P57" s="36"/>
      <c r="Q57" s="36"/>
      <c r="R57" s="36"/>
      <c r="S57" s="36"/>
      <c r="T57" s="36"/>
      <c r="U57" s="36"/>
      <c r="V57" s="36"/>
      <c r="W57" s="36"/>
      <c r="X57" s="36"/>
      <c r="Y57" s="36"/>
      <c r="Z57" s="36"/>
      <c r="AA57" s="36"/>
      <c r="AB57" s="2"/>
    </row>
    <row r="58" spans="1:28" s="5" customFormat="1" x14ac:dyDescent="0.25">
      <c r="A58" s="3"/>
      <c r="B58" s="3"/>
      <c r="C58" s="3"/>
      <c r="D58" s="108"/>
      <c r="E58" s="3" t="str">
        <f>KPI!$E$35</f>
        <v>доход от сдачи в аренду</v>
      </c>
      <c r="F58" s="3"/>
      <c r="G58" s="3" t="str">
        <f>IF($E58="","",INDEX(KPI!$G:$G,SUMIFS(KPI!$B:$B,KPI!$E:$E,$E58)))</f>
        <v>тыс.руб.</v>
      </c>
      <c r="H58" s="3"/>
      <c r="I58" s="28"/>
      <c r="J58" s="44"/>
      <c r="K58" s="28"/>
      <c r="L58" s="3"/>
      <c r="M58" s="55">
        <f>SUM($O58:$AB58)</f>
        <v>69679.415384615364</v>
      </c>
      <c r="N58" s="3"/>
      <c r="O58" s="3"/>
      <c r="P58" s="46">
        <f>IF(P$1="",0,IF(P$1=0,SUMIFS(P59:P70,H59:H70,"&gt;="&amp;MONTH($J$13)),SUM(P59:P70)))</f>
        <v>9946.7076923076893</v>
      </c>
      <c r="Q58" s="46">
        <f t="shared" ref="Q58" si="6">IF(Q$1="",0,SUM(Q59:Q70))</f>
        <v>9946.7076923076893</v>
      </c>
      <c r="R58" s="46">
        <f t="shared" ref="R58:AA58" si="7">IF(R$1="",0,SUM(R59:R70))</f>
        <v>9972.9384615384588</v>
      </c>
      <c r="S58" s="46">
        <f t="shared" si="7"/>
        <v>9946.7076923076893</v>
      </c>
      <c r="T58" s="46">
        <f t="shared" si="7"/>
        <v>9946.7076923076893</v>
      </c>
      <c r="U58" s="46">
        <f t="shared" si="7"/>
        <v>9946.7076923076893</v>
      </c>
      <c r="V58" s="46">
        <f t="shared" si="7"/>
        <v>9972.9384615384588</v>
      </c>
      <c r="W58" s="46">
        <f t="shared" si="7"/>
        <v>0</v>
      </c>
      <c r="X58" s="46">
        <f t="shared" si="7"/>
        <v>0</v>
      </c>
      <c r="Y58" s="46">
        <f t="shared" si="7"/>
        <v>0</v>
      </c>
      <c r="Z58" s="46">
        <f t="shared" si="7"/>
        <v>0</v>
      </c>
      <c r="AA58" s="46">
        <f t="shared" si="7"/>
        <v>0</v>
      </c>
      <c r="AB58" s="3"/>
    </row>
    <row r="59" spans="1:28" s="23" customFormat="1" ht="10.199999999999999" x14ac:dyDescent="0.2">
      <c r="A59" s="22"/>
      <c r="B59" s="22"/>
      <c r="C59" s="22"/>
      <c r="D59" s="22"/>
      <c r="E59" s="22" t="str">
        <f t="shared" ref="E59:E70" si="8">$E$58</f>
        <v>доход от сдачи в аренду</v>
      </c>
      <c r="F59" s="22"/>
      <c r="G59" s="22" t="str">
        <f>IF($E59="","",INDEX(KPI!$G:$G,SUMIFS(KPI!$B:$B,KPI!$E:$E,$E59)))</f>
        <v>тыс.руб.</v>
      </c>
      <c r="H59" s="100">
        <f>структура!$V$12</f>
        <v>1</v>
      </c>
      <c r="I59" s="31"/>
      <c r="J59" s="98" t="str">
        <f>структура!$X$12</f>
        <v>янв</v>
      </c>
      <c r="K59" s="99"/>
      <c r="L59" s="22"/>
      <c r="M59" s="58"/>
      <c r="N59" s="22"/>
      <c r="O59" s="22"/>
      <c r="P59" s="101">
        <f t="shared" ref="P59:AA70" si="9">IF(P$1="",0,P$41*P44/1000)</f>
        <v>844.63076923076915</v>
      </c>
      <c r="Q59" s="101">
        <f t="shared" si="9"/>
        <v>844.63076923076915</v>
      </c>
      <c r="R59" s="101">
        <f t="shared" si="9"/>
        <v>844.63076923076915</v>
      </c>
      <c r="S59" s="101">
        <f t="shared" si="9"/>
        <v>844.63076923076915</v>
      </c>
      <c r="T59" s="101">
        <f t="shared" si="9"/>
        <v>844.63076923076915</v>
      </c>
      <c r="U59" s="101">
        <f t="shared" si="9"/>
        <v>844.63076923076915</v>
      </c>
      <c r="V59" s="101">
        <f t="shared" si="9"/>
        <v>844.63076923076915</v>
      </c>
      <c r="W59" s="101">
        <f t="shared" si="9"/>
        <v>0</v>
      </c>
      <c r="X59" s="101">
        <f t="shared" si="9"/>
        <v>0</v>
      </c>
      <c r="Y59" s="101">
        <f t="shared" si="9"/>
        <v>0</v>
      </c>
      <c r="Z59" s="101">
        <f t="shared" si="9"/>
        <v>0</v>
      </c>
      <c r="AA59" s="101">
        <f t="shared" si="9"/>
        <v>0</v>
      </c>
      <c r="AB59" s="22"/>
    </row>
    <row r="60" spans="1:28" s="23" customFormat="1" ht="10.199999999999999" x14ac:dyDescent="0.2">
      <c r="A60" s="22"/>
      <c r="B60" s="22"/>
      <c r="C60" s="22"/>
      <c r="D60" s="22"/>
      <c r="E60" s="22" t="str">
        <f t="shared" si="8"/>
        <v>доход от сдачи в аренду</v>
      </c>
      <c r="F60" s="22"/>
      <c r="G60" s="22" t="str">
        <f>IF($E60="","",INDEX(KPI!$G:$G,SUMIFS(KPI!$B:$B,KPI!$E:$E,$E60)))</f>
        <v>тыс.руб.</v>
      </c>
      <c r="H60" s="100">
        <f>структура!$V$13</f>
        <v>2</v>
      </c>
      <c r="I60" s="31"/>
      <c r="J60" s="98" t="str">
        <f>структура!$X$13</f>
        <v>фев</v>
      </c>
      <c r="K60" s="99"/>
      <c r="L60" s="22"/>
      <c r="M60" s="58"/>
      <c r="N60" s="22"/>
      <c r="O60" s="22"/>
      <c r="P60" s="101">
        <f t="shared" si="9"/>
        <v>760.69230769230762</v>
      </c>
      <c r="Q60" s="101">
        <f t="shared" si="9"/>
        <v>760.69230769230762</v>
      </c>
      <c r="R60" s="101">
        <f t="shared" si="9"/>
        <v>786.92307692307691</v>
      </c>
      <c r="S60" s="101">
        <f t="shared" si="9"/>
        <v>760.69230769230762</v>
      </c>
      <c r="T60" s="101">
        <f t="shared" si="9"/>
        <v>760.69230769230762</v>
      </c>
      <c r="U60" s="101">
        <f t="shared" si="9"/>
        <v>760.69230769230762</v>
      </c>
      <c r="V60" s="101">
        <f t="shared" si="9"/>
        <v>786.92307692307691</v>
      </c>
      <c r="W60" s="101">
        <f t="shared" si="9"/>
        <v>0</v>
      </c>
      <c r="X60" s="101">
        <f t="shared" si="9"/>
        <v>0</v>
      </c>
      <c r="Y60" s="101">
        <f t="shared" si="9"/>
        <v>0</v>
      </c>
      <c r="Z60" s="101">
        <f t="shared" si="9"/>
        <v>0</v>
      </c>
      <c r="AA60" s="101">
        <f t="shared" si="9"/>
        <v>0</v>
      </c>
      <c r="AB60" s="22"/>
    </row>
    <row r="61" spans="1:28" s="23" customFormat="1" ht="10.199999999999999" x14ac:dyDescent="0.2">
      <c r="A61" s="22"/>
      <c r="B61" s="22"/>
      <c r="C61" s="22"/>
      <c r="D61" s="22"/>
      <c r="E61" s="22" t="str">
        <f t="shared" si="8"/>
        <v>доход от сдачи в аренду</v>
      </c>
      <c r="F61" s="22"/>
      <c r="G61" s="22" t="str">
        <f>IF($E61="","",INDEX(KPI!$G:$G,SUMIFS(KPI!$B:$B,KPI!$E:$E,$E61)))</f>
        <v>тыс.руб.</v>
      </c>
      <c r="H61" s="100">
        <f>структура!$V$14</f>
        <v>3</v>
      </c>
      <c r="I61" s="31"/>
      <c r="J61" s="98" t="str">
        <f>структура!$X$14</f>
        <v>мар</v>
      </c>
      <c r="K61" s="99"/>
      <c r="L61" s="22"/>
      <c r="M61" s="58"/>
      <c r="N61" s="22"/>
      <c r="O61" s="22"/>
      <c r="P61" s="101">
        <f t="shared" si="9"/>
        <v>844.63076923076915</v>
      </c>
      <c r="Q61" s="101">
        <f t="shared" si="9"/>
        <v>844.63076923076915</v>
      </c>
      <c r="R61" s="101">
        <f t="shared" si="9"/>
        <v>844.63076923076915</v>
      </c>
      <c r="S61" s="101">
        <f t="shared" si="9"/>
        <v>844.63076923076915</v>
      </c>
      <c r="T61" s="101">
        <f t="shared" si="9"/>
        <v>844.63076923076915</v>
      </c>
      <c r="U61" s="101">
        <f t="shared" si="9"/>
        <v>844.63076923076915</v>
      </c>
      <c r="V61" s="101">
        <f t="shared" si="9"/>
        <v>844.63076923076915</v>
      </c>
      <c r="W61" s="101">
        <f t="shared" si="9"/>
        <v>0</v>
      </c>
      <c r="X61" s="101">
        <f t="shared" si="9"/>
        <v>0</v>
      </c>
      <c r="Y61" s="101">
        <f t="shared" si="9"/>
        <v>0</v>
      </c>
      <c r="Z61" s="101">
        <f t="shared" si="9"/>
        <v>0</v>
      </c>
      <c r="AA61" s="101">
        <f t="shared" si="9"/>
        <v>0</v>
      </c>
      <c r="AB61" s="22"/>
    </row>
    <row r="62" spans="1:28" s="23" customFormat="1" ht="10.199999999999999" x14ac:dyDescent="0.2">
      <c r="A62" s="22"/>
      <c r="B62" s="22"/>
      <c r="C62" s="22"/>
      <c r="D62" s="22"/>
      <c r="E62" s="22" t="str">
        <f t="shared" si="8"/>
        <v>доход от сдачи в аренду</v>
      </c>
      <c r="F62" s="22"/>
      <c r="G62" s="22" t="str">
        <f>IF($E62="","",INDEX(KPI!$G:$G,SUMIFS(KPI!$B:$B,KPI!$E:$E,$E62)))</f>
        <v>тыс.руб.</v>
      </c>
      <c r="H62" s="100">
        <f>структура!$V$15</f>
        <v>4</v>
      </c>
      <c r="I62" s="31"/>
      <c r="J62" s="98" t="str">
        <f>структура!$X$15</f>
        <v>апр</v>
      </c>
      <c r="K62" s="99"/>
      <c r="L62" s="22"/>
      <c r="M62" s="58"/>
      <c r="N62" s="22"/>
      <c r="O62" s="22"/>
      <c r="P62" s="101">
        <f t="shared" si="9"/>
        <v>818.39999999999986</v>
      </c>
      <c r="Q62" s="101">
        <f t="shared" si="9"/>
        <v>818.39999999999986</v>
      </c>
      <c r="R62" s="101">
        <f t="shared" si="9"/>
        <v>818.39999999999986</v>
      </c>
      <c r="S62" s="101">
        <f t="shared" si="9"/>
        <v>818.39999999999986</v>
      </c>
      <c r="T62" s="101">
        <f t="shared" si="9"/>
        <v>818.39999999999986</v>
      </c>
      <c r="U62" s="101">
        <f t="shared" si="9"/>
        <v>818.39999999999986</v>
      </c>
      <c r="V62" s="101">
        <f t="shared" si="9"/>
        <v>818.39999999999986</v>
      </c>
      <c r="W62" s="101">
        <f t="shared" si="9"/>
        <v>0</v>
      </c>
      <c r="X62" s="101">
        <f t="shared" si="9"/>
        <v>0</v>
      </c>
      <c r="Y62" s="101">
        <f t="shared" si="9"/>
        <v>0</v>
      </c>
      <c r="Z62" s="101">
        <f t="shared" si="9"/>
        <v>0</v>
      </c>
      <c r="AA62" s="101">
        <f t="shared" si="9"/>
        <v>0</v>
      </c>
      <c r="AB62" s="22"/>
    </row>
    <row r="63" spans="1:28" s="23" customFormat="1" ht="10.199999999999999" x14ac:dyDescent="0.2">
      <c r="A63" s="22"/>
      <c r="B63" s="22"/>
      <c r="C63" s="22"/>
      <c r="D63" s="22"/>
      <c r="E63" s="22" t="str">
        <f t="shared" si="8"/>
        <v>доход от сдачи в аренду</v>
      </c>
      <c r="F63" s="22"/>
      <c r="G63" s="22" t="str">
        <f>IF($E63="","",INDEX(KPI!$G:$G,SUMIFS(KPI!$B:$B,KPI!$E:$E,$E63)))</f>
        <v>тыс.руб.</v>
      </c>
      <c r="H63" s="100">
        <f>структура!$V$16</f>
        <v>5</v>
      </c>
      <c r="I63" s="31"/>
      <c r="J63" s="98" t="str">
        <f>структура!$X$16</f>
        <v>май</v>
      </c>
      <c r="K63" s="99"/>
      <c r="L63" s="22"/>
      <c r="M63" s="58"/>
      <c r="N63" s="22"/>
      <c r="O63" s="22"/>
      <c r="P63" s="101">
        <f t="shared" si="9"/>
        <v>844.63076923076915</v>
      </c>
      <c r="Q63" s="101">
        <f t="shared" si="9"/>
        <v>844.63076923076915</v>
      </c>
      <c r="R63" s="101">
        <f t="shared" si="9"/>
        <v>844.63076923076915</v>
      </c>
      <c r="S63" s="101">
        <f t="shared" si="9"/>
        <v>844.63076923076915</v>
      </c>
      <c r="T63" s="101">
        <f t="shared" si="9"/>
        <v>844.63076923076915</v>
      </c>
      <c r="U63" s="101">
        <f t="shared" si="9"/>
        <v>844.63076923076915</v>
      </c>
      <c r="V63" s="101">
        <f t="shared" si="9"/>
        <v>844.63076923076915</v>
      </c>
      <c r="W63" s="101">
        <f t="shared" si="9"/>
        <v>0</v>
      </c>
      <c r="X63" s="101">
        <f t="shared" si="9"/>
        <v>0</v>
      </c>
      <c r="Y63" s="101">
        <f t="shared" si="9"/>
        <v>0</v>
      </c>
      <c r="Z63" s="101">
        <f t="shared" si="9"/>
        <v>0</v>
      </c>
      <c r="AA63" s="101">
        <f t="shared" si="9"/>
        <v>0</v>
      </c>
      <c r="AB63" s="22"/>
    </row>
    <row r="64" spans="1:28" s="23" customFormat="1" ht="10.199999999999999" x14ac:dyDescent="0.2">
      <c r="A64" s="22"/>
      <c r="B64" s="22"/>
      <c r="C64" s="22"/>
      <c r="D64" s="22"/>
      <c r="E64" s="22" t="str">
        <f t="shared" si="8"/>
        <v>доход от сдачи в аренду</v>
      </c>
      <c r="F64" s="22"/>
      <c r="G64" s="22" t="str">
        <f>IF($E64="","",INDEX(KPI!$G:$G,SUMIFS(KPI!$B:$B,KPI!$E:$E,$E64)))</f>
        <v>тыс.руб.</v>
      </c>
      <c r="H64" s="100">
        <f>структура!$V$17</f>
        <v>6</v>
      </c>
      <c r="I64" s="31"/>
      <c r="J64" s="98" t="str">
        <f>структура!$X$17</f>
        <v>июн</v>
      </c>
      <c r="K64" s="99"/>
      <c r="L64" s="22"/>
      <c r="M64" s="58"/>
      <c r="N64" s="22"/>
      <c r="O64" s="22"/>
      <c r="P64" s="101">
        <f t="shared" si="9"/>
        <v>818.39999999999986</v>
      </c>
      <c r="Q64" s="101">
        <f t="shared" si="9"/>
        <v>818.39999999999986</v>
      </c>
      <c r="R64" s="101">
        <f t="shared" si="9"/>
        <v>818.39999999999986</v>
      </c>
      <c r="S64" s="101">
        <f t="shared" si="9"/>
        <v>818.39999999999986</v>
      </c>
      <c r="T64" s="101">
        <f t="shared" si="9"/>
        <v>818.39999999999986</v>
      </c>
      <c r="U64" s="101">
        <f t="shared" si="9"/>
        <v>818.39999999999986</v>
      </c>
      <c r="V64" s="101">
        <f t="shared" si="9"/>
        <v>818.39999999999986</v>
      </c>
      <c r="W64" s="101">
        <f t="shared" si="9"/>
        <v>0</v>
      </c>
      <c r="X64" s="101">
        <f t="shared" si="9"/>
        <v>0</v>
      </c>
      <c r="Y64" s="101">
        <f t="shared" si="9"/>
        <v>0</v>
      </c>
      <c r="Z64" s="101">
        <f t="shared" si="9"/>
        <v>0</v>
      </c>
      <c r="AA64" s="101">
        <f t="shared" si="9"/>
        <v>0</v>
      </c>
      <c r="AB64" s="22"/>
    </row>
    <row r="65" spans="1:28" s="23" customFormat="1" ht="10.199999999999999" x14ac:dyDescent="0.2">
      <c r="A65" s="22"/>
      <c r="B65" s="22"/>
      <c r="C65" s="22"/>
      <c r="D65" s="22"/>
      <c r="E65" s="22" t="str">
        <f t="shared" si="8"/>
        <v>доход от сдачи в аренду</v>
      </c>
      <c r="F65" s="22"/>
      <c r="G65" s="22" t="str">
        <f>IF($E65="","",INDEX(KPI!$G:$G,SUMIFS(KPI!$B:$B,KPI!$E:$E,$E65)))</f>
        <v>тыс.руб.</v>
      </c>
      <c r="H65" s="100">
        <f>структура!$V$18</f>
        <v>7</v>
      </c>
      <c r="I65" s="31"/>
      <c r="J65" s="98" t="str">
        <f>структура!$X$18</f>
        <v>июл</v>
      </c>
      <c r="K65" s="99"/>
      <c r="L65" s="22"/>
      <c r="M65" s="58"/>
      <c r="N65" s="22"/>
      <c r="O65" s="22"/>
      <c r="P65" s="101">
        <f t="shared" si="9"/>
        <v>844.63076923076915</v>
      </c>
      <c r="Q65" s="101">
        <f t="shared" si="9"/>
        <v>844.63076923076915</v>
      </c>
      <c r="R65" s="101">
        <f t="shared" si="9"/>
        <v>844.63076923076915</v>
      </c>
      <c r="S65" s="101">
        <f t="shared" si="9"/>
        <v>844.63076923076915</v>
      </c>
      <c r="T65" s="101">
        <f t="shared" si="9"/>
        <v>844.63076923076915</v>
      </c>
      <c r="U65" s="101">
        <f t="shared" si="9"/>
        <v>844.63076923076915</v>
      </c>
      <c r="V65" s="101">
        <f t="shared" si="9"/>
        <v>844.63076923076915</v>
      </c>
      <c r="W65" s="101">
        <f t="shared" si="9"/>
        <v>0</v>
      </c>
      <c r="X65" s="101">
        <f t="shared" si="9"/>
        <v>0</v>
      </c>
      <c r="Y65" s="101">
        <f t="shared" si="9"/>
        <v>0</v>
      </c>
      <c r="Z65" s="101">
        <f t="shared" si="9"/>
        <v>0</v>
      </c>
      <c r="AA65" s="101">
        <f t="shared" si="9"/>
        <v>0</v>
      </c>
      <c r="AB65" s="22"/>
    </row>
    <row r="66" spans="1:28" s="23" customFormat="1" ht="10.199999999999999" x14ac:dyDescent="0.2">
      <c r="A66" s="22"/>
      <c r="B66" s="22"/>
      <c r="C66" s="22"/>
      <c r="D66" s="22"/>
      <c r="E66" s="22" t="str">
        <f t="shared" si="8"/>
        <v>доход от сдачи в аренду</v>
      </c>
      <c r="F66" s="22"/>
      <c r="G66" s="22" t="str">
        <f>IF($E66="","",INDEX(KPI!$G:$G,SUMIFS(KPI!$B:$B,KPI!$E:$E,$E66)))</f>
        <v>тыс.руб.</v>
      </c>
      <c r="H66" s="100">
        <f>структура!$V$19</f>
        <v>8</v>
      </c>
      <c r="I66" s="31"/>
      <c r="J66" s="98" t="str">
        <f>структура!$X$19</f>
        <v>авг</v>
      </c>
      <c r="K66" s="99"/>
      <c r="L66" s="22"/>
      <c r="M66" s="58"/>
      <c r="N66" s="22"/>
      <c r="O66" s="22"/>
      <c r="P66" s="101">
        <f t="shared" si="9"/>
        <v>844.63076923076915</v>
      </c>
      <c r="Q66" s="101">
        <f t="shared" si="9"/>
        <v>844.63076923076915</v>
      </c>
      <c r="R66" s="101">
        <f t="shared" si="9"/>
        <v>844.63076923076915</v>
      </c>
      <c r="S66" s="101">
        <f t="shared" si="9"/>
        <v>844.63076923076915</v>
      </c>
      <c r="T66" s="101">
        <f t="shared" si="9"/>
        <v>844.63076923076915</v>
      </c>
      <c r="U66" s="101">
        <f t="shared" si="9"/>
        <v>844.63076923076915</v>
      </c>
      <c r="V66" s="101">
        <f t="shared" si="9"/>
        <v>844.63076923076915</v>
      </c>
      <c r="W66" s="101">
        <f t="shared" si="9"/>
        <v>0</v>
      </c>
      <c r="X66" s="101">
        <f t="shared" si="9"/>
        <v>0</v>
      </c>
      <c r="Y66" s="101">
        <f t="shared" si="9"/>
        <v>0</v>
      </c>
      <c r="Z66" s="101">
        <f t="shared" si="9"/>
        <v>0</v>
      </c>
      <c r="AA66" s="101">
        <f t="shared" si="9"/>
        <v>0</v>
      </c>
      <c r="AB66" s="22"/>
    </row>
    <row r="67" spans="1:28" s="23" customFormat="1" ht="10.199999999999999" x14ac:dyDescent="0.2">
      <c r="A67" s="22"/>
      <c r="B67" s="22"/>
      <c r="C67" s="22"/>
      <c r="D67" s="22"/>
      <c r="E67" s="22" t="str">
        <f t="shared" si="8"/>
        <v>доход от сдачи в аренду</v>
      </c>
      <c r="F67" s="22"/>
      <c r="G67" s="22" t="str">
        <f>IF($E67="","",INDEX(KPI!$G:$G,SUMIFS(KPI!$B:$B,KPI!$E:$E,$E67)))</f>
        <v>тыс.руб.</v>
      </c>
      <c r="H67" s="100">
        <f>структура!$V$20</f>
        <v>9</v>
      </c>
      <c r="I67" s="31"/>
      <c r="J67" s="98" t="str">
        <f>структура!$X$20</f>
        <v>сен</v>
      </c>
      <c r="K67" s="99"/>
      <c r="L67" s="22"/>
      <c r="M67" s="58"/>
      <c r="N67" s="22"/>
      <c r="O67" s="22"/>
      <c r="P67" s="101">
        <f t="shared" si="9"/>
        <v>818.39999999999986</v>
      </c>
      <c r="Q67" s="101">
        <f t="shared" si="9"/>
        <v>818.39999999999986</v>
      </c>
      <c r="R67" s="101">
        <f t="shared" si="9"/>
        <v>818.39999999999986</v>
      </c>
      <c r="S67" s="101">
        <f t="shared" si="9"/>
        <v>818.39999999999986</v>
      </c>
      <c r="T67" s="101">
        <f t="shared" si="9"/>
        <v>818.39999999999986</v>
      </c>
      <c r="U67" s="101">
        <f t="shared" si="9"/>
        <v>818.39999999999986</v>
      </c>
      <c r="V67" s="101">
        <f t="shared" si="9"/>
        <v>818.39999999999986</v>
      </c>
      <c r="W67" s="101">
        <f t="shared" si="9"/>
        <v>0</v>
      </c>
      <c r="X67" s="101">
        <f t="shared" si="9"/>
        <v>0</v>
      </c>
      <c r="Y67" s="101">
        <f t="shared" si="9"/>
        <v>0</v>
      </c>
      <c r="Z67" s="101">
        <f t="shared" si="9"/>
        <v>0</v>
      </c>
      <c r="AA67" s="101">
        <f t="shared" si="9"/>
        <v>0</v>
      </c>
      <c r="AB67" s="22"/>
    </row>
    <row r="68" spans="1:28" s="23" customFormat="1" ht="10.199999999999999" x14ac:dyDescent="0.2">
      <c r="A68" s="22"/>
      <c r="B68" s="22"/>
      <c r="C68" s="22"/>
      <c r="D68" s="22"/>
      <c r="E68" s="22" t="str">
        <f t="shared" si="8"/>
        <v>доход от сдачи в аренду</v>
      </c>
      <c r="F68" s="22"/>
      <c r="G68" s="22" t="str">
        <f>IF($E68="","",INDEX(KPI!$G:$G,SUMIFS(KPI!$B:$B,KPI!$E:$E,$E68)))</f>
        <v>тыс.руб.</v>
      </c>
      <c r="H68" s="100">
        <f>структура!$V$21</f>
        <v>10</v>
      </c>
      <c r="I68" s="31"/>
      <c r="J68" s="98" t="str">
        <f>структура!$X$21</f>
        <v>окт</v>
      </c>
      <c r="K68" s="99"/>
      <c r="L68" s="22"/>
      <c r="M68" s="58"/>
      <c r="N68" s="22"/>
      <c r="O68" s="22"/>
      <c r="P68" s="101">
        <f t="shared" si="9"/>
        <v>844.63076923076915</v>
      </c>
      <c r="Q68" s="101">
        <f t="shared" si="9"/>
        <v>844.63076923076915</v>
      </c>
      <c r="R68" s="101">
        <f t="shared" si="9"/>
        <v>844.63076923076915</v>
      </c>
      <c r="S68" s="101">
        <f t="shared" si="9"/>
        <v>844.63076923076915</v>
      </c>
      <c r="T68" s="101">
        <f t="shared" si="9"/>
        <v>844.63076923076915</v>
      </c>
      <c r="U68" s="101">
        <f t="shared" si="9"/>
        <v>844.63076923076915</v>
      </c>
      <c r="V68" s="101">
        <f t="shared" si="9"/>
        <v>844.63076923076915</v>
      </c>
      <c r="W68" s="101">
        <f t="shared" si="9"/>
        <v>0</v>
      </c>
      <c r="X68" s="101">
        <f t="shared" si="9"/>
        <v>0</v>
      </c>
      <c r="Y68" s="101">
        <f t="shared" si="9"/>
        <v>0</v>
      </c>
      <c r="Z68" s="101">
        <f t="shared" si="9"/>
        <v>0</v>
      </c>
      <c r="AA68" s="101">
        <f t="shared" si="9"/>
        <v>0</v>
      </c>
      <c r="AB68" s="22"/>
    </row>
    <row r="69" spans="1:28" s="23" customFormat="1" ht="10.199999999999999" x14ac:dyDescent="0.2">
      <c r="A69" s="22"/>
      <c r="B69" s="22"/>
      <c r="C69" s="22"/>
      <c r="D69" s="22"/>
      <c r="E69" s="22" t="str">
        <f t="shared" si="8"/>
        <v>доход от сдачи в аренду</v>
      </c>
      <c r="F69" s="22"/>
      <c r="G69" s="22" t="str">
        <f>IF($E69="","",INDEX(KPI!$G:$G,SUMIFS(KPI!$B:$B,KPI!$E:$E,$E69)))</f>
        <v>тыс.руб.</v>
      </c>
      <c r="H69" s="100">
        <f>структура!$V$22</f>
        <v>11</v>
      </c>
      <c r="I69" s="31"/>
      <c r="J69" s="98" t="str">
        <f>структура!$X$22</f>
        <v>ноя</v>
      </c>
      <c r="K69" s="99"/>
      <c r="L69" s="22"/>
      <c r="M69" s="58"/>
      <c r="N69" s="22"/>
      <c r="O69" s="22"/>
      <c r="P69" s="101">
        <f t="shared" si="9"/>
        <v>818.39999999999986</v>
      </c>
      <c r="Q69" s="101">
        <f t="shared" si="9"/>
        <v>818.39999999999986</v>
      </c>
      <c r="R69" s="101">
        <f t="shared" si="9"/>
        <v>818.39999999999986</v>
      </c>
      <c r="S69" s="101">
        <f t="shared" si="9"/>
        <v>818.39999999999986</v>
      </c>
      <c r="T69" s="101">
        <f t="shared" si="9"/>
        <v>818.39999999999986</v>
      </c>
      <c r="U69" s="101">
        <f t="shared" si="9"/>
        <v>818.39999999999986</v>
      </c>
      <c r="V69" s="101">
        <f t="shared" si="9"/>
        <v>818.39999999999986</v>
      </c>
      <c r="W69" s="101">
        <f t="shared" si="9"/>
        <v>0</v>
      </c>
      <c r="X69" s="101">
        <f t="shared" si="9"/>
        <v>0</v>
      </c>
      <c r="Y69" s="101">
        <f t="shared" si="9"/>
        <v>0</v>
      </c>
      <c r="Z69" s="101">
        <f t="shared" si="9"/>
        <v>0</v>
      </c>
      <c r="AA69" s="101">
        <f t="shared" si="9"/>
        <v>0</v>
      </c>
      <c r="AB69" s="22"/>
    </row>
    <row r="70" spans="1:28" s="23" customFormat="1" ht="10.199999999999999" x14ac:dyDescent="0.2">
      <c r="A70" s="22"/>
      <c r="B70" s="22"/>
      <c r="C70" s="22"/>
      <c r="D70" s="22"/>
      <c r="E70" s="22" t="str">
        <f t="shared" si="8"/>
        <v>доход от сдачи в аренду</v>
      </c>
      <c r="F70" s="22"/>
      <c r="G70" s="22" t="str">
        <f>IF($E70="","",INDEX(KPI!$G:$G,SUMIFS(KPI!$B:$B,KPI!$E:$E,$E70)))</f>
        <v>тыс.руб.</v>
      </c>
      <c r="H70" s="100">
        <f>структура!$V$23</f>
        <v>12</v>
      </c>
      <c r="I70" s="31"/>
      <c r="J70" s="98" t="str">
        <f>структура!$X$23</f>
        <v>дек</v>
      </c>
      <c r="K70" s="99"/>
      <c r="L70" s="22"/>
      <c r="M70" s="58"/>
      <c r="N70" s="22"/>
      <c r="O70" s="22"/>
      <c r="P70" s="101">
        <f t="shared" si="9"/>
        <v>844.63076923076915</v>
      </c>
      <c r="Q70" s="101">
        <f t="shared" si="9"/>
        <v>844.63076923076915</v>
      </c>
      <c r="R70" s="101">
        <f t="shared" si="9"/>
        <v>844.63076923076915</v>
      </c>
      <c r="S70" s="101">
        <f t="shared" si="9"/>
        <v>844.63076923076915</v>
      </c>
      <c r="T70" s="101">
        <f t="shared" si="9"/>
        <v>844.63076923076915</v>
      </c>
      <c r="U70" s="101">
        <f t="shared" si="9"/>
        <v>844.63076923076915</v>
      </c>
      <c r="V70" s="101">
        <f t="shared" si="9"/>
        <v>844.63076923076915</v>
      </c>
      <c r="W70" s="101">
        <f t="shared" si="9"/>
        <v>0</v>
      </c>
      <c r="X70" s="101">
        <f t="shared" si="9"/>
        <v>0</v>
      </c>
      <c r="Y70" s="101">
        <f t="shared" si="9"/>
        <v>0</v>
      </c>
      <c r="Z70" s="101">
        <f t="shared" si="9"/>
        <v>0</v>
      </c>
      <c r="AA70" s="101">
        <f t="shared" si="9"/>
        <v>0</v>
      </c>
      <c r="AB70" s="22"/>
    </row>
    <row r="71" spans="1:28" ht="3.9" customHeight="1" x14ac:dyDescent="0.25">
      <c r="A71" s="2"/>
      <c r="B71" s="2"/>
      <c r="C71" s="2"/>
      <c r="D71" s="2"/>
      <c r="E71" s="21"/>
      <c r="F71" s="2"/>
      <c r="G71" s="21"/>
      <c r="H71" s="2"/>
      <c r="I71" s="28"/>
      <c r="J71" s="21"/>
      <c r="K71" s="28"/>
      <c r="L71" s="2"/>
      <c r="M71" s="52"/>
      <c r="N71" s="2"/>
      <c r="O71" s="2"/>
      <c r="P71" s="36"/>
      <c r="Q71" s="36"/>
      <c r="R71" s="36"/>
      <c r="S71" s="36"/>
      <c r="T71" s="36"/>
      <c r="U71" s="36"/>
      <c r="V71" s="36"/>
      <c r="W71" s="36"/>
      <c r="X71" s="36"/>
      <c r="Y71" s="36"/>
      <c r="Z71" s="36"/>
      <c r="AA71" s="36"/>
      <c r="AB71" s="2"/>
    </row>
    <row r="72" spans="1:28" ht="8.1" customHeight="1" x14ac:dyDescent="0.25">
      <c r="A72" s="2"/>
      <c r="B72" s="2"/>
      <c r="C72" s="2"/>
      <c r="D72" s="2"/>
      <c r="E72" s="2"/>
      <c r="F72" s="2"/>
      <c r="G72" s="2"/>
      <c r="H72" s="2"/>
      <c r="I72" s="28"/>
      <c r="J72" s="2"/>
      <c r="K72" s="28"/>
      <c r="L72" s="2"/>
      <c r="M72" s="52"/>
      <c r="N72" s="2"/>
      <c r="O72" s="2"/>
      <c r="P72" s="36"/>
      <c r="Q72" s="36"/>
      <c r="R72" s="36"/>
      <c r="S72" s="36"/>
      <c r="T72" s="36"/>
      <c r="U72" s="36"/>
      <c r="V72" s="36"/>
      <c r="W72" s="36"/>
      <c r="X72" s="36"/>
      <c r="Y72" s="36"/>
      <c r="Z72" s="36"/>
      <c r="AA72" s="36"/>
      <c r="AB72" s="2"/>
    </row>
    <row r="73" spans="1:28" s="5" customFormat="1" x14ac:dyDescent="0.25">
      <c r="A73" s="3"/>
      <c r="B73" s="3"/>
      <c r="C73" s="3"/>
      <c r="D73" s="3"/>
      <c r="E73" s="3" t="str">
        <f>KPI!$E$36</f>
        <v>максимальное кол-во человек на объект</v>
      </c>
      <c r="F73" s="3"/>
      <c r="G73" s="3" t="str">
        <f>IF($E73="","",INDEX(KPI!$G:$G,SUMIFS(KPI!$B:$B,KPI!$E:$E,$E73)))</f>
        <v>чел</v>
      </c>
      <c r="H73" s="3"/>
      <c r="I73" s="28"/>
      <c r="J73" s="3"/>
      <c r="K73" s="28"/>
      <c r="L73" s="3"/>
      <c r="M73" s="55"/>
      <c r="N73" s="3"/>
      <c r="O73" s="3"/>
      <c r="P73" s="46"/>
      <c r="Q73" s="46"/>
      <c r="R73" s="46"/>
      <c r="S73" s="46"/>
      <c r="T73" s="46"/>
      <c r="U73" s="46"/>
      <c r="V73" s="46"/>
      <c r="W73" s="46"/>
      <c r="X73" s="46"/>
      <c r="Y73" s="46"/>
      <c r="Z73" s="46"/>
      <c r="AA73" s="46"/>
      <c r="AB73" s="3"/>
    </row>
    <row r="74" spans="1:28" ht="3.9" customHeight="1" x14ac:dyDescent="0.25">
      <c r="A74" s="2"/>
      <c r="B74" s="2"/>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x14ac:dyDescent="0.25">
      <c r="A75" s="2"/>
      <c r="B75" s="2"/>
      <c r="C75" s="2"/>
      <c r="D75" s="2"/>
      <c r="E75" s="48" t="str">
        <f>структура!$AF$12</f>
        <v>беседка большая</v>
      </c>
      <c r="F75" s="2"/>
      <c r="G75" s="2" t="str">
        <f>G73</f>
        <v>чел</v>
      </c>
      <c r="H75" s="2"/>
      <c r="I75" s="6"/>
      <c r="J75" s="204">
        <f>операции!J75</f>
        <v>20</v>
      </c>
      <c r="K75" s="28"/>
      <c r="L75" s="2"/>
      <c r="M75" s="52"/>
      <c r="N75" s="2"/>
      <c r="O75" s="2"/>
      <c r="P75" s="36"/>
      <c r="Q75" s="36"/>
      <c r="R75" s="36"/>
      <c r="S75" s="36"/>
      <c r="T75" s="36"/>
      <c r="U75" s="36"/>
      <c r="V75" s="36"/>
      <c r="W75" s="36"/>
      <c r="X75" s="36"/>
      <c r="Y75" s="36"/>
      <c r="Z75" s="36"/>
      <c r="AA75" s="36"/>
      <c r="AB75" s="2"/>
    </row>
    <row r="76" spans="1:28" x14ac:dyDescent="0.25">
      <c r="A76" s="2"/>
      <c r="B76" s="2"/>
      <c r="C76" s="2"/>
      <c r="D76" s="2"/>
      <c r="E76" s="49" t="str">
        <f>структура!$AF$13</f>
        <v>беседка малая</v>
      </c>
      <c r="F76" s="2"/>
      <c r="G76" s="2" t="str">
        <f>G73</f>
        <v>чел</v>
      </c>
      <c r="H76" s="2"/>
      <c r="I76" s="6"/>
      <c r="J76" s="204">
        <f>операции!J76</f>
        <v>10</v>
      </c>
      <c r="K76" s="28"/>
      <c r="L76" s="2"/>
      <c r="M76" s="52"/>
      <c r="N76" s="2"/>
      <c r="O76" s="2"/>
      <c r="P76" s="36"/>
      <c r="Q76" s="36"/>
      <c r="R76" s="36"/>
      <c r="S76" s="36"/>
      <c r="T76" s="36"/>
      <c r="U76" s="36"/>
      <c r="V76" s="36"/>
      <c r="W76" s="36"/>
      <c r="X76" s="36"/>
      <c r="Y76" s="36"/>
      <c r="Z76" s="36"/>
      <c r="AA76" s="36"/>
      <c r="AB76" s="2"/>
    </row>
    <row r="77" spans="1:28" x14ac:dyDescent="0.25">
      <c r="A77" s="2"/>
      <c r="B77" s="2"/>
      <c r="C77" s="2"/>
      <c r="D77" s="2"/>
      <c r="E77" s="49" t="str">
        <f>структура!$AF$14</f>
        <v>прочие для сдачи в аренду</v>
      </c>
      <c r="F77" s="2"/>
      <c r="G77" s="2" t="str">
        <f>G73</f>
        <v>чел</v>
      </c>
      <c r="H77" s="2"/>
      <c r="I77" s="6"/>
      <c r="J77" s="204">
        <f>операции!J77</f>
        <v>0</v>
      </c>
      <c r="K77" s="28"/>
      <c r="L77" s="2"/>
      <c r="M77" s="52"/>
      <c r="N77" s="2"/>
      <c r="O77" s="2"/>
      <c r="P77" s="36"/>
      <c r="Q77" s="36"/>
      <c r="R77" s="36"/>
      <c r="S77" s="36"/>
      <c r="T77" s="36"/>
      <c r="U77" s="36"/>
      <c r="V77" s="36"/>
      <c r="W77" s="36"/>
      <c r="X77" s="36"/>
      <c r="Y77" s="36"/>
      <c r="Z77" s="36"/>
      <c r="AA77" s="36"/>
      <c r="AB77" s="2"/>
    </row>
    <row r="78" spans="1:28" ht="3.9" customHeight="1" x14ac:dyDescent="0.25">
      <c r="A78" s="2"/>
      <c r="B78" s="2"/>
      <c r="C78" s="2"/>
      <c r="D78" s="2"/>
      <c r="E78" s="50"/>
      <c r="F78" s="2"/>
      <c r="G78" s="2"/>
      <c r="H78" s="2"/>
      <c r="I78" s="28"/>
      <c r="J78" s="2"/>
      <c r="K78" s="28"/>
      <c r="L78" s="2"/>
      <c r="M78" s="52"/>
      <c r="N78" s="2"/>
      <c r="O78" s="2"/>
      <c r="P78" s="36"/>
      <c r="Q78" s="36"/>
      <c r="R78" s="36"/>
      <c r="S78" s="36"/>
      <c r="T78" s="36"/>
      <c r="U78" s="36"/>
      <c r="V78" s="36"/>
      <c r="W78" s="36"/>
      <c r="X78" s="36"/>
      <c r="Y78" s="36"/>
      <c r="Z78" s="36"/>
      <c r="AA78" s="36"/>
      <c r="AB78" s="2"/>
    </row>
    <row r="79" spans="1:28" ht="8.1" customHeight="1" x14ac:dyDescent="0.25">
      <c r="A79" s="2"/>
      <c r="B79" s="2"/>
      <c r="C79" s="2"/>
      <c r="D79" s="2"/>
      <c r="E79" s="2"/>
      <c r="F79" s="2"/>
      <c r="G79" s="2"/>
      <c r="H79" s="2"/>
      <c r="I79" s="28"/>
      <c r="J79" s="2"/>
      <c r="K79" s="28"/>
      <c r="L79" s="2"/>
      <c r="M79" s="52"/>
      <c r="N79" s="2"/>
      <c r="O79" s="2"/>
      <c r="P79" s="36"/>
      <c r="Q79" s="36"/>
      <c r="R79" s="36"/>
      <c r="S79" s="36"/>
      <c r="T79" s="36"/>
      <c r="U79" s="36"/>
      <c r="V79" s="36"/>
      <c r="W79" s="36"/>
      <c r="X79" s="36"/>
      <c r="Y79" s="36"/>
      <c r="Z79" s="36"/>
      <c r="AA79" s="36"/>
      <c r="AB79" s="2"/>
    </row>
    <row r="80" spans="1:28" s="5" customFormat="1" x14ac:dyDescent="0.25">
      <c r="A80" s="3"/>
      <c r="B80" s="3"/>
      <c r="C80" s="3"/>
      <c r="D80" s="3"/>
      <c r="E80" s="3" t="str">
        <f>KPI!$E$37</f>
        <v>средняя наполняемость одного объекта</v>
      </c>
      <c r="F80" s="3"/>
      <c r="G80" s="3" t="str">
        <f>IF($E80="","",INDEX(KPI!$G:$G,SUMIFS(KPI!$B:$B,KPI!$E:$E,$E80)))</f>
        <v>чел</v>
      </c>
      <c r="H80" s="3"/>
      <c r="I80" s="28"/>
      <c r="J80" s="104" t="str">
        <f>$P$19</f>
        <v>сценарий-2</v>
      </c>
      <c r="K80" s="28"/>
      <c r="L80" s="3"/>
      <c r="M80" s="55"/>
      <c r="N80" s="3"/>
      <c r="O80" s="3"/>
      <c r="P80" s="46"/>
      <c r="Q80" s="46"/>
      <c r="R80" s="46"/>
      <c r="S80" s="46"/>
      <c r="T80" s="46"/>
      <c r="U80" s="46"/>
      <c r="V80" s="46"/>
      <c r="W80" s="46"/>
      <c r="X80" s="46"/>
      <c r="Y80" s="46"/>
      <c r="Z80" s="46"/>
      <c r="AA80" s="46"/>
      <c r="AB80" s="3"/>
    </row>
    <row r="81" spans="1:28" ht="3.9" customHeight="1" x14ac:dyDescent="0.25">
      <c r="A81" s="2"/>
      <c r="B81" s="2"/>
      <c r="C81" s="2"/>
      <c r="D81" s="2"/>
      <c r="E81" s="2"/>
      <c r="F81" s="2"/>
      <c r="G81" s="2"/>
      <c r="H81" s="2"/>
      <c r="I81" s="28"/>
      <c r="J81" s="2"/>
      <c r="K81" s="28"/>
      <c r="L81" s="2"/>
      <c r="M81" s="52"/>
      <c r="N81" s="2"/>
      <c r="O81" s="2"/>
      <c r="P81" s="36"/>
      <c r="Q81" s="36"/>
      <c r="R81" s="36"/>
      <c r="S81" s="36"/>
      <c r="T81" s="36"/>
      <c r="U81" s="36"/>
      <c r="V81" s="36"/>
      <c r="W81" s="36"/>
      <c r="X81" s="36"/>
      <c r="Y81" s="36"/>
      <c r="Z81" s="36"/>
      <c r="AA81" s="36"/>
      <c r="AB81" s="2"/>
    </row>
    <row r="82" spans="1:28" x14ac:dyDescent="0.25">
      <c r="A82" s="2"/>
      <c r="B82" s="2"/>
      <c r="C82" s="2"/>
      <c r="D82" s="2"/>
      <c r="E82" s="48" t="str">
        <f>структура!$AF$12</f>
        <v>беседка большая</v>
      </c>
      <c r="F82" s="2"/>
      <c r="G82" s="2" t="str">
        <f>G80</f>
        <v>чел</v>
      </c>
      <c r="H82" s="2"/>
      <c r="I82" s="28"/>
      <c r="J82" s="219">
        <f>SUMIFS(сценарии!J:J,сценарии!$E:$E,$E82,сценарии!$M:$M,$J$80)</f>
        <v>15</v>
      </c>
      <c r="K82" s="105" t="str">
        <f>IF(J82&gt;J75,структура!$AL$19,"")</f>
        <v/>
      </c>
      <c r="L82" s="2"/>
      <c r="M82" s="52"/>
      <c r="N82" s="2"/>
      <c r="O82" s="2"/>
      <c r="P82" s="36"/>
      <c r="Q82" s="36"/>
      <c r="R82" s="36"/>
      <c r="S82" s="36"/>
      <c r="T82" s="36"/>
      <c r="U82" s="36"/>
      <c r="V82" s="36"/>
      <c r="W82" s="36"/>
      <c r="X82" s="36"/>
      <c r="Y82" s="36"/>
      <c r="Z82" s="36"/>
      <c r="AA82" s="36"/>
      <c r="AB82" s="2"/>
    </row>
    <row r="83" spans="1:28" x14ac:dyDescent="0.25">
      <c r="A83" s="2"/>
      <c r="B83" s="2"/>
      <c r="C83" s="2"/>
      <c r="D83" s="2"/>
      <c r="E83" s="49" t="str">
        <f>структура!$AF$13</f>
        <v>беседка малая</v>
      </c>
      <c r="F83" s="2"/>
      <c r="G83" s="2" t="str">
        <f>G80</f>
        <v>чел</v>
      </c>
      <c r="H83" s="2"/>
      <c r="I83" s="28"/>
      <c r="J83" s="219">
        <f>SUMIFS(сценарии!J:J,сценарии!$E:$E,$E83,сценарии!$M:$M,$J$80)</f>
        <v>8</v>
      </c>
      <c r="K83" s="105" t="str">
        <f>IF(J83&gt;J76,структура!$AL$19,"")</f>
        <v/>
      </c>
      <c r="L83" s="2"/>
      <c r="M83" s="52"/>
      <c r="N83" s="2"/>
      <c r="O83" s="2"/>
      <c r="P83" s="36"/>
      <c r="Q83" s="36"/>
      <c r="R83" s="36"/>
      <c r="S83" s="36"/>
      <c r="T83" s="36"/>
      <c r="U83" s="36"/>
      <c r="V83" s="36"/>
      <c r="W83" s="36"/>
      <c r="X83" s="36"/>
      <c r="Y83" s="36"/>
      <c r="Z83" s="36"/>
      <c r="AA83" s="36"/>
      <c r="AB83" s="2"/>
    </row>
    <row r="84" spans="1:28" x14ac:dyDescent="0.25">
      <c r="A84" s="2"/>
      <c r="B84" s="2"/>
      <c r="C84" s="2"/>
      <c r="D84" s="2"/>
      <c r="E84" s="49" t="str">
        <f>структура!$AF$14</f>
        <v>прочие для сдачи в аренду</v>
      </c>
      <c r="F84" s="2"/>
      <c r="G84" s="2" t="str">
        <f>G80</f>
        <v>чел</v>
      </c>
      <c r="H84" s="2"/>
      <c r="I84" s="28"/>
      <c r="J84" s="219">
        <f>SUMIFS(сценарии!J:J,сценарии!$E:$E,$E84,сценарии!$M:$M,$J$80)</f>
        <v>0</v>
      </c>
      <c r="K84" s="28"/>
      <c r="L84" s="2"/>
      <c r="M84" s="52"/>
      <c r="N84" s="2"/>
      <c r="O84" s="2"/>
      <c r="P84" s="36"/>
      <c r="Q84" s="36"/>
      <c r="R84" s="36"/>
      <c r="S84" s="36"/>
      <c r="T84" s="36"/>
      <c r="U84" s="36"/>
      <c r="V84" s="36"/>
      <c r="W84" s="36"/>
      <c r="X84" s="36"/>
      <c r="Y84" s="36"/>
      <c r="Z84" s="36"/>
      <c r="AA84" s="36"/>
      <c r="AB84" s="2"/>
    </row>
    <row r="85" spans="1:28" ht="3.9" customHeight="1" x14ac:dyDescent="0.25">
      <c r="A85" s="2"/>
      <c r="B85" s="2"/>
      <c r="C85" s="2"/>
      <c r="D85" s="2"/>
      <c r="E85" s="50"/>
      <c r="F85" s="2"/>
      <c r="G85" s="2"/>
      <c r="H85" s="2"/>
      <c r="I85" s="28"/>
      <c r="J85" s="2"/>
      <c r="K85" s="28"/>
      <c r="L85" s="2"/>
      <c r="M85" s="52"/>
      <c r="N85" s="2"/>
      <c r="O85" s="2"/>
      <c r="P85" s="36"/>
      <c r="Q85" s="36"/>
      <c r="R85" s="36"/>
      <c r="S85" s="36"/>
      <c r="T85" s="36"/>
      <c r="U85" s="36"/>
      <c r="V85" s="36"/>
      <c r="W85" s="36"/>
      <c r="X85" s="36"/>
      <c r="Y85" s="36"/>
      <c r="Z85" s="36"/>
      <c r="AA85" s="36"/>
      <c r="AB85" s="2"/>
    </row>
    <row r="86" spans="1:28" ht="3.9" customHeight="1" x14ac:dyDescent="0.25">
      <c r="A86" s="2"/>
      <c r="B86" s="2"/>
      <c r="C86" s="2"/>
      <c r="D86" s="2"/>
      <c r="E86" s="2"/>
      <c r="F86" s="2"/>
      <c r="G86" s="2"/>
      <c r="H86" s="2"/>
      <c r="I86" s="28"/>
      <c r="J86" s="2"/>
      <c r="K86" s="28"/>
      <c r="L86" s="2"/>
      <c r="M86" s="52"/>
      <c r="N86" s="2"/>
      <c r="O86" s="2"/>
      <c r="P86" s="36"/>
      <c r="Q86" s="36"/>
      <c r="R86" s="36"/>
      <c r="S86" s="36"/>
      <c r="T86" s="36"/>
      <c r="U86" s="36"/>
      <c r="V86" s="36"/>
      <c r="W86" s="36"/>
      <c r="X86" s="36"/>
      <c r="Y86" s="36"/>
      <c r="Z86" s="36"/>
      <c r="AA86" s="36"/>
      <c r="AB86" s="2"/>
    </row>
    <row r="87" spans="1:28" s="5" customFormat="1" x14ac:dyDescent="0.25">
      <c r="A87" s="3"/>
      <c r="B87" s="3"/>
      <c r="C87" s="3"/>
      <c r="D87" s="3"/>
      <c r="E87" s="89" t="str">
        <f>KPI!$E$37</f>
        <v>средняя наполняемость одного объекта</v>
      </c>
      <c r="F87" s="89"/>
      <c r="G87" s="89" t="str">
        <f>IF($E87="","",INDEX(KPI!$G:$G,SUMIFS(KPI!$B:$B,KPI!$E:$E,$E87)))</f>
        <v>чел</v>
      </c>
      <c r="H87" s="89"/>
      <c r="I87" s="90"/>
      <c r="J87" s="91" t="str">
        <f>структура!$AL$18</f>
        <v>одинаковая наполняемость</v>
      </c>
      <c r="K87" s="90"/>
      <c r="L87" s="89"/>
      <c r="M87" s="92">
        <f>IF(SUM(капитал!$J$67:$J$70)=0,0,INT(SUMPRODUCT(капитал!$J$67:$J$70,$J$82:$J$85)/SUM(капитал!$J$67:$J$70)))</f>
        <v>11</v>
      </c>
      <c r="N87" s="3"/>
      <c r="O87" s="3"/>
      <c r="P87" s="93">
        <f>IF(P$1="",0,IF(SUM(капитал!$J$67:$J$70)=0,0,INT(SUMPRODUCT(капитал!$J$67:$J$70,$J$82:$J$85)/SUM(капитал!$J$67:$J$70))))</f>
        <v>11</v>
      </c>
      <c r="Q87" s="93">
        <f>IF(Q$1="",0,IF(SUM(капитал!$J$67:$J$70)=0,0,INT(SUMPRODUCT(капитал!$J$67:$J$70,$J$82:$J$85)/SUM(капитал!$J$67:$J$70))))</f>
        <v>11</v>
      </c>
      <c r="R87" s="93">
        <f>IF(R$1="",0,IF(SUM(капитал!$J$67:$J$70)=0,0,INT(SUMPRODUCT(капитал!$J$67:$J$70,$J$82:$J$85)/SUM(капитал!$J$67:$J$70))))</f>
        <v>11</v>
      </c>
      <c r="S87" s="93">
        <f>IF(S$1="",0,IF(SUM(капитал!$J$67:$J$70)=0,0,INT(SUMPRODUCT(капитал!$J$67:$J$70,$J$82:$J$85)/SUM(капитал!$J$67:$J$70))))</f>
        <v>11</v>
      </c>
      <c r="T87" s="93">
        <f>IF(T$1="",0,IF(SUM(капитал!$J$67:$J$70)=0,0,INT(SUMPRODUCT(капитал!$J$67:$J$70,$J$82:$J$85)/SUM(капитал!$J$67:$J$70))))</f>
        <v>11</v>
      </c>
      <c r="U87" s="93">
        <f>IF(U$1="",0,IF(SUM(капитал!$J$67:$J$70)=0,0,INT(SUMPRODUCT(капитал!$J$67:$J$70,$J$82:$J$85)/SUM(капитал!$J$67:$J$70))))</f>
        <v>11</v>
      </c>
      <c r="V87" s="93">
        <f>IF(V$1="",0,IF(SUM(капитал!$J$67:$J$70)=0,0,INT(SUMPRODUCT(капитал!$J$67:$J$70,$J$82:$J$85)/SUM(капитал!$J$67:$J$70))))</f>
        <v>11</v>
      </c>
      <c r="W87" s="93">
        <f>IF(W$1="",0,IF(SUM(капитал!$J$67:$J$70)=0,0,INT(SUMPRODUCT(капитал!$J$67:$J$70,$J$82:$J$85)/SUM(капитал!$J$67:$J$70))))</f>
        <v>0</v>
      </c>
      <c r="X87" s="93">
        <f>IF(X$1="",0,IF(SUM(капитал!$J$67:$J$70)=0,0,INT(SUMPRODUCT(капитал!$J$67:$J$70,$J$82:$J$85)/SUM(капитал!$J$67:$J$70))))</f>
        <v>0</v>
      </c>
      <c r="Y87" s="93">
        <f>IF(Y$1="",0,IF(SUM(капитал!$J$67:$J$70)=0,0,INT(SUMPRODUCT(капитал!$J$67:$J$70,$J$82:$J$85)/SUM(капитал!$J$67:$J$70))))</f>
        <v>0</v>
      </c>
      <c r="Z87" s="93">
        <f>IF(Z$1="",0,IF(SUM(капитал!$J$67:$J$70)=0,0,INT(SUMPRODUCT(капитал!$J$67:$J$70,$J$82:$J$85)/SUM(капитал!$J$67:$J$70))))</f>
        <v>0</v>
      </c>
      <c r="AA87" s="93">
        <f>IF(AA$1="",0,IF(SUM(капитал!$J$67:$J$70)=0,0,INT(SUMPRODUCT(капитал!$J$67:$J$70,$J$82:$J$85)/SUM(капитал!$J$67:$J$70))))</f>
        <v>0</v>
      </c>
      <c r="AB87" s="3"/>
    </row>
    <row r="88" spans="1:28" ht="8.1" customHeight="1" x14ac:dyDescent="0.25">
      <c r="A88" s="2"/>
      <c r="B88" s="2"/>
      <c r="C88" s="2"/>
      <c r="D88" s="2"/>
      <c r="E88" s="2"/>
      <c r="F88" s="2"/>
      <c r="G88" s="2"/>
      <c r="H88" s="2"/>
      <c r="I88" s="28"/>
      <c r="J88" s="2"/>
      <c r="K88" s="28"/>
      <c r="L88" s="2"/>
      <c r="M88" s="52"/>
      <c r="N88" s="2"/>
      <c r="O88" s="2"/>
      <c r="P88" s="36"/>
      <c r="Q88" s="36"/>
      <c r="R88" s="36"/>
      <c r="S88" s="36"/>
      <c r="T88" s="36"/>
      <c r="U88" s="36"/>
      <c r="V88" s="36"/>
      <c r="W88" s="36"/>
      <c r="X88" s="36"/>
      <c r="Y88" s="36"/>
      <c r="Z88" s="36"/>
      <c r="AA88" s="36"/>
      <c r="AB88" s="2"/>
    </row>
    <row r="89" spans="1:28" s="5" customFormat="1" x14ac:dyDescent="0.25">
      <c r="A89" s="3"/>
      <c r="B89" s="3"/>
      <c r="C89" s="3"/>
      <c r="D89" s="3"/>
      <c r="E89" s="3" t="str">
        <f>KPI!$E$38</f>
        <v>траффик арендаторов</v>
      </c>
      <c r="F89" s="3"/>
      <c r="G89" s="3" t="str">
        <f>IF($E89="","",INDEX(KPI!$G:$G,SUMIFS(KPI!$B:$B,KPI!$E:$E,$E89)))</f>
        <v>чел</v>
      </c>
      <c r="H89" s="3"/>
      <c r="I89" s="28"/>
      <c r="J89" s="44"/>
      <c r="K89" s="28"/>
      <c r="L89" s="3"/>
      <c r="M89" s="55"/>
      <c r="N89" s="3"/>
      <c r="O89" s="3"/>
      <c r="P89" s="46">
        <f>IF(P$1="",0,IF(P$1=0,SUMIFS(P90:P101,H90:H101,"&gt;="&amp;MONTH($J$13)),SUM(P90:P101)))</f>
        <v>20856</v>
      </c>
      <c r="Q89" s="46">
        <f t="shared" ref="Q89" si="10">IF(Q$1="",0,SUM(Q90:Q101))</f>
        <v>20856</v>
      </c>
      <c r="R89" s="46">
        <f t="shared" ref="R89:AA89" si="11">IF(R$1="",0,SUM(R90:R101))</f>
        <v>20911</v>
      </c>
      <c r="S89" s="46">
        <f t="shared" si="11"/>
        <v>20856</v>
      </c>
      <c r="T89" s="46">
        <f t="shared" si="11"/>
        <v>20856</v>
      </c>
      <c r="U89" s="46">
        <f t="shared" si="11"/>
        <v>20856</v>
      </c>
      <c r="V89" s="46">
        <f t="shared" si="11"/>
        <v>20911</v>
      </c>
      <c r="W89" s="46">
        <f t="shared" si="11"/>
        <v>0</v>
      </c>
      <c r="X89" s="46">
        <f t="shared" si="11"/>
        <v>0</v>
      </c>
      <c r="Y89" s="46">
        <f t="shared" si="11"/>
        <v>0</v>
      </c>
      <c r="Z89" s="46">
        <f t="shared" si="11"/>
        <v>0</v>
      </c>
      <c r="AA89" s="46">
        <f t="shared" si="11"/>
        <v>0</v>
      </c>
      <c r="AB89" s="3"/>
    </row>
    <row r="90" spans="1:28" s="23" customFormat="1" ht="10.199999999999999" x14ac:dyDescent="0.2">
      <c r="A90" s="22"/>
      <c r="B90" s="22"/>
      <c r="C90" s="22"/>
      <c r="D90" s="22"/>
      <c r="E90" s="22" t="str">
        <f>E89</f>
        <v>траффик арендаторов</v>
      </c>
      <c r="F90" s="22"/>
      <c r="G90" s="22" t="str">
        <f>IF($E90="","",INDEX(KPI!$G:$G,SUMIFS(KPI!$B:$B,KPI!$E:$E,$E90)))</f>
        <v>чел</v>
      </c>
      <c r="H90" s="100">
        <f>структура!$V$12</f>
        <v>1</v>
      </c>
      <c r="I90" s="31"/>
      <c r="J90" s="98" t="str">
        <f>структура!$X$12</f>
        <v>янв</v>
      </c>
      <c r="K90" s="99"/>
      <c r="L90" s="22"/>
      <c r="M90" s="58"/>
      <c r="N90" s="22"/>
      <c r="O90" s="22"/>
      <c r="P90" s="101">
        <f>IF(P$1="",0,P44*P$87)</f>
        <v>1771</v>
      </c>
      <c r="Q90" s="101">
        <f t="shared" ref="Q90:AA90" si="12">IF(Q$1="",0,Q44*Q$87)</f>
        <v>1771</v>
      </c>
      <c r="R90" s="101">
        <f t="shared" si="12"/>
        <v>1771</v>
      </c>
      <c r="S90" s="101">
        <f t="shared" si="12"/>
        <v>1771</v>
      </c>
      <c r="T90" s="101">
        <f t="shared" si="12"/>
        <v>1771</v>
      </c>
      <c r="U90" s="101">
        <f t="shared" si="12"/>
        <v>1771</v>
      </c>
      <c r="V90" s="101">
        <f t="shared" si="12"/>
        <v>1771</v>
      </c>
      <c r="W90" s="101">
        <f t="shared" si="12"/>
        <v>0</v>
      </c>
      <c r="X90" s="101">
        <f t="shared" si="12"/>
        <v>0</v>
      </c>
      <c r="Y90" s="101">
        <f t="shared" si="12"/>
        <v>0</v>
      </c>
      <c r="Z90" s="101">
        <f t="shared" si="12"/>
        <v>0</v>
      </c>
      <c r="AA90" s="101">
        <f t="shared" si="12"/>
        <v>0</v>
      </c>
      <c r="AB90" s="22"/>
    </row>
    <row r="91" spans="1:28" s="23" customFormat="1" ht="10.199999999999999" x14ac:dyDescent="0.2">
      <c r="A91" s="22"/>
      <c r="B91" s="22"/>
      <c r="C91" s="22"/>
      <c r="D91" s="22"/>
      <c r="E91" s="22" t="str">
        <f>E89</f>
        <v>траффик арендаторов</v>
      </c>
      <c r="F91" s="22"/>
      <c r="G91" s="22" t="str">
        <f>IF($E91="","",INDEX(KPI!$G:$G,SUMIFS(KPI!$B:$B,KPI!$E:$E,$E91)))</f>
        <v>чел</v>
      </c>
      <c r="H91" s="100">
        <f>структура!$V$13</f>
        <v>2</v>
      </c>
      <c r="I91" s="31"/>
      <c r="J91" s="98" t="str">
        <f>структура!$X$13</f>
        <v>фев</v>
      </c>
      <c r="K91" s="99"/>
      <c r="L91" s="22"/>
      <c r="M91" s="58"/>
      <c r="N91" s="22"/>
      <c r="O91" s="22"/>
      <c r="P91" s="101">
        <f t="shared" ref="P91:AA101" si="13">IF(P$1="",0,P45*P$87)</f>
        <v>1595</v>
      </c>
      <c r="Q91" s="101">
        <f t="shared" si="13"/>
        <v>1595</v>
      </c>
      <c r="R91" s="101">
        <f t="shared" si="13"/>
        <v>1650</v>
      </c>
      <c r="S91" s="101">
        <f t="shared" si="13"/>
        <v>1595</v>
      </c>
      <c r="T91" s="101">
        <f t="shared" si="13"/>
        <v>1595</v>
      </c>
      <c r="U91" s="101">
        <f t="shared" si="13"/>
        <v>1595</v>
      </c>
      <c r="V91" s="101">
        <f t="shared" si="13"/>
        <v>1650</v>
      </c>
      <c r="W91" s="101">
        <f t="shared" si="13"/>
        <v>0</v>
      </c>
      <c r="X91" s="101">
        <f t="shared" si="13"/>
        <v>0</v>
      </c>
      <c r="Y91" s="101">
        <f t="shared" si="13"/>
        <v>0</v>
      </c>
      <c r="Z91" s="101">
        <f t="shared" si="13"/>
        <v>0</v>
      </c>
      <c r="AA91" s="101">
        <f t="shared" si="13"/>
        <v>0</v>
      </c>
      <c r="AB91" s="22"/>
    </row>
    <row r="92" spans="1:28" s="23" customFormat="1" ht="10.199999999999999" x14ac:dyDescent="0.2">
      <c r="A92" s="22"/>
      <c r="B92" s="22"/>
      <c r="C92" s="22"/>
      <c r="D92" s="22"/>
      <c r="E92" s="22" t="str">
        <f>E89</f>
        <v>траффик арендаторов</v>
      </c>
      <c r="F92" s="22"/>
      <c r="G92" s="22" t="str">
        <f>IF($E92="","",INDEX(KPI!$G:$G,SUMIFS(KPI!$B:$B,KPI!$E:$E,$E92)))</f>
        <v>чел</v>
      </c>
      <c r="H92" s="100">
        <f>структура!$V$14</f>
        <v>3</v>
      </c>
      <c r="I92" s="31"/>
      <c r="J92" s="98" t="str">
        <f>структура!$X$14</f>
        <v>мар</v>
      </c>
      <c r="K92" s="99"/>
      <c r="L92" s="22"/>
      <c r="M92" s="58"/>
      <c r="N92" s="22"/>
      <c r="O92" s="22"/>
      <c r="P92" s="101">
        <f t="shared" si="13"/>
        <v>1771</v>
      </c>
      <c r="Q92" s="101">
        <f t="shared" si="13"/>
        <v>1771</v>
      </c>
      <c r="R92" s="101">
        <f t="shared" si="13"/>
        <v>1771</v>
      </c>
      <c r="S92" s="101">
        <f t="shared" si="13"/>
        <v>1771</v>
      </c>
      <c r="T92" s="101">
        <f t="shared" si="13"/>
        <v>1771</v>
      </c>
      <c r="U92" s="101">
        <f t="shared" si="13"/>
        <v>1771</v>
      </c>
      <c r="V92" s="101">
        <f t="shared" si="13"/>
        <v>1771</v>
      </c>
      <c r="W92" s="101">
        <f t="shared" si="13"/>
        <v>0</v>
      </c>
      <c r="X92" s="101">
        <f t="shared" si="13"/>
        <v>0</v>
      </c>
      <c r="Y92" s="101">
        <f t="shared" si="13"/>
        <v>0</v>
      </c>
      <c r="Z92" s="101">
        <f t="shared" si="13"/>
        <v>0</v>
      </c>
      <c r="AA92" s="101">
        <f t="shared" si="13"/>
        <v>0</v>
      </c>
      <c r="AB92" s="22"/>
    </row>
    <row r="93" spans="1:28" s="23" customFormat="1" ht="10.199999999999999" x14ac:dyDescent="0.2">
      <c r="A93" s="22"/>
      <c r="B93" s="22"/>
      <c r="C93" s="22"/>
      <c r="D93" s="22"/>
      <c r="E93" s="22" t="str">
        <f>E89</f>
        <v>траффик арендаторов</v>
      </c>
      <c r="F93" s="22"/>
      <c r="G93" s="22" t="str">
        <f>IF($E93="","",INDEX(KPI!$G:$G,SUMIFS(KPI!$B:$B,KPI!$E:$E,$E93)))</f>
        <v>чел</v>
      </c>
      <c r="H93" s="100">
        <f>структура!$V$15</f>
        <v>4</v>
      </c>
      <c r="I93" s="31"/>
      <c r="J93" s="98" t="str">
        <f>структура!$X$15</f>
        <v>апр</v>
      </c>
      <c r="K93" s="99"/>
      <c r="L93" s="22"/>
      <c r="M93" s="58"/>
      <c r="N93" s="22"/>
      <c r="O93" s="22"/>
      <c r="P93" s="101">
        <f t="shared" si="13"/>
        <v>1716</v>
      </c>
      <c r="Q93" s="101">
        <f t="shared" si="13"/>
        <v>1716</v>
      </c>
      <c r="R93" s="101">
        <f t="shared" si="13"/>
        <v>1716</v>
      </c>
      <c r="S93" s="101">
        <f t="shared" si="13"/>
        <v>1716</v>
      </c>
      <c r="T93" s="101">
        <f t="shared" si="13"/>
        <v>1716</v>
      </c>
      <c r="U93" s="101">
        <f t="shared" si="13"/>
        <v>1716</v>
      </c>
      <c r="V93" s="101">
        <f t="shared" si="13"/>
        <v>1716</v>
      </c>
      <c r="W93" s="101">
        <f t="shared" si="13"/>
        <v>0</v>
      </c>
      <c r="X93" s="101">
        <f t="shared" si="13"/>
        <v>0</v>
      </c>
      <c r="Y93" s="101">
        <f t="shared" si="13"/>
        <v>0</v>
      </c>
      <c r="Z93" s="101">
        <f t="shared" si="13"/>
        <v>0</v>
      </c>
      <c r="AA93" s="101">
        <f t="shared" si="13"/>
        <v>0</v>
      </c>
      <c r="AB93" s="22"/>
    </row>
    <row r="94" spans="1:28" s="23" customFormat="1" ht="10.199999999999999" x14ac:dyDescent="0.2">
      <c r="A94" s="22"/>
      <c r="B94" s="22"/>
      <c r="C94" s="22"/>
      <c r="D94" s="22"/>
      <c r="E94" s="22" t="str">
        <f>E89</f>
        <v>траффик арендаторов</v>
      </c>
      <c r="F94" s="22"/>
      <c r="G94" s="22" t="str">
        <f>IF($E94="","",INDEX(KPI!$G:$G,SUMIFS(KPI!$B:$B,KPI!$E:$E,$E94)))</f>
        <v>чел</v>
      </c>
      <c r="H94" s="100">
        <f>структура!$V$16</f>
        <v>5</v>
      </c>
      <c r="I94" s="31"/>
      <c r="J94" s="98" t="str">
        <f>структура!$X$16</f>
        <v>май</v>
      </c>
      <c r="K94" s="99"/>
      <c r="L94" s="22"/>
      <c r="M94" s="58"/>
      <c r="N94" s="22"/>
      <c r="O94" s="22"/>
      <c r="P94" s="101">
        <f t="shared" si="13"/>
        <v>1771</v>
      </c>
      <c r="Q94" s="101">
        <f t="shared" si="13"/>
        <v>1771</v>
      </c>
      <c r="R94" s="101">
        <f t="shared" si="13"/>
        <v>1771</v>
      </c>
      <c r="S94" s="101">
        <f t="shared" si="13"/>
        <v>1771</v>
      </c>
      <c r="T94" s="101">
        <f t="shared" si="13"/>
        <v>1771</v>
      </c>
      <c r="U94" s="101">
        <f t="shared" si="13"/>
        <v>1771</v>
      </c>
      <c r="V94" s="101">
        <f t="shared" si="13"/>
        <v>1771</v>
      </c>
      <c r="W94" s="101">
        <f t="shared" si="13"/>
        <v>0</v>
      </c>
      <c r="X94" s="101">
        <f t="shared" si="13"/>
        <v>0</v>
      </c>
      <c r="Y94" s="101">
        <f t="shared" si="13"/>
        <v>0</v>
      </c>
      <c r="Z94" s="101">
        <f t="shared" si="13"/>
        <v>0</v>
      </c>
      <c r="AA94" s="101">
        <f t="shared" si="13"/>
        <v>0</v>
      </c>
      <c r="AB94" s="22"/>
    </row>
    <row r="95" spans="1:28" s="23" customFormat="1" ht="10.199999999999999" x14ac:dyDescent="0.2">
      <c r="A95" s="22"/>
      <c r="B95" s="22"/>
      <c r="C95" s="22"/>
      <c r="D95" s="22"/>
      <c r="E95" s="22" t="str">
        <f>E89</f>
        <v>траффик арендаторов</v>
      </c>
      <c r="F95" s="22"/>
      <c r="G95" s="22" t="str">
        <f>IF($E95="","",INDEX(KPI!$G:$G,SUMIFS(KPI!$B:$B,KPI!$E:$E,$E95)))</f>
        <v>чел</v>
      </c>
      <c r="H95" s="100">
        <f>структура!$V$17</f>
        <v>6</v>
      </c>
      <c r="I95" s="31"/>
      <c r="J95" s="98" t="str">
        <f>структура!$X$17</f>
        <v>июн</v>
      </c>
      <c r="K95" s="99"/>
      <c r="L95" s="22"/>
      <c r="M95" s="58"/>
      <c r="N95" s="22"/>
      <c r="O95" s="22"/>
      <c r="P95" s="101">
        <f t="shared" si="13"/>
        <v>1716</v>
      </c>
      <c r="Q95" s="101">
        <f t="shared" si="13"/>
        <v>1716</v>
      </c>
      <c r="R95" s="101">
        <f t="shared" si="13"/>
        <v>1716</v>
      </c>
      <c r="S95" s="101">
        <f t="shared" si="13"/>
        <v>1716</v>
      </c>
      <c r="T95" s="101">
        <f t="shared" si="13"/>
        <v>1716</v>
      </c>
      <c r="U95" s="101">
        <f t="shared" si="13"/>
        <v>1716</v>
      </c>
      <c r="V95" s="101">
        <f t="shared" si="13"/>
        <v>1716</v>
      </c>
      <c r="W95" s="101">
        <f t="shared" si="13"/>
        <v>0</v>
      </c>
      <c r="X95" s="101">
        <f t="shared" si="13"/>
        <v>0</v>
      </c>
      <c r="Y95" s="101">
        <f t="shared" si="13"/>
        <v>0</v>
      </c>
      <c r="Z95" s="101">
        <f t="shared" si="13"/>
        <v>0</v>
      </c>
      <c r="AA95" s="101">
        <f t="shared" si="13"/>
        <v>0</v>
      </c>
      <c r="AB95" s="22"/>
    </row>
    <row r="96" spans="1:28" s="23" customFormat="1" ht="10.199999999999999" x14ac:dyDescent="0.2">
      <c r="A96" s="22"/>
      <c r="B96" s="22"/>
      <c r="C96" s="22"/>
      <c r="D96" s="22"/>
      <c r="E96" s="22" t="str">
        <f>E89</f>
        <v>траффик арендаторов</v>
      </c>
      <c r="F96" s="22"/>
      <c r="G96" s="22" t="str">
        <f>IF($E96="","",INDEX(KPI!$G:$G,SUMIFS(KPI!$B:$B,KPI!$E:$E,$E96)))</f>
        <v>чел</v>
      </c>
      <c r="H96" s="100">
        <f>структура!$V$18</f>
        <v>7</v>
      </c>
      <c r="I96" s="31"/>
      <c r="J96" s="98" t="str">
        <f>структура!$X$18</f>
        <v>июл</v>
      </c>
      <c r="K96" s="99"/>
      <c r="L96" s="22"/>
      <c r="M96" s="58"/>
      <c r="N96" s="22"/>
      <c r="O96" s="22"/>
      <c r="P96" s="101">
        <f t="shared" si="13"/>
        <v>1771</v>
      </c>
      <c r="Q96" s="101">
        <f t="shared" si="13"/>
        <v>1771</v>
      </c>
      <c r="R96" s="101">
        <f t="shared" si="13"/>
        <v>1771</v>
      </c>
      <c r="S96" s="101">
        <f t="shared" si="13"/>
        <v>1771</v>
      </c>
      <c r="T96" s="101">
        <f t="shared" si="13"/>
        <v>1771</v>
      </c>
      <c r="U96" s="101">
        <f t="shared" si="13"/>
        <v>1771</v>
      </c>
      <c r="V96" s="101">
        <f t="shared" si="13"/>
        <v>1771</v>
      </c>
      <c r="W96" s="101">
        <f t="shared" si="13"/>
        <v>0</v>
      </c>
      <c r="X96" s="101">
        <f t="shared" si="13"/>
        <v>0</v>
      </c>
      <c r="Y96" s="101">
        <f t="shared" si="13"/>
        <v>0</v>
      </c>
      <c r="Z96" s="101">
        <f t="shared" si="13"/>
        <v>0</v>
      </c>
      <c r="AA96" s="101">
        <f t="shared" si="13"/>
        <v>0</v>
      </c>
      <c r="AB96" s="22"/>
    </row>
    <row r="97" spans="1:28" s="23" customFormat="1" ht="10.199999999999999" x14ac:dyDescent="0.2">
      <c r="A97" s="22"/>
      <c r="B97" s="22"/>
      <c r="C97" s="22"/>
      <c r="D97" s="22"/>
      <c r="E97" s="22" t="str">
        <f>E89</f>
        <v>траффик арендаторов</v>
      </c>
      <c r="F97" s="22"/>
      <c r="G97" s="22" t="str">
        <f>IF($E97="","",INDEX(KPI!$G:$G,SUMIFS(KPI!$B:$B,KPI!$E:$E,$E97)))</f>
        <v>чел</v>
      </c>
      <c r="H97" s="100">
        <f>структура!$V$19</f>
        <v>8</v>
      </c>
      <c r="I97" s="31"/>
      <c r="J97" s="98" t="str">
        <f>структура!$X$19</f>
        <v>авг</v>
      </c>
      <c r="K97" s="99"/>
      <c r="L97" s="22"/>
      <c r="M97" s="58"/>
      <c r="N97" s="22"/>
      <c r="O97" s="22"/>
      <c r="P97" s="101">
        <f t="shared" si="13"/>
        <v>1771</v>
      </c>
      <c r="Q97" s="101">
        <f t="shared" si="13"/>
        <v>1771</v>
      </c>
      <c r="R97" s="101">
        <f t="shared" si="13"/>
        <v>1771</v>
      </c>
      <c r="S97" s="101">
        <f t="shared" si="13"/>
        <v>1771</v>
      </c>
      <c r="T97" s="101">
        <f t="shared" si="13"/>
        <v>1771</v>
      </c>
      <c r="U97" s="101">
        <f t="shared" si="13"/>
        <v>1771</v>
      </c>
      <c r="V97" s="101">
        <f t="shared" si="13"/>
        <v>1771</v>
      </c>
      <c r="W97" s="101">
        <f t="shared" si="13"/>
        <v>0</v>
      </c>
      <c r="X97" s="101">
        <f t="shared" si="13"/>
        <v>0</v>
      </c>
      <c r="Y97" s="101">
        <f t="shared" si="13"/>
        <v>0</v>
      </c>
      <c r="Z97" s="101">
        <f t="shared" si="13"/>
        <v>0</v>
      </c>
      <c r="AA97" s="101">
        <f t="shared" si="13"/>
        <v>0</v>
      </c>
      <c r="AB97" s="22"/>
    </row>
    <row r="98" spans="1:28" s="23" customFormat="1" ht="10.199999999999999" x14ac:dyDescent="0.2">
      <c r="A98" s="22"/>
      <c r="B98" s="22"/>
      <c r="C98" s="22"/>
      <c r="D98" s="22"/>
      <c r="E98" s="22" t="str">
        <f>E89</f>
        <v>траффик арендаторов</v>
      </c>
      <c r="F98" s="22"/>
      <c r="G98" s="22" t="str">
        <f>IF($E98="","",INDEX(KPI!$G:$G,SUMIFS(KPI!$B:$B,KPI!$E:$E,$E98)))</f>
        <v>чел</v>
      </c>
      <c r="H98" s="100">
        <f>структура!$V$20</f>
        <v>9</v>
      </c>
      <c r="I98" s="31"/>
      <c r="J98" s="98" t="str">
        <f>структура!$X$20</f>
        <v>сен</v>
      </c>
      <c r="K98" s="99"/>
      <c r="L98" s="22"/>
      <c r="M98" s="58"/>
      <c r="N98" s="22"/>
      <c r="O98" s="22"/>
      <c r="P98" s="101">
        <f t="shared" si="13"/>
        <v>1716</v>
      </c>
      <c r="Q98" s="101">
        <f t="shared" si="13"/>
        <v>1716</v>
      </c>
      <c r="R98" s="101">
        <f t="shared" si="13"/>
        <v>1716</v>
      </c>
      <c r="S98" s="101">
        <f t="shared" si="13"/>
        <v>1716</v>
      </c>
      <c r="T98" s="101">
        <f t="shared" si="13"/>
        <v>1716</v>
      </c>
      <c r="U98" s="101">
        <f t="shared" si="13"/>
        <v>1716</v>
      </c>
      <c r="V98" s="101">
        <f t="shared" si="13"/>
        <v>1716</v>
      </c>
      <c r="W98" s="101">
        <f t="shared" si="13"/>
        <v>0</v>
      </c>
      <c r="X98" s="101">
        <f t="shared" si="13"/>
        <v>0</v>
      </c>
      <c r="Y98" s="101">
        <f t="shared" si="13"/>
        <v>0</v>
      </c>
      <c r="Z98" s="101">
        <f t="shared" si="13"/>
        <v>0</v>
      </c>
      <c r="AA98" s="101">
        <f t="shared" si="13"/>
        <v>0</v>
      </c>
      <c r="AB98" s="22"/>
    </row>
    <row r="99" spans="1:28" s="23" customFormat="1" ht="10.199999999999999" x14ac:dyDescent="0.2">
      <c r="A99" s="22"/>
      <c r="B99" s="22"/>
      <c r="C99" s="22"/>
      <c r="D99" s="22"/>
      <c r="E99" s="22" t="str">
        <f>E89</f>
        <v>траффик арендаторов</v>
      </c>
      <c r="F99" s="22"/>
      <c r="G99" s="22" t="str">
        <f>IF($E99="","",INDEX(KPI!$G:$G,SUMIFS(KPI!$B:$B,KPI!$E:$E,$E99)))</f>
        <v>чел</v>
      </c>
      <c r="H99" s="100">
        <f>структура!$V$21</f>
        <v>10</v>
      </c>
      <c r="I99" s="31"/>
      <c r="J99" s="98" t="str">
        <f>структура!$X$21</f>
        <v>окт</v>
      </c>
      <c r="K99" s="99"/>
      <c r="L99" s="22"/>
      <c r="M99" s="58"/>
      <c r="N99" s="22"/>
      <c r="O99" s="22"/>
      <c r="P99" s="101">
        <f t="shared" si="13"/>
        <v>1771</v>
      </c>
      <c r="Q99" s="101">
        <f t="shared" si="13"/>
        <v>1771</v>
      </c>
      <c r="R99" s="101">
        <f t="shared" si="13"/>
        <v>1771</v>
      </c>
      <c r="S99" s="101">
        <f t="shared" si="13"/>
        <v>1771</v>
      </c>
      <c r="T99" s="101">
        <f t="shared" si="13"/>
        <v>1771</v>
      </c>
      <c r="U99" s="101">
        <f t="shared" si="13"/>
        <v>1771</v>
      </c>
      <c r="V99" s="101">
        <f t="shared" si="13"/>
        <v>1771</v>
      </c>
      <c r="W99" s="101">
        <f t="shared" si="13"/>
        <v>0</v>
      </c>
      <c r="X99" s="101">
        <f t="shared" si="13"/>
        <v>0</v>
      </c>
      <c r="Y99" s="101">
        <f t="shared" si="13"/>
        <v>0</v>
      </c>
      <c r="Z99" s="101">
        <f t="shared" si="13"/>
        <v>0</v>
      </c>
      <c r="AA99" s="101">
        <f t="shared" si="13"/>
        <v>0</v>
      </c>
      <c r="AB99" s="22"/>
    </row>
    <row r="100" spans="1:28" s="23" customFormat="1" ht="10.199999999999999" x14ac:dyDescent="0.2">
      <c r="A100" s="22"/>
      <c r="B100" s="22"/>
      <c r="C100" s="22"/>
      <c r="D100" s="22"/>
      <c r="E100" s="22" t="str">
        <f>E89</f>
        <v>траффик арендаторов</v>
      </c>
      <c r="F100" s="22"/>
      <c r="G100" s="22" t="str">
        <f>IF($E100="","",INDEX(KPI!$G:$G,SUMIFS(KPI!$B:$B,KPI!$E:$E,$E100)))</f>
        <v>чел</v>
      </c>
      <c r="H100" s="100">
        <f>структура!$V$22</f>
        <v>11</v>
      </c>
      <c r="I100" s="31"/>
      <c r="J100" s="98" t="str">
        <f>структура!$X$22</f>
        <v>ноя</v>
      </c>
      <c r="K100" s="99"/>
      <c r="L100" s="22"/>
      <c r="M100" s="58"/>
      <c r="N100" s="22"/>
      <c r="O100" s="22"/>
      <c r="P100" s="101">
        <f t="shared" si="13"/>
        <v>1716</v>
      </c>
      <c r="Q100" s="101">
        <f t="shared" si="13"/>
        <v>1716</v>
      </c>
      <c r="R100" s="101">
        <f t="shared" si="13"/>
        <v>1716</v>
      </c>
      <c r="S100" s="101">
        <f t="shared" si="13"/>
        <v>1716</v>
      </c>
      <c r="T100" s="101">
        <f t="shared" si="13"/>
        <v>1716</v>
      </c>
      <c r="U100" s="101">
        <f t="shared" si="13"/>
        <v>1716</v>
      </c>
      <c r="V100" s="101">
        <f t="shared" si="13"/>
        <v>1716</v>
      </c>
      <c r="W100" s="101">
        <f t="shared" si="13"/>
        <v>0</v>
      </c>
      <c r="X100" s="101">
        <f t="shared" si="13"/>
        <v>0</v>
      </c>
      <c r="Y100" s="101">
        <f t="shared" si="13"/>
        <v>0</v>
      </c>
      <c r="Z100" s="101">
        <f t="shared" si="13"/>
        <v>0</v>
      </c>
      <c r="AA100" s="101">
        <f t="shared" si="13"/>
        <v>0</v>
      </c>
      <c r="AB100" s="22"/>
    </row>
    <row r="101" spans="1:28" s="23" customFormat="1" ht="10.199999999999999" x14ac:dyDescent="0.2">
      <c r="A101" s="22"/>
      <c r="B101" s="22"/>
      <c r="C101" s="22"/>
      <c r="D101" s="22"/>
      <c r="E101" s="22" t="str">
        <f>E89</f>
        <v>траффик арендаторов</v>
      </c>
      <c r="F101" s="22"/>
      <c r="G101" s="22" t="str">
        <f>IF($E101="","",INDEX(KPI!$G:$G,SUMIFS(KPI!$B:$B,KPI!$E:$E,$E101)))</f>
        <v>чел</v>
      </c>
      <c r="H101" s="100">
        <f>структура!$V$23</f>
        <v>12</v>
      </c>
      <c r="I101" s="31"/>
      <c r="J101" s="98" t="str">
        <f>структура!$X$23</f>
        <v>дек</v>
      </c>
      <c r="K101" s="99"/>
      <c r="L101" s="22"/>
      <c r="M101" s="58"/>
      <c r="N101" s="22"/>
      <c r="O101" s="22"/>
      <c r="P101" s="101">
        <f t="shared" si="13"/>
        <v>1771</v>
      </c>
      <c r="Q101" s="101">
        <f t="shared" si="13"/>
        <v>1771</v>
      </c>
      <c r="R101" s="101">
        <f t="shared" si="13"/>
        <v>1771</v>
      </c>
      <c r="S101" s="101">
        <f t="shared" si="13"/>
        <v>1771</v>
      </c>
      <c r="T101" s="101">
        <f t="shared" si="13"/>
        <v>1771</v>
      </c>
      <c r="U101" s="101">
        <f t="shared" si="13"/>
        <v>1771</v>
      </c>
      <c r="V101" s="101">
        <f t="shared" si="13"/>
        <v>1771</v>
      </c>
      <c r="W101" s="101">
        <f t="shared" si="13"/>
        <v>0</v>
      </c>
      <c r="X101" s="101">
        <f t="shared" si="13"/>
        <v>0</v>
      </c>
      <c r="Y101" s="101">
        <f t="shared" si="13"/>
        <v>0</v>
      </c>
      <c r="Z101" s="101">
        <f t="shared" si="13"/>
        <v>0</v>
      </c>
      <c r="AA101" s="101">
        <f t="shared" si="13"/>
        <v>0</v>
      </c>
      <c r="AB101" s="22"/>
    </row>
    <row r="102" spans="1:28" ht="3.9" customHeight="1" x14ac:dyDescent="0.25">
      <c r="A102" s="2"/>
      <c r="B102" s="2"/>
      <c r="C102" s="2"/>
      <c r="D102" s="2"/>
      <c r="E102" s="21"/>
      <c r="F102" s="2"/>
      <c r="G102" s="21"/>
      <c r="H102" s="2"/>
      <c r="I102" s="28"/>
      <c r="J102" s="21"/>
      <c r="K102" s="28"/>
      <c r="L102" s="2"/>
      <c r="M102" s="52"/>
      <c r="N102" s="2"/>
      <c r="O102" s="2"/>
      <c r="P102" s="36"/>
      <c r="Q102" s="36"/>
      <c r="R102" s="36"/>
      <c r="S102" s="36"/>
      <c r="T102" s="36"/>
      <c r="U102" s="36"/>
      <c r="V102" s="36"/>
      <c r="W102" s="36"/>
      <c r="X102" s="36"/>
      <c r="Y102" s="36"/>
      <c r="Z102" s="36"/>
      <c r="AA102" s="36"/>
      <c r="AB102" s="2"/>
    </row>
    <row r="103" spans="1:28" ht="8.1" customHeight="1" x14ac:dyDescent="0.25">
      <c r="A103" s="2"/>
      <c r="B103" s="2"/>
      <c r="C103" s="2"/>
      <c r="D103" s="2"/>
      <c r="E103" s="2"/>
      <c r="F103" s="2"/>
      <c r="G103" s="2"/>
      <c r="H103" s="2"/>
      <c r="I103" s="28"/>
      <c r="J103" s="2"/>
      <c r="K103" s="28"/>
      <c r="L103" s="2"/>
      <c r="M103" s="52"/>
      <c r="N103" s="2"/>
      <c r="O103" s="2"/>
      <c r="P103" s="36"/>
      <c r="Q103" s="36"/>
      <c r="R103" s="36"/>
      <c r="S103" s="36"/>
      <c r="T103" s="36"/>
      <c r="U103" s="36"/>
      <c r="V103" s="36"/>
      <c r="W103" s="36"/>
      <c r="X103" s="36"/>
      <c r="Y103" s="36"/>
      <c r="Z103" s="36"/>
      <c r="AA103" s="36"/>
      <c r="AB103" s="2"/>
    </row>
    <row r="104" spans="1:28" s="5" customFormat="1" x14ac:dyDescent="0.25">
      <c r="A104" s="3"/>
      <c r="B104" s="3"/>
      <c r="C104" s="3"/>
      <c r="D104" s="3"/>
      <c r="E104" s="3" t="str">
        <f>KPI!$E$41</f>
        <v>%-нт прироста "безарендного" траффика</v>
      </c>
      <c r="F104" s="3"/>
      <c r="G104" s="3" t="str">
        <f>IF($E104="","",INDEX(KPI!$G:$G,SUMIFS(KPI!$B:$B,KPI!$E:$E,$E104)))</f>
        <v>%</v>
      </c>
      <c r="H104" s="3"/>
      <c r="I104" s="6"/>
      <c r="J104" s="218">
        <f>SUMIFS(сценарии!J:J,сценарии!$E:$E,$E104,сценарии!$M:$M,$L$104)</f>
        <v>0.2</v>
      </c>
      <c r="K104" s="28"/>
      <c r="L104" s="104" t="str">
        <f>$P$19</f>
        <v>сценарий-2</v>
      </c>
      <c r="M104" s="55"/>
      <c r="N104" s="3"/>
      <c r="O104" s="3"/>
      <c r="P104" s="46"/>
      <c r="Q104" s="46"/>
      <c r="R104" s="46"/>
      <c r="S104" s="46"/>
      <c r="T104" s="46"/>
      <c r="U104" s="46"/>
      <c r="V104" s="46"/>
      <c r="W104" s="46"/>
      <c r="X104" s="46"/>
      <c r="Y104" s="46"/>
      <c r="Z104" s="46"/>
      <c r="AA104" s="46"/>
      <c r="AB104" s="3"/>
    </row>
    <row r="105" spans="1:28" ht="3.9" customHeight="1" x14ac:dyDescent="0.25">
      <c r="A105" s="2"/>
      <c r="B105" s="2"/>
      <c r="C105" s="2"/>
      <c r="D105" s="2"/>
      <c r="E105" s="2"/>
      <c r="F105" s="2"/>
      <c r="G105" s="2"/>
      <c r="H105" s="2"/>
      <c r="I105" s="28"/>
      <c r="J105" s="2"/>
      <c r="K105" s="28"/>
      <c r="L105" s="2"/>
      <c r="M105" s="52"/>
      <c r="N105" s="2"/>
      <c r="O105" s="2"/>
      <c r="P105" s="36"/>
      <c r="Q105" s="36"/>
      <c r="R105" s="36"/>
      <c r="S105" s="36"/>
      <c r="T105" s="36"/>
      <c r="U105" s="36"/>
      <c r="V105" s="36"/>
      <c r="W105" s="36"/>
      <c r="X105" s="36"/>
      <c r="Y105" s="36"/>
      <c r="Z105" s="36"/>
      <c r="AA105" s="36"/>
      <c r="AB105" s="2"/>
    </row>
    <row r="106" spans="1:28" ht="8.1" customHeight="1" x14ac:dyDescent="0.25">
      <c r="A106" s="2"/>
      <c r="B106" s="2"/>
      <c r="C106" s="2"/>
      <c r="D106" s="2"/>
      <c r="E106" s="2"/>
      <c r="F106" s="2"/>
      <c r="G106" s="2"/>
      <c r="H106" s="2"/>
      <c r="I106" s="28"/>
      <c r="J106" s="2"/>
      <c r="K106" s="28"/>
      <c r="L106" s="2"/>
      <c r="M106" s="52"/>
      <c r="N106" s="2"/>
      <c r="O106" s="2"/>
      <c r="P106" s="36"/>
      <c r="Q106" s="36"/>
      <c r="R106" s="36"/>
      <c r="S106" s="36"/>
      <c r="T106" s="36"/>
      <c r="U106" s="36"/>
      <c r="V106" s="36"/>
      <c r="W106" s="36"/>
      <c r="X106" s="36"/>
      <c r="Y106" s="36"/>
      <c r="Z106" s="36"/>
      <c r="AA106" s="36"/>
      <c r="AB106" s="2"/>
    </row>
    <row r="107" spans="1:28" x14ac:dyDescent="0.25">
      <c r="A107" s="2"/>
      <c r="B107" s="2"/>
      <c r="C107" s="2"/>
      <c r="D107" s="2"/>
      <c r="E107" s="3" t="str">
        <f>KPI!$E$39</f>
        <v>средний чек одной услуги</v>
      </c>
      <c r="F107" s="3"/>
      <c r="G107" s="3" t="str">
        <f>IF($E107="","",INDEX(KPI!$G:$G,SUMIFS(KPI!$B:$B,KPI!$E:$E,$E107)))</f>
        <v>руб.</v>
      </c>
      <c r="H107" s="3"/>
      <c r="I107" s="28"/>
      <c r="J107" s="44"/>
      <c r="K107" s="28"/>
      <c r="L107" s="3"/>
      <c r="M107" s="55"/>
      <c r="N107" s="2"/>
      <c r="O107" s="2"/>
      <c r="P107" s="36"/>
      <c r="Q107" s="36"/>
      <c r="R107" s="36"/>
      <c r="S107" s="36"/>
      <c r="T107" s="36"/>
      <c r="U107" s="36"/>
      <c r="V107" s="36"/>
      <c r="W107" s="36"/>
      <c r="X107" s="36"/>
      <c r="Y107" s="36"/>
      <c r="Z107" s="36"/>
      <c r="AA107" s="36"/>
      <c r="AB107" s="2"/>
    </row>
    <row r="108" spans="1:28" s="23" customFormat="1" x14ac:dyDescent="0.25">
      <c r="A108" s="22"/>
      <c r="B108" s="22"/>
      <c r="C108" s="22"/>
      <c r="D108" s="22"/>
      <c r="E108" s="22" t="str">
        <f>E107</f>
        <v>средний чек одной услуги</v>
      </c>
      <c r="F108" s="22"/>
      <c r="G108" s="22" t="str">
        <f>IF($E108="","",INDEX(KPI!$G:$G,SUMIFS(KPI!$B:$B,KPI!$E:$E,$E108)))</f>
        <v>руб.</v>
      </c>
      <c r="H108" s="100">
        <f>структура!$V$12</f>
        <v>1</v>
      </c>
      <c r="I108" s="31"/>
      <c r="J108" s="98" t="str">
        <f>структура!$X$12</f>
        <v>янв</v>
      </c>
      <c r="K108" s="99"/>
      <c r="L108" s="31"/>
      <c r="M108" s="204">
        <f>операции!M153</f>
        <v>0.1</v>
      </c>
      <c r="N108" s="22"/>
      <c r="O108" s="22"/>
      <c r="P108" s="100"/>
      <c r="Q108" s="100"/>
      <c r="R108" s="100"/>
      <c r="S108" s="100"/>
      <c r="T108" s="100"/>
      <c r="U108" s="100"/>
      <c r="V108" s="100"/>
      <c r="W108" s="100"/>
      <c r="X108" s="100"/>
      <c r="Y108" s="100"/>
      <c r="Z108" s="100"/>
      <c r="AA108" s="100"/>
      <c r="AB108" s="22"/>
    </row>
    <row r="109" spans="1:28" s="23" customFormat="1" x14ac:dyDescent="0.25">
      <c r="A109" s="22"/>
      <c r="B109" s="22"/>
      <c r="C109" s="22"/>
      <c r="D109" s="22"/>
      <c r="E109" s="22" t="str">
        <f>E107</f>
        <v>средний чек одной услуги</v>
      </c>
      <c r="F109" s="22"/>
      <c r="G109" s="22" t="str">
        <f>IF($E109="","",INDEX(KPI!$G:$G,SUMIFS(KPI!$B:$B,KPI!$E:$E,$E109)))</f>
        <v>руб.</v>
      </c>
      <c r="H109" s="100">
        <f>структура!$V$13</f>
        <v>2</v>
      </c>
      <c r="I109" s="31"/>
      <c r="J109" s="98" t="str">
        <f>структура!$X$13</f>
        <v>фев</v>
      </c>
      <c r="K109" s="99"/>
      <c r="L109" s="31"/>
      <c r="M109" s="204">
        <f>операции!M154</f>
        <v>0.1</v>
      </c>
      <c r="N109" s="22"/>
      <c r="O109" s="22"/>
      <c r="P109" s="100"/>
      <c r="Q109" s="100"/>
      <c r="R109" s="100"/>
      <c r="S109" s="100"/>
      <c r="T109" s="100"/>
      <c r="U109" s="100"/>
      <c r="V109" s="100"/>
      <c r="W109" s="100"/>
      <c r="X109" s="100"/>
      <c r="Y109" s="100"/>
      <c r="Z109" s="100"/>
      <c r="AA109" s="100"/>
      <c r="AB109" s="22"/>
    </row>
    <row r="110" spans="1:28" s="23" customFormat="1" x14ac:dyDescent="0.25">
      <c r="A110" s="22"/>
      <c r="B110" s="22"/>
      <c r="C110" s="22"/>
      <c r="D110" s="22"/>
      <c r="E110" s="22" t="str">
        <f>E107</f>
        <v>средний чек одной услуги</v>
      </c>
      <c r="F110" s="22"/>
      <c r="G110" s="22" t="str">
        <f>IF($E110="","",INDEX(KPI!$G:$G,SUMIFS(KPI!$B:$B,KPI!$E:$E,$E110)))</f>
        <v>руб.</v>
      </c>
      <c r="H110" s="100">
        <f>структура!$V$14</f>
        <v>3</v>
      </c>
      <c r="I110" s="31"/>
      <c r="J110" s="98" t="str">
        <f>структура!$X$14</f>
        <v>мар</v>
      </c>
      <c r="K110" s="99"/>
      <c r="L110" s="31"/>
      <c r="M110" s="204">
        <f>операции!M155</f>
        <v>0.1</v>
      </c>
      <c r="N110" s="22"/>
      <c r="O110" s="22"/>
      <c r="P110" s="100"/>
      <c r="Q110" s="100"/>
      <c r="R110" s="100"/>
      <c r="S110" s="100"/>
      <c r="T110" s="100"/>
      <c r="U110" s="100"/>
      <c r="V110" s="100"/>
      <c r="W110" s="100"/>
      <c r="X110" s="100"/>
      <c r="Y110" s="100"/>
      <c r="Z110" s="100"/>
      <c r="AA110" s="100"/>
      <c r="AB110" s="22"/>
    </row>
    <row r="111" spans="1:28" s="23" customFormat="1" x14ac:dyDescent="0.25">
      <c r="A111" s="22"/>
      <c r="B111" s="22"/>
      <c r="C111" s="22"/>
      <c r="D111" s="22"/>
      <c r="E111" s="22" t="str">
        <f>E107</f>
        <v>средний чек одной услуги</v>
      </c>
      <c r="F111" s="22"/>
      <c r="G111" s="22" t="str">
        <f>IF($E111="","",INDEX(KPI!$G:$G,SUMIFS(KPI!$B:$B,KPI!$E:$E,$E111)))</f>
        <v>руб.</v>
      </c>
      <c r="H111" s="100">
        <f>структура!$V$15</f>
        <v>4</v>
      </c>
      <c r="I111" s="31"/>
      <c r="J111" s="98" t="str">
        <f>структура!$X$15</f>
        <v>апр</v>
      </c>
      <c r="K111" s="99"/>
      <c r="L111" s="31"/>
      <c r="M111" s="204">
        <f>операции!M156</f>
        <v>0.1</v>
      </c>
      <c r="N111" s="22"/>
      <c r="O111" s="22"/>
      <c r="P111" s="100"/>
      <c r="Q111" s="100"/>
      <c r="R111" s="100"/>
      <c r="S111" s="100"/>
      <c r="T111" s="100"/>
      <c r="U111" s="100"/>
      <c r="V111" s="100"/>
      <c r="W111" s="100"/>
      <c r="X111" s="100"/>
      <c r="Y111" s="100"/>
      <c r="Z111" s="100"/>
      <c r="AA111" s="100"/>
      <c r="AB111" s="22"/>
    </row>
    <row r="112" spans="1:28" s="23" customFormat="1" x14ac:dyDescent="0.25">
      <c r="A112" s="22"/>
      <c r="B112" s="22"/>
      <c r="C112" s="22"/>
      <c r="D112" s="22"/>
      <c r="E112" s="22" t="str">
        <f>E107</f>
        <v>средний чек одной услуги</v>
      </c>
      <c r="F112" s="22"/>
      <c r="G112" s="22" t="str">
        <f>IF($E112="","",INDEX(KPI!$G:$G,SUMIFS(KPI!$B:$B,KPI!$E:$E,$E112)))</f>
        <v>руб.</v>
      </c>
      <c r="H112" s="100">
        <f>структура!$V$16</f>
        <v>5</v>
      </c>
      <c r="I112" s="31"/>
      <c r="J112" s="98" t="str">
        <f>структура!$X$16</f>
        <v>май</v>
      </c>
      <c r="K112" s="99"/>
      <c r="L112" s="31"/>
      <c r="M112" s="204">
        <f>операции!M157</f>
        <v>0.1</v>
      </c>
      <c r="N112" s="22"/>
      <c r="O112" s="22"/>
      <c r="P112" s="100"/>
      <c r="Q112" s="100"/>
      <c r="R112" s="100"/>
      <c r="S112" s="100"/>
      <c r="T112" s="100"/>
      <c r="U112" s="100"/>
      <c r="V112" s="100"/>
      <c r="W112" s="100"/>
      <c r="X112" s="100"/>
      <c r="Y112" s="100"/>
      <c r="Z112" s="100"/>
      <c r="AA112" s="100"/>
      <c r="AB112" s="22"/>
    </row>
    <row r="113" spans="1:28" s="23" customFormat="1" x14ac:dyDescent="0.25">
      <c r="A113" s="22"/>
      <c r="B113" s="22"/>
      <c r="C113" s="22"/>
      <c r="D113" s="22"/>
      <c r="E113" s="22" t="str">
        <f>E107</f>
        <v>средний чек одной услуги</v>
      </c>
      <c r="F113" s="22"/>
      <c r="G113" s="22" t="str">
        <f>IF($E113="","",INDEX(KPI!$G:$G,SUMIFS(KPI!$B:$B,KPI!$E:$E,$E113)))</f>
        <v>руб.</v>
      </c>
      <c r="H113" s="100">
        <f>структура!$V$17</f>
        <v>6</v>
      </c>
      <c r="I113" s="31"/>
      <c r="J113" s="98" t="str">
        <f>структура!$X$17</f>
        <v>июн</v>
      </c>
      <c r="K113" s="99"/>
      <c r="L113" s="31"/>
      <c r="M113" s="204">
        <f>операции!M158</f>
        <v>0.1</v>
      </c>
      <c r="N113" s="22"/>
      <c r="O113" s="22"/>
      <c r="P113" s="100"/>
      <c r="Q113" s="100"/>
      <c r="R113" s="100"/>
      <c r="S113" s="100"/>
      <c r="T113" s="100"/>
      <c r="U113" s="100"/>
      <c r="V113" s="100"/>
      <c r="W113" s="100"/>
      <c r="X113" s="100"/>
      <c r="Y113" s="100"/>
      <c r="Z113" s="100"/>
      <c r="AA113" s="100"/>
      <c r="AB113" s="22"/>
    </row>
    <row r="114" spans="1:28" s="23" customFormat="1" x14ac:dyDescent="0.25">
      <c r="A114" s="22"/>
      <c r="B114" s="22"/>
      <c r="C114" s="22"/>
      <c r="D114" s="22"/>
      <c r="E114" s="22" t="str">
        <f>E107</f>
        <v>средний чек одной услуги</v>
      </c>
      <c r="F114" s="22"/>
      <c r="G114" s="22" t="str">
        <f>IF($E114="","",INDEX(KPI!$G:$G,SUMIFS(KPI!$B:$B,KPI!$E:$E,$E114)))</f>
        <v>руб.</v>
      </c>
      <c r="H114" s="100">
        <f>структура!$V$18</f>
        <v>7</v>
      </c>
      <c r="I114" s="31"/>
      <c r="J114" s="98" t="str">
        <f>структура!$X$18</f>
        <v>июл</v>
      </c>
      <c r="K114" s="99"/>
      <c r="L114" s="31"/>
      <c r="M114" s="204">
        <f>операции!M159</f>
        <v>0.1</v>
      </c>
      <c r="N114" s="22"/>
      <c r="O114" s="22"/>
      <c r="P114" s="100"/>
      <c r="Q114" s="100"/>
      <c r="R114" s="100"/>
      <c r="S114" s="100"/>
      <c r="T114" s="100"/>
      <c r="U114" s="100"/>
      <c r="V114" s="100"/>
      <c r="W114" s="100"/>
      <c r="X114" s="100"/>
      <c r="Y114" s="100"/>
      <c r="Z114" s="100"/>
      <c r="AA114" s="100"/>
      <c r="AB114" s="22"/>
    </row>
    <row r="115" spans="1:28" s="23" customFormat="1" x14ac:dyDescent="0.25">
      <c r="A115" s="22"/>
      <c r="B115" s="22"/>
      <c r="C115" s="22"/>
      <c r="D115" s="22"/>
      <c r="E115" s="22" t="str">
        <f>E107</f>
        <v>средний чек одной услуги</v>
      </c>
      <c r="F115" s="22"/>
      <c r="G115" s="22" t="str">
        <f>IF($E115="","",INDEX(KPI!$G:$G,SUMIFS(KPI!$B:$B,KPI!$E:$E,$E115)))</f>
        <v>руб.</v>
      </c>
      <c r="H115" s="100">
        <f>структура!$V$19</f>
        <v>8</v>
      </c>
      <c r="I115" s="31"/>
      <c r="J115" s="98" t="str">
        <f>структура!$X$19</f>
        <v>авг</v>
      </c>
      <c r="K115" s="99"/>
      <c r="L115" s="31"/>
      <c r="M115" s="204">
        <f>операции!M160</f>
        <v>0.1</v>
      </c>
      <c r="N115" s="22"/>
      <c r="O115" s="22"/>
      <c r="P115" s="100"/>
      <c r="Q115" s="100"/>
      <c r="R115" s="100"/>
      <c r="S115" s="100"/>
      <c r="T115" s="100"/>
      <c r="U115" s="100"/>
      <c r="V115" s="100"/>
      <c r="W115" s="100"/>
      <c r="X115" s="100"/>
      <c r="Y115" s="100"/>
      <c r="Z115" s="100"/>
      <c r="AA115" s="100"/>
      <c r="AB115" s="22"/>
    </row>
    <row r="116" spans="1:28" s="23" customFormat="1" x14ac:dyDescent="0.25">
      <c r="A116" s="22"/>
      <c r="B116" s="22"/>
      <c r="C116" s="22"/>
      <c r="D116" s="22"/>
      <c r="E116" s="22" t="str">
        <f>E107</f>
        <v>средний чек одной услуги</v>
      </c>
      <c r="F116" s="22"/>
      <c r="G116" s="22" t="str">
        <f>IF($E116="","",INDEX(KPI!$G:$G,SUMIFS(KPI!$B:$B,KPI!$E:$E,$E116)))</f>
        <v>руб.</v>
      </c>
      <c r="H116" s="100">
        <f>структура!$V$20</f>
        <v>9</v>
      </c>
      <c r="I116" s="31"/>
      <c r="J116" s="98" t="str">
        <f>структура!$X$20</f>
        <v>сен</v>
      </c>
      <c r="K116" s="99"/>
      <c r="L116" s="31"/>
      <c r="M116" s="204">
        <f>операции!M161</f>
        <v>0.1</v>
      </c>
      <c r="N116" s="22"/>
      <c r="O116" s="22"/>
      <c r="P116" s="100"/>
      <c r="Q116" s="100"/>
      <c r="R116" s="100"/>
      <c r="S116" s="100"/>
      <c r="T116" s="100"/>
      <c r="U116" s="100"/>
      <c r="V116" s="100"/>
      <c r="W116" s="100"/>
      <c r="X116" s="100"/>
      <c r="Y116" s="100"/>
      <c r="Z116" s="100"/>
      <c r="AA116" s="100"/>
      <c r="AB116" s="22"/>
    </row>
    <row r="117" spans="1:28" s="23" customFormat="1" x14ac:dyDescent="0.25">
      <c r="A117" s="22"/>
      <c r="B117" s="22"/>
      <c r="C117" s="22"/>
      <c r="D117" s="22"/>
      <c r="E117" s="22" t="str">
        <f>E107</f>
        <v>средний чек одной услуги</v>
      </c>
      <c r="F117" s="22"/>
      <c r="G117" s="22" t="str">
        <f>IF($E117="","",INDEX(KPI!$G:$G,SUMIFS(KPI!$B:$B,KPI!$E:$E,$E117)))</f>
        <v>руб.</v>
      </c>
      <c r="H117" s="100">
        <f>структура!$V$21</f>
        <v>10</v>
      </c>
      <c r="I117" s="31"/>
      <c r="J117" s="98" t="str">
        <f>структура!$X$21</f>
        <v>окт</v>
      </c>
      <c r="K117" s="99"/>
      <c r="L117" s="31"/>
      <c r="M117" s="204">
        <f>операции!M162</f>
        <v>0.1</v>
      </c>
      <c r="N117" s="22"/>
      <c r="O117" s="22"/>
      <c r="P117" s="100"/>
      <c r="Q117" s="100"/>
      <c r="R117" s="100"/>
      <c r="S117" s="100"/>
      <c r="T117" s="100"/>
      <c r="U117" s="100"/>
      <c r="V117" s="100"/>
      <c r="W117" s="100"/>
      <c r="X117" s="100"/>
      <c r="Y117" s="100"/>
      <c r="Z117" s="100"/>
      <c r="AA117" s="100"/>
      <c r="AB117" s="22"/>
    </row>
    <row r="118" spans="1:28" s="23" customFormat="1" x14ac:dyDescent="0.25">
      <c r="A118" s="22"/>
      <c r="B118" s="22"/>
      <c r="C118" s="22"/>
      <c r="D118" s="22"/>
      <c r="E118" s="22" t="str">
        <f>E107</f>
        <v>средний чек одной услуги</v>
      </c>
      <c r="F118" s="22"/>
      <c r="G118" s="22" t="str">
        <f>IF($E118="","",INDEX(KPI!$G:$G,SUMIFS(KPI!$B:$B,KPI!$E:$E,$E118)))</f>
        <v>руб.</v>
      </c>
      <c r="H118" s="100">
        <f>структура!$V$22</f>
        <v>11</v>
      </c>
      <c r="I118" s="31"/>
      <c r="J118" s="98" t="str">
        <f>структура!$X$22</f>
        <v>ноя</v>
      </c>
      <c r="K118" s="99"/>
      <c r="L118" s="31"/>
      <c r="M118" s="204">
        <f>операции!M163</f>
        <v>0.1</v>
      </c>
      <c r="N118" s="22"/>
      <c r="O118" s="22"/>
      <c r="P118" s="100"/>
      <c r="Q118" s="100"/>
      <c r="R118" s="100"/>
      <c r="S118" s="100"/>
      <c r="T118" s="100"/>
      <c r="U118" s="100"/>
      <c r="V118" s="100"/>
      <c r="W118" s="100"/>
      <c r="X118" s="100"/>
      <c r="Y118" s="100"/>
      <c r="Z118" s="100"/>
      <c r="AA118" s="100"/>
      <c r="AB118" s="22"/>
    </row>
    <row r="119" spans="1:28" s="23" customFormat="1" x14ac:dyDescent="0.25">
      <c r="A119" s="22"/>
      <c r="B119" s="22"/>
      <c r="C119" s="22"/>
      <c r="D119" s="22"/>
      <c r="E119" s="22" t="str">
        <f>E107</f>
        <v>средний чек одной услуги</v>
      </c>
      <c r="F119" s="22"/>
      <c r="G119" s="22" t="str">
        <f>IF($E119="","",INDEX(KPI!$G:$G,SUMIFS(KPI!$B:$B,KPI!$E:$E,$E119)))</f>
        <v>руб.</v>
      </c>
      <c r="H119" s="100">
        <f>структура!$V$23</f>
        <v>12</v>
      </c>
      <c r="I119" s="31"/>
      <c r="J119" s="98" t="str">
        <f>структура!$X$23</f>
        <v>дек</v>
      </c>
      <c r="K119" s="99"/>
      <c r="L119" s="31"/>
      <c r="M119" s="204">
        <f>операции!M164</f>
        <v>0.1</v>
      </c>
      <c r="N119" s="22"/>
      <c r="O119" s="22"/>
      <c r="P119" s="100"/>
      <c r="Q119" s="100"/>
      <c r="R119" s="100"/>
      <c r="S119" s="100"/>
      <c r="T119" s="100"/>
      <c r="U119" s="100"/>
      <c r="V119" s="100"/>
      <c r="W119" s="100"/>
      <c r="X119" s="100"/>
      <c r="Y119" s="100"/>
      <c r="Z119" s="100"/>
      <c r="AA119" s="100"/>
      <c r="AB119" s="22"/>
    </row>
    <row r="120" spans="1:28" ht="3.9" customHeight="1" x14ac:dyDescent="0.25">
      <c r="A120" s="2"/>
      <c r="B120" s="2"/>
      <c r="C120" s="2"/>
      <c r="D120" s="2"/>
      <c r="E120" s="21"/>
      <c r="F120" s="2"/>
      <c r="G120" s="21"/>
      <c r="H120" s="2"/>
      <c r="I120" s="28"/>
      <c r="J120" s="21"/>
      <c r="K120" s="28"/>
      <c r="L120" s="2"/>
      <c r="M120" s="52"/>
      <c r="N120" s="2"/>
      <c r="O120" s="2"/>
      <c r="P120" s="36"/>
      <c r="Q120" s="36"/>
      <c r="R120" s="36"/>
      <c r="S120" s="36"/>
      <c r="T120" s="36"/>
      <c r="U120" s="36"/>
      <c r="V120" s="36"/>
      <c r="W120" s="36"/>
      <c r="X120" s="36"/>
      <c r="Y120" s="36"/>
      <c r="Z120" s="36"/>
      <c r="AA120" s="36"/>
      <c r="AB120" s="2"/>
    </row>
    <row r="121" spans="1:28" ht="8.1" customHeight="1" x14ac:dyDescent="0.25">
      <c r="A121" s="2"/>
      <c r="B121" s="2"/>
      <c r="C121" s="2"/>
      <c r="D121" s="2"/>
      <c r="E121" s="2"/>
      <c r="F121" s="2"/>
      <c r="G121" s="2"/>
      <c r="H121" s="2"/>
      <c r="I121" s="28"/>
      <c r="J121" s="2"/>
      <c r="K121" s="28"/>
      <c r="L121" s="2"/>
      <c r="M121" s="52"/>
      <c r="N121" s="2"/>
      <c r="O121" s="2"/>
      <c r="P121" s="36"/>
      <c r="Q121" s="36"/>
      <c r="R121" s="36"/>
      <c r="S121" s="36"/>
      <c r="T121" s="36"/>
      <c r="U121" s="36"/>
      <c r="V121" s="36"/>
      <c r="W121" s="36"/>
      <c r="X121" s="36"/>
      <c r="Y121" s="36"/>
      <c r="Z121" s="36"/>
      <c r="AA121" s="36"/>
      <c r="AB121" s="2"/>
    </row>
    <row r="122" spans="1:28" s="5" customFormat="1" x14ac:dyDescent="0.25">
      <c r="A122" s="3"/>
      <c r="B122" s="3"/>
      <c r="C122" s="3"/>
      <c r="D122" s="3"/>
      <c r="E122" s="3" t="str">
        <f>KPI!$E$40</f>
        <v>конверсия в покупку одной услуги проката</v>
      </c>
      <c r="F122" s="3"/>
      <c r="G122" s="3" t="str">
        <f>IF($E122="","",INDEX(KPI!$G:$G,SUMIFS(KPI!$B:$B,KPI!$E:$E,$E122)))</f>
        <v>%</v>
      </c>
      <c r="H122" s="3"/>
      <c r="I122" s="28"/>
      <c r="J122" s="44"/>
      <c r="K122" s="28"/>
      <c r="L122" s="3"/>
      <c r="M122" s="55"/>
      <c r="N122" s="3"/>
      <c r="O122" s="3"/>
      <c r="P122" s="104" t="str">
        <f>$P$19</f>
        <v>сценарий-2</v>
      </c>
      <c r="Q122" s="46"/>
      <c r="R122" s="46"/>
      <c r="S122" s="46"/>
      <c r="T122" s="46"/>
      <c r="U122" s="46"/>
      <c r="V122" s="46"/>
      <c r="W122" s="46"/>
      <c r="X122" s="46"/>
      <c r="Y122" s="46"/>
      <c r="Z122" s="46"/>
      <c r="AA122" s="46"/>
      <c r="AB122" s="3"/>
    </row>
    <row r="123" spans="1:28" s="23" customFormat="1" ht="10.199999999999999" x14ac:dyDescent="0.2">
      <c r="A123" s="22"/>
      <c r="B123" s="22"/>
      <c r="C123" s="22"/>
      <c r="D123" s="22"/>
      <c r="E123" s="22" t="str">
        <f>E122</f>
        <v>конверсия в покупку одной услуги проката</v>
      </c>
      <c r="F123" s="22"/>
      <c r="G123" s="22" t="str">
        <f>IF($E123="","",INDEX(KPI!$G:$G,SUMIFS(KPI!$B:$B,KPI!$E:$E,$E123)))</f>
        <v>%</v>
      </c>
      <c r="H123" s="100">
        <f>структура!$V$12</f>
        <v>1</v>
      </c>
      <c r="I123" s="31"/>
      <c r="J123" s="98" t="str">
        <f>структура!$X$12</f>
        <v>янв</v>
      </c>
      <c r="K123" s="99"/>
      <c r="L123" s="22"/>
      <c r="M123" s="58"/>
      <c r="N123" s="22"/>
      <c r="O123" s="22"/>
      <c r="P123" s="102">
        <f>IF(P$1="",0,SUMIFS(сценарии!P:P,сценарии!$E:$E,$E123,сценарии!$J:$J,$J123,сценарии!$M:$M,$P$122))</f>
        <v>0.25</v>
      </c>
      <c r="Q123" s="102">
        <f>IF(Q$1="",0,SUMIFS(сценарии!Q:Q,сценарии!$E:$E,$E123,сценарии!$J:$J,$J123,сценарии!$M:$M,$P$122))</f>
        <v>0.25</v>
      </c>
      <c r="R123" s="102">
        <f>IF(R$1="",0,SUMIFS(сценарии!R:R,сценарии!$E:$E,$E123,сценарии!$J:$J,$J123,сценарии!$M:$M,$P$122))</f>
        <v>0.25</v>
      </c>
      <c r="S123" s="102">
        <f>IF(S$1="",0,SUMIFS(сценарии!S:S,сценарии!$E:$E,$E123,сценарии!$J:$J,$J123,сценарии!$M:$M,$P$122))</f>
        <v>0.25</v>
      </c>
      <c r="T123" s="102">
        <f>IF(T$1="",0,SUMIFS(сценарии!T:T,сценарии!$E:$E,$E123,сценарии!$J:$J,$J123,сценарии!$M:$M,$P$122))</f>
        <v>0.25</v>
      </c>
      <c r="U123" s="102">
        <f>IF(U$1="",0,SUMIFS(сценарии!U:U,сценарии!$E:$E,$E123,сценарии!$J:$J,$J123,сценарии!$M:$M,$P$122))</f>
        <v>0.25</v>
      </c>
      <c r="V123" s="102">
        <f>IF(V$1="",0,SUMIFS(сценарии!V:V,сценарии!$E:$E,$E123,сценарии!$J:$J,$J123,сценарии!$M:$M,$P$122))</f>
        <v>0.25</v>
      </c>
      <c r="W123" s="102">
        <f>IF(W$1="",0,SUMIFS(сценарии!W:W,сценарии!$E:$E,$E123,сценарии!$J:$J,$J123,сценарии!$M:$M,$P$122))</f>
        <v>0</v>
      </c>
      <c r="X123" s="102">
        <f>IF(X$1="",0,SUMIFS(сценарии!X:X,сценарии!$E:$E,$E123,сценарии!$J:$J,$J123,сценарии!$M:$M,$P$122))</f>
        <v>0</v>
      </c>
      <c r="Y123" s="102">
        <f>IF(Y$1="",0,SUMIFS(сценарии!Y:Y,сценарии!$E:$E,$E123,сценарии!$J:$J,$J123,сценарии!$M:$M,$P$122))</f>
        <v>0</v>
      </c>
      <c r="Z123" s="102">
        <f>IF(Z$1="",0,SUMIFS(сценарии!Z:Z,сценарии!$E:$E,$E123,сценарии!$J:$J,$J123,сценарии!$M:$M,$P$122))</f>
        <v>0</v>
      </c>
      <c r="AA123" s="102">
        <f>IF(AA$1="",0,SUMIFS(сценарии!AA:AA,сценарии!$E:$E,$E123,сценарии!$J:$J,$J123,сценарии!$M:$M,$P$122))</f>
        <v>0</v>
      </c>
      <c r="AB123" s="22"/>
    </row>
    <row r="124" spans="1:28" s="23" customFormat="1" ht="10.199999999999999" x14ac:dyDescent="0.2">
      <c r="A124" s="22"/>
      <c r="B124" s="22"/>
      <c r="C124" s="22"/>
      <c r="D124" s="22"/>
      <c r="E124" s="22" t="str">
        <f>E122</f>
        <v>конверсия в покупку одной услуги проката</v>
      </c>
      <c r="F124" s="22"/>
      <c r="G124" s="22" t="str">
        <f>IF($E124="","",INDEX(KPI!$G:$G,SUMIFS(KPI!$B:$B,KPI!$E:$E,$E124)))</f>
        <v>%</v>
      </c>
      <c r="H124" s="100">
        <f>структура!$V$13</f>
        <v>2</v>
      </c>
      <c r="I124" s="31"/>
      <c r="J124" s="98" t="str">
        <f>структура!$X$13</f>
        <v>фев</v>
      </c>
      <c r="K124" s="99"/>
      <c r="L124" s="22"/>
      <c r="M124" s="58"/>
      <c r="N124" s="22"/>
      <c r="O124" s="22"/>
      <c r="P124" s="102">
        <f>IF(P$1="",0,SUMIFS(сценарии!P:P,сценарии!$E:$E,$E124,сценарии!$J:$J,$J124,сценарии!$M:$M,$P$122))</f>
        <v>0.2</v>
      </c>
      <c r="Q124" s="102">
        <f>IF(Q$1="",0,SUMIFS(сценарии!Q:Q,сценарии!$E:$E,$E124,сценарии!$J:$J,$J124,сценарии!$M:$M,$P$122))</f>
        <v>0.2</v>
      </c>
      <c r="R124" s="102">
        <f>IF(R$1="",0,SUMIFS(сценарии!R:R,сценарии!$E:$E,$E124,сценарии!$J:$J,$J124,сценарии!$M:$M,$P$122))</f>
        <v>0.2</v>
      </c>
      <c r="S124" s="102">
        <f>IF(S$1="",0,SUMIFS(сценарии!S:S,сценарии!$E:$E,$E124,сценарии!$J:$J,$J124,сценарии!$M:$M,$P$122))</f>
        <v>0.2</v>
      </c>
      <c r="T124" s="102">
        <f>IF(T$1="",0,SUMIFS(сценарии!T:T,сценарии!$E:$E,$E124,сценарии!$J:$J,$J124,сценарии!$M:$M,$P$122))</f>
        <v>0.2</v>
      </c>
      <c r="U124" s="102">
        <f>IF(U$1="",0,SUMIFS(сценарии!U:U,сценарии!$E:$E,$E124,сценарии!$J:$J,$J124,сценарии!$M:$M,$P$122))</f>
        <v>0.2</v>
      </c>
      <c r="V124" s="102">
        <f>IF(V$1="",0,SUMIFS(сценарии!V:V,сценарии!$E:$E,$E124,сценарии!$J:$J,$J124,сценарии!$M:$M,$P$122))</f>
        <v>0.2</v>
      </c>
      <c r="W124" s="102">
        <f>IF(W$1="",0,SUMIFS(сценарии!W:W,сценарии!$E:$E,$E124,сценарии!$J:$J,$J124,сценарии!$M:$M,$P$122))</f>
        <v>0</v>
      </c>
      <c r="X124" s="102">
        <f>IF(X$1="",0,SUMIFS(сценарии!X:X,сценарии!$E:$E,$E124,сценарии!$J:$J,$J124,сценарии!$M:$M,$P$122))</f>
        <v>0</v>
      </c>
      <c r="Y124" s="102">
        <f>IF(Y$1="",0,SUMIFS(сценарии!Y:Y,сценарии!$E:$E,$E124,сценарии!$J:$J,$J124,сценарии!$M:$M,$P$122))</f>
        <v>0</v>
      </c>
      <c r="Z124" s="102">
        <f>IF(Z$1="",0,SUMIFS(сценарии!Z:Z,сценарии!$E:$E,$E124,сценарии!$J:$J,$J124,сценарии!$M:$M,$P$122))</f>
        <v>0</v>
      </c>
      <c r="AA124" s="102">
        <f>IF(AA$1="",0,SUMIFS(сценарии!AA:AA,сценарии!$E:$E,$E124,сценарии!$J:$J,$J124,сценарии!$M:$M,$P$122))</f>
        <v>0</v>
      </c>
      <c r="AB124" s="22"/>
    </row>
    <row r="125" spans="1:28" s="23" customFormat="1" ht="10.199999999999999" x14ac:dyDescent="0.2">
      <c r="A125" s="22"/>
      <c r="B125" s="22"/>
      <c r="C125" s="22"/>
      <c r="D125" s="22"/>
      <c r="E125" s="22" t="str">
        <f>E122</f>
        <v>конверсия в покупку одной услуги проката</v>
      </c>
      <c r="F125" s="22"/>
      <c r="G125" s="22" t="str">
        <f>IF($E125="","",INDEX(KPI!$G:$G,SUMIFS(KPI!$B:$B,KPI!$E:$E,$E125)))</f>
        <v>%</v>
      </c>
      <c r="H125" s="100">
        <f>структура!$V$14</f>
        <v>3</v>
      </c>
      <c r="I125" s="31"/>
      <c r="J125" s="98" t="str">
        <f>структура!$X$14</f>
        <v>мар</v>
      </c>
      <c r="K125" s="99"/>
      <c r="L125" s="22"/>
      <c r="M125" s="58"/>
      <c r="N125" s="22"/>
      <c r="O125" s="22"/>
      <c r="P125" s="102">
        <f>IF(P$1="",0,SUMIFS(сценарии!P:P,сценарии!$E:$E,$E125,сценарии!$J:$J,$J125,сценарии!$M:$M,$P$122))</f>
        <v>0.2</v>
      </c>
      <c r="Q125" s="102">
        <f>IF(Q$1="",0,SUMIFS(сценарии!Q:Q,сценарии!$E:$E,$E125,сценарии!$J:$J,$J125,сценарии!$M:$M,$P$122))</f>
        <v>0.2</v>
      </c>
      <c r="R125" s="102">
        <f>IF(R$1="",0,SUMIFS(сценарии!R:R,сценарии!$E:$E,$E125,сценарии!$J:$J,$J125,сценарии!$M:$M,$P$122))</f>
        <v>0.2</v>
      </c>
      <c r="S125" s="102">
        <f>IF(S$1="",0,SUMIFS(сценарии!S:S,сценарии!$E:$E,$E125,сценарии!$J:$J,$J125,сценарии!$M:$M,$P$122))</f>
        <v>0.2</v>
      </c>
      <c r="T125" s="102">
        <f>IF(T$1="",0,SUMIFS(сценарии!T:T,сценарии!$E:$E,$E125,сценарии!$J:$J,$J125,сценарии!$M:$M,$P$122))</f>
        <v>0.2</v>
      </c>
      <c r="U125" s="102">
        <f>IF(U$1="",0,SUMIFS(сценарии!U:U,сценарии!$E:$E,$E125,сценарии!$J:$J,$J125,сценарии!$M:$M,$P$122))</f>
        <v>0.2</v>
      </c>
      <c r="V125" s="102">
        <f>IF(V$1="",0,SUMIFS(сценарии!V:V,сценарии!$E:$E,$E125,сценарии!$J:$J,$J125,сценарии!$M:$M,$P$122))</f>
        <v>0.2</v>
      </c>
      <c r="W125" s="102">
        <f>IF(W$1="",0,SUMIFS(сценарии!W:W,сценарии!$E:$E,$E125,сценарии!$J:$J,$J125,сценарии!$M:$M,$P$122))</f>
        <v>0</v>
      </c>
      <c r="X125" s="102">
        <f>IF(X$1="",0,SUMIFS(сценарии!X:X,сценарии!$E:$E,$E125,сценарии!$J:$J,$J125,сценарии!$M:$M,$P$122))</f>
        <v>0</v>
      </c>
      <c r="Y125" s="102">
        <f>IF(Y$1="",0,SUMIFS(сценарии!Y:Y,сценарии!$E:$E,$E125,сценарии!$J:$J,$J125,сценарии!$M:$M,$P$122))</f>
        <v>0</v>
      </c>
      <c r="Z125" s="102">
        <f>IF(Z$1="",0,SUMIFS(сценарии!Z:Z,сценарии!$E:$E,$E125,сценарии!$J:$J,$J125,сценарии!$M:$M,$P$122))</f>
        <v>0</v>
      </c>
      <c r="AA125" s="102">
        <f>IF(AA$1="",0,SUMIFS(сценарии!AA:AA,сценарии!$E:$E,$E125,сценарии!$J:$J,$J125,сценарии!$M:$M,$P$122))</f>
        <v>0</v>
      </c>
      <c r="AB125" s="22"/>
    </row>
    <row r="126" spans="1:28" s="23" customFormat="1" ht="10.199999999999999" x14ac:dyDescent="0.2">
      <c r="A126" s="22"/>
      <c r="B126" s="22"/>
      <c r="C126" s="22"/>
      <c r="D126" s="22"/>
      <c r="E126" s="22" t="str">
        <f>E122</f>
        <v>конверсия в покупку одной услуги проката</v>
      </c>
      <c r="F126" s="22"/>
      <c r="G126" s="22" t="str">
        <f>IF($E126="","",INDEX(KPI!$G:$G,SUMIFS(KPI!$B:$B,KPI!$E:$E,$E126)))</f>
        <v>%</v>
      </c>
      <c r="H126" s="100">
        <f>структура!$V$15</f>
        <v>4</v>
      </c>
      <c r="I126" s="31"/>
      <c r="J126" s="98" t="str">
        <f>структура!$X$15</f>
        <v>апр</v>
      </c>
      <c r="K126" s="99"/>
      <c r="L126" s="22"/>
      <c r="M126" s="58"/>
      <c r="N126" s="22"/>
      <c r="O126" s="22"/>
      <c r="P126" s="102">
        <f>IF(P$1="",0,SUMIFS(сценарии!P:P,сценарии!$E:$E,$E126,сценарии!$J:$J,$J126,сценарии!$M:$M,$P$122))</f>
        <v>0.2</v>
      </c>
      <c r="Q126" s="102">
        <f>IF(Q$1="",0,SUMIFS(сценарии!Q:Q,сценарии!$E:$E,$E126,сценарии!$J:$J,$J126,сценарии!$M:$M,$P$122))</f>
        <v>0.2</v>
      </c>
      <c r="R126" s="102">
        <f>IF(R$1="",0,SUMIFS(сценарии!R:R,сценарии!$E:$E,$E126,сценарии!$J:$J,$J126,сценарии!$M:$M,$P$122))</f>
        <v>0.2</v>
      </c>
      <c r="S126" s="102">
        <f>IF(S$1="",0,SUMIFS(сценарии!S:S,сценарии!$E:$E,$E126,сценарии!$J:$J,$J126,сценарии!$M:$M,$P$122))</f>
        <v>0.2</v>
      </c>
      <c r="T126" s="102">
        <f>IF(T$1="",0,SUMIFS(сценарии!T:T,сценарии!$E:$E,$E126,сценарии!$J:$J,$J126,сценарии!$M:$M,$P$122))</f>
        <v>0.2</v>
      </c>
      <c r="U126" s="102">
        <f>IF(U$1="",0,SUMIFS(сценарии!U:U,сценарии!$E:$E,$E126,сценарии!$J:$J,$J126,сценарии!$M:$M,$P$122))</f>
        <v>0.2</v>
      </c>
      <c r="V126" s="102">
        <f>IF(V$1="",0,SUMIFS(сценарии!V:V,сценарии!$E:$E,$E126,сценарии!$J:$J,$J126,сценарии!$M:$M,$P$122))</f>
        <v>0.2</v>
      </c>
      <c r="W126" s="102">
        <f>IF(W$1="",0,SUMIFS(сценарии!W:W,сценарии!$E:$E,$E126,сценарии!$J:$J,$J126,сценарии!$M:$M,$P$122))</f>
        <v>0</v>
      </c>
      <c r="X126" s="102">
        <f>IF(X$1="",0,SUMIFS(сценарии!X:X,сценарии!$E:$E,$E126,сценарии!$J:$J,$J126,сценарии!$M:$M,$P$122))</f>
        <v>0</v>
      </c>
      <c r="Y126" s="102">
        <f>IF(Y$1="",0,SUMIFS(сценарии!Y:Y,сценарии!$E:$E,$E126,сценарии!$J:$J,$J126,сценарии!$M:$M,$P$122))</f>
        <v>0</v>
      </c>
      <c r="Z126" s="102">
        <f>IF(Z$1="",0,SUMIFS(сценарии!Z:Z,сценарии!$E:$E,$E126,сценарии!$J:$J,$J126,сценарии!$M:$M,$P$122))</f>
        <v>0</v>
      </c>
      <c r="AA126" s="102">
        <f>IF(AA$1="",0,SUMIFS(сценарии!AA:AA,сценарии!$E:$E,$E126,сценарии!$J:$J,$J126,сценарии!$M:$M,$P$122))</f>
        <v>0</v>
      </c>
      <c r="AB126" s="22"/>
    </row>
    <row r="127" spans="1:28" s="23" customFormat="1" ht="10.199999999999999" x14ac:dyDescent="0.2">
      <c r="A127" s="22"/>
      <c r="B127" s="22"/>
      <c r="C127" s="22"/>
      <c r="D127" s="22"/>
      <c r="E127" s="22" t="str">
        <f>E122</f>
        <v>конверсия в покупку одной услуги проката</v>
      </c>
      <c r="F127" s="22"/>
      <c r="G127" s="22" t="str">
        <f>IF($E127="","",INDEX(KPI!$G:$G,SUMIFS(KPI!$B:$B,KPI!$E:$E,$E127)))</f>
        <v>%</v>
      </c>
      <c r="H127" s="100">
        <f>структура!$V$16</f>
        <v>5</v>
      </c>
      <c r="I127" s="31"/>
      <c r="J127" s="98" t="str">
        <f>структура!$X$16</f>
        <v>май</v>
      </c>
      <c r="K127" s="99"/>
      <c r="L127" s="22"/>
      <c r="M127" s="58"/>
      <c r="N127" s="22"/>
      <c r="O127" s="22"/>
      <c r="P127" s="102">
        <f>IF(P$1="",0,SUMIFS(сценарии!P:P,сценарии!$E:$E,$E127,сценарии!$J:$J,$J127,сценарии!$M:$M,$P$122))</f>
        <v>0.4</v>
      </c>
      <c r="Q127" s="102">
        <f>IF(Q$1="",0,SUMIFS(сценарии!Q:Q,сценарии!$E:$E,$E127,сценарии!$J:$J,$J127,сценарии!$M:$M,$P$122))</f>
        <v>0.4</v>
      </c>
      <c r="R127" s="102">
        <f>IF(R$1="",0,SUMIFS(сценарии!R:R,сценарии!$E:$E,$E127,сценарии!$J:$J,$J127,сценарии!$M:$M,$P$122))</f>
        <v>0.4</v>
      </c>
      <c r="S127" s="102">
        <f>IF(S$1="",0,SUMIFS(сценарии!S:S,сценарии!$E:$E,$E127,сценарии!$J:$J,$J127,сценарии!$M:$M,$P$122))</f>
        <v>0.4</v>
      </c>
      <c r="T127" s="102">
        <f>IF(T$1="",0,SUMIFS(сценарии!T:T,сценарии!$E:$E,$E127,сценарии!$J:$J,$J127,сценарии!$M:$M,$P$122))</f>
        <v>0.4</v>
      </c>
      <c r="U127" s="102">
        <f>IF(U$1="",0,SUMIFS(сценарии!U:U,сценарии!$E:$E,$E127,сценарии!$J:$J,$J127,сценарии!$M:$M,$P$122))</f>
        <v>0.4</v>
      </c>
      <c r="V127" s="102">
        <f>IF(V$1="",0,SUMIFS(сценарии!V:V,сценарии!$E:$E,$E127,сценарии!$J:$J,$J127,сценарии!$M:$M,$P$122))</f>
        <v>0.4</v>
      </c>
      <c r="W127" s="102">
        <f>IF(W$1="",0,SUMIFS(сценарии!W:W,сценарии!$E:$E,$E127,сценарии!$J:$J,$J127,сценарии!$M:$M,$P$122))</f>
        <v>0</v>
      </c>
      <c r="X127" s="102">
        <f>IF(X$1="",0,SUMIFS(сценарии!X:X,сценарии!$E:$E,$E127,сценарии!$J:$J,$J127,сценарии!$M:$M,$P$122))</f>
        <v>0</v>
      </c>
      <c r="Y127" s="102">
        <f>IF(Y$1="",0,SUMIFS(сценарии!Y:Y,сценарии!$E:$E,$E127,сценарии!$J:$J,$J127,сценарии!$M:$M,$P$122))</f>
        <v>0</v>
      </c>
      <c r="Z127" s="102">
        <f>IF(Z$1="",0,SUMIFS(сценарии!Z:Z,сценарии!$E:$E,$E127,сценарии!$J:$J,$J127,сценарии!$M:$M,$P$122))</f>
        <v>0</v>
      </c>
      <c r="AA127" s="102">
        <f>IF(AA$1="",0,SUMIFS(сценарии!AA:AA,сценарии!$E:$E,$E127,сценарии!$J:$J,$J127,сценарии!$M:$M,$P$122))</f>
        <v>0</v>
      </c>
      <c r="AB127" s="22"/>
    </row>
    <row r="128" spans="1:28" s="23" customFormat="1" ht="10.199999999999999" x14ac:dyDescent="0.2">
      <c r="A128" s="22"/>
      <c r="B128" s="22"/>
      <c r="C128" s="22"/>
      <c r="D128" s="22"/>
      <c r="E128" s="22" t="str">
        <f>E122</f>
        <v>конверсия в покупку одной услуги проката</v>
      </c>
      <c r="F128" s="22"/>
      <c r="G128" s="22" t="str">
        <f>IF($E128="","",INDEX(KPI!$G:$G,SUMIFS(KPI!$B:$B,KPI!$E:$E,$E128)))</f>
        <v>%</v>
      </c>
      <c r="H128" s="100">
        <f>структура!$V$17</f>
        <v>6</v>
      </c>
      <c r="I128" s="31"/>
      <c r="J128" s="98" t="str">
        <f>структура!$X$17</f>
        <v>июн</v>
      </c>
      <c r="K128" s="99"/>
      <c r="L128" s="22"/>
      <c r="M128" s="58"/>
      <c r="N128" s="22"/>
      <c r="O128" s="22"/>
      <c r="P128" s="102">
        <f>IF(P$1="",0,SUMIFS(сценарии!P:P,сценарии!$E:$E,$E128,сценарии!$J:$J,$J128,сценарии!$M:$M,$P$122))</f>
        <v>0.4</v>
      </c>
      <c r="Q128" s="102">
        <f>IF(Q$1="",0,SUMIFS(сценарии!Q:Q,сценарии!$E:$E,$E128,сценарии!$J:$J,$J128,сценарии!$M:$M,$P$122))</f>
        <v>0.4</v>
      </c>
      <c r="R128" s="102">
        <f>IF(R$1="",0,SUMIFS(сценарии!R:R,сценарии!$E:$E,$E128,сценарии!$J:$J,$J128,сценарии!$M:$M,$P$122))</f>
        <v>0.4</v>
      </c>
      <c r="S128" s="102">
        <f>IF(S$1="",0,SUMIFS(сценарии!S:S,сценарии!$E:$E,$E128,сценарии!$J:$J,$J128,сценарии!$M:$M,$P$122))</f>
        <v>0.4</v>
      </c>
      <c r="T128" s="102">
        <f>IF(T$1="",0,SUMIFS(сценарии!T:T,сценарии!$E:$E,$E128,сценарии!$J:$J,$J128,сценарии!$M:$M,$P$122))</f>
        <v>0.4</v>
      </c>
      <c r="U128" s="102">
        <f>IF(U$1="",0,SUMIFS(сценарии!U:U,сценарии!$E:$E,$E128,сценарии!$J:$J,$J128,сценарии!$M:$M,$P$122))</f>
        <v>0.4</v>
      </c>
      <c r="V128" s="102">
        <f>IF(V$1="",0,SUMIFS(сценарии!V:V,сценарии!$E:$E,$E128,сценарии!$J:$J,$J128,сценарии!$M:$M,$P$122))</f>
        <v>0.4</v>
      </c>
      <c r="W128" s="102">
        <f>IF(W$1="",0,SUMIFS(сценарии!W:W,сценарии!$E:$E,$E128,сценарии!$J:$J,$J128,сценарии!$M:$M,$P$122))</f>
        <v>0</v>
      </c>
      <c r="X128" s="102">
        <f>IF(X$1="",0,SUMIFS(сценарии!X:X,сценарии!$E:$E,$E128,сценарии!$J:$J,$J128,сценарии!$M:$M,$P$122))</f>
        <v>0</v>
      </c>
      <c r="Y128" s="102">
        <f>IF(Y$1="",0,SUMIFS(сценарии!Y:Y,сценарии!$E:$E,$E128,сценарии!$J:$J,$J128,сценарии!$M:$M,$P$122))</f>
        <v>0</v>
      </c>
      <c r="Z128" s="102">
        <f>IF(Z$1="",0,SUMIFS(сценарии!Z:Z,сценарии!$E:$E,$E128,сценарии!$J:$J,$J128,сценарии!$M:$M,$P$122))</f>
        <v>0</v>
      </c>
      <c r="AA128" s="102">
        <f>IF(AA$1="",0,SUMIFS(сценарии!AA:AA,сценарии!$E:$E,$E128,сценарии!$J:$J,$J128,сценарии!$M:$M,$P$122))</f>
        <v>0</v>
      </c>
      <c r="AB128" s="22"/>
    </row>
    <row r="129" spans="1:28" s="23" customFormat="1" ht="10.199999999999999" x14ac:dyDescent="0.2">
      <c r="A129" s="22"/>
      <c r="B129" s="22"/>
      <c r="C129" s="22"/>
      <c r="D129" s="22"/>
      <c r="E129" s="22" t="str">
        <f>E122</f>
        <v>конверсия в покупку одной услуги проката</v>
      </c>
      <c r="F129" s="22"/>
      <c r="G129" s="22" t="str">
        <f>IF($E129="","",INDEX(KPI!$G:$G,SUMIFS(KPI!$B:$B,KPI!$E:$E,$E129)))</f>
        <v>%</v>
      </c>
      <c r="H129" s="100">
        <f>структура!$V$18</f>
        <v>7</v>
      </c>
      <c r="I129" s="31"/>
      <c r="J129" s="98" t="str">
        <f>структура!$X$18</f>
        <v>июл</v>
      </c>
      <c r="K129" s="99"/>
      <c r="L129" s="22"/>
      <c r="M129" s="58"/>
      <c r="N129" s="22"/>
      <c r="O129" s="22"/>
      <c r="P129" s="102">
        <f>IF(P$1="",0,SUMIFS(сценарии!P:P,сценарии!$E:$E,$E129,сценарии!$J:$J,$J129,сценарии!$M:$M,$P$122))</f>
        <v>0.4</v>
      </c>
      <c r="Q129" s="102">
        <f>IF(Q$1="",0,SUMIFS(сценарии!Q:Q,сценарии!$E:$E,$E129,сценарии!$J:$J,$J129,сценарии!$M:$M,$P$122))</f>
        <v>0.4</v>
      </c>
      <c r="R129" s="102">
        <f>IF(R$1="",0,SUMIFS(сценарии!R:R,сценарии!$E:$E,$E129,сценарии!$J:$J,$J129,сценарии!$M:$M,$P$122))</f>
        <v>0.4</v>
      </c>
      <c r="S129" s="102">
        <f>IF(S$1="",0,SUMIFS(сценарии!S:S,сценарии!$E:$E,$E129,сценарии!$J:$J,$J129,сценарии!$M:$M,$P$122))</f>
        <v>0.4</v>
      </c>
      <c r="T129" s="102">
        <f>IF(T$1="",0,SUMIFS(сценарии!T:T,сценарии!$E:$E,$E129,сценарии!$J:$J,$J129,сценарии!$M:$M,$P$122))</f>
        <v>0.4</v>
      </c>
      <c r="U129" s="102">
        <f>IF(U$1="",0,SUMIFS(сценарии!U:U,сценарии!$E:$E,$E129,сценарии!$J:$J,$J129,сценарии!$M:$M,$P$122))</f>
        <v>0.4</v>
      </c>
      <c r="V129" s="102">
        <f>IF(V$1="",0,SUMIFS(сценарии!V:V,сценарии!$E:$E,$E129,сценарии!$J:$J,$J129,сценарии!$M:$M,$P$122))</f>
        <v>0.4</v>
      </c>
      <c r="W129" s="102">
        <f>IF(W$1="",0,SUMIFS(сценарии!W:W,сценарии!$E:$E,$E129,сценарии!$J:$J,$J129,сценарии!$M:$M,$P$122))</f>
        <v>0</v>
      </c>
      <c r="X129" s="102">
        <f>IF(X$1="",0,SUMIFS(сценарии!X:X,сценарии!$E:$E,$E129,сценарии!$J:$J,$J129,сценарии!$M:$M,$P$122))</f>
        <v>0</v>
      </c>
      <c r="Y129" s="102">
        <f>IF(Y$1="",0,SUMIFS(сценарии!Y:Y,сценарии!$E:$E,$E129,сценарии!$J:$J,$J129,сценарии!$M:$M,$P$122))</f>
        <v>0</v>
      </c>
      <c r="Z129" s="102">
        <f>IF(Z$1="",0,SUMIFS(сценарии!Z:Z,сценарии!$E:$E,$E129,сценарии!$J:$J,$J129,сценарии!$M:$M,$P$122))</f>
        <v>0</v>
      </c>
      <c r="AA129" s="102">
        <f>IF(AA$1="",0,SUMIFS(сценарии!AA:AA,сценарии!$E:$E,$E129,сценарии!$J:$J,$J129,сценарии!$M:$M,$P$122))</f>
        <v>0</v>
      </c>
      <c r="AB129" s="22"/>
    </row>
    <row r="130" spans="1:28" s="23" customFormat="1" ht="10.199999999999999" x14ac:dyDescent="0.2">
      <c r="A130" s="22"/>
      <c r="B130" s="22"/>
      <c r="C130" s="22"/>
      <c r="D130" s="22"/>
      <c r="E130" s="22" t="str">
        <f>E122</f>
        <v>конверсия в покупку одной услуги проката</v>
      </c>
      <c r="F130" s="22"/>
      <c r="G130" s="22" t="str">
        <f>IF($E130="","",INDEX(KPI!$G:$G,SUMIFS(KPI!$B:$B,KPI!$E:$E,$E130)))</f>
        <v>%</v>
      </c>
      <c r="H130" s="100">
        <f>структура!$V$19</f>
        <v>8</v>
      </c>
      <c r="I130" s="31"/>
      <c r="J130" s="98" t="str">
        <f>структура!$X$19</f>
        <v>авг</v>
      </c>
      <c r="K130" s="99"/>
      <c r="L130" s="22"/>
      <c r="M130" s="58"/>
      <c r="N130" s="22"/>
      <c r="O130" s="22"/>
      <c r="P130" s="102">
        <f>IF(P$1="",0,SUMIFS(сценарии!P:P,сценарии!$E:$E,$E130,сценарии!$J:$J,$J130,сценарии!$M:$M,$P$122))</f>
        <v>0.4</v>
      </c>
      <c r="Q130" s="102">
        <f>IF(Q$1="",0,SUMIFS(сценарии!Q:Q,сценарии!$E:$E,$E130,сценарии!$J:$J,$J130,сценарии!$M:$M,$P$122))</f>
        <v>0.4</v>
      </c>
      <c r="R130" s="102">
        <f>IF(R$1="",0,SUMIFS(сценарии!R:R,сценарии!$E:$E,$E130,сценарии!$J:$J,$J130,сценарии!$M:$M,$P$122))</f>
        <v>0.4</v>
      </c>
      <c r="S130" s="102">
        <f>IF(S$1="",0,SUMIFS(сценарии!S:S,сценарии!$E:$E,$E130,сценарии!$J:$J,$J130,сценарии!$M:$M,$P$122))</f>
        <v>0.4</v>
      </c>
      <c r="T130" s="102">
        <f>IF(T$1="",0,SUMIFS(сценарии!T:T,сценарии!$E:$E,$E130,сценарии!$J:$J,$J130,сценарии!$M:$M,$P$122))</f>
        <v>0.4</v>
      </c>
      <c r="U130" s="102">
        <f>IF(U$1="",0,SUMIFS(сценарии!U:U,сценарии!$E:$E,$E130,сценарии!$J:$J,$J130,сценарии!$M:$M,$P$122))</f>
        <v>0.4</v>
      </c>
      <c r="V130" s="102">
        <f>IF(V$1="",0,SUMIFS(сценарии!V:V,сценарии!$E:$E,$E130,сценарии!$J:$J,$J130,сценарии!$M:$M,$P$122))</f>
        <v>0.4</v>
      </c>
      <c r="W130" s="102">
        <f>IF(W$1="",0,SUMIFS(сценарии!W:W,сценарии!$E:$E,$E130,сценарии!$J:$J,$J130,сценарии!$M:$M,$P$122))</f>
        <v>0</v>
      </c>
      <c r="X130" s="102">
        <f>IF(X$1="",0,SUMIFS(сценарии!X:X,сценарии!$E:$E,$E130,сценарии!$J:$J,$J130,сценарии!$M:$M,$P$122))</f>
        <v>0</v>
      </c>
      <c r="Y130" s="102">
        <f>IF(Y$1="",0,SUMIFS(сценарии!Y:Y,сценарии!$E:$E,$E130,сценарии!$J:$J,$J130,сценарии!$M:$M,$P$122))</f>
        <v>0</v>
      </c>
      <c r="Z130" s="102">
        <f>IF(Z$1="",0,SUMIFS(сценарии!Z:Z,сценарии!$E:$E,$E130,сценарии!$J:$J,$J130,сценарии!$M:$M,$P$122))</f>
        <v>0</v>
      </c>
      <c r="AA130" s="102">
        <f>IF(AA$1="",0,SUMIFS(сценарии!AA:AA,сценарии!$E:$E,$E130,сценарии!$J:$J,$J130,сценарии!$M:$M,$P$122))</f>
        <v>0</v>
      </c>
      <c r="AB130" s="22"/>
    </row>
    <row r="131" spans="1:28" s="23" customFormat="1" ht="10.199999999999999" x14ac:dyDescent="0.2">
      <c r="A131" s="22"/>
      <c r="B131" s="22"/>
      <c r="C131" s="22"/>
      <c r="D131" s="22"/>
      <c r="E131" s="22" t="str">
        <f>E122</f>
        <v>конверсия в покупку одной услуги проката</v>
      </c>
      <c r="F131" s="22"/>
      <c r="G131" s="22" t="str">
        <f>IF($E131="","",INDEX(KPI!$G:$G,SUMIFS(KPI!$B:$B,KPI!$E:$E,$E131)))</f>
        <v>%</v>
      </c>
      <c r="H131" s="100">
        <f>структура!$V$20</f>
        <v>9</v>
      </c>
      <c r="I131" s="31"/>
      <c r="J131" s="98" t="str">
        <f>структура!$X$20</f>
        <v>сен</v>
      </c>
      <c r="K131" s="99"/>
      <c r="L131" s="22"/>
      <c r="M131" s="58"/>
      <c r="N131" s="22"/>
      <c r="O131" s="22"/>
      <c r="P131" s="102">
        <f>IF(P$1="",0,SUMIFS(сценарии!P:P,сценарии!$E:$E,$E131,сценарии!$J:$J,$J131,сценарии!$M:$M,$P$122))</f>
        <v>0.25</v>
      </c>
      <c r="Q131" s="102">
        <f>IF(Q$1="",0,SUMIFS(сценарии!Q:Q,сценарии!$E:$E,$E131,сценарии!$J:$J,$J131,сценарии!$M:$M,$P$122))</f>
        <v>0.25</v>
      </c>
      <c r="R131" s="102">
        <f>IF(R$1="",0,SUMIFS(сценарии!R:R,сценарии!$E:$E,$E131,сценарии!$J:$J,$J131,сценарии!$M:$M,$P$122))</f>
        <v>0.25</v>
      </c>
      <c r="S131" s="102">
        <f>IF(S$1="",0,SUMIFS(сценарии!S:S,сценарии!$E:$E,$E131,сценарии!$J:$J,$J131,сценарии!$M:$M,$P$122))</f>
        <v>0.25</v>
      </c>
      <c r="T131" s="102">
        <f>IF(T$1="",0,SUMIFS(сценарии!T:T,сценарии!$E:$E,$E131,сценарии!$J:$J,$J131,сценарии!$M:$M,$P$122))</f>
        <v>0.25</v>
      </c>
      <c r="U131" s="102">
        <f>IF(U$1="",0,SUMIFS(сценарии!U:U,сценарии!$E:$E,$E131,сценарии!$J:$J,$J131,сценарии!$M:$M,$P$122))</f>
        <v>0.25</v>
      </c>
      <c r="V131" s="102">
        <f>IF(V$1="",0,SUMIFS(сценарии!V:V,сценарии!$E:$E,$E131,сценарии!$J:$J,$J131,сценарии!$M:$M,$P$122))</f>
        <v>0.25</v>
      </c>
      <c r="W131" s="102">
        <f>IF(W$1="",0,SUMIFS(сценарии!W:W,сценарии!$E:$E,$E131,сценарии!$J:$J,$J131,сценарии!$M:$M,$P$122))</f>
        <v>0</v>
      </c>
      <c r="X131" s="102">
        <f>IF(X$1="",0,SUMIFS(сценарии!X:X,сценарии!$E:$E,$E131,сценарии!$J:$J,$J131,сценарии!$M:$M,$P$122))</f>
        <v>0</v>
      </c>
      <c r="Y131" s="102">
        <f>IF(Y$1="",0,SUMIFS(сценарии!Y:Y,сценарии!$E:$E,$E131,сценарии!$J:$J,$J131,сценарии!$M:$M,$P$122))</f>
        <v>0</v>
      </c>
      <c r="Z131" s="102">
        <f>IF(Z$1="",0,SUMIFS(сценарии!Z:Z,сценарии!$E:$E,$E131,сценарии!$J:$J,$J131,сценарии!$M:$M,$P$122))</f>
        <v>0</v>
      </c>
      <c r="AA131" s="102">
        <f>IF(AA$1="",0,SUMIFS(сценарии!AA:AA,сценарии!$E:$E,$E131,сценарии!$J:$J,$J131,сценарии!$M:$M,$P$122))</f>
        <v>0</v>
      </c>
      <c r="AB131" s="22"/>
    </row>
    <row r="132" spans="1:28" s="23" customFormat="1" ht="10.199999999999999" x14ac:dyDescent="0.2">
      <c r="A132" s="22"/>
      <c r="B132" s="22"/>
      <c r="C132" s="22"/>
      <c r="D132" s="22"/>
      <c r="E132" s="22" t="str">
        <f>E122</f>
        <v>конверсия в покупку одной услуги проката</v>
      </c>
      <c r="F132" s="22"/>
      <c r="G132" s="22" t="str">
        <f>IF($E132="","",INDEX(KPI!$G:$G,SUMIFS(KPI!$B:$B,KPI!$E:$E,$E132)))</f>
        <v>%</v>
      </c>
      <c r="H132" s="100">
        <f>структура!$V$21</f>
        <v>10</v>
      </c>
      <c r="I132" s="31"/>
      <c r="J132" s="98" t="str">
        <f>структура!$X$21</f>
        <v>окт</v>
      </c>
      <c r="K132" s="99"/>
      <c r="L132" s="22"/>
      <c r="M132" s="58"/>
      <c r="N132" s="22"/>
      <c r="O132" s="22"/>
      <c r="P132" s="102">
        <f>IF(P$1="",0,SUMIFS(сценарии!P:P,сценарии!$E:$E,$E132,сценарии!$J:$J,$J132,сценарии!$M:$M,$P$122))</f>
        <v>0.25</v>
      </c>
      <c r="Q132" s="102">
        <f>IF(Q$1="",0,SUMIFS(сценарии!Q:Q,сценарии!$E:$E,$E132,сценарии!$J:$J,$J132,сценарии!$M:$M,$P$122))</f>
        <v>0.25</v>
      </c>
      <c r="R132" s="102">
        <f>IF(R$1="",0,SUMIFS(сценарии!R:R,сценарии!$E:$E,$E132,сценарии!$J:$J,$J132,сценарии!$M:$M,$P$122))</f>
        <v>0.25</v>
      </c>
      <c r="S132" s="102">
        <f>IF(S$1="",0,SUMIFS(сценарии!S:S,сценарии!$E:$E,$E132,сценарии!$J:$J,$J132,сценарии!$M:$M,$P$122))</f>
        <v>0.25</v>
      </c>
      <c r="T132" s="102">
        <f>IF(T$1="",0,SUMIFS(сценарии!T:T,сценарии!$E:$E,$E132,сценарии!$J:$J,$J132,сценарии!$M:$M,$P$122))</f>
        <v>0.25</v>
      </c>
      <c r="U132" s="102">
        <f>IF(U$1="",0,SUMIFS(сценарии!U:U,сценарии!$E:$E,$E132,сценарии!$J:$J,$J132,сценарии!$M:$M,$P$122))</f>
        <v>0.25</v>
      </c>
      <c r="V132" s="102">
        <f>IF(V$1="",0,SUMIFS(сценарии!V:V,сценарии!$E:$E,$E132,сценарии!$J:$J,$J132,сценарии!$M:$M,$P$122))</f>
        <v>0.25</v>
      </c>
      <c r="W132" s="102">
        <f>IF(W$1="",0,SUMIFS(сценарии!W:W,сценарии!$E:$E,$E132,сценарии!$J:$J,$J132,сценарии!$M:$M,$P$122))</f>
        <v>0</v>
      </c>
      <c r="X132" s="102">
        <f>IF(X$1="",0,SUMIFS(сценарии!X:X,сценарии!$E:$E,$E132,сценарии!$J:$J,$J132,сценарии!$M:$M,$P$122))</f>
        <v>0</v>
      </c>
      <c r="Y132" s="102">
        <f>IF(Y$1="",0,SUMIFS(сценарии!Y:Y,сценарии!$E:$E,$E132,сценарии!$J:$J,$J132,сценарии!$M:$M,$P$122))</f>
        <v>0</v>
      </c>
      <c r="Z132" s="102">
        <f>IF(Z$1="",0,SUMIFS(сценарии!Z:Z,сценарии!$E:$E,$E132,сценарии!$J:$J,$J132,сценарии!$M:$M,$P$122))</f>
        <v>0</v>
      </c>
      <c r="AA132" s="102">
        <f>IF(AA$1="",0,SUMIFS(сценарии!AA:AA,сценарии!$E:$E,$E132,сценарии!$J:$J,$J132,сценарии!$M:$M,$P$122))</f>
        <v>0</v>
      </c>
      <c r="AB132" s="22"/>
    </row>
    <row r="133" spans="1:28" s="23" customFormat="1" ht="10.199999999999999" x14ac:dyDescent="0.2">
      <c r="A133" s="22"/>
      <c r="B133" s="22"/>
      <c r="C133" s="22"/>
      <c r="D133" s="22"/>
      <c r="E133" s="22" t="str">
        <f>E122</f>
        <v>конверсия в покупку одной услуги проката</v>
      </c>
      <c r="F133" s="22"/>
      <c r="G133" s="22" t="str">
        <f>IF($E133="","",INDEX(KPI!$G:$G,SUMIFS(KPI!$B:$B,KPI!$E:$E,$E133)))</f>
        <v>%</v>
      </c>
      <c r="H133" s="100">
        <f>структура!$V$22</f>
        <v>11</v>
      </c>
      <c r="I133" s="31"/>
      <c r="J133" s="98" t="str">
        <f>структура!$X$22</f>
        <v>ноя</v>
      </c>
      <c r="K133" s="99"/>
      <c r="L133" s="22"/>
      <c r="M133" s="58"/>
      <c r="N133" s="22"/>
      <c r="O133" s="22"/>
      <c r="P133" s="102">
        <f>IF(P$1="",0,SUMIFS(сценарии!P:P,сценарии!$E:$E,$E133,сценарии!$J:$J,$J133,сценарии!$M:$M,$P$122))</f>
        <v>0.2</v>
      </c>
      <c r="Q133" s="102">
        <f>IF(Q$1="",0,SUMIFS(сценарии!Q:Q,сценарии!$E:$E,$E133,сценарии!$J:$J,$J133,сценарии!$M:$M,$P$122))</f>
        <v>0.2</v>
      </c>
      <c r="R133" s="102">
        <f>IF(R$1="",0,SUMIFS(сценарии!R:R,сценарии!$E:$E,$E133,сценарии!$J:$J,$J133,сценарии!$M:$M,$P$122))</f>
        <v>0.2</v>
      </c>
      <c r="S133" s="102">
        <f>IF(S$1="",0,SUMIFS(сценарии!S:S,сценарии!$E:$E,$E133,сценарии!$J:$J,$J133,сценарии!$M:$M,$P$122))</f>
        <v>0.2</v>
      </c>
      <c r="T133" s="102">
        <f>IF(T$1="",0,SUMIFS(сценарии!T:T,сценарии!$E:$E,$E133,сценарии!$J:$J,$J133,сценарии!$M:$M,$P$122))</f>
        <v>0.2</v>
      </c>
      <c r="U133" s="102">
        <f>IF(U$1="",0,SUMIFS(сценарии!U:U,сценарии!$E:$E,$E133,сценарии!$J:$J,$J133,сценарии!$M:$M,$P$122))</f>
        <v>0.2</v>
      </c>
      <c r="V133" s="102">
        <f>IF(V$1="",0,SUMIFS(сценарии!V:V,сценарии!$E:$E,$E133,сценарии!$J:$J,$J133,сценарии!$M:$M,$P$122))</f>
        <v>0.2</v>
      </c>
      <c r="W133" s="102">
        <f>IF(W$1="",0,SUMIFS(сценарии!W:W,сценарии!$E:$E,$E133,сценарии!$J:$J,$J133,сценарии!$M:$M,$P$122))</f>
        <v>0</v>
      </c>
      <c r="X133" s="102">
        <f>IF(X$1="",0,SUMIFS(сценарии!X:X,сценарии!$E:$E,$E133,сценарии!$J:$J,$J133,сценарии!$M:$M,$P$122))</f>
        <v>0</v>
      </c>
      <c r="Y133" s="102">
        <f>IF(Y$1="",0,SUMIFS(сценарии!Y:Y,сценарии!$E:$E,$E133,сценарии!$J:$J,$J133,сценарии!$M:$M,$P$122))</f>
        <v>0</v>
      </c>
      <c r="Z133" s="102">
        <f>IF(Z$1="",0,SUMIFS(сценарии!Z:Z,сценарии!$E:$E,$E133,сценарии!$J:$J,$J133,сценарии!$M:$M,$P$122))</f>
        <v>0</v>
      </c>
      <c r="AA133" s="102">
        <f>IF(AA$1="",0,SUMIFS(сценарии!AA:AA,сценарии!$E:$E,$E133,сценарии!$J:$J,$J133,сценарии!$M:$M,$P$122))</f>
        <v>0</v>
      </c>
      <c r="AB133" s="22"/>
    </row>
    <row r="134" spans="1:28" s="23" customFormat="1" ht="10.199999999999999" x14ac:dyDescent="0.2">
      <c r="A134" s="22"/>
      <c r="B134" s="22"/>
      <c r="C134" s="22"/>
      <c r="D134" s="22"/>
      <c r="E134" s="22" t="str">
        <f>E122</f>
        <v>конверсия в покупку одной услуги проката</v>
      </c>
      <c r="F134" s="22"/>
      <c r="G134" s="22" t="str">
        <f>IF($E134="","",INDEX(KPI!$G:$G,SUMIFS(KPI!$B:$B,KPI!$E:$E,$E134)))</f>
        <v>%</v>
      </c>
      <c r="H134" s="100">
        <f>структура!$V$23</f>
        <v>12</v>
      </c>
      <c r="I134" s="31"/>
      <c r="J134" s="98" t="str">
        <f>структура!$X$23</f>
        <v>дек</v>
      </c>
      <c r="K134" s="99"/>
      <c r="L134" s="22"/>
      <c r="M134" s="58"/>
      <c r="N134" s="22"/>
      <c r="O134" s="22"/>
      <c r="P134" s="102">
        <f>IF(P$1="",0,SUMIFS(сценарии!P:P,сценарии!$E:$E,$E134,сценарии!$J:$J,$J134,сценарии!$M:$M,$P$122))</f>
        <v>0.3</v>
      </c>
      <c r="Q134" s="102">
        <f>IF(Q$1="",0,SUMIFS(сценарии!Q:Q,сценарии!$E:$E,$E134,сценарии!$J:$J,$J134,сценарии!$M:$M,$P$122))</f>
        <v>0.3</v>
      </c>
      <c r="R134" s="102">
        <f>IF(R$1="",0,SUMIFS(сценарии!R:R,сценарии!$E:$E,$E134,сценарии!$J:$J,$J134,сценарии!$M:$M,$P$122))</f>
        <v>0.3</v>
      </c>
      <c r="S134" s="102">
        <f>IF(S$1="",0,SUMIFS(сценарии!S:S,сценарии!$E:$E,$E134,сценарии!$J:$J,$J134,сценарии!$M:$M,$P$122))</f>
        <v>0.3</v>
      </c>
      <c r="T134" s="102">
        <f>IF(T$1="",0,SUMIFS(сценарии!T:T,сценарии!$E:$E,$E134,сценарии!$J:$J,$J134,сценарии!$M:$M,$P$122))</f>
        <v>0.3</v>
      </c>
      <c r="U134" s="102">
        <f>IF(U$1="",0,SUMIFS(сценарии!U:U,сценарии!$E:$E,$E134,сценарии!$J:$J,$J134,сценарии!$M:$M,$P$122))</f>
        <v>0.3</v>
      </c>
      <c r="V134" s="102">
        <f>IF(V$1="",0,SUMIFS(сценарии!V:V,сценарии!$E:$E,$E134,сценарии!$J:$J,$J134,сценарии!$M:$M,$P$122))</f>
        <v>0.3</v>
      </c>
      <c r="W134" s="102">
        <f>IF(W$1="",0,SUMIFS(сценарии!W:W,сценарии!$E:$E,$E134,сценарии!$J:$J,$J134,сценарии!$M:$M,$P$122))</f>
        <v>0</v>
      </c>
      <c r="X134" s="102">
        <f>IF(X$1="",0,SUMIFS(сценарии!X:X,сценарии!$E:$E,$E134,сценарии!$J:$J,$J134,сценарии!$M:$M,$P$122))</f>
        <v>0</v>
      </c>
      <c r="Y134" s="102">
        <f>IF(Y$1="",0,SUMIFS(сценарии!Y:Y,сценарии!$E:$E,$E134,сценарии!$J:$J,$J134,сценарии!$M:$M,$P$122))</f>
        <v>0</v>
      </c>
      <c r="Z134" s="102">
        <f>IF(Z$1="",0,SUMIFS(сценарии!Z:Z,сценарии!$E:$E,$E134,сценарии!$J:$J,$J134,сценарии!$M:$M,$P$122))</f>
        <v>0</v>
      </c>
      <c r="AA134" s="102">
        <f>IF(AA$1="",0,SUMIFS(сценарии!AA:AA,сценарии!$E:$E,$E134,сценарии!$J:$J,$J134,сценарии!$M:$M,$P$122))</f>
        <v>0</v>
      </c>
      <c r="AB134" s="22"/>
    </row>
    <row r="135" spans="1:28" ht="3.9" customHeight="1" x14ac:dyDescent="0.25">
      <c r="A135" s="2"/>
      <c r="B135" s="2"/>
      <c r="C135" s="2"/>
      <c r="D135" s="2"/>
      <c r="E135" s="21"/>
      <c r="F135" s="2"/>
      <c r="G135" s="21"/>
      <c r="H135" s="2"/>
      <c r="I135" s="28"/>
      <c r="J135" s="21"/>
      <c r="K135" s="28"/>
      <c r="L135" s="2"/>
      <c r="M135" s="52"/>
      <c r="N135" s="2"/>
      <c r="O135" s="2"/>
      <c r="P135" s="36"/>
      <c r="Q135" s="36"/>
      <c r="R135" s="36"/>
      <c r="S135" s="36"/>
      <c r="T135" s="36"/>
      <c r="U135" s="36"/>
      <c r="V135" s="36"/>
      <c r="W135" s="36"/>
      <c r="X135" s="36"/>
      <c r="Y135" s="36"/>
      <c r="Z135" s="36"/>
      <c r="AA135" s="36"/>
      <c r="AB135" s="2"/>
    </row>
    <row r="136" spans="1:28" ht="8.1" customHeight="1" x14ac:dyDescent="0.25">
      <c r="A136" s="2"/>
      <c r="B136" s="2"/>
      <c r="C136" s="2"/>
      <c r="D136" s="2"/>
      <c r="E136" s="2"/>
      <c r="F136" s="2"/>
      <c r="G136" s="2"/>
      <c r="H136" s="2"/>
      <c r="I136" s="28"/>
      <c r="J136" s="2"/>
      <c r="K136" s="28"/>
      <c r="L136" s="2"/>
      <c r="M136" s="52"/>
      <c r="N136" s="2"/>
      <c r="O136" s="2"/>
      <c r="P136" s="36"/>
      <c r="Q136" s="36"/>
      <c r="R136" s="36"/>
      <c r="S136" s="36"/>
      <c r="T136" s="36"/>
      <c r="U136" s="36"/>
      <c r="V136" s="36"/>
      <c r="W136" s="36"/>
      <c r="X136" s="36"/>
      <c r="Y136" s="36"/>
      <c r="Z136" s="36"/>
      <c r="AA136" s="36"/>
      <c r="AB136" s="2"/>
    </row>
    <row r="137" spans="1:28" s="5" customFormat="1" x14ac:dyDescent="0.25">
      <c r="A137" s="3"/>
      <c r="B137" s="3"/>
      <c r="C137" s="3"/>
      <c r="D137" s="108"/>
      <c r="E137" s="3" t="str">
        <f>KPI!$E$42</f>
        <v>доход от продажи услуг</v>
      </c>
      <c r="F137" s="3"/>
      <c r="G137" s="3" t="str">
        <f>IF($E137="","",INDEX(KPI!$G:$G,SUMIFS(KPI!$B:$B,KPI!$E:$E,$E137)))</f>
        <v>тыс.руб.</v>
      </c>
      <c r="H137" s="3"/>
      <c r="I137" s="28"/>
      <c r="J137" s="44"/>
      <c r="K137" s="28"/>
      <c r="L137" s="3"/>
      <c r="M137" s="55">
        <f>SUM($O137:$AB137)</f>
        <v>68549.55</v>
      </c>
      <c r="N137" s="3"/>
      <c r="O137" s="3"/>
      <c r="P137" s="46">
        <f>IF(P$1="",0,IF(P$1=0,SUMIFS(P138:P149,H138:H149,"&gt;="&amp;MONTH($J$13)),SUM(P138:P149)))</f>
        <v>7031.835</v>
      </c>
      <c r="Q137" s="46">
        <f t="shared" ref="Q137" si="14">IF(Q$1="",0,SUM(Q138:Q149))</f>
        <v>7665.2849999999999</v>
      </c>
      <c r="R137" s="46">
        <f t="shared" ref="R137:AA137" si="15">IF(R$1="",0,SUM(R138:R149))</f>
        <v>8618.7000000000007</v>
      </c>
      <c r="S137" s="46">
        <f t="shared" si="15"/>
        <v>9248.91</v>
      </c>
      <c r="T137" s="46">
        <f t="shared" si="15"/>
        <v>10199.084999999999</v>
      </c>
      <c r="U137" s="46">
        <f t="shared" si="15"/>
        <v>11782.71</v>
      </c>
      <c r="V137" s="46">
        <f t="shared" si="15"/>
        <v>14003.024999999998</v>
      </c>
      <c r="W137" s="46">
        <f t="shared" si="15"/>
        <v>0</v>
      </c>
      <c r="X137" s="46">
        <f t="shared" si="15"/>
        <v>0</v>
      </c>
      <c r="Y137" s="46">
        <f t="shared" si="15"/>
        <v>0</v>
      </c>
      <c r="Z137" s="46">
        <f t="shared" si="15"/>
        <v>0</v>
      </c>
      <c r="AA137" s="46">
        <f t="shared" si="15"/>
        <v>0</v>
      </c>
      <c r="AB137" s="3"/>
    </row>
    <row r="138" spans="1:28" s="23" customFormat="1" ht="10.199999999999999" x14ac:dyDescent="0.2">
      <c r="A138" s="22"/>
      <c r="B138" s="22"/>
      <c r="C138" s="22"/>
      <c r="D138" s="22"/>
      <c r="E138" s="22" t="str">
        <f>E137</f>
        <v>доход от продажи услуг</v>
      </c>
      <c r="F138" s="22"/>
      <c r="G138" s="22" t="str">
        <f>IF($E138="","",INDEX(KPI!$G:$G,SUMIFS(KPI!$B:$B,KPI!$E:$E,$E138)))</f>
        <v>тыс.руб.</v>
      </c>
      <c r="H138" s="100">
        <f>структура!$V$12</f>
        <v>1</v>
      </c>
      <c r="I138" s="31"/>
      <c r="J138" s="98" t="str">
        <f>структура!$X$12</f>
        <v>янв</v>
      </c>
      <c r="K138" s="99"/>
      <c r="L138" s="22"/>
      <c r="M138" s="58"/>
      <c r="N138" s="22"/>
      <c r="O138" s="22"/>
      <c r="P138" s="101">
        <f>IF(P$1="",0,операции!P198+(операции!P90*(1+$J$104)+операции!P$136*операции!$M138*операции!$M153)*P123*операции!$M123/1000)</f>
        <v>248.625</v>
      </c>
      <c r="Q138" s="101">
        <f>IF(Q$1="",0,операции!Q198+(операции!Q90*(1+$J$104)+операции!Q$136*операции!$M138*операции!$M153)*Q123*операции!$M123/1000)</f>
        <v>267.375</v>
      </c>
      <c r="R138" s="101">
        <f>IF(R$1="",0,операции!R198+(операции!R90*(1+$J$104)+операции!R$136*операции!$M138*операции!$M153)*R123*операции!$M123/1000)</f>
        <v>295.5</v>
      </c>
      <c r="S138" s="101">
        <f>IF(S$1="",0,операции!S198+(операции!S90*(1+$J$104)+операции!S$136*операции!$M138*операции!$M153)*S123*операции!$M123/1000)</f>
        <v>314.25</v>
      </c>
      <c r="T138" s="101">
        <f>IF(T$1="",0,операции!T198+(операции!T90*(1+$J$104)+операции!T$136*операции!$M138*операции!$M153)*T123*операции!$M123/1000)</f>
        <v>342.375</v>
      </c>
      <c r="U138" s="101">
        <f>IF(U$1="",0,операции!U198+(операции!U90*(1+$J$104)+операции!U$136*операции!$M138*операции!$M153)*U123*операции!$M123/1000)</f>
        <v>389.25</v>
      </c>
      <c r="V138" s="101">
        <f>IF(V$1="",0,операции!V198+(операции!V90*(1+$J$104)+операции!V$136*операции!$M138*операции!$M153)*V123*операции!$M123/1000)</f>
        <v>454.875</v>
      </c>
      <c r="W138" s="101">
        <f>IF(W$1="",0,операции!W198+(операции!W90*(1+$J$104)+операции!W$136*операции!$M138*операции!$M153)*W123*операции!$M123/1000)</f>
        <v>0</v>
      </c>
      <c r="X138" s="101">
        <f>IF(X$1="",0,операции!X198+(операции!X90*(1+$J$104)+операции!X$136*операции!$M138*операции!$M153)*X123*операции!$M123/1000)</f>
        <v>0</v>
      </c>
      <c r="Y138" s="101">
        <f>IF(Y$1="",0,операции!Y198+(операции!Y90*(1+$J$104)+операции!Y$136*операции!$M138*операции!$M153)*Y123*операции!$M123/1000)</f>
        <v>0</v>
      </c>
      <c r="Z138" s="101">
        <f>IF(Z$1="",0,операции!Z198+(операции!Z90*(1+$J$104)+операции!Z$136*операции!$M138*операции!$M153)*Z123*операции!$M123/1000)</f>
        <v>0</v>
      </c>
      <c r="AA138" s="101">
        <f>IF(AA$1="",0,операции!AA198+(операции!AA90*(1+$J$104)+операции!AA$136*операции!$M138*операции!$M153)*AA123*операции!$M123/1000)</f>
        <v>0</v>
      </c>
      <c r="AB138" s="22"/>
    </row>
    <row r="139" spans="1:28" s="23" customFormat="1" ht="10.199999999999999" x14ac:dyDescent="0.2">
      <c r="A139" s="22"/>
      <c r="B139" s="22"/>
      <c r="C139" s="22"/>
      <c r="D139" s="22"/>
      <c r="E139" s="22" t="str">
        <f>E137</f>
        <v>доход от продажи услуг</v>
      </c>
      <c r="F139" s="22"/>
      <c r="G139" s="22" t="str">
        <f>IF($E139="","",INDEX(KPI!$G:$G,SUMIFS(KPI!$B:$B,KPI!$E:$E,$E139)))</f>
        <v>тыс.руб.</v>
      </c>
      <c r="H139" s="100">
        <f>структура!$V$13</f>
        <v>2</v>
      </c>
      <c r="I139" s="31"/>
      <c r="J139" s="98" t="str">
        <f>структура!$X$13</f>
        <v>фев</v>
      </c>
      <c r="K139" s="99"/>
      <c r="L139" s="22"/>
      <c r="M139" s="58"/>
      <c r="N139" s="22"/>
      <c r="O139" s="22"/>
      <c r="P139" s="101">
        <f>IF(P$1="",0,операции!P199+(операции!P91*(1+$J$104)+операции!P$136*операции!$M139*операции!$M154)*P124*операции!$M124/1000)</f>
        <v>263.76</v>
      </c>
      <c r="Q139" s="101">
        <f>IF(Q$1="",0,операции!Q199+(операции!Q91*(1+$J$104)+операции!Q$136*операции!$M139*операции!$M154)*Q124*операции!$M124/1000)</f>
        <v>288.56</v>
      </c>
      <c r="R139" s="101">
        <f>IF(R$1="",0,операции!R199+(операции!R91*(1+$J$104)+операции!R$136*операции!$M139*операции!$M154)*R124*операции!$M124/1000)</f>
        <v>329</v>
      </c>
      <c r="S139" s="101">
        <f>IF(S$1="",0,операции!S199+(операции!S91*(1+$J$104)+операции!S$136*операции!$M139*операции!$M154)*S124*операции!$M124/1000)</f>
        <v>350.56</v>
      </c>
      <c r="T139" s="101">
        <f>IF(T$1="",0,операции!T199+(операции!T91*(1+$J$104)+операции!T$136*операции!$M139*операции!$M154)*T124*операции!$M124/1000)</f>
        <v>387.76</v>
      </c>
      <c r="U139" s="101">
        <f>IF(U$1="",0,операции!U199+(операции!U91*(1+$J$104)+операции!U$136*операции!$M139*операции!$M154)*U124*операции!$M124/1000)</f>
        <v>449.76</v>
      </c>
      <c r="V139" s="101">
        <f>IF(V$1="",0,операции!V199+(операции!V91*(1+$J$104)+операции!V$136*операции!$M139*операции!$M154)*V124*операции!$M124/1000)</f>
        <v>539.79999999999995</v>
      </c>
      <c r="W139" s="101">
        <f>IF(W$1="",0,операции!W199+(операции!W91*(1+$J$104)+операции!W$136*операции!$M139*операции!$M154)*W124*операции!$M124/1000)</f>
        <v>0</v>
      </c>
      <c r="X139" s="101">
        <f>IF(X$1="",0,операции!X199+(операции!X91*(1+$J$104)+операции!X$136*операции!$M139*операции!$M154)*X124*операции!$M124/1000)</f>
        <v>0</v>
      </c>
      <c r="Y139" s="101">
        <f>IF(Y$1="",0,операции!Y199+(операции!Y91*(1+$J$104)+операции!Y$136*операции!$M139*операции!$M154)*Y124*операции!$M124/1000)</f>
        <v>0</v>
      </c>
      <c r="Z139" s="101">
        <f>IF(Z$1="",0,операции!Z199+(операции!Z91*(1+$J$104)+операции!Z$136*операции!$M139*операции!$M154)*Z124*операции!$M124/1000)</f>
        <v>0</v>
      </c>
      <c r="AA139" s="101">
        <f>IF(AA$1="",0,операции!AA199+(операции!AA91*(1+$J$104)+операции!AA$136*операции!$M139*операции!$M154)*AA124*операции!$M124/1000)</f>
        <v>0</v>
      </c>
      <c r="AB139" s="22"/>
    </row>
    <row r="140" spans="1:28" s="23" customFormat="1" ht="10.199999999999999" x14ac:dyDescent="0.2">
      <c r="A140" s="22"/>
      <c r="B140" s="22"/>
      <c r="C140" s="22"/>
      <c r="D140" s="22"/>
      <c r="E140" s="22" t="str">
        <f>E137</f>
        <v>доход от продажи услуг</v>
      </c>
      <c r="F140" s="22"/>
      <c r="G140" s="22" t="str">
        <f>IF($E140="","",INDEX(KPI!$G:$G,SUMIFS(KPI!$B:$B,KPI!$E:$E,$E140)))</f>
        <v>тыс.руб.</v>
      </c>
      <c r="H140" s="100">
        <f>структура!$V$14</f>
        <v>3</v>
      </c>
      <c r="I140" s="31"/>
      <c r="J140" s="98" t="str">
        <f>структура!$X$14</f>
        <v>мар</v>
      </c>
      <c r="K140" s="99"/>
      <c r="L140" s="22"/>
      <c r="M140" s="58"/>
      <c r="N140" s="22"/>
      <c r="O140" s="22"/>
      <c r="P140" s="101">
        <f>IF(P$1="",0,операции!P200+(операции!P92*(1+$J$104)+операции!P$136*операции!$M140*операции!$M155)*P125*операции!$M125/1000)</f>
        <v>340.5</v>
      </c>
      <c r="Q140" s="101">
        <f>IF(Q$1="",0,операции!Q200+(операции!Q92*(1+$J$104)+операции!Q$136*операции!$M140*операции!$M155)*Q125*операции!$M125/1000)</f>
        <v>371.5</v>
      </c>
      <c r="R140" s="101">
        <f>IF(R$1="",0,операции!R200+(операции!R92*(1+$J$104)+операции!R$136*операции!$M140*операции!$M155)*R125*операции!$M125/1000)</f>
        <v>418</v>
      </c>
      <c r="S140" s="101">
        <f>IF(S$1="",0,операции!S200+(операции!S92*(1+$J$104)+операции!S$136*операции!$M140*операции!$M155)*S125*операции!$M125/1000)</f>
        <v>449</v>
      </c>
      <c r="T140" s="101">
        <f>IF(T$1="",0,операции!T200+(операции!T92*(1+$J$104)+операции!T$136*операции!$M140*операции!$M155)*T125*операции!$M125/1000)</f>
        <v>495.5</v>
      </c>
      <c r="U140" s="101">
        <f>IF(U$1="",0,операции!U200+(операции!U92*(1+$J$104)+операции!U$136*операции!$M140*операции!$M155)*U125*операции!$M125/1000)</f>
        <v>573</v>
      </c>
      <c r="V140" s="101">
        <f>IF(V$1="",0,операции!V200+(операции!V92*(1+$J$104)+операции!V$136*операции!$M140*операции!$M155)*V125*операции!$M125/1000)</f>
        <v>681.5</v>
      </c>
      <c r="W140" s="101">
        <f>IF(W$1="",0,операции!W200+(операции!W92*(1+$J$104)+операции!W$136*операции!$M140*операции!$M155)*W125*операции!$M125/1000)</f>
        <v>0</v>
      </c>
      <c r="X140" s="101">
        <f>IF(X$1="",0,операции!X200+(операции!X92*(1+$J$104)+операции!X$136*операции!$M140*операции!$M155)*X125*операции!$M125/1000)</f>
        <v>0</v>
      </c>
      <c r="Y140" s="101">
        <f>IF(Y$1="",0,операции!Y200+(операции!Y92*(1+$J$104)+операции!Y$136*операции!$M140*операции!$M155)*Y125*операции!$M125/1000)</f>
        <v>0</v>
      </c>
      <c r="Z140" s="101">
        <f>IF(Z$1="",0,операции!Z200+(операции!Z92*(1+$J$104)+операции!Z$136*операции!$M140*операции!$M155)*Z125*операции!$M125/1000)</f>
        <v>0</v>
      </c>
      <c r="AA140" s="101">
        <f>IF(AA$1="",0,операции!AA200+(операции!AA92*(1+$J$104)+операции!AA$136*операции!$M140*операции!$M155)*AA125*операции!$M125/1000)</f>
        <v>0</v>
      </c>
      <c r="AB140" s="22"/>
    </row>
    <row r="141" spans="1:28" s="23" customFormat="1" ht="10.199999999999999" x14ac:dyDescent="0.2">
      <c r="A141" s="22"/>
      <c r="B141" s="22"/>
      <c r="C141" s="22"/>
      <c r="D141" s="22"/>
      <c r="E141" s="22" t="str">
        <f>E137</f>
        <v>доход от продажи услуг</v>
      </c>
      <c r="F141" s="22"/>
      <c r="G141" s="22" t="str">
        <f>IF($E141="","",INDEX(KPI!$G:$G,SUMIFS(KPI!$B:$B,KPI!$E:$E,$E141)))</f>
        <v>тыс.руб.</v>
      </c>
      <c r="H141" s="100">
        <f>структура!$V$15</f>
        <v>4</v>
      </c>
      <c r="I141" s="31"/>
      <c r="J141" s="98" t="str">
        <f>структура!$X$15</f>
        <v>апр</v>
      </c>
      <c r="K141" s="99"/>
      <c r="L141" s="22"/>
      <c r="M141" s="58"/>
      <c r="N141" s="22"/>
      <c r="O141" s="22"/>
      <c r="P141" s="101">
        <f>IF(P$1="",0,операции!P201+(операции!P93*(1+$J$104)+операции!P$136*операции!$M141*операции!$M156)*P126*операции!$M126/1000)</f>
        <v>358.85999999999996</v>
      </c>
      <c r="Q141" s="101">
        <f>IF(Q$1="",0,операции!Q201+(операции!Q93*(1+$J$104)+операции!Q$136*операции!$M141*операции!$M156)*Q126*операции!$M126/1000)</f>
        <v>389.85999999999996</v>
      </c>
      <c r="R141" s="101">
        <f>IF(R$1="",0,операции!R201+(операции!R93*(1+$J$104)+операции!R$136*операции!$M141*операции!$M156)*R126*операции!$M126/1000)</f>
        <v>436.35999999999996</v>
      </c>
      <c r="S141" s="101">
        <f>IF(S$1="",0,операции!S201+(операции!S93*(1+$J$104)+операции!S$136*операции!$M141*операции!$M156)*S126*операции!$M126/1000)</f>
        <v>467.35999999999996</v>
      </c>
      <c r="T141" s="101">
        <f>IF(T$1="",0,операции!T201+(операции!T93*(1+$J$104)+операции!T$136*операции!$M141*операции!$M156)*T126*операции!$M126/1000)</f>
        <v>513.8599999999999</v>
      </c>
      <c r="U141" s="101">
        <f>IF(U$1="",0,операции!U201+(операции!U93*(1+$J$104)+операции!U$136*операции!$M141*операции!$M156)*U126*операции!$M126/1000)</f>
        <v>591.3599999999999</v>
      </c>
      <c r="V141" s="101">
        <f>IF(V$1="",0,операции!V201+(операции!V93*(1+$J$104)+операции!V$136*операции!$M141*операции!$M156)*V126*операции!$M126/1000)</f>
        <v>699.8599999999999</v>
      </c>
      <c r="W141" s="101">
        <f>IF(W$1="",0,операции!W201+(операции!W93*(1+$J$104)+операции!W$136*операции!$M141*операции!$M156)*W126*операции!$M126/1000)</f>
        <v>0</v>
      </c>
      <c r="X141" s="101">
        <f>IF(X$1="",0,операции!X201+(операции!X93*(1+$J$104)+операции!X$136*операции!$M141*операции!$M156)*X126*операции!$M126/1000)</f>
        <v>0</v>
      </c>
      <c r="Y141" s="101">
        <f>IF(Y$1="",0,операции!Y201+(операции!Y93*(1+$J$104)+операции!Y$136*операции!$M141*операции!$M156)*Y126*операции!$M126/1000)</f>
        <v>0</v>
      </c>
      <c r="Z141" s="101">
        <f>IF(Z$1="",0,операции!Z201+(операции!Z93*(1+$J$104)+операции!Z$136*операции!$M141*операции!$M156)*Z126*операции!$M126/1000)</f>
        <v>0</v>
      </c>
      <c r="AA141" s="101">
        <f>IF(AA$1="",0,операции!AA201+(операции!AA93*(1+$J$104)+операции!AA$136*операции!$M141*операции!$M156)*AA126*операции!$M126/1000)</f>
        <v>0</v>
      </c>
      <c r="AB141" s="22"/>
    </row>
    <row r="142" spans="1:28" s="23" customFormat="1" ht="10.199999999999999" x14ac:dyDescent="0.2">
      <c r="A142" s="22"/>
      <c r="B142" s="22"/>
      <c r="C142" s="22"/>
      <c r="D142" s="22"/>
      <c r="E142" s="22" t="str">
        <f>E137</f>
        <v>доход от продажи услуг</v>
      </c>
      <c r="F142" s="22"/>
      <c r="G142" s="22" t="str">
        <f>IF($E142="","",INDEX(KPI!$G:$G,SUMIFS(KPI!$B:$B,KPI!$E:$E,$E142)))</f>
        <v>тыс.руб.</v>
      </c>
      <c r="H142" s="100">
        <f>структура!$V$16</f>
        <v>5</v>
      </c>
      <c r="I142" s="31"/>
      <c r="J142" s="98" t="str">
        <f>структура!$X$16</f>
        <v>май</v>
      </c>
      <c r="K142" s="99"/>
      <c r="L142" s="22"/>
      <c r="M142" s="58"/>
      <c r="N142" s="22"/>
      <c r="O142" s="22"/>
      <c r="P142" s="101">
        <f>IF(P$1="",0,операции!P202+(операции!P94*(1+$J$104)+операции!P$136*операции!$M142*операции!$M157)*P127*операции!$M127/1000)</f>
        <v>883.2</v>
      </c>
      <c r="Q142" s="101">
        <f>IF(Q$1="",0,операции!Q202+(операции!Q94*(1+$J$104)+операции!Q$136*операции!$M142*операции!$M157)*Q127*операции!$M127/1000)</f>
        <v>966.40000000000009</v>
      </c>
      <c r="R142" s="101">
        <f>IF(R$1="",0,операции!R202+(операции!R94*(1+$J$104)+операции!R$136*операции!$M142*операции!$M157)*R127*операции!$M127/1000)</f>
        <v>1091.2</v>
      </c>
      <c r="S142" s="101">
        <f>IF(S$1="",0,операции!S202+(операции!S94*(1+$J$104)+операции!S$136*операции!$M142*операции!$M157)*S127*операции!$M127/1000)</f>
        <v>1174.4000000000001</v>
      </c>
      <c r="T142" s="101">
        <f>IF(T$1="",0,операции!T202+(операции!T94*(1+$J$104)+операции!T$136*операции!$M142*операции!$M157)*T127*операции!$M127/1000)</f>
        <v>1299.2</v>
      </c>
      <c r="U142" s="101">
        <f>IF(U$1="",0,операции!U202+(операции!U94*(1+$J$104)+операции!U$136*операции!$M142*операции!$M157)*U127*операции!$M127/1000)</f>
        <v>1507.2</v>
      </c>
      <c r="V142" s="101">
        <f>IF(V$1="",0,операции!V202+(операции!V94*(1+$J$104)+операции!V$136*операции!$M142*операции!$M157)*V127*операции!$M127/1000)</f>
        <v>1798.4</v>
      </c>
      <c r="W142" s="101">
        <f>IF(W$1="",0,операции!W202+(операции!W94*(1+$J$104)+операции!W$136*операции!$M142*операции!$M157)*W127*операции!$M127/1000)</f>
        <v>0</v>
      </c>
      <c r="X142" s="101">
        <f>IF(X$1="",0,операции!X202+(операции!X94*(1+$J$104)+операции!X$136*операции!$M142*операции!$M157)*X127*операции!$M127/1000)</f>
        <v>0</v>
      </c>
      <c r="Y142" s="101">
        <f>IF(Y$1="",0,операции!Y202+(операции!Y94*(1+$J$104)+операции!Y$136*операции!$M142*операции!$M157)*Y127*операции!$M127/1000)</f>
        <v>0</v>
      </c>
      <c r="Z142" s="101">
        <f>IF(Z$1="",0,операции!Z202+(операции!Z94*(1+$J$104)+операции!Z$136*операции!$M142*операции!$M157)*Z127*операции!$M127/1000)</f>
        <v>0</v>
      </c>
      <c r="AA142" s="101">
        <f>IF(AA$1="",0,операции!AA202+(операции!AA94*(1+$J$104)+операции!AA$136*операции!$M142*операции!$M157)*AA127*операции!$M127/1000)</f>
        <v>0</v>
      </c>
      <c r="AB142" s="22"/>
    </row>
    <row r="143" spans="1:28" s="23" customFormat="1" ht="10.199999999999999" x14ac:dyDescent="0.2">
      <c r="A143" s="22"/>
      <c r="B143" s="22"/>
      <c r="C143" s="22"/>
      <c r="D143" s="22"/>
      <c r="E143" s="22" t="str">
        <f>E137</f>
        <v>доход от продажи услуг</v>
      </c>
      <c r="F143" s="22"/>
      <c r="G143" s="22" t="str">
        <f>IF($E143="","",INDEX(KPI!$G:$G,SUMIFS(KPI!$B:$B,KPI!$E:$E,$E143)))</f>
        <v>тыс.руб.</v>
      </c>
      <c r="H143" s="100">
        <f>структура!$V$17</f>
        <v>6</v>
      </c>
      <c r="I143" s="31"/>
      <c r="J143" s="98" t="str">
        <f>структура!$X$17</f>
        <v>июн</v>
      </c>
      <c r="K143" s="99"/>
      <c r="L143" s="22"/>
      <c r="M143" s="58"/>
      <c r="N143" s="22"/>
      <c r="O143" s="22"/>
      <c r="P143" s="101">
        <f>IF(P$1="",0,операции!P203+(операции!P95*(1+$J$104)+операции!P$136*операции!$M143*операции!$M158)*P128*операции!$M128/1000)</f>
        <v>1296.96</v>
      </c>
      <c r="Q143" s="101">
        <f>IF(Q$1="",0,операции!Q203+(операции!Q95*(1+$J$104)+операции!Q$136*операции!$M143*операции!$M158)*Q128*операции!$M128/1000)</f>
        <v>1424.96</v>
      </c>
      <c r="R143" s="101">
        <f>IF(R$1="",0,операции!R203+(операции!R95*(1+$J$104)+операции!R$136*операции!$M143*операции!$M158)*R128*операции!$M128/1000)</f>
        <v>1616.96</v>
      </c>
      <c r="S143" s="101">
        <f>IF(S$1="",0,операции!S203+(операции!S95*(1+$J$104)+операции!S$136*операции!$M143*операции!$M158)*S128*операции!$M128/1000)</f>
        <v>1744.96</v>
      </c>
      <c r="T143" s="101">
        <f>IF(T$1="",0,операции!T203+(операции!T95*(1+$J$104)+операции!T$136*операции!$M143*операции!$M158)*T128*операции!$M128/1000)</f>
        <v>1936.96</v>
      </c>
      <c r="U143" s="101">
        <f>IF(U$1="",0,операции!U203+(операции!U95*(1+$J$104)+операции!U$136*операции!$M143*операции!$M158)*U128*операции!$M128/1000)</f>
        <v>2256.96</v>
      </c>
      <c r="V143" s="101">
        <f>IF(V$1="",0,операции!V203+(операции!V95*(1+$J$104)+операции!V$136*операции!$M143*операции!$M158)*V128*операции!$M128/1000)</f>
        <v>2704.96</v>
      </c>
      <c r="W143" s="101">
        <f>IF(W$1="",0,операции!W203+(операции!W95*(1+$J$104)+операции!W$136*операции!$M143*операции!$M158)*W128*операции!$M128/1000)</f>
        <v>0</v>
      </c>
      <c r="X143" s="101">
        <f>IF(X$1="",0,операции!X203+(операции!X95*(1+$J$104)+операции!X$136*операции!$M143*операции!$M158)*X128*операции!$M128/1000)</f>
        <v>0</v>
      </c>
      <c r="Y143" s="101">
        <f>IF(Y$1="",0,операции!Y203+(операции!Y95*(1+$J$104)+операции!Y$136*операции!$M143*операции!$M158)*Y128*операции!$M128/1000)</f>
        <v>0</v>
      </c>
      <c r="Z143" s="101">
        <f>IF(Z$1="",0,операции!Z203+(операции!Z95*(1+$J$104)+операции!Z$136*операции!$M143*операции!$M158)*Z128*операции!$M128/1000)</f>
        <v>0</v>
      </c>
      <c r="AA143" s="101">
        <f>IF(AA$1="",0,операции!AA203+(операции!AA95*(1+$J$104)+операции!AA$136*операции!$M143*операции!$M158)*AA128*операции!$M128/1000)</f>
        <v>0</v>
      </c>
      <c r="AB143" s="22"/>
    </row>
    <row r="144" spans="1:28" s="23" customFormat="1" ht="10.199999999999999" x14ac:dyDescent="0.2">
      <c r="A144" s="22"/>
      <c r="B144" s="22"/>
      <c r="C144" s="22"/>
      <c r="D144" s="22"/>
      <c r="E144" s="22" t="str">
        <f>E137</f>
        <v>доход от продажи услуг</v>
      </c>
      <c r="F144" s="22"/>
      <c r="G144" s="22" t="str">
        <f>IF($E144="","",INDEX(KPI!$G:$G,SUMIFS(KPI!$B:$B,KPI!$E:$E,$E144)))</f>
        <v>тыс.руб.</v>
      </c>
      <c r="H144" s="100">
        <f>структура!$V$18</f>
        <v>7</v>
      </c>
      <c r="I144" s="31"/>
      <c r="J144" s="98" t="str">
        <f>структура!$X$18</f>
        <v>июл</v>
      </c>
      <c r="K144" s="99"/>
      <c r="L144" s="22"/>
      <c r="M144" s="58"/>
      <c r="N144" s="22"/>
      <c r="O144" s="22"/>
      <c r="P144" s="101">
        <f>IF(P$1="",0,операции!P204+(операции!P96*(1+$J$104)+операции!P$136*операции!$M144*операции!$M159)*P129*операции!$M129/1000)</f>
        <v>1067.76</v>
      </c>
      <c r="Q144" s="101">
        <f>IF(Q$1="",0,операции!Q204+(операции!Q96*(1+$J$104)+операции!Q$136*операции!$M144*операции!$M159)*Q129*операции!$M129/1000)</f>
        <v>1163.76</v>
      </c>
      <c r="R144" s="101">
        <f>IF(R$1="",0,операции!R204+(операции!R96*(1+$J$104)+операции!R$136*операции!$M144*операции!$M159)*R129*операции!$M129/1000)</f>
        <v>1307.76</v>
      </c>
      <c r="S144" s="101">
        <f>IF(S$1="",0,операции!S204+(операции!S96*(1+$J$104)+операции!S$136*операции!$M144*операции!$M159)*S129*операции!$M129/1000)</f>
        <v>1403.76</v>
      </c>
      <c r="T144" s="101">
        <f>IF(T$1="",0,операции!T204+(операции!T96*(1+$J$104)+операции!T$136*операции!$M144*операции!$M159)*T129*операции!$M129/1000)</f>
        <v>1547.76</v>
      </c>
      <c r="U144" s="101">
        <f>IF(U$1="",0,операции!U204+(операции!U96*(1+$J$104)+операции!U$136*операции!$M144*операции!$M159)*U129*операции!$M129/1000)</f>
        <v>1787.76</v>
      </c>
      <c r="V144" s="101">
        <f>IF(V$1="",0,операции!V204+(операции!V96*(1+$J$104)+операции!V$136*операции!$M144*операции!$M159)*V129*операции!$M129/1000)</f>
        <v>2123.7600000000002</v>
      </c>
      <c r="W144" s="101">
        <f>IF(W$1="",0,операции!W204+(операции!W96*(1+$J$104)+операции!W$136*операции!$M144*операции!$M159)*W129*операции!$M129/1000)</f>
        <v>0</v>
      </c>
      <c r="X144" s="101">
        <f>IF(X$1="",0,операции!X204+(операции!X96*(1+$J$104)+операции!X$136*операции!$M144*операции!$M159)*X129*операции!$M129/1000)</f>
        <v>0</v>
      </c>
      <c r="Y144" s="101">
        <f>IF(Y$1="",0,операции!Y204+(операции!Y96*(1+$J$104)+операции!Y$136*операции!$M144*операции!$M159)*Y129*операции!$M129/1000)</f>
        <v>0</v>
      </c>
      <c r="Z144" s="101">
        <f>IF(Z$1="",0,операции!Z204+(операции!Z96*(1+$J$104)+операции!Z$136*операции!$M144*операции!$M159)*Z129*операции!$M129/1000)</f>
        <v>0</v>
      </c>
      <c r="AA144" s="101">
        <f>IF(AA$1="",0,операции!AA204+(операции!AA96*(1+$J$104)+операции!AA$136*операции!$M144*операции!$M159)*AA129*операции!$M129/1000)</f>
        <v>0</v>
      </c>
      <c r="AB144" s="22"/>
    </row>
    <row r="145" spans="1:28" s="23" customFormat="1" ht="10.199999999999999" x14ac:dyDescent="0.2">
      <c r="A145" s="22"/>
      <c r="B145" s="22"/>
      <c r="C145" s="22"/>
      <c r="D145" s="22"/>
      <c r="E145" s="22" t="str">
        <f>E137</f>
        <v>доход от продажи услуг</v>
      </c>
      <c r="F145" s="22"/>
      <c r="G145" s="22" t="str">
        <f>IF($E145="","",INDEX(KPI!$G:$G,SUMIFS(KPI!$B:$B,KPI!$E:$E,$E145)))</f>
        <v>тыс.руб.</v>
      </c>
      <c r="H145" s="100">
        <f>структура!$V$19</f>
        <v>8</v>
      </c>
      <c r="I145" s="31"/>
      <c r="J145" s="98" t="str">
        <f>структура!$X$19</f>
        <v>авг</v>
      </c>
      <c r="K145" s="99"/>
      <c r="L145" s="22"/>
      <c r="M145" s="58"/>
      <c r="N145" s="22"/>
      <c r="O145" s="22"/>
      <c r="P145" s="101">
        <f>IF(P$1="",0,операции!P205+(операции!P97*(1+$J$104)+операции!P$136*операции!$M145*операции!$M160)*P130*операции!$M130/1000)</f>
        <v>971.76</v>
      </c>
      <c r="Q145" s="101">
        <f>IF(Q$1="",0,операции!Q205+(операции!Q97*(1+$J$104)+операции!Q$136*операции!$M145*операции!$M160)*Q130*операции!$M130/1000)</f>
        <v>1054.96</v>
      </c>
      <c r="R145" s="101">
        <f>IF(R$1="",0,операции!R205+(операции!R97*(1+$J$104)+операции!R$136*операции!$M145*операции!$M160)*R130*операции!$M130/1000)</f>
        <v>1179.76</v>
      </c>
      <c r="S145" s="101">
        <f>IF(S$1="",0,операции!S205+(операции!S97*(1+$J$104)+операции!S$136*операции!$M145*операции!$M160)*S130*операции!$M130/1000)</f>
        <v>1262.96</v>
      </c>
      <c r="T145" s="101">
        <f>IF(T$1="",0,операции!T205+(операции!T97*(1+$J$104)+операции!T$136*операции!$M145*операции!$M160)*T130*операции!$M130/1000)</f>
        <v>1387.76</v>
      </c>
      <c r="U145" s="101">
        <f>IF(U$1="",0,операции!U205+(операции!U97*(1+$J$104)+операции!U$136*операции!$M145*операции!$M160)*U130*операции!$M130/1000)</f>
        <v>1595.76</v>
      </c>
      <c r="V145" s="101">
        <f>IF(V$1="",0,операции!V205+(операции!V97*(1+$J$104)+операции!V$136*операции!$M145*операции!$M160)*V130*операции!$M130/1000)</f>
        <v>1886.96</v>
      </c>
      <c r="W145" s="101">
        <f>IF(W$1="",0,операции!W205+(операции!W97*(1+$J$104)+операции!W$136*операции!$M145*операции!$M160)*W130*операции!$M130/1000)</f>
        <v>0</v>
      </c>
      <c r="X145" s="101">
        <f>IF(X$1="",0,операции!X205+(операции!X97*(1+$J$104)+операции!X$136*операции!$M145*операции!$M160)*X130*операции!$M130/1000)</f>
        <v>0</v>
      </c>
      <c r="Y145" s="101">
        <f>IF(Y$1="",0,операции!Y205+(операции!Y97*(1+$J$104)+операции!Y$136*операции!$M145*операции!$M160)*Y130*операции!$M130/1000)</f>
        <v>0</v>
      </c>
      <c r="Z145" s="101">
        <f>IF(Z$1="",0,операции!Z205+(операции!Z97*(1+$J$104)+операции!Z$136*операции!$M145*операции!$M160)*Z130*операции!$M130/1000)</f>
        <v>0</v>
      </c>
      <c r="AA145" s="101">
        <f>IF(AA$1="",0,операции!AA205+(операции!AA97*(1+$J$104)+операции!AA$136*операции!$M145*операции!$M160)*AA130*операции!$M130/1000)</f>
        <v>0</v>
      </c>
      <c r="AB145" s="22"/>
    </row>
    <row r="146" spans="1:28" s="23" customFormat="1" ht="10.199999999999999" x14ac:dyDescent="0.2">
      <c r="A146" s="22"/>
      <c r="B146" s="22"/>
      <c r="C146" s="22"/>
      <c r="D146" s="22"/>
      <c r="E146" s="22" t="str">
        <f>E137</f>
        <v>доход от продажи услуг</v>
      </c>
      <c r="F146" s="22"/>
      <c r="G146" s="22" t="str">
        <f>IF($E146="","",INDEX(KPI!$G:$G,SUMIFS(KPI!$B:$B,KPI!$E:$E,$E146)))</f>
        <v>тыс.руб.</v>
      </c>
      <c r="H146" s="100">
        <f>структура!$V$20</f>
        <v>9</v>
      </c>
      <c r="I146" s="31"/>
      <c r="J146" s="98" t="str">
        <f>структура!$X$20</f>
        <v>сен</v>
      </c>
      <c r="K146" s="99"/>
      <c r="L146" s="22"/>
      <c r="M146" s="58"/>
      <c r="N146" s="22"/>
      <c r="O146" s="22"/>
      <c r="P146" s="101">
        <f>IF(P$1="",0,операции!P206+(операции!P98*(1+$J$104)+операции!P$136*операции!$M146*операции!$M161)*P131*операции!$M131/1000)</f>
        <v>417.97500000000002</v>
      </c>
      <c r="Q146" s="101">
        <f>IF(Q$1="",0,операции!Q206+(операции!Q98*(1+$J$104)+операции!Q$136*операции!$M146*операции!$M161)*Q131*операции!$M131/1000)</f>
        <v>449.22500000000002</v>
      </c>
      <c r="R146" s="101">
        <f>IF(R$1="",0,операции!R206+(операции!R98*(1+$J$104)+операции!R$136*операции!$M146*операции!$M161)*R131*операции!$M131/1000)</f>
        <v>496.1</v>
      </c>
      <c r="S146" s="101">
        <f>IF(S$1="",0,операции!S206+(операции!S98*(1+$J$104)+операции!S$136*операции!$M146*операции!$M161)*S131*операции!$M131/1000)</f>
        <v>527.35</v>
      </c>
      <c r="T146" s="101">
        <f>IF(T$1="",0,операции!T206+(операции!T98*(1+$J$104)+операции!T$136*операции!$M146*операции!$M161)*T131*операции!$M131/1000)</f>
        <v>574.22500000000002</v>
      </c>
      <c r="U146" s="101">
        <f>IF(U$1="",0,операции!U206+(операции!U98*(1+$J$104)+операции!U$136*операции!$M146*операции!$M161)*U131*операции!$M131/1000)</f>
        <v>652.35</v>
      </c>
      <c r="V146" s="101">
        <f>IF(V$1="",0,операции!V206+(операции!V98*(1+$J$104)+операции!V$136*операции!$M146*операции!$M161)*V131*операции!$M131/1000)</f>
        <v>761.72500000000002</v>
      </c>
      <c r="W146" s="101">
        <f>IF(W$1="",0,операции!W206+(операции!W98*(1+$J$104)+операции!W$136*операции!$M146*операции!$M161)*W131*операции!$M131/1000)</f>
        <v>0</v>
      </c>
      <c r="X146" s="101">
        <f>IF(X$1="",0,операции!X206+(операции!X98*(1+$J$104)+операции!X$136*операции!$M146*операции!$M161)*X131*операции!$M131/1000)</f>
        <v>0</v>
      </c>
      <c r="Y146" s="101">
        <f>IF(Y$1="",0,операции!Y206+(операции!Y98*(1+$J$104)+операции!Y$136*операции!$M146*операции!$M161)*Y131*операции!$M131/1000)</f>
        <v>0</v>
      </c>
      <c r="Z146" s="101">
        <f>IF(Z$1="",0,операции!Z206+(операции!Z98*(1+$J$104)+операции!Z$136*операции!$M146*операции!$M161)*Z131*операции!$M131/1000)</f>
        <v>0</v>
      </c>
      <c r="AA146" s="101">
        <f>IF(AA$1="",0,операции!AA206+(операции!AA98*(1+$J$104)+операции!AA$136*операции!$M146*операции!$M161)*AA131*операции!$M131/1000)</f>
        <v>0</v>
      </c>
      <c r="AB146" s="22"/>
    </row>
    <row r="147" spans="1:28" s="23" customFormat="1" ht="10.199999999999999" x14ac:dyDescent="0.2">
      <c r="A147" s="22"/>
      <c r="B147" s="22"/>
      <c r="C147" s="22"/>
      <c r="D147" s="22"/>
      <c r="E147" s="22" t="str">
        <f>E137</f>
        <v>доход от продажи услуг</v>
      </c>
      <c r="F147" s="22"/>
      <c r="G147" s="22" t="str">
        <f>IF($E147="","",INDEX(KPI!$G:$G,SUMIFS(KPI!$B:$B,KPI!$E:$E,$E147)))</f>
        <v>тыс.руб.</v>
      </c>
      <c r="H147" s="100">
        <f>структура!$V$21</f>
        <v>10</v>
      </c>
      <c r="I147" s="31"/>
      <c r="J147" s="98" t="str">
        <f>структура!$X$21</f>
        <v>окт</v>
      </c>
      <c r="K147" s="99"/>
      <c r="L147" s="22"/>
      <c r="M147" s="58"/>
      <c r="N147" s="22"/>
      <c r="O147" s="22"/>
      <c r="P147" s="101">
        <f>IF(P$1="",0,операции!P207+(операции!P99*(1+$J$104)+операции!P$136*операции!$M147*операции!$M162)*P132*операции!$M132/1000)</f>
        <v>479.32500000000005</v>
      </c>
      <c r="Q147" s="101">
        <f>IF(Q$1="",0,операции!Q207+(операции!Q99*(1+$J$104)+операции!Q$136*операции!$M147*операции!$M162)*Q132*операции!$M132/1000)</f>
        <v>523.07500000000005</v>
      </c>
      <c r="R147" s="101">
        <f>IF(R$1="",0,операции!R207+(операции!R99*(1+$J$104)+операции!R$136*операции!$M147*операции!$M162)*R132*операции!$M132/1000)</f>
        <v>588.70000000000005</v>
      </c>
      <c r="S147" s="101">
        <f>IF(S$1="",0,операции!S207+(операции!S99*(1+$J$104)+операции!S$136*операции!$M147*операции!$M162)*S132*операции!$M132/1000)</f>
        <v>632.45000000000005</v>
      </c>
      <c r="T147" s="101">
        <f>IF(T$1="",0,операции!T207+(операции!T99*(1+$J$104)+операции!T$136*операции!$M147*операции!$M162)*T132*операции!$M132/1000)</f>
        <v>698.07500000000005</v>
      </c>
      <c r="U147" s="101">
        <f>IF(U$1="",0,операции!U207+(операции!U99*(1+$J$104)+операции!U$136*операции!$M147*операции!$M162)*U132*операции!$M132/1000)</f>
        <v>807.45</v>
      </c>
      <c r="V147" s="101">
        <f>IF(V$1="",0,операции!V207+(операции!V99*(1+$J$104)+операции!V$136*операции!$M147*операции!$M162)*V132*операции!$M132/1000)</f>
        <v>960.57500000000005</v>
      </c>
      <c r="W147" s="101">
        <f>IF(W$1="",0,операции!W207+(операции!W99*(1+$J$104)+операции!W$136*операции!$M147*операции!$M162)*W132*операции!$M132/1000)</f>
        <v>0</v>
      </c>
      <c r="X147" s="101">
        <f>IF(X$1="",0,операции!X207+(операции!X99*(1+$J$104)+операции!X$136*операции!$M147*операции!$M162)*X132*операции!$M132/1000)</f>
        <v>0</v>
      </c>
      <c r="Y147" s="101">
        <f>IF(Y$1="",0,операции!Y207+(операции!Y99*(1+$J$104)+операции!Y$136*операции!$M147*операции!$M162)*Y132*операции!$M132/1000)</f>
        <v>0</v>
      </c>
      <c r="Z147" s="101">
        <f>IF(Z$1="",0,операции!Z207+(операции!Z99*(1+$J$104)+операции!Z$136*операции!$M147*операции!$M162)*Z132*операции!$M132/1000)</f>
        <v>0</v>
      </c>
      <c r="AA147" s="101">
        <f>IF(AA$1="",0,операции!AA207+(операции!AA99*(1+$J$104)+операции!AA$136*операции!$M147*операции!$M162)*AA132*операции!$M132/1000)</f>
        <v>0</v>
      </c>
      <c r="AB147" s="22"/>
    </row>
    <row r="148" spans="1:28" s="23" customFormat="1" ht="10.199999999999999" x14ac:dyDescent="0.2">
      <c r="A148" s="22"/>
      <c r="B148" s="22"/>
      <c r="C148" s="22"/>
      <c r="D148" s="22"/>
      <c r="E148" s="22" t="str">
        <f>E137</f>
        <v>доход от продажи услуг</v>
      </c>
      <c r="F148" s="22"/>
      <c r="G148" s="22" t="str">
        <f>IF($E148="","",INDEX(KPI!$G:$G,SUMIFS(KPI!$B:$B,KPI!$E:$E,$E148)))</f>
        <v>тыс.руб.</v>
      </c>
      <c r="H148" s="100">
        <f>структура!$V$22</f>
        <v>11</v>
      </c>
      <c r="I148" s="31"/>
      <c r="J148" s="98" t="str">
        <f>структура!$X$22</f>
        <v>ноя</v>
      </c>
      <c r="K148" s="99"/>
      <c r="L148" s="22"/>
      <c r="M148" s="58"/>
      <c r="N148" s="22"/>
      <c r="O148" s="22"/>
      <c r="P148" s="101">
        <f>IF(P$1="",0,операции!P208+(операции!P100*(1+$J$104)+операции!P$136*операции!$M148*операции!$M163)*P133*операции!$M133/1000)</f>
        <v>337.26</v>
      </c>
      <c r="Q148" s="101">
        <f>IF(Q$1="",0,операции!Q208+(операции!Q100*(1+$J$104)+операции!Q$136*операции!$M148*операции!$M163)*Q133*операции!$M133/1000)</f>
        <v>368.26</v>
      </c>
      <c r="R148" s="101">
        <f>IF(R$1="",0,операции!R208+(операции!R100*(1+$J$104)+операции!R$136*операции!$M148*операции!$M163)*R133*операции!$M133/1000)</f>
        <v>414.76</v>
      </c>
      <c r="S148" s="101">
        <f>IF(S$1="",0,операции!S208+(операции!S100*(1+$J$104)+операции!S$136*операции!$M148*операции!$M163)*S133*операции!$M133/1000)</f>
        <v>445.76</v>
      </c>
      <c r="T148" s="101">
        <f>IF(T$1="",0,операции!T208+(операции!T100*(1+$J$104)+операции!T$136*операции!$M148*операции!$M163)*T133*операции!$M133/1000)</f>
        <v>492.26</v>
      </c>
      <c r="U148" s="101">
        <f>IF(U$1="",0,операции!U208+(операции!U100*(1+$J$104)+операции!U$136*операции!$M148*операции!$M163)*U133*операции!$M133/1000)</f>
        <v>569.76</v>
      </c>
      <c r="V148" s="101">
        <f>IF(V$1="",0,операции!V208+(операции!V100*(1+$J$104)+операции!V$136*операции!$M148*операции!$M163)*V133*операции!$M133/1000)</f>
        <v>678.26</v>
      </c>
      <c r="W148" s="101">
        <f>IF(W$1="",0,операции!W208+(операции!W100*(1+$J$104)+операции!W$136*операции!$M148*операции!$M163)*W133*операции!$M133/1000)</f>
        <v>0</v>
      </c>
      <c r="X148" s="101">
        <f>IF(X$1="",0,операции!X208+(операции!X100*(1+$J$104)+операции!X$136*операции!$M148*операции!$M163)*X133*операции!$M133/1000)</f>
        <v>0</v>
      </c>
      <c r="Y148" s="101">
        <f>IF(Y$1="",0,операции!Y208+(операции!Y100*(1+$J$104)+операции!Y$136*операции!$M148*операции!$M163)*Y133*операции!$M133/1000)</f>
        <v>0</v>
      </c>
      <c r="Z148" s="101">
        <f>IF(Z$1="",0,операции!Z208+(операции!Z100*(1+$J$104)+операции!Z$136*операции!$M148*операции!$M163)*Z133*операции!$M133/1000)</f>
        <v>0</v>
      </c>
      <c r="AA148" s="101">
        <f>IF(AA$1="",0,операции!AA208+(операции!AA100*(1+$J$104)+операции!AA$136*операции!$M148*операции!$M163)*AA133*операции!$M133/1000)</f>
        <v>0</v>
      </c>
      <c r="AB148" s="22"/>
    </row>
    <row r="149" spans="1:28" s="23" customFormat="1" ht="10.199999999999999" x14ac:dyDescent="0.2">
      <c r="A149" s="22"/>
      <c r="B149" s="22"/>
      <c r="C149" s="22"/>
      <c r="D149" s="22"/>
      <c r="E149" s="22" t="str">
        <f>E137</f>
        <v>доход от продажи услуг</v>
      </c>
      <c r="F149" s="22"/>
      <c r="G149" s="22" t="str">
        <f>IF($E149="","",INDEX(KPI!$G:$G,SUMIFS(KPI!$B:$B,KPI!$E:$E,$E149)))</f>
        <v>тыс.руб.</v>
      </c>
      <c r="H149" s="100">
        <f>структура!$V$23</f>
        <v>12</v>
      </c>
      <c r="I149" s="31"/>
      <c r="J149" s="98" t="str">
        <f>структура!$X$23</f>
        <v>дек</v>
      </c>
      <c r="K149" s="99"/>
      <c r="L149" s="22"/>
      <c r="M149" s="58"/>
      <c r="N149" s="22"/>
      <c r="O149" s="22"/>
      <c r="P149" s="101">
        <f>IF(P$1="",0,операции!P209+(операции!P101*(1+$J$104)+операции!P$136*операции!$M149*операции!$M164)*P134*операции!$M134/1000)</f>
        <v>365.84999999999917</v>
      </c>
      <c r="Q149" s="101">
        <f>IF(Q$1="",0,операции!Q209+(операции!Q101*(1+$J$104)+операции!Q$136*операции!$M149*операции!$M164)*Q134*операции!$M134/1000)</f>
        <v>397.349999999999</v>
      </c>
      <c r="R149" s="101">
        <f>IF(R$1="",0,операции!R209+(операции!R101*(1+$J$104)+операции!R$136*операции!$M149*операции!$M164)*R134*операции!$M134/1000)</f>
        <v>444.59999999999889</v>
      </c>
      <c r="S149" s="101">
        <f>IF(S$1="",0,операции!S209+(операции!S101*(1+$J$104)+операции!S$136*операции!$M149*операции!$M164)*S134*операции!$M134/1000)</f>
        <v>476.09999999999877</v>
      </c>
      <c r="T149" s="101">
        <f>IF(T$1="",0,операции!T209+(операции!T101*(1+$J$104)+операции!T$136*операции!$M149*операции!$M164)*T134*операции!$M134/1000)</f>
        <v>523.34999999999854</v>
      </c>
      <c r="U149" s="101">
        <f>IF(U$1="",0,операции!U209+(операции!U101*(1+$J$104)+операции!U$136*операции!$M149*операции!$M164)*U134*операции!$M134/1000)</f>
        <v>602.09999999999832</v>
      </c>
      <c r="V149" s="101">
        <f>IF(V$1="",0,операции!V209+(операции!V101*(1+$J$104)+операции!V$136*операции!$M149*операции!$M164)*V134*операции!$M134/1000)</f>
        <v>712.34999999999798</v>
      </c>
      <c r="W149" s="101">
        <f>IF(W$1="",0,операции!W209+(операции!W101*(1+$J$104)+операции!W$136*операции!$M149*операции!$M164)*W134*операции!$M134/1000)</f>
        <v>0</v>
      </c>
      <c r="X149" s="101">
        <f>IF(X$1="",0,операции!X209+(операции!X101*(1+$J$104)+операции!X$136*операции!$M149*операции!$M164)*X134*операции!$M134/1000)</f>
        <v>0</v>
      </c>
      <c r="Y149" s="101">
        <f>IF(Y$1="",0,операции!Y209+(операции!Y101*(1+$J$104)+операции!Y$136*операции!$M149*операции!$M164)*Y134*операции!$M134/1000)</f>
        <v>0</v>
      </c>
      <c r="Z149" s="101">
        <f>IF(Z$1="",0,операции!Z209+(операции!Z101*(1+$J$104)+операции!Z$136*операции!$M149*операции!$M164)*Z134*операции!$M134/1000)</f>
        <v>0</v>
      </c>
      <c r="AA149" s="101">
        <f>IF(AA$1="",0,операции!AA209+(операции!AA101*(1+$J$104)+операции!AA$136*операции!$M149*операции!$M164)*AA134*операции!$M134/1000)</f>
        <v>0</v>
      </c>
      <c r="AB149" s="22"/>
    </row>
    <row r="150" spans="1:28" ht="3.9" customHeight="1" x14ac:dyDescent="0.25">
      <c r="A150" s="2"/>
      <c r="B150" s="2"/>
      <c r="C150" s="2"/>
      <c r="D150" s="109"/>
      <c r="E150" s="109"/>
      <c r="F150" s="2"/>
      <c r="G150" s="109"/>
      <c r="H150" s="2"/>
      <c r="I150" s="28"/>
      <c r="J150" s="109"/>
      <c r="K150" s="28"/>
      <c r="L150" s="2"/>
      <c r="M150" s="52"/>
      <c r="N150" s="2"/>
      <c r="O150" s="2"/>
      <c r="P150" s="36"/>
      <c r="Q150" s="36"/>
      <c r="R150" s="36"/>
      <c r="S150" s="36"/>
      <c r="T150" s="36"/>
      <c r="U150" s="36"/>
      <c r="V150" s="36"/>
      <c r="W150" s="36"/>
      <c r="X150" s="36"/>
      <c r="Y150" s="36"/>
      <c r="Z150" s="36"/>
      <c r="AA150" s="36"/>
      <c r="AB150" s="2"/>
    </row>
    <row r="151" spans="1:28" ht="8.1" customHeight="1" x14ac:dyDescent="0.25">
      <c r="A151" s="2"/>
      <c r="B151" s="2"/>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2"/>
    </row>
    <row r="152" spans="1:28" x14ac:dyDescent="0.25">
      <c r="A152" s="2"/>
      <c r="B152" s="2"/>
      <c r="C152" s="2"/>
      <c r="D152" s="2"/>
      <c r="E152" s="120" t="str">
        <f>KPI!$E$75</f>
        <v>ОПЕРАЦИОННЫЕ РАСХОДЫ</v>
      </c>
      <c r="F152" s="2"/>
      <c r="G152" s="2"/>
      <c r="H152" s="2"/>
      <c r="I152" s="28"/>
      <c r="J152" s="2"/>
      <c r="K152" s="28"/>
      <c r="L152" s="2"/>
      <c r="M152" s="52"/>
      <c r="N152" s="2"/>
      <c r="O152" s="2"/>
      <c r="P152" s="36"/>
      <c r="Q152" s="36"/>
      <c r="R152" s="36"/>
      <c r="S152" s="36"/>
      <c r="T152" s="36"/>
      <c r="U152" s="36"/>
      <c r="V152" s="36"/>
      <c r="W152" s="36"/>
      <c r="X152" s="36"/>
      <c r="Y152" s="36"/>
      <c r="Z152" s="36"/>
      <c r="AA152" s="36"/>
      <c r="AB152" s="2"/>
    </row>
    <row r="153" spans="1:28" ht="8.1" customHeight="1" x14ac:dyDescent="0.25">
      <c r="A153" s="2"/>
      <c r="B153" s="2"/>
      <c r="C153" s="2"/>
      <c r="D153" s="2"/>
      <c r="E153" s="2"/>
      <c r="F153" s="2"/>
      <c r="G153" s="2"/>
      <c r="H153" s="2"/>
      <c r="I153" s="28"/>
      <c r="J153" s="2"/>
      <c r="K153" s="28"/>
      <c r="L153" s="2"/>
      <c r="M153" s="52"/>
      <c r="N153" s="2"/>
      <c r="O153" s="2"/>
      <c r="P153" s="36"/>
      <c r="Q153" s="36"/>
      <c r="R153" s="36"/>
      <c r="S153" s="36"/>
      <c r="T153" s="36"/>
      <c r="U153" s="36"/>
      <c r="V153" s="36"/>
      <c r="W153" s="36"/>
      <c r="X153" s="36"/>
      <c r="Y153" s="36"/>
      <c r="Z153" s="36"/>
      <c r="AA153" s="36"/>
      <c r="AB153" s="2"/>
    </row>
    <row r="154" spans="1:28" s="5" customFormat="1" x14ac:dyDescent="0.25">
      <c r="A154" s="3"/>
      <c r="B154" s="3"/>
      <c r="C154" s="3"/>
      <c r="D154" s="3"/>
      <c r="E154" s="3" t="str">
        <f>KPI!$E$43</f>
        <v>%-нт маркетинговых расходов от дохода</v>
      </c>
      <c r="F154" s="3"/>
      <c r="G154" s="3" t="str">
        <f>IF($E154="","",INDEX(KPI!$G:$G,SUMIFS(KPI!$B:$B,KPI!$E:$E,$E154)))</f>
        <v>%</v>
      </c>
      <c r="H154" s="3"/>
      <c r="I154" s="28"/>
      <c r="J154" s="2"/>
      <c r="K154" s="28"/>
      <c r="L154" s="2"/>
      <c r="M154" s="52"/>
      <c r="N154" s="3"/>
      <c r="O154" s="6" t="s">
        <v>0</v>
      </c>
      <c r="P154" s="88">
        <v>0.05</v>
      </c>
      <c r="Q154" s="88">
        <v>0.05</v>
      </c>
      <c r="R154" s="88">
        <v>0.04</v>
      </c>
      <c r="S154" s="88">
        <v>0.03</v>
      </c>
      <c r="T154" s="88">
        <v>0.03</v>
      </c>
      <c r="U154" s="88">
        <v>2.7E-2</v>
      </c>
      <c r="V154" s="88">
        <v>2.5000000000000001E-2</v>
      </c>
      <c r="W154" s="88">
        <v>2.5000000000000001E-2</v>
      </c>
      <c r="X154" s="88">
        <v>0.03</v>
      </c>
      <c r="Y154" s="88">
        <v>0.03</v>
      </c>
      <c r="Z154" s="88">
        <v>0.03</v>
      </c>
      <c r="AA154" s="88">
        <v>0.03</v>
      </c>
      <c r="AB154" s="3"/>
    </row>
    <row r="155" spans="1:28" ht="3.9" customHeight="1" x14ac:dyDescent="0.25">
      <c r="A155" s="2"/>
      <c r="B155" s="2"/>
      <c r="C155" s="2"/>
      <c r="D155" s="2"/>
      <c r="E155" s="110"/>
      <c r="F155" s="2"/>
      <c r="G155" s="2"/>
      <c r="H155" s="2"/>
      <c r="I155" s="28"/>
      <c r="J155" s="2"/>
      <c r="K155" s="28"/>
      <c r="L155" s="2"/>
      <c r="M155" s="52"/>
      <c r="N155" s="2"/>
      <c r="O155" s="2"/>
      <c r="P155" s="36"/>
      <c r="Q155" s="36"/>
      <c r="R155" s="36"/>
      <c r="S155" s="36"/>
      <c r="T155" s="36"/>
      <c r="U155" s="36"/>
      <c r="V155" s="36"/>
      <c r="W155" s="36"/>
      <c r="X155" s="36"/>
      <c r="Y155" s="36"/>
      <c r="Z155" s="36"/>
      <c r="AA155" s="36"/>
      <c r="AB155" s="2"/>
    </row>
    <row r="156" spans="1:28" ht="8.1" customHeight="1" x14ac:dyDescent="0.25">
      <c r="A156" s="2"/>
      <c r="B156" s="2"/>
      <c r="C156" s="2"/>
      <c r="D156" s="2"/>
      <c r="E156" s="2"/>
      <c r="F156" s="2"/>
      <c r="G156" s="2"/>
      <c r="H156" s="2"/>
      <c r="I156" s="28"/>
      <c r="J156" s="2"/>
      <c r="K156" s="28"/>
      <c r="L156" s="2"/>
      <c r="M156" s="52"/>
      <c r="N156" s="2"/>
      <c r="O156" s="2"/>
      <c r="P156" s="36"/>
      <c r="Q156" s="36"/>
      <c r="R156" s="36"/>
      <c r="S156" s="36"/>
      <c r="T156" s="36"/>
      <c r="U156" s="36"/>
      <c r="V156" s="36"/>
      <c r="W156" s="36"/>
      <c r="X156" s="36"/>
      <c r="Y156" s="36"/>
      <c r="Z156" s="36"/>
      <c r="AA156" s="36"/>
      <c r="AB156" s="2"/>
    </row>
    <row r="157" spans="1:28" s="5" customFormat="1" x14ac:dyDescent="0.25">
      <c r="A157" s="3"/>
      <c r="B157" s="3"/>
      <c r="C157" s="3"/>
      <c r="D157" s="111"/>
      <c r="E157" s="3" t="str">
        <f>KPI!$E$44</f>
        <v>маркетинговые расходы (начисл/оплаты)</v>
      </c>
      <c r="F157" s="3"/>
      <c r="G157" s="3" t="str">
        <f>IF($E157="","",INDEX(KPI!$G:$G,SUMIFS(KPI!$B:$B,KPI!$E:$E,$E157)))</f>
        <v>тыс.руб.</v>
      </c>
      <c r="H157" s="116" t="str">
        <f>структура!$AL$20</f>
        <v>Заложен сдвиг на один месяц!</v>
      </c>
      <c r="I157" s="28"/>
      <c r="J157" s="44"/>
      <c r="K157" s="28"/>
      <c r="L157" s="3"/>
      <c r="M157" s="55">
        <f>SUM($O157:$AB157)</f>
        <v>4839.5279834615385</v>
      </c>
      <c r="N157" s="3"/>
      <c r="O157" s="3"/>
      <c r="P157" s="46">
        <f>IF(P$1="",0,IF(P$1=0,SUMIFS(P158:P169,H158:H169,"&gt;="&amp;MONTH($J$13)),SUM(P158:P169)))</f>
        <v>848.9271346153846</v>
      </c>
      <c r="Q157" s="46">
        <f t="shared" ref="Q157" si="16">IF(Q$1="",0,SUM(Q158:Q169))</f>
        <v>880.5996346153845</v>
      </c>
      <c r="R157" s="46">
        <f t="shared" ref="R157:AA157" si="17">IF(R$1="",0,SUM(R158:R169))</f>
        <v>743.66553846153852</v>
      </c>
      <c r="S157" s="46">
        <f t="shared" si="17"/>
        <v>575.86853076923069</v>
      </c>
      <c r="T157" s="46">
        <f t="shared" si="17"/>
        <v>604.37378076923073</v>
      </c>
      <c r="U157" s="46">
        <f t="shared" si="17"/>
        <v>586.69427769230754</v>
      </c>
      <c r="V157" s="46">
        <f t="shared" si="17"/>
        <v>599.39908653846157</v>
      </c>
      <c r="W157" s="46">
        <f t="shared" si="17"/>
        <v>0</v>
      </c>
      <c r="X157" s="46">
        <f t="shared" si="17"/>
        <v>0</v>
      </c>
      <c r="Y157" s="46">
        <f t="shared" si="17"/>
        <v>0</v>
      </c>
      <c r="Z157" s="46">
        <f t="shared" si="17"/>
        <v>0</v>
      </c>
      <c r="AA157" s="46">
        <f t="shared" si="17"/>
        <v>0</v>
      </c>
      <c r="AB157" s="3"/>
    </row>
    <row r="158" spans="1:28" s="23" customFormat="1" ht="10.199999999999999" x14ac:dyDescent="0.2">
      <c r="A158" s="22"/>
      <c r="B158" s="22"/>
      <c r="C158" s="22"/>
      <c r="D158" s="22"/>
      <c r="E158" s="22" t="str">
        <f>E157</f>
        <v>маркетинговые расходы (начисл/оплаты)</v>
      </c>
      <c r="F158" s="22"/>
      <c r="G158" s="22" t="str">
        <f>IF($E158="","",INDEX(KPI!$G:$G,SUMIFS(KPI!$B:$B,KPI!$E:$E,$E158)))</f>
        <v>тыс.руб.</v>
      </c>
      <c r="H158" s="100">
        <f>структура!$V$12</f>
        <v>1</v>
      </c>
      <c r="I158" s="31"/>
      <c r="J158" s="98" t="str">
        <f>структура!$X$12</f>
        <v>янв</v>
      </c>
      <c r="K158" s="99"/>
      <c r="L158" s="22"/>
      <c r="M158" s="58"/>
      <c r="N158" s="22"/>
      <c r="O158" s="22"/>
      <c r="P158" s="101">
        <f t="shared" ref="P158:AA158" si="18">IF(P$1="",0,(P60+P139)*P$154)</f>
        <v>51.222615384615381</v>
      </c>
      <c r="Q158" s="101">
        <f t="shared" si="18"/>
        <v>52.462615384615383</v>
      </c>
      <c r="R158" s="101">
        <f t="shared" si="18"/>
        <v>44.636923076923075</v>
      </c>
      <c r="S158" s="101">
        <f t="shared" si="18"/>
        <v>33.337569230769226</v>
      </c>
      <c r="T158" s="101">
        <f t="shared" si="18"/>
        <v>34.453569230769226</v>
      </c>
      <c r="U158" s="101">
        <f t="shared" si="18"/>
        <v>32.682212307692303</v>
      </c>
      <c r="V158" s="101">
        <f t="shared" si="18"/>
        <v>33.168076923076924</v>
      </c>
      <c r="W158" s="101">
        <f t="shared" si="18"/>
        <v>0</v>
      </c>
      <c r="X158" s="101">
        <f t="shared" si="18"/>
        <v>0</v>
      </c>
      <c r="Y158" s="101">
        <f t="shared" si="18"/>
        <v>0</v>
      </c>
      <c r="Z158" s="101">
        <f t="shared" si="18"/>
        <v>0</v>
      </c>
      <c r="AA158" s="101">
        <f t="shared" si="18"/>
        <v>0</v>
      </c>
      <c r="AB158" s="22"/>
    </row>
    <row r="159" spans="1:28" s="23" customFormat="1" ht="10.199999999999999" x14ac:dyDescent="0.2">
      <c r="A159" s="22"/>
      <c r="B159" s="22"/>
      <c r="C159" s="22"/>
      <c r="D159" s="22"/>
      <c r="E159" s="22" t="str">
        <f>E157</f>
        <v>маркетинговые расходы (начисл/оплаты)</v>
      </c>
      <c r="F159" s="22"/>
      <c r="G159" s="22" t="str">
        <f>IF($E159="","",INDEX(KPI!$G:$G,SUMIFS(KPI!$B:$B,KPI!$E:$E,$E159)))</f>
        <v>тыс.руб.</v>
      </c>
      <c r="H159" s="100">
        <f>структура!$V$13</f>
        <v>2</v>
      </c>
      <c r="I159" s="31"/>
      <c r="J159" s="98" t="str">
        <f>структура!$X$13</f>
        <v>фев</v>
      </c>
      <c r="K159" s="99"/>
      <c r="L159" s="22"/>
      <c r="M159" s="58"/>
      <c r="N159" s="22"/>
      <c r="O159" s="22"/>
      <c r="P159" s="101">
        <f t="shared" ref="P159:AA159" si="19">IF(P$1="",0,(P61+P140)*P$154)</f>
        <v>59.256538461538462</v>
      </c>
      <c r="Q159" s="101">
        <f t="shared" si="19"/>
        <v>60.806538461538459</v>
      </c>
      <c r="R159" s="101">
        <f t="shared" si="19"/>
        <v>50.505230769230764</v>
      </c>
      <c r="S159" s="101">
        <f t="shared" si="19"/>
        <v>38.808923076923072</v>
      </c>
      <c r="T159" s="101">
        <f t="shared" si="19"/>
        <v>40.203923076923076</v>
      </c>
      <c r="U159" s="101">
        <f t="shared" si="19"/>
        <v>38.276030769230765</v>
      </c>
      <c r="V159" s="101">
        <f t="shared" si="19"/>
        <v>38.153269230769233</v>
      </c>
      <c r="W159" s="101">
        <f t="shared" si="19"/>
        <v>0</v>
      </c>
      <c r="X159" s="101">
        <f t="shared" si="19"/>
        <v>0</v>
      </c>
      <c r="Y159" s="101">
        <f t="shared" si="19"/>
        <v>0</v>
      </c>
      <c r="Z159" s="101">
        <f t="shared" si="19"/>
        <v>0</v>
      </c>
      <c r="AA159" s="101">
        <f t="shared" si="19"/>
        <v>0</v>
      </c>
      <c r="AB159" s="22"/>
    </row>
    <row r="160" spans="1:28" s="23" customFormat="1" ht="10.199999999999999" x14ac:dyDescent="0.2">
      <c r="A160" s="22"/>
      <c r="B160" s="22"/>
      <c r="C160" s="22"/>
      <c r="D160" s="22"/>
      <c r="E160" s="22" t="str">
        <f>E157</f>
        <v>маркетинговые расходы (начисл/оплаты)</v>
      </c>
      <c r="F160" s="22"/>
      <c r="G160" s="22" t="str">
        <f>IF($E160="","",INDEX(KPI!$G:$G,SUMIFS(KPI!$B:$B,KPI!$E:$E,$E160)))</f>
        <v>тыс.руб.</v>
      </c>
      <c r="H160" s="100">
        <f>структура!$V$14</f>
        <v>3</v>
      </c>
      <c r="I160" s="31"/>
      <c r="J160" s="98" t="str">
        <f>структура!$X$14</f>
        <v>мар</v>
      </c>
      <c r="K160" s="99"/>
      <c r="L160" s="22"/>
      <c r="M160" s="58"/>
      <c r="N160" s="22"/>
      <c r="O160" s="22"/>
      <c r="P160" s="101">
        <f t="shared" ref="P160:AA160" si="20">IF(P$1="",0,(P62+P141)*P$154)</f>
        <v>58.862999999999992</v>
      </c>
      <c r="Q160" s="101">
        <f t="shared" si="20"/>
        <v>60.41299999999999</v>
      </c>
      <c r="R160" s="101">
        <f t="shared" si="20"/>
        <v>50.19039999999999</v>
      </c>
      <c r="S160" s="101">
        <f t="shared" si="20"/>
        <v>38.572799999999994</v>
      </c>
      <c r="T160" s="101">
        <f t="shared" si="20"/>
        <v>39.96779999999999</v>
      </c>
      <c r="U160" s="101">
        <f t="shared" si="20"/>
        <v>38.06351999999999</v>
      </c>
      <c r="V160" s="101">
        <f t="shared" si="20"/>
        <v>37.956499999999998</v>
      </c>
      <c r="W160" s="101">
        <f t="shared" si="20"/>
        <v>0</v>
      </c>
      <c r="X160" s="101">
        <f t="shared" si="20"/>
        <v>0</v>
      </c>
      <c r="Y160" s="101">
        <f t="shared" si="20"/>
        <v>0</v>
      </c>
      <c r="Z160" s="101">
        <f t="shared" si="20"/>
        <v>0</v>
      </c>
      <c r="AA160" s="101">
        <f t="shared" si="20"/>
        <v>0</v>
      </c>
      <c r="AB160" s="22"/>
    </row>
    <row r="161" spans="1:28" s="23" customFormat="1" ht="10.199999999999999" x14ac:dyDescent="0.2">
      <c r="A161" s="22"/>
      <c r="B161" s="22"/>
      <c r="C161" s="22"/>
      <c r="D161" s="22"/>
      <c r="E161" s="22" t="str">
        <f>E157</f>
        <v>маркетинговые расходы (начисл/оплаты)</v>
      </c>
      <c r="F161" s="22"/>
      <c r="G161" s="22" t="str">
        <f>IF($E161="","",INDEX(KPI!$G:$G,SUMIFS(KPI!$B:$B,KPI!$E:$E,$E161)))</f>
        <v>тыс.руб.</v>
      </c>
      <c r="H161" s="100">
        <f>структура!$V$15</f>
        <v>4</v>
      </c>
      <c r="I161" s="31"/>
      <c r="J161" s="98" t="str">
        <f>структура!$X$15</f>
        <v>апр</v>
      </c>
      <c r="K161" s="99"/>
      <c r="L161" s="22"/>
      <c r="M161" s="58"/>
      <c r="N161" s="22"/>
      <c r="O161" s="22"/>
      <c r="P161" s="101">
        <f t="shared" ref="P161:AA161" si="21">IF(P$1="",0,(P63+P142)*P$154)</f>
        <v>86.39153846153846</v>
      </c>
      <c r="Q161" s="101">
        <f t="shared" si="21"/>
        <v>90.55153846153847</v>
      </c>
      <c r="R161" s="101">
        <f t="shared" si="21"/>
        <v>77.433230769230775</v>
      </c>
      <c r="S161" s="101">
        <f t="shared" si="21"/>
        <v>60.570923076923073</v>
      </c>
      <c r="T161" s="101">
        <f t="shared" si="21"/>
        <v>64.314923076923066</v>
      </c>
      <c r="U161" s="101">
        <f t="shared" si="21"/>
        <v>63.499430769230763</v>
      </c>
      <c r="V161" s="101">
        <f t="shared" si="21"/>
        <v>66.075769230769239</v>
      </c>
      <c r="W161" s="101">
        <f t="shared" si="21"/>
        <v>0</v>
      </c>
      <c r="X161" s="101">
        <f t="shared" si="21"/>
        <v>0</v>
      </c>
      <c r="Y161" s="101">
        <f t="shared" si="21"/>
        <v>0</v>
      </c>
      <c r="Z161" s="101">
        <f t="shared" si="21"/>
        <v>0</v>
      </c>
      <c r="AA161" s="101">
        <f t="shared" si="21"/>
        <v>0</v>
      </c>
      <c r="AB161" s="22"/>
    </row>
    <row r="162" spans="1:28" s="23" customFormat="1" ht="10.199999999999999" x14ac:dyDescent="0.2">
      <c r="A162" s="22"/>
      <c r="B162" s="22"/>
      <c r="C162" s="22"/>
      <c r="D162" s="22"/>
      <c r="E162" s="22" t="str">
        <f>E157</f>
        <v>маркетинговые расходы (начисл/оплаты)</v>
      </c>
      <c r="F162" s="22"/>
      <c r="G162" s="22" t="str">
        <f>IF($E162="","",INDEX(KPI!$G:$G,SUMIFS(KPI!$B:$B,KPI!$E:$E,$E162)))</f>
        <v>тыс.руб.</v>
      </c>
      <c r="H162" s="100">
        <f>структура!$V$16</f>
        <v>5</v>
      </c>
      <c r="I162" s="31"/>
      <c r="J162" s="98" t="str">
        <f>структура!$X$16</f>
        <v>май</v>
      </c>
      <c r="K162" s="99"/>
      <c r="L162" s="22"/>
      <c r="M162" s="58"/>
      <c r="N162" s="22"/>
      <c r="O162" s="22"/>
      <c r="P162" s="101">
        <f t="shared" ref="P162:AA162" si="22">IF(P$1="",0,(P64+P143)*P$154)</f>
        <v>105.76799999999999</v>
      </c>
      <c r="Q162" s="101">
        <f t="shared" si="22"/>
        <v>112.16799999999999</v>
      </c>
      <c r="R162" s="101">
        <f t="shared" si="22"/>
        <v>97.414399999999986</v>
      </c>
      <c r="S162" s="101">
        <f t="shared" si="22"/>
        <v>76.90079999999999</v>
      </c>
      <c r="T162" s="101">
        <f t="shared" si="22"/>
        <v>82.660799999999981</v>
      </c>
      <c r="U162" s="101">
        <f t="shared" si="22"/>
        <v>83.034719999999993</v>
      </c>
      <c r="V162" s="101">
        <f t="shared" si="22"/>
        <v>88.084000000000003</v>
      </c>
      <c r="W162" s="101">
        <f t="shared" si="22"/>
        <v>0</v>
      </c>
      <c r="X162" s="101">
        <f t="shared" si="22"/>
        <v>0</v>
      </c>
      <c r="Y162" s="101">
        <f t="shared" si="22"/>
        <v>0</v>
      </c>
      <c r="Z162" s="101">
        <f t="shared" si="22"/>
        <v>0</v>
      </c>
      <c r="AA162" s="101">
        <f t="shared" si="22"/>
        <v>0</v>
      </c>
      <c r="AB162" s="22"/>
    </row>
    <row r="163" spans="1:28" s="23" customFormat="1" ht="10.199999999999999" x14ac:dyDescent="0.2">
      <c r="A163" s="22"/>
      <c r="B163" s="22"/>
      <c r="C163" s="22"/>
      <c r="D163" s="22"/>
      <c r="E163" s="22" t="str">
        <f>E157</f>
        <v>маркетинговые расходы (начисл/оплаты)</v>
      </c>
      <c r="F163" s="22"/>
      <c r="G163" s="22" t="str">
        <f>IF($E163="","",INDEX(KPI!$G:$G,SUMIFS(KPI!$B:$B,KPI!$E:$E,$E163)))</f>
        <v>тыс.руб.</v>
      </c>
      <c r="H163" s="100">
        <f>структура!$V$17</f>
        <v>6</v>
      </c>
      <c r="I163" s="31"/>
      <c r="J163" s="98" t="str">
        <f>структура!$X$17</f>
        <v>июн</v>
      </c>
      <c r="K163" s="99"/>
      <c r="L163" s="22"/>
      <c r="M163" s="58"/>
      <c r="N163" s="22"/>
      <c r="O163" s="22"/>
      <c r="P163" s="101">
        <f t="shared" ref="P163:AA163" si="23">IF(P$1="",0,(P65+P144)*P$154)</f>
        <v>95.619538461538468</v>
      </c>
      <c r="Q163" s="101">
        <f t="shared" si="23"/>
        <v>100.41953846153847</v>
      </c>
      <c r="R163" s="101">
        <f t="shared" si="23"/>
        <v>86.09563076923078</v>
      </c>
      <c r="S163" s="101">
        <f t="shared" si="23"/>
        <v>67.451723076923074</v>
      </c>
      <c r="T163" s="101">
        <f t="shared" si="23"/>
        <v>71.771723076923081</v>
      </c>
      <c r="U163" s="101">
        <f t="shared" si="23"/>
        <v>71.074550769230768</v>
      </c>
      <c r="V163" s="101">
        <f t="shared" si="23"/>
        <v>74.20976923076924</v>
      </c>
      <c r="W163" s="101">
        <f t="shared" si="23"/>
        <v>0</v>
      </c>
      <c r="X163" s="101">
        <f t="shared" si="23"/>
        <v>0</v>
      </c>
      <c r="Y163" s="101">
        <f t="shared" si="23"/>
        <v>0</v>
      </c>
      <c r="Z163" s="101">
        <f t="shared" si="23"/>
        <v>0</v>
      </c>
      <c r="AA163" s="101">
        <f t="shared" si="23"/>
        <v>0</v>
      </c>
      <c r="AB163" s="22"/>
    </row>
    <row r="164" spans="1:28" s="23" customFormat="1" ht="10.199999999999999" x14ac:dyDescent="0.2">
      <c r="A164" s="22"/>
      <c r="B164" s="22"/>
      <c r="C164" s="22"/>
      <c r="D164" s="22"/>
      <c r="E164" s="22" t="str">
        <f>E157</f>
        <v>маркетинговые расходы (начисл/оплаты)</v>
      </c>
      <c r="F164" s="22"/>
      <c r="G164" s="22" t="str">
        <f>IF($E164="","",INDEX(KPI!$G:$G,SUMIFS(KPI!$B:$B,KPI!$E:$E,$E164)))</f>
        <v>тыс.руб.</v>
      </c>
      <c r="H164" s="100">
        <f>структура!$V$18</f>
        <v>7</v>
      </c>
      <c r="I164" s="31"/>
      <c r="J164" s="98" t="str">
        <f>структура!$X$18</f>
        <v>июл</v>
      </c>
      <c r="K164" s="99"/>
      <c r="L164" s="22"/>
      <c r="M164" s="58"/>
      <c r="N164" s="22"/>
      <c r="O164" s="22"/>
      <c r="P164" s="101">
        <f t="shared" ref="P164:AA164" si="24">IF(P$1="",0,(P66+P145)*P$154)</f>
        <v>90.819538461538457</v>
      </c>
      <c r="Q164" s="101">
        <f t="shared" si="24"/>
        <v>94.979538461538468</v>
      </c>
      <c r="R164" s="101">
        <f t="shared" si="24"/>
        <v>80.975630769230762</v>
      </c>
      <c r="S164" s="101">
        <f t="shared" si="24"/>
        <v>63.22772307692307</v>
      </c>
      <c r="T164" s="101">
        <f t="shared" si="24"/>
        <v>66.971723076923084</v>
      </c>
      <c r="U164" s="101">
        <f t="shared" si="24"/>
        <v>65.890550769230771</v>
      </c>
      <c r="V164" s="101">
        <f t="shared" si="24"/>
        <v>68.289769230769238</v>
      </c>
      <c r="W164" s="101">
        <f t="shared" si="24"/>
        <v>0</v>
      </c>
      <c r="X164" s="101">
        <f t="shared" si="24"/>
        <v>0</v>
      </c>
      <c r="Y164" s="101">
        <f t="shared" si="24"/>
        <v>0</v>
      </c>
      <c r="Z164" s="101">
        <f t="shared" si="24"/>
        <v>0</v>
      </c>
      <c r="AA164" s="101">
        <f t="shared" si="24"/>
        <v>0</v>
      </c>
      <c r="AB164" s="22"/>
    </row>
    <row r="165" spans="1:28" s="23" customFormat="1" ht="10.199999999999999" x14ac:dyDescent="0.2">
      <c r="A165" s="22"/>
      <c r="B165" s="22"/>
      <c r="C165" s="22"/>
      <c r="D165" s="22"/>
      <c r="E165" s="22" t="str">
        <f>E157</f>
        <v>маркетинговые расходы (начисл/оплаты)</v>
      </c>
      <c r="F165" s="22"/>
      <c r="G165" s="22" t="str">
        <f>IF($E165="","",INDEX(KPI!$G:$G,SUMIFS(KPI!$B:$B,KPI!$E:$E,$E165)))</f>
        <v>тыс.руб.</v>
      </c>
      <c r="H165" s="100">
        <f>структура!$V$19</f>
        <v>8</v>
      </c>
      <c r="I165" s="31"/>
      <c r="J165" s="98" t="str">
        <f>структура!$X$19</f>
        <v>авг</v>
      </c>
      <c r="K165" s="99"/>
      <c r="L165" s="22"/>
      <c r="M165" s="58"/>
      <c r="N165" s="22"/>
      <c r="O165" s="22"/>
      <c r="P165" s="101">
        <f t="shared" ref="P165:AA165" si="25">IF(P$1="",0,(P67+P146)*P$154)</f>
        <v>61.818750000000001</v>
      </c>
      <c r="Q165" s="101">
        <f t="shared" si="25"/>
        <v>63.381250000000001</v>
      </c>
      <c r="R165" s="101">
        <f t="shared" si="25"/>
        <v>52.58</v>
      </c>
      <c r="S165" s="101">
        <f t="shared" si="25"/>
        <v>40.372499999999995</v>
      </c>
      <c r="T165" s="101">
        <f t="shared" si="25"/>
        <v>41.778749999999995</v>
      </c>
      <c r="U165" s="101">
        <f t="shared" si="25"/>
        <v>39.710250000000002</v>
      </c>
      <c r="V165" s="101">
        <f t="shared" si="25"/>
        <v>39.503125000000004</v>
      </c>
      <c r="W165" s="101">
        <f t="shared" si="25"/>
        <v>0</v>
      </c>
      <c r="X165" s="101">
        <f t="shared" si="25"/>
        <v>0</v>
      </c>
      <c r="Y165" s="101">
        <f t="shared" si="25"/>
        <v>0</v>
      </c>
      <c r="Z165" s="101">
        <f t="shared" si="25"/>
        <v>0</v>
      </c>
      <c r="AA165" s="101">
        <f t="shared" si="25"/>
        <v>0</v>
      </c>
      <c r="AB165" s="22"/>
    </row>
    <row r="166" spans="1:28" s="23" customFormat="1" ht="10.199999999999999" x14ac:dyDescent="0.2">
      <c r="A166" s="22"/>
      <c r="B166" s="22"/>
      <c r="C166" s="22"/>
      <c r="D166" s="22"/>
      <c r="E166" s="22" t="str">
        <f>E157</f>
        <v>маркетинговые расходы (начисл/оплаты)</v>
      </c>
      <c r="F166" s="22"/>
      <c r="G166" s="22" t="str">
        <f>IF($E166="","",INDEX(KPI!$G:$G,SUMIFS(KPI!$B:$B,KPI!$E:$E,$E166)))</f>
        <v>тыс.руб.</v>
      </c>
      <c r="H166" s="100">
        <f>структура!$V$20</f>
        <v>9</v>
      </c>
      <c r="I166" s="31"/>
      <c r="J166" s="98" t="str">
        <f>структура!$X$20</f>
        <v>сен</v>
      </c>
      <c r="K166" s="99"/>
      <c r="L166" s="22"/>
      <c r="M166" s="58"/>
      <c r="N166" s="22"/>
      <c r="O166" s="22"/>
      <c r="P166" s="101">
        <f t="shared" ref="P166:AA166" si="26">IF(P$1="",0,(P68+P147)*P$154)</f>
        <v>66.197788461538465</v>
      </c>
      <c r="Q166" s="101">
        <f t="shared" si="26"/>
        <v>68.385288461538465</v>
      </c>
      <c r="R166" s="101">
        <f t="shared" si="26"/>
        <v>57.333230769230767</v>
      </c>
      <c r="S166" s="101">
        <f t="shared" si="26"/>
        <v>44.312423076923075</v>
      </c>
      <c r="T166" s="101">
        <f t="shared" si="26"/>
        <v>46.281173076923075</v>
      </c>
      <c r="U166" s="101">
        <f t="shared" si="26"/>
        <v>44.606180769230768</v>
      </c>
      <c r="V166" s="101">
        <f t="shared" si="26"/>
        <v>45.130144230769233</v>
      </c>
      <c r="W166" s="101">
        <f t="shared" si="26"/>
        <v>0</v>
      </c>
      <c r="X166" s="101">
        <f t="shared" si="26"/>
        <v>0</v>
      </c>
      <c r="Y166" s="101">
        <f t="shared" si="26"/>
        <v>0</v>
      </c>
      <c r="Z166" s="101">
        <f t="shared" si="26"/>
        <v>0</v>
      </c>
      <c r="AA166" s="101">
        <f t="shared" si="26"/>
        <v>0</v>
      </c>
      <c r="AB166" s="22"/>
    </row>
    <row r="167" spans="1:28" s="23" customFormat="1" ht="10.199999999999999" x14ac:dyDescent="0.2">
      <c r="A167" s="22"/>
      <c r="B167" s="22"/>
      <c r="C167" s="22"/>
      <c r="D167" s="22"/>
      <c r="E167" s="22" t="str">
        <f>E157</f>
        <v>маркетинговые расходы (начисл/оплаты)</v>
      </c>
      <c r="F167" s="22"/>
      <c r="G167" s="22" t="str">
        <f>IF($E167="","",INDEX(KPI!$G:$G,SUMIFS(KPI!$B:$B,KPI!$E:$E,$E167)))</f>
        <v>тыс.руб.</v>
      </c>
      <c r="H167" s="100">
        <f>структура!$V$21</f>
        <v>10</v>
      </c>
      <c r="I167" s="31"/>
      <c r="J167" s="98" t="str">
        <f>структура!$X$21</f>
        <v>окт</v>
      </c>
      <c r="K167" s="99"/>
      <c r="L167" s="22"/>
      <c r="M167" s="58"/>
      <c r="N167" s="22"/>
      <c r="O167" s="22"/>
      <c r="P167" s="101">
        <f t="shared" ref="P167:AA167" si="27">IF(P$1="",0,(P69+P148)*P$154)</f>
        <v>57.782999999999994</v>
      </c>
      <c r="Q167" s="101">
        <f t="shared" si="27"/>
        <v>59.332999999999998</v>
      </c>
      <c r="R167" s="101">
        <f t="shared" si="27"/>
        <v>49.326399999999992</v>
      </c>
      <c r="S167" s="101">
        <f t="shared" si="27"/>
        <v>37.924799999999998</v>
      </c>
      <c r="T167" s="101">
        <f t="shared" si="27"/>
        <v>39.319799999999994</v>
      </c>
      <c r="U167" s="101">
        <f t="shared" si="27"/>
        <v>37.480319999999999</v>
      </c>
      <c r="V167" s="101">
        <f t="shared" si="27"/>
        <v>37.416499999999999</v>
      </c>
      <c r="W167" s="101">
        <f t="shared" si="27"/>
        <v>0</v>
      </c>
      <c r="X167" s="101">
        <f t="shared" si="27"/>
        <v>0</v>
      </c>
      <c r="Y167" s="101">
        <f t="shared" si="27"/>
        <v>0</v>
      </c>
      <c r="Z167" s="101">
        <f t="shared" si="27"/>
        <v>0</v>
      </c>
      <c r="AA167" s="101">
        <f t="shared" si="27"/>
        <v>0</v>
      </c>
      <c r="AB167" s="22"/>
    </row>
    <row r="168" spans="1:28" s="23" customFormat="1" ht="10.199999999999999" x14ac:dyDescent="0.2">
      <c r="A168" s="22"/>
      <c r="B168" s="22"/>
      <c r="C168" s="22"/>
      <c r="D168" s="22"/>
      <c r="E168" s="22" t="str">
        <f>E157</f>
        <v>маркетинговые расходы (начисл/оплаты)</v>
      </c>
      <c r="F168" s="22"/>
      <c r="G168" s="22" t="str">
        <f>IF($E168="","",INDEX(KPI!$G:$G,SUMIFS(KPI!$B:$B,KPI!$E:$E,$E168)))</f>
        <v>тыс.руб.</v>
      </c>
      <c r="H168" s="100">
        <f>структура!$V$22</f>
        <v>11</v>
      </c>
      <c r="I168" s="31"/>
      <c r="J168" s="98" t="str">
        <f>структура!$X$22</f>
        <v>ноя</v>
      </c>
      <c r="K168" s="99"/>
      <c r="L168" s="22"/>
      <c r="M168" s="58"/>
      <c r="N168" s="22"/>
      <c r="O168" s="22"/>
      <c r="P168" s="101">
        <f t="shared" ref="P168:AA168" si="28">IF(P$1="",0,(P70+P149)*P$154)</f>
        <v>60.524038461538424</v>
      </c>
      <c r="Q168" s="101">
        <f t="shared" si="28"/>
        <v>62.099038461538413</v>
      </c>
      <c r="R168" s="101">
        <f t="shared" si="28"/>
        <v>51.569230769230728</v>
      </c>
      <c r="S168" s="101">
        <f t="shared" si="28"/>
        <v>39.621923076923039</v>
      </c>
      <c r="T168" s="101">
        <f t="shared" si="28"/>
        <v>41.039423076923029</v>
      </c>
      <c r="U168" s="101">
        <f t="shared" si="28"/>
        <v>39.061730769230721</v>
      </c>
      <c r="V168" s="101">
        <f t="shared" si="28"/>
        <v>38.924519230769185</v>
      </c>
      <c r="W168" s="101">
        <f t="shared" si="28"/>
        <v>0</v>
      </c>
      <c r="X168" s="101">
        <f t="shared" si="28"/>
        <v>0</v>
      </c>
      <c r="Y168" s="101">
        <f t="shared" si="28"/>
        <v>0</v>
      </c>
      <c r="Z168" s="101">
        <f t="shared" si="28"/>
        <v>0</v>
      </c>
      <c r="AA168" s="101">
        <f t="shared" si="28"/>
        <v>0</v>
      </c>
      <c r="AB168" s="22"/>
    </row>
    <row r="169" spans="1:28" s="23" customFormat="1" ht="10.199999999999999" x14ac:dyDescent="0.2">
      <c r="A169" s="22"/>
      <c r="B169" s="22"/>
      <c r="C169" s="22"/>
      <c r="D169" s="22"/>
      <c r="E169" s="22" t="str">
        <f>E157</f>
        <v>маркетинговые расходы (начисл/оплаты)</v>
      </c>
      <c r="F169" s="22"/>
      <c r="G169" s="22" t="str">
        <f>IF($E169="","",INDEX(KPI!$G:$G,SUMIFS(KPI!$B:$B,KPI!$E:$E,$E169)))</f>
        <v>тыс.руб.</v>
      </c>
      <c r="H169" s="100">
        <f>структура!$V$23</f>
        <v>12</v>
      </c>
      <c r="I169" s="31"/>
      <c r="J169" s="98" t="str">
        <f>структура!$X$23</f>
        <v>дек</v>
      </c>
      <c r="K169" s="99"/>
      <c r="L169" s="22"/>
      <c r="M169" s="58"/>
      <c r="N169" s="22"/>
      <c r="O169" s="22"/>
      <c r="P169" s="101">
        <f t="shared" ref="P169:AA169" si="29">IF(P$1="",0,(P59+P138)*P$154)</f>
        <v>54.662788461538462</v>
      </c>
      <c r="Q169" s="101">
        <f t="shared" si="29"/>
        <v>55.600288461538462</v>
      </c>
      <c r="R169" s="101">
        <f t="shared" si="29"/>
        <v>45.605230769230765</v>
      </c>
      <c r="S169" s="101">
        <f t="shared" si="29"/>
        <v>34.766423076923076</v>
      </c>
      <c r="T169" s="101">
        <f t="shared" si="29"/>
        <v>35.610173076923076</v>
      </c>
      <c r="U169" s="101">
        <f t="shared" si="29"/>
        <v>33.314780769230765</v>
      </c>
      <c r="V169" s="101">
        <f t="shared" si="29"/>
        <v>32.487644230769227</v>
      </c>
      <c r="W169" s="101">
        <f t="shared" si="29"/>
        <v>0</v>
      </c>
      <c r="X169" s="101">
        <f t="shared" si="29"/>
        <v>0</v>
      </c>
      <c r="Y169" s="101">
        <f t="shared" si="29"/>
        <v>0</v>
      </c>
      <c r="Z169" s="101">
        <f t="shared" si="29"/>
        <v>0</v>
      </c>
      <c r="AA169" s="101">
        <f t="shared" si="29"/>
        <v>0</v>
      </c>
      <c r="AB169" s="22"/>
    </row>
    <row r="170" spans="1:28" ht="3.9" customHeight="1" x14ac:dyDescent="0.25">
      <c r="A170" s="2"/>
      <c r="B170" s="2"/>
      <c r="C170" s="2"/>
      <c r="D170" s="2"/>
      <c r="E170" s="21"/>
      <c r="F170" s="2"/>
      <c r="G170" s="21"/>
      <c r="H170" s="2"/>
      <c r="I170" s="28"/>
      <c r="J170" s="21"/>
      <c r="K170" s="28"/>
      <c r="L170" s="2"/>
      <c r="M170" s="52"/>
      <c r="N170" s="2"/>
      <c r="O170" s="2"/>
      <c r="P170" s="36"/>
      <c r="Q170" s="36"/>
      <c r="R170" s="36"/>
      <c r="S170" s="36"/>
      <c r="T170" s="36"/>
      <c r="U170" s="36"/>
      <c r="V170" s="36"/>
      <c r="W170" s="36"/>
      <c r="X170" s="36"/>
      <c r="Y170" s="36"/>
      <c r="Z170" s="36"/>
      <c r="AA170" s="36"/>
      <c r="AB170" s="2"/>
    </row>
    <row r="171" spans="1:28" ht="8.1" customHeight="1" x14ac:dyDescent="0.25">
      <c r="A171" s="2"/>
      <c r="B171" s="2"/>
      <c r="C171" s="2"/>
      <c r="D171" s="2"/>
      <c r="E171" s="2"/>
      <c r="F171" s="2"/>
      <c r="G171" s="2"/>
      <c r="H171" s="2"/>
      <c r="I171" s="28"/>
      <c r="J171" s="2"/>
      <c r="K171" s="28"/>
      <c r="L171" s="2"/>
      <c r="M171" s="52"/>
      <c r="N171" s="2"/>
      <c r="O171" s="2"/>
      <c r="P171" s="36"/>
      <c r="Q171" s="36"/>
      <c r="R171" s="36"/>
      <c r="S171" s="36"/>
      <c r="T171" s="36"/>
      <c r="U171" s="36"/>
      <c r="V171" s="36"/>
      <c r="W171" s="36"/>
      <c r="X171" s="36"/>
      <c r="Y171" s="36"/>
      <c r="Z171" s="36"/>
      <c r="AA171" s="36"/>
      <c r="AB171" s="2"/>
    </row>
    <row r="172" spans="1:28" s="5" customFormat="1" x14ac:dyDescent="0.25">
      <c r="A172" s="3"/>
      <c r="B172" s="3"/>
      <c r="C172" s="3"/>
      <c r="D172" s="3"/>
      <c r="E172" s="3" t="str">
        <f>KPI!$E$45</f>
        <v>аренда земли в год</v>
      </c>
      <c r="F172" s="3"/>
      <c r="G172" s="3" t="str">
        <f>IF($E172="","",INDEX(KPI!$G:$G,SUMIFS(KPI!$B:$B,KPI!$E:$E,$E172)))</f>
        <v>тыс.руб.</v>
      </c>
      <c r="H172" s="3"/>
      <c r="I172" s="6"/>
      <c r="J172" s="204">
        <f>операции!J247</f>
        <v>2608.6498461975634</v>
      </c>
      <c r="K172" s="28"/>
      <c r="L172" s="2"/>
      <c r="M172" s="52"/>
      <c r="N172" s="3"/>
      <c r="O172" s="2"/>
      <c r="P172" s="36"/>
      <c r="Q172" s="36"/>
      <c r="R172" s="36"/>
      <c r="S172" s="36"/>
      <c r="T172" s="36"/>
      <c r="U172" s="36"/>
      <c r="V172" s="36"/>
      <c r="W172" s="36"/>
      <c r="X172" s="36"/>
      <c r="Y172" s="36"/>
      <c r="Z172" s="36"/>
      <c r="AA172" s="36"/>
      <c r="AB172" s="2"/>
    </row>
    <row r="173" spans="1:28" ht="3.9" customHeight="1" x14ac:dyDescent="0.25">
      <c r="A173" s="2"/>
      <c r="B173" s="2"/>
      <c r="C173" s="2"/>
      <c r="D173" s="2"/>
      <c r="E173" s="110"/>
      <c r="F173" s="2"/>
      <c r="G173" s="2"/>
      <c r="H173" s="2"/>
      <c r="I173" s="28"/>
      <c r="J173" s="2"/>
      <c r="K173" s="28"/>
      <c r="L173" s="2"/>
      <c r="M173" s="52"/>
      <c r="N173" s="2"/>
      <c r="O173" s="2"/>
      <c r="P173" s="36"/>
      <c r="Q173" s="36"/>
      <c r="R173" s="36"/>
      <c r="S173" s="36"/>
      <c r="T173" s="36"/>
      <c r="U173" s="36"/>
      <c r="V173" s="36"/>
      <c r="W173" s="36"/>
      <c r="X173" s="36"/>
      <c r="Y173" s="36"/>
      <c r="Z173" s="36"/>
      <c r="AA173" s="36"/>
      <c r="AB173" s="2"/>
    </row>
    <row r="174" spans="1:28" ht="8.1" customHeight="1" x14ac:dyDescent="0.25">
      <c r="A174" s="2"/>
      <c r="B174" s="2"/>
      <c r="C174" s="2"/>
      <c r="D174" s="2"/>
      <c r="E174" s="2"/>
      <c r="F174" s="2"/>
      <c r="G174" s="2"/>
      <c r="H174" s="2"/>
      <c r="I174" s="28"/>
      <c r="J174" s="2"/>
      <c r="K174" s="28"/>
      <c r="L174" s="2"/>
      <c r="M174" s="52"/>
      <c r="N174" s="2"/>
      <c r="O174" s="2"/>
      <c r="P174" s="36"/>
      <c r="Q174" s="36"/>
      <c r="R174" s="36"/>
      <c r="S174" s="36"/>
      <c r="T174" s="36"/>
      <c r="U174" s="36"/>
      <c r="V174" s="36"/>
      <c r="W174" s="36"/>
      <c r="X174" s="36"/>
      <c r="Y174" s="36"/>
      <c r="Z174" s="36"/>
      <c r="AA174" s="36"/>
      <c r="AB174" s="2"/>
    </row>
    <row r="175" spans="1:28" s="5" customFormat="1" x14ac:dyDescent="0.25">
      <c r="A175" s="3"/>
      <c r="B175" s="3"/>
      <c r="C175" s="3"/>
      <c r="D175" s="111"/>
      <c r="E175" s="3" t="str">
        <f>KPI!$E$46</f>
        <v>аренда земли - начисление</v>
      </c>
      <c r="F175" s="3"/>
      <c r="G175" s="3" t="str">
        <f>IF($E175="","",INDEX(KPI!$G:$G,SUMIFS(KPI!$B:$B,KPI!$E:$E,$E175)))</f>
        <v>тыс.руб.</v>
      </c>
      <c r="H175" s="103"/>
      <c r="I175" s="28"/>
      <c r="J175" s="44"/>
      <c r="K175" s="28"/>
      <c r="L175" s="3"/>
      <c r="M175" s="55">
        <f>SUM($O175:$AB175)</f>
        <v>18260.548923382947</v>
      </c>
      <c r="N175" s="3"/>
      <c r="O175" s="3"/>
      <c r="P175" s="46">
        <f>IF(P$1="",0,IF(P$1=0,SUMIFS(P176:P187,H176:H187,"&gt;="&amp;MONTH($J$13)),SUM(P176:P187)))</f>
        <v>2608.6498461975639</v>
      </c>
      <c r="Q175" s="46">
        <f t="shared" ref="Q175" si="30">IF(Q$1="",0,SUM(Q176:Q187))</f>
        <v>2608.6498461975639</v>
      </c>
      <c r="R175" s="46">
        <f t="shared" ref="R175:AA175" si="31">IF(R$1="",0,SUM(R176:R187))</f>
        <v>2608.6498461975639</v>
      </c>
      <c r="S175" s="46">
        <f t="shared" si="31"/>
        <v>2608.6498461975639</v>
      </c>
      <c r="T175" s="46">
        <f t="shared" si="31"/>
        <v>2608.6498461975639</v>
      </c>
      <c r="U175" s="46">
        <f t="shared" si="31"/>
        <v>2608.6498461975639</v>
      </c>
      <c r="V175" s="46">
        <f t="shared" si="31"/>
        <v>2608.6498461975639</v>
      </c>
      <c r="W175" s="46">
        <f t="shared" si="31"/>
        <v>0</v>
      </c>
      <c r="X175" s="46">
        <f t="shared" si="31"/>
        <v>0</v>
      </c>
      <c r="Y175" s="46">
        <f t="shared" si="31"/>
        <v>0</v>
      </c>
      <c r="Z175" s="46">
        <f t="shared" si="31"/>
        <v>0</v>
      </c>
      <c r="AA175" s="46">
        <f t="shared" si="31"/>
        <v>0</v>
      </c>
      <c r="AB175" s="3"/>
    </row>
    <row r="176" spans="1:28" s="23" customFormat="1" ht="10.199999999999999" x14ac:dyDescent="0.2">
      <c r="A176" s="22"/>
      <c r="B176" s="22"/>
      <c r="C176" s="22"/>
      <c r="D176" s="22"/>
      <c r="E176" s="22" t="str">
        <f>E175</f>
        <v>аренда земли - начисление</v>
      </c>
      <c r="F176" s="22"/>
      <c r="G176" s="22" t="str">
        <f>IF($E176="","",INDEX(KPI!$G:$G,SUMIFS(KPI!$B:$B,KPI!$E:$E,$E176)))</f>
        <v>тыс.руб.</v>
      </c>
      <c r="H176" s="100">
        <f>структура!$V$12</f>
        <v>1</v>
      </c>
      <c r="I176" s="31"/>
      <c r="J176" s="98" t="str">
        <f>структура!$X$12</f>
        <v>янв</v>
      </c>
      <c r="K176" s="99"/>
      <c r="L176" s="22"/>
      <c r="M176" s="58"/>
      <c r="N176" s="22"/>
      <c r="O176" s="22"/>
      <c r="P176" s="101">
        <f t="shared" ref="P176:AA187" si="32">IF(P$1="",0,$J$172/12)</f>
        <v>217.38748718313028</v>
      </c>
      <c r="Q176" s="101">
        <f t="shared" si="32"/>
        <v>217.38748718313028</v>
      </c>
      <c r="R176" s="101">
        <f t="shared" si="32"/>
        <v>217.38748718313028</v>
      </c>
      <c r="S176" s="101">
        <f t="shared" si="32"/>
        <v>217.38748718313028</v>
      </c>
      <c r="T176" s="101">
        <f t="shared" si="32"/>
        <v>217.38748718313028</v>
      </c>
      <c r="U176" s="101">
        <f t="shared" si="32"/>
        <v>217.38748718313028</v>
      </c>
      <c r="V176" s="101">
        <f t="shared" si="32"/>
        <v>217.38748718313028</v>
      </c>
      <c r="W176" s="101">
        <f t="shared" si="32"/>
        <v>0</v>
      </c>
      <c r="X176" s="101">
        <f t="shared" si="32"/>
        <v>0</v>
      </c>
      <c r="Y176" s="101">
        <f t="shared" si="32"/>
        <v>0</v>
      </c>
      <c r="Z176" s="101">
        <f t="shared" si="32"/>
        <v>0</v>
      </c>
      <c r="AA176" s="101">
        <f t="shared" si="32"/>
        <v>0</v>
      </c>
      <c r="AB176" s="22"/>
    </row>
    <row r="177" spans="1:28" s="23" customFormat="1" ht="10.199999999999999" x14ac:dyDescent="0.2">
      <c r="A177" s="22"/>
      <c r="B177" s="22"/>
      <c r="C177" s="22"/>
      <c r="D177" s="22"/>
      <c r="E177" s="22" t="str">
        <f>E175</f>
        <v>аренда земли - начисление</v>
      </c>
      <c r="F177" s="22"/>
      <c r="G177" s="22" t="str">
        <f>IF($E177="","",INDEX(KPI!$G:$G,SUMIFS(KPI!$B:$B,KPI!$E:$E,$E177)))</f>
        <v>тыс.руб.</v>
      </c>
      <c r="H177" s="100">
        <f>структура!$V$13</f>
        <v>2</v>
      </c>
      <c r="I177" s="31"/>
      <c r="J177" s="98" t="str">
        <f>структура!$X$13</f>
        <v>фев</v>
      </c>
      <c r="K177" s="99"/>
      <c r="L177" s="22"/>
      <c r="M177" s="58"/>
      <c r="N177" s="22"/>
      <c r="O177" s="22"/>
      <c r="P177" s="101">
        <f t="shared" si="32"/>
        <v>217.38748718313028</v>
      </c>
      <c r="Q177" s="101">
        <f t="shared" si="32"/>
        <v>217.38748718313028</v>
      </c>
      <c r="R177" s="101">
        <f t="shared" si="32"/>
        <v>217.38748718313028</v>
      </c>
      <c r="S177" s="101">
        <f t="shared" si="32"/>
        <v>217.38748718313028</v>
      </c>
      <c r="T177" s="101">
        <f t="shared" si="32"/>
        <v>217.38748718313028</v>
      </c>
      <c r="U177" s="101">
        <f t="shared" si="32"/>
        <v>217.38748718313028</v>
      </c>
      <c r="V177" s="101">
        <f t="shared" si="32"/>
        <v>217.38748718313028</v>
      </c>
      <c r="W177" s="101">
        <f t="shared" si="32"/>
        <v>0</v>
      </c>
      <c r="X177" s="101">
        <f t="shared" si="32"/>
        <v>0</v>
      </c>
      <c r="Y177" s="101">
        <f t="shared" si="32"/>
        <v>0</v>
      </c>
      <c r="Z177" s="101">
        <f t="shared" si="32"/>
        <v>0</v>
      </c>
      <c r="AA177" s="101">
        <f t="shared" si="32"/>
        <v>0</v>
      </c>
      <c r="AB177" s="22"/>
    </row>
    <row r="178" spans="1:28" s="23" customFormat="1" ht="10.199999999999999" x14ac:dyDescent="0.2">
      <c r="A178" s="22"/>
      <c r="B178" s="22"/>
      <c r="C178" s="22"/>
      <c r="D178" s="22"/>
      <c r="E178" s="22" t="str">
        <f>E175</f>
        <v>аренда земли - начисление</v>
      </c>
      <c r="F178" s="22"/>
      <c r="G178" s="22" t="str">
        <f>IF($E178="","",INDEX(KPI!$G:$G,SUMIFS(KPI!$B:$B,KPI!$E:$E,$E178)))</f>
        <v>тыс.руб.</v>
      </c>
      <c r="H178" s="100">
        <f>структура!$V$14</f>
        <v>3</v>
      </c>
      <c r="I178" s="31"/>
      <c r="J178" s="98" t="str">
        <f>структура!$X$14</f>
        <v>мар</v>
      </c>
      <c r="K178" s="99"/>
      <c r="L178" s="22"/>
      <c r="M178" s="58"/>
      <c r="N178" s="22"/>
      <c r="O178" s="22"/>
      <c r="P178" s="101">
        <f t="shared" si="32"/>
        <v>217.38748718313028</v>
      </c>
      <c r="Q178" s="101">
        <f t="shared" si="32"/>
        <v>217.38748718313028</v>
      </c>
      <c r="R178" s="101">
        <f t="shared" si="32"/>
        <v>217.38748718313028</v>
      </c>
      <c r="S178" s="101">
        <f t="shared" si="32"/>
        <v>217.38748718313028</v>
      </c>
      <c r="T178" s="101">
        <f t="shared" si="32"/>
        <v>217.38748718313028</v>
      </c>
      <c r="U178" s="101">
        <f t="shared" si="32"/>
        <v>217.38748718313028</v>
      </c>
      <c r="V178" s="101">
        <f t="shared" si="32"/>
        <v>217.38748718313028</v>
      </c>
      <c r="W178" s="101">
        <f t="shared" si="32"/>
        <v>0</v>
      </c>
      <c r="X178" s="101">
        <f t="shared" si="32"/>
        <v>0</v>
      </c>
      <c r="Y178" s="101">
        <f t="shared" si="32"/>
        <v>0</v>
      </c>
      <c r="Z178" s="101">
        <f t="shared" si="32"/>
        <v>0</v>
      </c>
      <c r="AA178" s="101">
        <f t="shared" si="32"/>
        <v>0</v>
      </c>
      <c r="AB178" s="22"/>
    </row>
    <row r="179" spans="1:28" s="23" customFormat="1" ht="10.199999999999999" x14ac:dyDescent="0.2">
      <c r="A179" s="22"/>
      <c r="B179" s="22"/>
      <c r="C179" s="22"/>
      <c r="D179" s="22"/>
      <c r="E179" s="22" t="str">
        <f>E175</f>
        <v>аренда земли - начисление</v>
      </c>
      <c r="F179" s="22"/>
      <c r="G179" s="22" t="str">
        <f>IF($E179="","",INDEX(KPI!$G:$G,SUMIFS(KPI!$B:$B,KPI!$E:$E,$E179)))</f>
        <v>тыс.руб.</v>
      </c>
      <c r="H179" s="100">
        <f>структура!$V$15</f>
        <v>4</v>
      </c>
      <c r="I179" s="31"/>
      <c r="J179" s="98" t="str">
        <f>структура!$X$15</f>
        <v>апр</v>
      </c>
      <c r="K179" s="99"/>
      <c r="L179" s="22"/>
      <c r="M179" s="58"/>
      <c r="N179" s="22"/>
      <c r="O179" s="22"/>
      <c r="P179" s="101">
        <f t="shared" si="32"/>
        <v>217.38748718313028</v>
      </c>
      <c r="Q179" s="101">
        <f t="shared" si="32"/>
        <v>217.38748718313028</v>
      </c>
      <c r="R179" s="101">
        <f t="shared" si="32"/>
        <v>217.38748718313028</v>
      </c>
      <c r="S179" s="101">
        <f t="shared" si="32"/>
        <v>217.38748718313028</v>
      </c>
      <c r="T179" s="101">
        <f t="shared" si="32"/>
        <v>217.38748718313028</v>
      </c>
      <c r="U179" s="101">
        <f t="shared" si="32"/>
        <v>217.38748718313028</v>
      </c>
      <c r="V179" s="101">
        <f t="shared" si="32"/>
        <v>217.38748718313028</v>
      </c>
      <c r="W179" s="101">
        <f t="shared" si="32"/>
        <v>0</v>
      </c>
      <c r="X179" s="101">
        <f t="shared" si="32"/>
        <v>0</v>
      </c>
      <c r="Y179" s="101">
        <f t="shared" si="32"/>
        <v>0</v>
      </c>
      <c r="Z179" s="101">
        <f t="shared" si="32"/>
        <v>0</v>
      </c>
      <c r="AA179" s="101">
        <f t="shared" si="32"/>
        <v>0</v>
      </c>
      <c r="AB179" s="22"/>
    </row>
    <row r="180" spans="1:28" s="23" customFormat="1" ht="10.199999999999999" x14ac:dyDescent="0.2">
      <c r="A180" s="22"/>
      <c r="B180" s="22"/>
      <c r="C180" s="22"/>
      <c r="D180" s="22"/>
      <c r="E180" s="22" t="str">
        <f>E175</f>
        <v>аренда земли - начисление</v>
      </c>
      <c r="F180" s="22"/>
      <c r="G180" s="22" t="str">
        <f>IF($E180="","",INDEX(KPI!$G:$G,SUMIFS(KPI!$B:$B,KPI!$E:$E,$E180)))</f>
        <v>тыс.руб.</v>
      </c>
      <c r="H180" s="100">
        <f>структура!$V$16</f>
        <v>5</v>
      </c>
      <c r="I180" s="31"/>
      <c r="J180" s="98" t="str">
        <f>структура!$X$16</f>
        <v>май</v>
      </c>
      <c r="K180" s="99"/>
      <c r="L180" s="22"/>
      <c r="M180" s="58"/>
      <c r="N180" s="22"/>
      <c r="O180" s="22"/>
      <c r="P180" s="101">
        <f t="shared" si="32"/>
        <v>217.38748718313028</v>
      </c>
      <c r="Q180" s="101">
        <f t="shared" si="32"/>
        <v>217.38748718313028</v>
      </c>
      <c r="R180" s="101">
        <f t="shared" si="32"/>
        <v>217.38748718313028</v>
      </c>
      <c r="S180" s="101">
        <f t="shared" si="32"/>
        <v>217.38748718313028</v>
      </c>
      <c r="T180" s="101">
        <f t="shared" si="32"/>
        <v>217.38748718313028</v>
      </c>
      <c r="U180" s="101">
        <f t="shared" si="32"/>
        <v>217.38748718313028</v>
      </c>
      <c r="V180" s="101">
        <f t="shared" si="32"/>
        <v>217.38748718313028</v>
      </c>
      <c r="W180" s="101">
        <f t="shared" si="32"/>
        <v>0</v>
      </c>
      <c r="X180" s="101">
        <f t="shared" si="32"/>
        <v>0</v>
      </c>
      <c r="Y180" s="101">
        <f t="shared" si="32"/>
        <v>0</v>
      </c>
      <c r="Z180" s="101">
        <f t="shared" si="32"/>
        <v>0</v>
      </c>
      <c r="AA180" s="101">
        <f t="shared" si="32"/>
        <v>0</v>
      </c>
      <c r="AB180" s="22"/>
    </row>
    <row r="181" spans="1:28" s="23" customFormat="1" ht="10.199999999999999" x14ac:dyDescent="0.2">
      <c r="A181" s="22"/>
      <c r="B181" s="22"/>
      <c r="C181" s="22"/>
      <c r="D181" s="22"/>
      <c r="E181" s="22" t="str">
        <f>E175</f>
        <v>аренда земли - начисление</v>
      </c>
      <c r="F181" s="22"/>
      <c r="G181" s="22" t="str">
        <f>IF($E181="","",INDEX(KPI!$G:$G,SUMIFS(KPI!$B:$B,KPI!$E:$E,$E181)))</f>
        <v>тыс.руб.</v>
      </c>
      <c r="H181" s="100">
        <f>структура!$V$17</f>
        <v>6</v>
      </c>
      <c r="I181" s="31"/>
      <c r="J181" s="98" t="str">
        <f>структура!$X$17</f>
        <v>июн</v>
      </c>
      <c r="K181" s="99"/>
      <c r="L181" s="22"/>
      <c r="M181" s="58"/>
      <c r="N181" s="22"/>
      <c r="O181" s="22"/>
      <c r="P181" s="101">
        <f t="shared" si="32"/>
        <v>217.38748718313028</v>
      </c>
      <c r="Q181" s="101">
        <f t="shared" si="32"/>
        <v>217.38748718313028</v>
      </c>
      <c r="R181" s="101">
        <f t="shared" si="32"/>
        <v>217.38748718313028</v>
      </c>
      <c r="S181" s="101">
        <f t="shared" si="32"/>
        <v>217.38748718313028</v>
      </c>
      <c r="T181" s="101">
        <f t="shared" si="32"/>
        <v>217.38748718313028</v>
      </c>
      <c r="U181" s="101">
        <f t="shared" si="32"/>
        <v>217.38748718313028</v>
      </c>
      <c r="V181" s="101">
        <f t="shared" si="32"/>
        <v>217.38748718313028</v>
      </c>
      <c r="W181" s="101">
        <f t="shared" si="32"/>
        <v>0</v>
      </c>
      <c r="X181" s="101">
        <f t="shared" si="32"/>
        <v>0</v>
      </c>
      <c r="Y181" s="101">
        <f t="shared" si="32"/>
        <v>0</v>
      </c>
      <c r="Z181" s="101">
        <f t="shared" si="32"/>
        <v>0</v>
      </c>
      <c r="AA181" s="101">
        <f t="shared" si="32"/>
        <v>0</v>
      </c>
      <c r="AB181" s="22"/>
    </row>
    <row r="182" spans="1:28" s="23" customFormat="1" ht="10.199999999999999" x14ac:dyDescent="0.2">
      <c r="A182" s="22"/>
      <c r="B182" s="22"/>
      <c r="C182" s="22"/>
      <c r="D182" s="22"/>
      <c r="E182" s="22" t="str">
        <f>E175</f>
        <v>аренда земли - начисление</v>
      </c>
      <c r="F182" s="22"/>
      <c r="G182" s="22" t="str">
        <f>IF($E182="","",INDEX(KPI!$G:$G,SUMIFS(KPI!$B:$B,KPI!$E:$E,$E182)))</f>
        <v>тыс.руб.</v>
      </c>
      <c r="H182" s="100">
        <f>структура!$V$18</f>
        <v>7</v>
      </c>
      <c r="I182" s="31"/>
      <c r="J182" s="98" t="str">
        <f>структура!$X$18</f>
        <v>июл</v>
      </c>
      <c r="K182" s="99"/>
      <c r="L182" s="22"/>
      <c r="M182" s="58"/>
      <c r="N182" s="22"/>
      <c r="O182" s="22"/>
      <c r="P182" s="101">
        <f t="shared" si="32"/>
        <v>217.38748718313028</v>
      </c>
      <c r="Q182" s="101">
        <f t="shared" si="32"/>
        <v>217.38748718313028</v>
      </c>
      <c r="R182" s="101">
        <f t="shared" si="32"/>
        <v>217.38748718313028</v>
      </c>
      <c r="S182" s="101">
        <f t="shared" si="32"/>
        <v>217.38748718313028</v>
      </c>
      <c r="T182" s="101">
        <f t="shared" si="32"/>
        <v>217.38748718313028</v>
      </c>
      <c r="U182" s="101">
        <f t="shared" si="32"/>
        <v>217.38748718313028</v>
      </c>
      <c r="V182" s="101">
        <f t="shared" si="32"/>
        <v>217.38748718313028</v>
      </c>
      <c r="W182" s="101">
        <f t="shared" si="32"/>
        <v>0</v>
      </c>
      <c r="X182" s="101">
        <f t="shared" si="32"/>
        <v>0</v>
      </c>
      <c r="Y182" s="101">
        <f t="shared" si="32"/>
        <v>0</v>
      </c>
      <c r="Z182" s="101">
        <f t="shared" si="32"/>
        <v>0</v>
      </c>
      <c r="AA182" s="101">
        <f t="shared" si="32"/>
        <v>0</v>
      </c>
      <c r="AB182" s="22"/>
    </row>
    <row r="183" spans="1:28" s="23" customFormat="1" ht="10.199999999999999" x14ac:dyDescent="0.2">
      <c r="A183" s="22"/>
      <c r="B183" s="22"/>
      <c r="C183" s="22"/>
      <c r="D183" s="22"/>
      <c r="E183" s="22" t="str">
        <f>E175</f>
        <v>аренда земли - начисление</v>
      </c>
      <c r="F183" s="22"/>
      <c r="G183" s="22" t="str">
        <f>IF($E183="","",INDEX(KPI!$G:$G,SUMIFS(KPI!$B:$B,KPI!$E:$E,$E183)))</f>
        <v>тыс.руб.</v>
      </c>
      <c r="H183" s="100">
        <f>структура!$V$19</f>
        <v>8</v>
      </c>
      <c r="I183" s="31"/>
      <c r="J183" s="98" t="str">
        <f>структура!$X$19</f>
        <v>авг</v>
      </c>
      <c r="K183" s="99"/>
      <c r="L183" s="22"/>
      <c r="M183" s="58"/>
      <c r="N183" s="22"/>
      <c r="O183" s="22"/>
      <c r="P183" s="101">
        <f t="shared" si="32"/>
        <v>217.38748718313028</v>
      </c>
      <c r="Q183" s="101">
        <f t="shared" si="32"/>
        <v>217.38748718313028</v>
      </c>
      <c r="R183" s="101">
        <f t="shared" si="32"/>
        <v>217.38748718313028</v>
      </c>
      <c r="S183" s="101">
        <f t="shared" si="32"/>
        <v>217.38748718313028</v>
      </c>
      <c r="T183" s="101">
        <f t="shared" si="32"/>
        <v>217.38748718313028</v>
      </c>
      <c r="U183" s="101">
        <f t="shared" si="32"/>
        <v>217.38748718313028</v>
      </c>
      <c r="V183" s="101">
        <f t="shared" si="32"/>
        <v>217.38748718313028</v>
      </c>
      <c r="W183" s="101">
        <f t="shared" si="32"/>
        <v>0</v>
      </c>
      <c r="X183" s="101">
        <f t="shared" si="32"/>
        <v>0</v>
      </c>
      <c r="Y183" s="101">
        <f t="shared" si="32"/>
        <v>0</v>
      </c>
      <c r="Z183" s="101">
        <f t="shared" si="32"/>
        <v>0</v>
      </c>
      <c r="AA183" s="101">
        <f t="shared" si="32"/>
        <v>0</v>
      </c>
      <c r="AB183" s="22"/>
    </row>
    <row r="184" spans="1:28" s="23" customFormat="1" ht="10.199999999999999" x14ac:dyDescent="0.2">
      <c r="A184" s="22"/>
      <c r="B184" s="22"/>
      <c r="C184" s="22"/>
      <c r="D184" s="22"/>
      <c r="E184" s="22" t="str">
        <f>E175</f>
        <v>аренда земли - начисление</v>
      </c>
      <c r="F184" s="22"/>
      <c r="G184" s="22" t="str">
        <f>IF($E184="","",INDEX(KPI!$G:$G,SUMIFS(KPI!$B:$B,KPI!$E:$E,$E184)))</f>
        <v>тыс.руб.</v>
      </c>
      <c r="H184" s="100">
        <f>структура!$V$20</f>
        <v>9</v>
      </c>
      <c r="I184" s="31"/>
      <c r="J184" s="98" t="str">
        <f>структура!$X$20</f>
        <v>сен</v>
      </c>
      <c r="K184" s="99"/>
      <c r="L184" s="22"/>
      <c r="M184" s="58"/>
      <c r="N184" s="22"/>
      <c r="O184" s="22"/>
      <c r="P184" s="101">
        <f t="shared" si="32"/>
        <v>217.38748718313028</v>
      </c>
      <c r="Q184" s="101">
        <f t="shared" si="32"/>
        <v>217.38748718313028</v>
      </c>
      <c r="R184" s="101">
        <f t="shared" si="32"/>
        <v>217.38748718313028</v>
      </c>
      <c r="S184" s="101">
        <f t="shared" si="32"/>
        <v>217.38748718313028</v>
      </c>
      <c r="T184" s="101">
        <f t="shared" si="32"/>
        <v>217.38748718313028</v>
      </c>
      <c r="U184" s="101">
        <f t="shared" si="32"/>
        <v>217.38748718313028</v>
      </c>
      <c r="V184" s="101">
        <f t="shared" si="32"/>
        <v>217.38748718313028</v>
      </c>
      <c r="W184" s="101">
        <f t="shared" si="32"/>
        <v>0</v>
      </c>
      <c r="X184" s="101">
        <f t="shared" si="32"/>
        <v>0</v>
      </c>
      <c r="Y184" s="101">
        <f t="shared" si="32"/>
        <v>0</v>
      </c>
      <c r="Z184" s="101">
        <f t="shared" si="32"/>
        <v>0</v>
      </c>
      <c r="AA184" s="101">
        <f t="shared" si="32"/>
        <v>0</v>
      </c>
      <c r="AB184" s="22"/>
    </row>
    <row r="185" spans="1:28" s="23" customFormat="1" ht="10.199999999999999" x14ac:dyDescent="0.2">
      <c r="A185" s="22"/>
      <c r="B185" s="22"/>
      <c r="C185" s="22"/>
      <c r="D185" s="22"/>
      <c r="E185" s="22" t="str">
        <f>E175</f>
        <v>аренда земли - начисление</v>
      </c>
      <c r="F185" s="22"/>
      <c r="G185" s="22" t="str">
        <f>IF($E185="","",INDEX(KPI!$G:$G,SUMIFS(KPI!$B:$B,KPI!$E:$E,$E185)))</f>
        <v>тыс.руб.</v>
      </c>
      <c r="H185" s="100">
        <f>структура!$V$21</f>
        <v>10</v>
      </c>
      <c r="I185" s="31"/>
      <c r="J185" s="98" t="str">
        <f>структура!$X$21</f>
        <v>окт</v>
      </c>
      <c r="K185" s="99"/>
      <c r="L185" s="22"/>
      <c r="M185" s="58"/>
      <c r="N185" s="22"/>
      <c r="O185" s="22"/>
      <c r="P185" s="101">
        <f t="shared" si="32"/>
        <v>217.38748718313028</v>
      </c>
      <c r="Q185" s="101">
        <f t="shared" si="32"/>
        <v>217.38748718313028</v>
      </c>
      <c r="R185" s="101">
        <f t="shared" si="32"/>
        <v>217.38748718313028</v>
      </c>
      <c r="S185" s="101">
        <f t="shared" si="32"/>
        <v>217.38748718313028</v>
      </c>
      <c r="T185" s="101">
        <f t="shared" si="32"/>
        <v>217.38748718313028</v>
      </c>
      <c r="U185" s="101">
        <f t="shared" si="32"/>
        <v>217.38748718313028</v>
      </c>
      <c r="V185" s="101">
        <f t="shared" si="32"/>
        <v>217.38748718313028</v>
      </c>
      <c r="W185" s="101">
        <f t="shared" si="32"/>
        <v>0</v>
      </c>
      <c r="X185" s="101">
        <f t="shared" si="32"/>
        <v>0</v>
      </c>
      <c r="Y185" s="101">
        <f t="shared" si="32"/>
        <v>0</v>
      </c>
      <c r="Z185" s="101">
        <f t="shared" si="32"/>
        <v>0</v>
      </c>
      <c r="AA185" s="101">
        <f t="shared" si="32"/>
        <v>0</v>
      </c>
      <c r="AB185" s="22"/>
    </row>
    <row r="186" spans="1:28" s="23" customFormat="1" ht="10.199999999999999" x14ac:dyDescent="0.2">
      <c r="A186" s="22"/>
      <c r="B186" s="22"/>
      <c r="C186" s="22"/>
      <c r="D186" s="22"/>
      <c r="E186" s="22" t="str">
        <f>E175</f>
        <v>аренда земли - начисление</v>
      </c>
      <c r="F186" s="22"/>
      <c r="G186" s="22" t="str">
        <f>IF($E186="","",INDEX(KPI!$G:$G,SUMIFS(KPI!$B:$B,KPI!$E:$E,$E186)))</f>
        <v>тыс.руб.</v>
      </c>
      <c r="H186" s="100">
        <f>структура!$V$22</f>
        <v>11</v>
      </c>
      <c r="I186" s="31"/>
      <c r="J186" s="98" t="str">
        <f>структура!$X$22</f>
        <v>ноя</v>
      </c>
      <c r="K186" s="99"/>
      <c r="L186" s="22"/>
      <c r="M186" s="58"/>
      <c r="N186" s="22"/>
      <c r="O186" s="22"/>
      <c r="P186" s="101">
        <f t="shared" si="32"/>
        <v>217.38748718313028</v>
      </c>
      <c r="Q186" s="101">
        <f t="shared" si="32"/>
        <v>217.38748718313028</v>
      </c>
      <c r="R186" s="101">
        <f t="shared" si="32"/>
        <v>217.38748718313028</v>
      </c>
      <c r="S186" s="101">
        <f t="shared" si="32"/>
        <v>217.38748718313028</v>
      </c>
      <c r="T186" s="101">
        <f t="shared" si="32"/>
        <v>217.38748718313028</v>
      </c>
      <c r="U186" s="101">
        <f t="shared" si="32"/>
        <v>217.38748718313028</v>
      </c>
      <c r="V186" s="101">
        <f t="shared" si="32"/>
        <v>217.38748718313028</v>
      </c>
      <c r="W186" s="101">
        <f t="shared" si="32"/>
        <v>0</v>
      </c>
      <c r="X186" s="101">
        <f t="shared" si="32"/>
        <v>0</v>
      </c>
      <c r="Y186" s="101">
        <f t="shared" si="32"/>
        <v>0</v>
      </c>
      <c r="Z186" s="101">
        <f t="shared" si="32"/>
        <v>0</v>
      </c>
      <c r="AA186" s="101">
        <f t="shared" si="32"/>
        <v>0</v>
      </c>
      <c r="AB186" s="22"/>
    </row>
    <row r="187" spans="1:28" s="23" customFormat="1" ht="10.199999999999999" x14ac:dyDescent="0.2">
      <c r="A187" s="22"/>
      <c r="B187" s="22"/>
      <c r="C187" s="22"/>
      <c r="D187" s="22"/>
      <c r="E187" s="22" t="str">
        <f>E175</f>
        <v>аренда земли - начисление</v>
      </c>
      <c r="F187" s="22"/>
      <c r="G187" s="22" t="str">
        <f>IF($E187="","",INDEX(KPI!$G:$G,SUMIFS(KPI!$B:$B,KPI!$E:$E,$E187)))</f>
        <v>тыс.руб.</v>
      </c>
      <c r="H187" s="100">
        <f>структура!$V$23</f>
        <v>12</v>
      </c>
      <c r="I187" s="31"/>
      <c r="J187" s="98" t="str">
        <f>структура!$X$23</f>
        <v>дек</v>
      </c>
      <c r="K187" s="99"/>
      <c r="L187" s="22"/>
      <c r="M187" s="58"/>
      <c r="N187" s="22"/>
      <c r="O187" s="22"/>
      <c r="P187" s="101">
        <f t="shared" si="32"/>
        <v>217.38748718313028</v>
      </c>
      <c r="Q187" s="101">
        <f t="shared" si="32"/>
        <v>217.38748718313028</v>
      </c>
      <c r="R187" s="101">
        <f t="shared" si="32"/>
        <v>217.38748718313028</v>
      </c>
      <c r="S187" s="101">
        <f t="shared" si="32"/>
        <v>217.38748718313028</v>
      </c>
      <c r="T187" s="101">
        <f t="shared" si="32"/>
        <v>217.38748718313028</v>
      </c>
      <c r="U187" s="101">
        <f t="shared" si="32"/>
        <v>217.38748718313028</v>
      </c>
      <c r="V187" s="101">
        <f t="shared" si="32"/>
        <v>217.38748718313028</v>
      </c>
      <c r="W187" s="101">
        <f t="shared" si="32"/>
        <v>0</v>
      </c>
      <c r="X187" s="101">
        <f t="shared" si="32"/>
        <v>0</v>
      </c>
      <c r="Y187" s="101">
        <f t="shared" si="32"/>
        <v>0</v>
      </c>
      <c r="Z187" s="101">
        <f t="shared" si="32"/>
        <v>0</v>
      </c>
      <c r="AA187" s="101">
        <f t="shared" si="32"/>
        <v>0</v>
      </c>
      <c r="AB187" s="22"/>
    </row>
    <row r="188" spans="1:28" ht="3.9" customHeight="1" x14ac:dyDescent="0.25">
      <c r="A188" s="2"/>
      <c r="B188" s="2"/>
      <c r="C188" s="2"/>
      <c r="D188" s="2"/>
      <c r="E188" s="21"/>
      <c r="F188" s="2"/>
      <c r="G188" s="21"/>
      <c r="H188" s="2"/>
      <c r="I188" s="28"/>
      <c r="J188" s="21"/>
      <c r="K188" s="28"/>
      <c r="L188" s="2"/>
      <c r="M188" s="52"/>
      <c r="N188" s="2"/>
      <c r="O188" s="2"/>
      <c r="P188" s="36"/>
      <c r="Q188" s="36"/>
      <c r="R188" s="36"/>
      <c r="S188" s="36"/>
      <c r="T188" s="36"/>
      <c r="U188" s="36"/>
      <c r="V188" s="36"/>
      <c r="W188" s="36"/>
      <c r="X188" s="36"/>
      <c r="Y188" s="36"/>
      <c r="Z188" s="36"/>
      <c r="AA188" s="36"/>
      <c r="AB188" s="2"/>
    </row>
    <row r="189" spans="1:28" ht="8.1" customHeight="1" x14ac:dyDescent="0.25">
      <c r="A189" s="2"/>
      <c r="B189" s="2"/>
      <c r="C189" s="2"/>
      <c r="D189" s="2"/>
      <c r="E189" s="2"/>
      <c r="F189" s="2"/>
      <c r="G189" s="2"/>
      <c r="H189" s="2"/>
      <c r="I189" s="28"/>
      <c r="J189" s="2"/>
      <c r="K189" s="28"/>
      <c r="L189" s="2"/>
      <c r="M189" s="52"/>
      <c r="N189" s="2"/>
      <c r="O189" s="2"/>
      <c r="P189" s="36"/>
      <c r="Q189" s="36"/>
      <c r="R189" s="36"/>
      <c r="S189" s="36"/>
      <c r="T189" s="36"/>
      <c r="U189" s="36"/>
      <c r="V189" s="36"/>
      <c r="W189" s="36"/>
      <c r="X189" s="36"/>
      <c r="Y189" s="36"/>
      <c r="Z189" s="36"/>
      <c r="AA189" s="36"/>
      <c r="AB189" s="2"/>
    </row>
    <row r="190" spans="1:28" s="5" customFormat="1" x14ac:dyDescent="0.25">
      <c r="A190" s="3"/>
      <c r="B190" s="3"/>
      <c r="C190" s="3"/>
      <c r="D190" s="111"/>
      <c r="E190" s="3" t="str">
        <f>KPI!$E$47</f>
        <v>аренда земли - оплата</v>
      </c>
      <c r="F190" s="3"/>
      <c r="G190" s="3" t="str">
        <f>IF($E190="","",INDEX(KPI!$G:$G,SUMIFS(KPI!$B:$B,KPI!$E:$E,$E190)))</f>
        <v>тыс.руб.</v>
      </c>
      <c r="H190" s="103"/>
      <c r="I190" s="28"/>
      <c r="J190" s="44"/>
      <c r="K190" s="28"/>
      <c r="L190" s="3"/>
      <c r="M190" s="55">
        <f>SUM($O190:$AB190)</f>
        <v>18260.548923382947</v>
      </c>
      <c r="N190" s="3"/>
      <c r="O190" s="3"/>
      <c r="P190" s="46">
        <f>IF(P$1="",0,IF(P$1=0,SUMIFS(P191:P202,H191:H202,"&gt;="&amp;MONTH($J$13)),SUM(P191:P202)))</f>
        <v>2608.6498461975634</v>
      </c>
      <c r="Q190" s="46">
        <f t="shared" ref="Q190" si="33">IF(Q$1="",0,SUM(Q191:Q202))</f>
        <v>2608.6498461975634</v>
      </c>
      <c r="R190" s="46">
        <f t="shared" ref="R190:AA190" si="34">IF(R$1="",0,SUM(R191:R202))</f>
        <v>2608.6498461975634</v>
      </c>
      <c r="S190" s="46">
        <f t="shared" si="34"/>
        <v>2608.6498461975634</v>
      </c>
      <c r="T190" s="46">
        <f t="shared" si="34"/>
        <v>2608.6498461975634</v>
      </c>
      <c r="U190" s="46">
        <f t="shared" si="34"/>
        <v>2608.6498461975634</v>
      </c>
      <c r="V190" s="46">
        <f t="shared" si="34"/>
        <v>2608.6498461975634</v>
      </c>
      <c r="W190" s="46">
        <f t="shared" si="34"/>
        <v>0</v>
      </c>
      <c r="X190" s="46">
        <f t="shared" si="34"/>
        <v>0</v>
      </c>
      <c r="Y190" s="46">
        <f t="shared" si="34"/>
        <v>0</v>
      </c>
      <c r="Z190" s="46">
        <f t="shared" si="34"/>
        <v>0</v>
      </c>
      <c r="AA190" s="46">
        <f t="shared" si="34"/>
        <v>0</v>
      </c>
      <c r="AB190" s="3"/>
    </row>
    <row r="191" spans="1:28" s="23" customFormat="1" ht="10.199999999999999" x14ac:dyDescent="0.2">
      <c r="A191" s="22"/>
      <c r="B191" s="22"/>
      <c r="C191" s="22"/>
      <c r="D191" s="22"/>
      <c r="E191" s="22" t="str">
        <f>E190</f>
        <v>аренда земли - оплата</v>
      </c>
      <c r="F191" s="22"/>
      <c r="G191" s="22" t="str">
        <f>IF($E191="","",INDEX(KPI!$G:$G,SUMIFS(KPI!$B:$B,KPI!$E:$E,$E191)))</f>
        <v>тыс.руб.</v>
      </c>
      <c r="H191" s="100">
        <f>структура!$V$12</f>
        <v>1</v>
      </c>
      <c r="I191" s="31"/>
      <c r="J191" s="98" t="str">
        <f>структура!$X$12</f>
        <v>янв</v>
      </c>
      <c r="K191" s="99"/>
      <c r="L191" s="22"/>
      <c r="M191" s="58"/>
      <c r="N191" s="22"/>
      <c r="O191" s="22"/>
      <c r="P191" s="101">
        <f t="shared" ref="P191:AA202" si="35">IF(P$1="",0,IF(P$1=0,$J$172/12,IF($H191=1,$J$172,0)))</f>
        <v>2608.6498461975634</v>
      </c>
      <c r="Q191" s="101">
        <f t="shared" si="35"/>
        <v>2608.6498461975634</v>
      </c>
      <c r="R191" s="101">
        <f t="shared" si="35"/>
        <v>2608.6498461975634</v>
      </c>
      <c r="S191" s="101">
        <f t="shared" si="35"/>
        <v>2608.6498461975634</v>
      </c>
      <c r="T191" s="101">
        <f t="shared" si="35"/>
        <v>2608.6498461975634</v>
      </c>
      <c r="U191" s="101">
        <f t="shared" si="35"/>
        <v>2608.6498461975634</v>
      </c>
      <c r="V191" s="101">
        <f t="shared" si="35"/>
        <v>2608.6498461975634</v>
      </c>
      <c r="W191" s="101">
        <f t="shared" si="35"/>
        <v>0</v>
      </c>
      <c r="X191" s="101">
        <f t="shared" si="35"/>
        <v>0</v>
      </c>
      <c r="Y191" s="101">
        <f t="shared" si="35"/>
        <v>0</v>
      </c>
      <c r="Z191" s="101">
        <f t="shared" si="35"/>
        <v>0</v>
      </c>
      <c r="AA191" s="101">
        <f t="shared" si="35"/>
        <v>0</v>
      </c>
      <c r="AB191" s="22"/>
    </row>
    <row r="192" spans="1:28" s="23" customFormat="1" ht="10.199999999999999" x14ac:dyDescent="0.2">
      <c r="A192" s="22"/>
      <c r="B192" s="22"/>
      <c r="C192" s="22"/>
      <c r="D192" s="22"/>
      <c r="E192" s="22" t="str">
        <f>E190</f>
        <v>аренда земли - оплата</v>
      </c>
      <c r="F192" s="22"/>
      <c r="G192" s="22" t="str">
        <f>IF($E192="","",INDEX(KPI!$G:$G,SUMIFS(KPI!$B:$B,KPI!$E:$E,$E192)))</f>
        <v>тыс.руб.</v>
      </c>
      <c r="H192" s="100">
        <f>структура!$V$13</f>
        <v>2</v>
      </c>
      <c r="I192" s="31"/>
      <c r="J192" s="98" t="str">
        <f>структура!$X$13</f>
        <v>фев</v>
      </c>
      <c r="K192" s="99"/>
      <c r="L192" s="22"/>
      <c r="M192" s="58"/>
      <c r="N192" s="22"/>
      <c r="O192" s="22"/>
      <c r="P192" s="101">
        <f t="shared" si="35"/>
        <v>0</v>
      </c>
      <c r="Q192" s="101">
        <f t="shared" si="35"/>
        <v>0</v>
      </c>
      <c r="R192" s="101">
        <f t="shared" si="35"/>
        <v>0</v>
      </c>
      <c r="S192" s="101">
        <f t="shared" si="35"/>
        <v>0</v>
      </c>
      <c r="T192" s="101">
        <f t="shared" si="35"/>
        <v>0</v>
      </c>
      <c r="U192" s="101">
        <f t="shared" si="35"/>
        <v>0</v>
      </c>
      <c r="V192" s="101">
        <f t="shared" si="35"/>
        <v>0</v>
      </c>
      <c r="W192" s="101">
        <f t="shared" si="35"/>
        <v>0</v>
      </c>
      <c r="X192" s="101">
        <f t="shared" si="35"/>
        <v>0</v>
      </c>
      <c r="Y192" s="101">
        <f t="shared" si="35"/>
        <v>0</v>
      </c>
      <c r="Z192" s="101">
        <f t="shared" si="35"/>
        <v>0</v>
      </c>
      <c r="AA192" s="101">
        <f t="shared" si="35"/>
        <v>0</v>
      </c>
      <c r="AB192" s="22"/>
    </row>
    <row r="193" spans="1:28" s="23" customFormat="1" ht="10.199999999999999" x14ac:dyDescent="0.2">
      <c r="A193" s="22"/>
      <c r="B193" s="22"/>
      <c r="C193" s="22"/>
      <c r="D193" s="22"/>
      <c r="E193" s="22" t="str">
        <f>E190</f>
        <v>аренда земли - оплата</v>
      </c>
      <c r="F193" s="22"/>
      <c r="G193" s="22" t="str">
        <f>IF($E193="","",INDEX(KPI!$G:$G,SUMIFS(KPI!$B:$B,KPI!$E:$E,$E193)))</f>
        <v>тыс.руб.</v>
      </c>
      <c r="H193" s="100">
        <f>структура!$V$14</f>
        <v>3</v>
      </c>
      <c r="I193" s="31"/>
      <c r="J193" s="98" t="str">
        <f>структура!$X$14</f>
        <v>мар</v>
      </c>
      <c r="K193" s="99"/>
      <c r="L193" s="22"/>
      <c r="M193" s="58"/>
      <c r="N193" s="22"/>
      <c r="O193" s="22"/>
      <c r="P193" s="101">
        <f t="shared" si="35"/>
        <v>0</v>
      </c>
      <c r="Q193" s="101">
        <f t="shared" si="35"/>
        <v>0</v>
      </c>
      <c r="R193" s="101">
        <f t="shared" si="35"/>
        <v>0</v>
      </c>
      <c r="S193" s="101">
        <f t="shared" si="35"/>
        <v>0</v>
      </c>
      <c r="T193" s="101">
        <f t="shared" si="35"/>
        <v>0</v>
      </c>
      <c r="U193" s="101">
        <f t="shared" si="35"/>
        <v>0</v>
      </c>
      <c r="V193" s="101">
        <f t="shared" si="35"/>
        <v>0</v>
      </c>
      <c r="W193" s="101">
        <f t="shared" si="35"/>
        <v>0</v>
      </c>
      <c r="X193" s="101">
        <f t="shared" si="35"/>
        <v>0</v>
      </c>
      <c r="Y193" s="101">
        <f t="shared" si="35"/>
        <v>0</v>
      </c>
      <c r="Z193" s="101">
        <f t="shared" si="35"/>
        <v>0</v>
      </c>
      <c r="AA193" s="101">
        <f t="shared" si="35"/>
        <v>0</v>
      </c>
      <c r="AB193" s="22"/>
    </row>
    <row r="194" spans="1:28" s="23" customFormat="1" ht="10.199999999999999" x14ac:dyDescent="0.2">
      <c r="A194" s="22"/>
      <c r="B194" s="22"/>
      <c r="C194" s="22"/>
      <c r="D194" s="22"/>
      <c r="E194" s="22" t="str">
        <f>E190</f>
        <v>аренда земли - оплата</v>
      </c>
      <c r="F194" s="22"/>
      <c r="G194" s="22" t="str">
        <f>IF($E194="","",INDEX(KPI!$G:$G,SUMIFS(KPI!$B:$B,KPI!$E:$E,$E194)))</f>
        <v>тыс.руб.</v>
      </c>
      <c r="H194" s="100">
        <f>структура!$V$15</f>
        <v>4</v>
      </c>
      <c r="I194" s="31"/>
      <c r="J194" s="98" t="str">
        <f>структура!$X$15</f>
        <v>апр</v>
      </c>
      <c r="K194" s="99"/>
      <c r="L194" s="22"/>
      <c r="M194" s="58"/>
      <c r="N194" s="22"/>
      <c r="O194" s="22"/>
      <c r="P194" s="101">
        <f t="shared" si="35"/>
        <v>0</v>
      </c>
      <c r="Q194" s="101">
        <f t="shared" si="35"/>
        <v>0</v>
      </c>
      <c r="R194" s="101">
        <f t="shared" si="35"/>
        <v>0</v>
      </c>
      <c r="S194" s="101">
        <f t="shared" si="35"/>
        <v>0</v>
      </c>
      <c r="T194" s="101">
        <f t="shared" si="35"/>
        <v>0</v>
      </c>
      <c r="U194" s="101">
        <f t="shared" si="35"/>
        <v>0</v>
      </c>
      <c r="V194" s="101">
        <f t="shared" si="35"/>
        <v>0</v>
      </c>
      <c r="W194" s="101">
        <f t="shared" si="35"/>
        <v>0</v>
      </c>
      <c r="X194" s="101">
        <f t="shared" si="35"/>
        <v>0</v>
      </c>
      <c r="Y194" s="101">
        <f t="shared" si="35"/>
        <v>0</v>
      </c>
      <c r="Z194" s="101">
        <f t="shared" si="35"/>
        <v>0</v>
      </c>
      <c r="AA194" s="101">
        <f t="shared" si="35"/>
        <v>0</v>
      </c>
      <c r="AB194" s="22"/>
    </row>
    <row r="195" spans="1:28" s="23" customFormat="1" ht="10.199999999999999" x14ac:dyDescent="0.2">
      <c r="A195" s="22"/>
      <c r="B195" s="22"/>
      <c r="C195" s="22"/>
      <c r="D195" s="22"/>
      <c r="E195" s="22" t="str">
        <f>E190</f>
        <v>аренда земли - оплата</v>
      </c>
      <c r="F195" s="22"/>
      <c r="G195" s="22" t="str">
        <f>IF($E195="","",INDEX(KPI!$G:$G,SUMIFS(KPI!$B:$B,KPI!$E:$E,$E195)))</f>
        <v>тыс.руб.</v>
      </c>
      <c r="H195" s="100">
        <f>структура!$V$16</f>
        <v>5</v>
      </c>
      <c r="I195" s="31"/>
      <c r="J195" s="98" t="str">
        <f>структура!$X$16</f>
        <v>май</v>
      </c>
      <c r="K195" s="99"/>
      <c r="L195" s="22"/>
      <c r="M195" s="58"/>
      <c r="N195" s="22"/>
      <c r="O195" s="22"/>
      <c r="P195" s="101">
        <f t="shared" si="35"/>
        <v>0</v>
      </c>
      <c r="Q195" s="101">
        <f t="shared" si="35"/>
        <v>0</v>
      </c>
      <c r="R195" s="101">
        <f t="shared" si="35"/>
        <v>0</v>
      </c>
      <c r="S195" s="101">
        <f t="shared" si="35"/>
        <v>0</v>
      </c>
      <c r="T195" s="101">
        <f t="shared" si="35"/>
        <v>0</v>
      </c>
      <c r="U195" s="101">
        <f t="shared" si="35"/>
        <v>0</v>
      </c>
      <c r="V195" s="101">
        <f t="shared" si="35"/>
        <v>0</v>
      </c>
      <c r="W195" s="101">
        <f t="shared" si="35"/>
        <v>0</v>
      </c>
      <c r="X195" s="101">
        <f t="shared" si="35"/>
        <v>0</v>
      </c>
      <c r="Y195" s="101">
        <f t="shared" si="35"/>
        <v>0</v>
      </c>
      <c r="Z195" s="101">
        <f t="shared" si="35"/>
        <v>0</v>
      </c>
      <c r="AA195" s="101">
        <f t="shared" si="35"/>
        <v>0</v>
      </c>
      <c r="AB195" s="22"/>
    </row>
    <row r="196" spans="1:28" s="23" customFormat="1" ht="10.199999999999999" x14ac:dyDescent="0.2">
      <c r="A196" s="22"/>
      <c r="B196" s="22"/>
      <c r="C196" s="22"/>
      <c r="D196" s="22"/>
      <c r="E196" s="22" t="str">
        <f>E190</f>
        <v>аренда земли - оплата</v>
      </c>
      <c r="F196" s="22"/>
      <c r="G196" s="22" t="str">
        <f>IF($E196="","",INDEX(KPI!$G:$G,SUMIFS(KPI!$B:$B,KPI!$E:$E,$E196)))</f>
        <v>тыс.руб.</v>
      </c>
      <c r="H196" s="100">
        <f>структура!$V$17</f>
        <v>6</v>
      </c>
      <c r="I196" s="31"/>
      <c r="J196" s="98" t="str">
        <f>структура!$X$17</f>
        <v>июн</v>
      </c>
      <c r="K196" s="99"/>
      <c r="L196" s="22"/>
      <c r="M196" s="58"/>
      <c r="N196" s="22"/>
      <c r="O196" s="22"/>
      <c r="P196" s="101">
        <f t="shared" si="35"/>
        <v>0</v>
      </c>
      <c r="Q196" s="101">
        <f t="shared" si="35"/>
        <v>0</v>
      </c>
      <c r="R196" s="101">
        <f t="shared" si="35"/>
        <v>0</v>
      </c>
      <c r="S196" s="101">
        <f t="shared" si="35"/>
        <v>0</v>
      </c>
      <c r="T196" s="101">
        <f t="shared" si="35"/>
        <v>0</v>
      </c>
      <c r="U196" s="101">
        <f t="shared" si="35"/>
        <v>0</v>
      </c>
      <c r="V196" s="101">
        <f t="shared" si="35"/>
        <v>0</v>
      </c>
      <c r="W196" s="101">
        <f t="shared" si="35"/>
        <v>0</v>
      </c>
      <c r="X196" s="101">
        <f t="shared" si="35"/>
        <v>0</v>
      </c>
      <c r="Y196" s="101">
        <f t="shared" si="35"/>
        <v>0</v>
      </c>
      <c r="Z196" s="101">
        <f t="shared" si="35"/>
        <v>0</v>
      </c>
      <c r="AA196" s="101">
        <f t="shared" si="35"/>
        <v>0</v>
      </c>
      <c r="AB196" s="22"/>
    </row>
    <row r="197" spans="1:28" s="23" customFormat="1" ht="10.199999999999999" x14ac:dyDescent="0.2">
      <c r="A197" s="22"/>
      <c r="B197" s="22"/>
      <c r="C197" s="22"/>
      <c r="D197" s="22"/>
      <c r="E197" s="22" t="str">
        <f>E190</f>
        <v>аренда земли - оплата</v>
      </c>
      <c r="F197" s="22"/>
      <c r="G197" s="22" t="str">
        <f>IF($E197="","",INDEX(KPI!$G:$G,SUMIFS(KPI!$B:$B,KPI!$E:$E,$E197)))</f>
        <v>тыс.руб.</v>
      </c>
      <c r="H197" s="100">
        <f>структура!$V$18</f>
        <v>7</v>
      </c>
      <c r="I197" s="31"/>
      <c r="J197" s="98" t="str">
        <f>структура!$X$18</f>
        <v>июл</v>
      </c>
      <c r="K197" s="99"/>
      <c r="L197" s="22"/>
      <c r="M197" s="58"/>
      <c r="N197" s="22"/>
      <c r="O197" s="22"/>
      <c r="P197" s="101">
        <f t="shared" si="35"/>
        <v>0</v>
      </c>
      <c r="Q197" s="101">
        <f t="shared" si="35"/>
        <v>0</v>
      </c>
      <c r="R197" s="101">
        <f t="shared" si="35"/>
        <v>0</v>
      </c>
      <c r="S197" s="101">
        <f t="shared" si="35"/>
        <v>0</v>
      </c>
      <c r="T197" s="101">
        <f t="shared" si="35"/>
        <v>0</v>
      </c>
      <c r="U197" s="101">
        <f t="shared" si="35"/>
        <v>0</v>
      </c>
      <c r="V197" s="101">
        <f t="shared" si="35"/>
        <v>0</v>
      </c>
      <c r="W197" s="101">
        <f t="shared" si="35"/>
        <v>0</v>
      </c>
      <c r="X197" s="101">
        <f t="shared" si="35"/>
        <v>0</v>
      </c>
      <c r="Y197" s="101">
        <f t="shared" si="35"/>
        <v>0</v>
      </c>
      <c r="Z197" s="101">
        <f t="shared" si="35"/>
        <v>0</v>
      </c>
      <c r="AA197" s="101">
        <f t="shared" si="35"/>
        <v>0</v>
      </c>
      <c r="AB197" s="22"/>
    </row>
    <row r="198" spans="1:28" s="23" customFormat="1" ht="10.199999999999999" x14ac:dyDescent="0.2">
      <c r="A198" s="22"/>
      <c r="B198" s="22"/>
      <c r="C198" s="22"/>
      <c r="D198" s="22"/>
      <c r="E198" s="22" t="str">
        <f>E190</f>
        <v>аренда земли - оплата</v>
      </c>
      <c r="F198" s="22"/>
      <c r="G198" s="22" t="str">
        <f>IF($E198="","",INDEX(KPI!$G:$G,SUMIFS(KPI!$B:$B,KPI!$E:$E,$E198)))</f>
        <v>тыс.руб.</v>
      </c>
      <c r="H198" s="100">
        <f>структура!$V$19</f>
        <v>8</v>
      </c>
      <c r="I198" s="31"/>
      <c r="J198" s="98" t="str">
        <f>структура!$X$19</f>
        <v>авг</v>
      </c>
      <c r="K198" s="99"/>
      <c r="L198" s="22"/>
      <c r="M198" s="58"/>
      <c r="N198" s="22"/>
      <c r="O198" s="22"/>
      <c r="P198" s="101">
        <f t="shared" si="35"/>
        <v>0</v>
      </c>
      <c r="Q198" s="101">
        <f t="shared" si="35"/>
        <v>0</v>
      </c>
      <c r="R198" s="101">
        <f t="shared" si="35"/>
        <v>0</v>
      </c>
      <c r="S198" s="101">
        <f t="shared" si="35"/>
        <v>0</v>
      </c>
      <c r="T198" s="101">
        <f t="shared" si="35"/>
        <v>0</v>
      </c>
      <c r="U198" s="101">
        <f t="shared" si="35"/>
        <v>0</v>
      </c>
      <c r="V198" s="101">
        <f t="shared" si="35"/>
        <v>0</v>
      </c>
      <c r="W198" s="101">
        <f t="shared" si="35"/>
        <v>0</v>
      </c>
      <c r="X198" s="101">
        <f t="shared" si="35"/>
        <v>0</v>
      </c>
      <c r="Y198" s="101">
        <f t="shared" si="35"/>
        <v>0</v>
      </c>
      <c r="Z198" s="101">
        <f t="shared" si="35"/>
        <v>0</v>
      </c>
      <c r="AA198" s="101">
        <f t="shared" si="35"/>
        <v>0</v>
      </c>
      <c r="AB198" s="22"/>
    </row>
    <row r="199" spans="1:28" s="23" customFormat="1" ht="10.199999999999999" x14ac:dyDescent="0.2">
      <c r="A199" s="22"/>
      <c r="B199" s="22"/>
      <c r="C199" s="22"/>
      <c r="D199" s="22"/>
      <c r="E199" s="22" t="str">
        <f>E190</f>
        <v>аренда земли - оплата</v>
      </c>
      <c r="F199" s="22"/>
      <c r="G199" s="22" t="str">
        <f>IF($E199="","",INDEX(KPI!$G:$G,SUMIFS(KPI!$B:$B,KPI!$E:$E,$E199)))</f>
        <v>тыс.руб.</v>
      </c>
      <c r="H199" s="100">
        <f>структура!$V$20</f>
        <v>9</v>
      </c>
      <c r="I199" s="31"/>
      <c r="J199" s="98" t="str">
        <f>структура!$X$20</f>
        <v>сен</v>
      </c>
      <c r="K199" s="99"/>
      <c r="L199" s="22"/>
      <c r="M199" s="58"/>
      <c r="N199" s="22"/>
      <c r="O199" s="22"/>
      <c r="P199" s="101">
        <f t="shared" si="35"/>
        <v>0</v>
      </c>
      <c r="Q199" s="101">
        <f t="shared" si="35"/>
        <v>0</v>
      </c>
      <c r="R199" s="101">
        <f t="shared" si="35"/>
        <v>0</v>
      </c>
      <c r="S199" s="101">
        <f t="shared" si="35"/>
        <v>0</v>
      </c>
      <c r="T199" s="101">
        <f t="shared" si="35"/>
        <v>0</v>
      </c>
      <c r="U199" s="101">
        <f t="shared" si="35"/>
        <v>0</v>
      </c>
      <c r="V199" s="101">
        <f t="shared" si="35"/>
        <v>0</v>
      </c>
      <c r="W199" s="101">
        <f t="shared" si="35"/>
        <v>0</v>
      </c>
      <c r="X199" s="101">
        <f t="shared" si="35"/>
        <v>0</v>
      </c>
      <c r="Y199" s="101">
        <f t="shared" si="35"/>
        <v>0</v>
      </c>
      <c r="Z199" s="101">
        <f t="shared" si="35"/>
        <v>0</v>
      </c>
      <c r="AA199" s="101">
        <f t="shared" si="35"/>
        <v>0</v>
      </c>
      <c r="AB199" s="22"/>
    </row>
    <row r="200" spans="1:28" s="23" customFormat="1" ht="10.199999999999999" x14ac:dyDescent="0.2">
      <c r="A200" s="22"/>
      <c r="B200" s="22"/>
      <c r="C200" s="22"/>
      <c r="D200" s="22"/>
      <c r="E200" s="22" t="str">
        <f>E190</f>
        <v>аренда земли - оплата</v>
      </c>
      <c r="F200" s="22"/>
      <c r="G200" s="22" t="str">
        <f>IF($E200="","",INDEX(KPI!$G:$G,SUMIFS(KPI!$B:$B,KPI!$E:$E,$E200)))</f>
        <v>тыс.руб.</v>
      </c>
      <c r="H200" s="100">
        <f>структура!$V$21</f>
        <v>10</v>
      </c>
      <c r="I200" s="31"/>
      <c r="J200" s="98" t="str">
        <f>структура!$X$21</f>
        <v>окт</v>
      </c>
      <c r="K200" s="99"/>
      <c r="L200" s="22"/>
      <c r="M200" s="58"/>
      <c r="N200" s="22"/>
      <c r="O200" s="22"/>
      <c r="P200" s="101">
        <f t="shared" si="35"/>
        <v>0</v>
      </c>
      <c r="Q200" s="101">
        <f t="shared" si="35"/>
        <v>0</v>
      </c>
      <c r="R200" s="101">
        <f t="shared" si="35"/>
        <v>0</v>
      </c>
      <c r="S200" s="101">
        <f t="shared" si="35"/>
        <v>0</v>
      </c>
      <c r="T200" s="101">
        <f t="shared" si="35"/>
        <v>0</v>
      </c>
      <c r="U200" s="101">
        <f t="shared" si="35"/>
        <v>0</v>
      </c>
      <c r="V200" s="101">
        <f t="shared" si="35"/>
        <v>0</v>
      </c>
      <c r="W200" s="101">
        <f t="shared" si="35"/>
        <v>0</v>
      </c>
      <c r="X200" s="101">
        <f t="shared" si="35"/>
        <v>0</v>
      </c>
      <c r="Y200" s="101">
        <f t="shared" si="35"/>
        <v>0</v>
      </c>
      <c r="Z200" s="101">
        <f t="shared" si="35"/>
        <v>0</v>
      </c>
      <c r="AA200" s="101">
        <f t="shared" si="35"/>
        <v>0</v>
      </c>
      <c r="AB200" s="22"/>
    </row>
    <row r="201" spans="1:28" s="23" customFormat="1" ht="10.199999999999999" x14ac:dyDescent="0.2">
      <c r="A201" s="22"/>
      <c r="B201" s="22"/>
      <c r="C201" s="22"/>
      <c r="D201" s="22"/>
      <c r="E201" s="22" t="str">
        <f>E190</f>
        <v>аренда земли - оплата</v>
      </c>
      <c r="F201" s="22"/>
      <c r="G201" s="22" t="str">
        <f>IF($E201="","",INDEX(KPI!$G:$G,SUMIFS(KPI!$B:$B,KPI!$E:$E,$E201)))</f>
        <v>тыс.руб.</v>
      </c>
      <c r="H201" s="100">
        <f>структура!$V$22</f>
        <v>11</v>
      </c>
      <c r="I201" s="31"/>
      <c r="J201" s="98" t="str">
        <f>структура!$X$22</f>
        <v>ноя</v>
      </c>
      <c r="K201" s="99"/>
      <c r="L201" s="22"/>
      <c r="M201" s="58"/>
      <c r="N201" s="22"/>
      <c r="O201" s="22"/>
      <c r="P201" s="101">
        <f t="shared" si="35"/>
        <v>0</v>
      </c>
      <c r="Q201" s="101">
        <f t="shared" si="35"/>
        <v>0</v>
      </c>
      <c r="R201" s="101">
        <f t="shared" si="35"/>
        <v>0</v>
      </c>
      <c r="S201" s="101">
        <f t="shared" si="35"/>
        <v>0</v>
      </c>
      <c r="T201" s="101">
        <f t="shared" si="35"/>
        <v>0</v>
      </c>
      <c r="U201" s="101">
        <f t="shared" si="35"/>
        <v>0</v>
      </c>
      <c r="V201" s="101">
        <f t="shared" si="35"/>
        <v>0</v>
      </c>
      <c r="W201" s="101">
        <f t="shared" si="35"/>
        <v>0</v>
      </c>
      <c r="X201" s="101">
        <f t="shared" si="35"/>
        <v>0</v>
      </c>
      <c r="Y201" s="101">
        <f t="shared" si="35"/>
        <v>0</v>
      </c>
      <c r="Z201" s="101">
        <f t="shared" si="35"/>
        <v>0</v>
      </c>
      <c r="AA201" s="101">
        <f t="shared" si="35"/>
        <v>0</v>
      </c>
      <c r="AB201" s="22"/>
    </row>
    <row r="202" spans="1:28" s="23" customFormat="1" ht="10.199999999999999" x14ac:dyDescent="0.2">
      <c r="A202" s="22"/>
      <c r="B202" s="22"/>
      <c r="C202" s="22"/>
      <c r="D202" s="22"/>
      <c r="E202" s="22" t="str">
        <f>E190</f>
        <v>аренда земли - оплата</v>
      </c>
      <c r="F202" s="22"/>
      <c r="G202" s="22" t="str">
        <f>IF($E202="","",INDEX(KPI!$G:$G,SUMIFS(KPI!$B:$B,KPI!$E:$E,$E202)))</f>
        <v>тыс.руб.</v>
      </c>
      <c r="H202" s="100">
        <f>структура!$V$23</f>
        <v>12</v>
      </c>
      <c r="I202" s="31"/>
      <c r="J202" s="98" t="str">
        <f>структура!$X$23</f>
        <v>дек</v>
      </c>
      <c r="K202" s="99"/>
      <c r="L202" s="22"/>
      <c r="M202" s="58"/>
      <c r="N202" s="22"/>
      <c r="O202" s="22"/>
      <c r="P202" s="101">
        <f t="shared" si="35"/>
        <v>0</v>
      </c>
      <c r="Q202" s="101">
        <f t="shared" si="35"/>
        <v>0</v>
      </c>
      <c r="R202" s="101">
        <f t="shared" si="35"/>
        <v>0</v>
      </c>
      <c r="S202" s="101">
        <f t="shared" si="35"/>
        <v>0</v>
      </c>
      <c r="T202" s="101">
        <f t="shared" si="35"/>
        <v>0</v>
      </c>
      <c r="U202" s="101">
        <f t="shared" si="35"/>
        <v>0</v>
      </c>
      <c r="V202" s="101">
        <f t="shared" si="35"/>
        <v>0</v>
      </c>
      <c r="W202" s="101">
        <f t="shared" si="35"/>
        <v>0</v>
      </c>
      <c r="X202" s="101">
        <f t="shared" si="35"/>
        <v>0</v>
      </c>
      <c r="Y202" s="101">
        <f t="shared" si="35"/>
        <v>0</v>
      </c>
      <c r="Z202" s="101">
        <f t="shared" si="35"/>
        <v>0</v>
      </c>
      <c r="AA202" s="101">
        <f t="shared" si="35"/>
        <v>0</v>
      </c>
      <c r="AB202" s="22"/>
    </row>
    <row r="203" spans="1:28" ht="3.9" customHeight="1" x14ac:dyDescent="0.25">
      <c r="A203" s="2"/>
      <c r="B203" s="2"/>
      <c r="C203" s="2"/>
      <c r="D203" s="2"/>
      <c r="E203" s="21"/>
      <c r="F203" s="2"/>
      <c r="G203" s="21"/>
      <c r="H203" s="2"/>
      <c r="I203" s="28"/>
      <c r="J203" s="21"/>
      <c r="K203" s="28"/>
      <c r="L203" s="2"/>
      <c r="M203" s="52"/>
      <c r="N203" s="2"/>
      <c r="O203" s="2"/>
      <c r="P203" s="36"/>
      <c r="Q203" s="36"/>
      <c r="R203" s="36"/>
      <c r="S203" s="36"/>
      <c r="T203" s="36"/>
      <c r="U203" s="36"/>
      <c r="V203" s="36"/>
      <c r="W203" s="36"/>
      <c r="X203" s="36"/>
      <c r="Y203" s="36"/>
      <c r="Z203" s="36"/>
      <c r="AA203" s="36"/>
      <c r="AB203" s="2"/>
    </row>
    <row r="204" spans="1:28" ht="8.1" customHeight="1" x14ac:dyDescent="0.25">
      <c r="A204" s="2"/>
      <c r="B204" s="2"/>
      <c r="C204" s="2"/>
      <c r="D204" s="2"/>
      <c r="E204" s="2"/>
      <c r="F204" s="2"/>
      <c r="G204" s="2"/>
      <c r="H204" s="2"/>
      <c r="I204" s="28"/>
      <c r="J204" s="2"/>
      <c r="K204" s="28"/>
      <c r="L204" s="2"/>
      <c r="M204" s="52"/>
      <c r="N204" s="2"/>
      <c r="O204" s="2"/>
      <c r="P204" s="36"/>
      <c r="Q204" s="36"/>
      <c r="R204" s="36"/>
      <c r="S204" s="36"/>
      <c r="T204" s="36"/>
      <c r="U204" s="36"/>
      <c r="V204" s="36"/>
      <c r="W204" s="36"/>
      <c r="X204" s="36"/>
      <c r="Y204" s="36"/>
      <c r="Z204" s="36"/>
      <c r="AA204" s="36"/>
      <c r="AB204" s="2"/>
    </row>
    <row r="205" spans="1:28" s="5" customFormat="1" x14ac:dyDescent="0.25">
      <c r="A205" s="3"/>
      <c r="B205" s="3"/>
      <c r="C205" s="3"/>
      <c r="D205" s="3"/>
      <c r="E205" s="3" t="str">
        <f>KPI!$E$49</f>
        <v>расход э/э в сутки - ЛЕТО</v>
      </c>
      <c r="F205" s="3"/>
      <c r="G205" s="3" t="str">
        <f>IF($E205="","",INDEX(KPI!$G:$G,SUMIFS(KPI!$B:$B,KPI!$E:$E,$E205)))</f>
        <v>кВт</v>
      </c>
      <c r="H205" s="3"/>
      <c r="I205" s="6"/>
      <c r="J205" s="204">
        <f>операции!J280</f>
        <v>103.4</v>
      </c>
      <c r="K205" s="28"/>
      <c r="L205" s="2"/>
      <c r="M205" s="52"/>
      <c r="N205" s="3"/>
      <c r="O205" s="2"/>
      <c r="P205" s="36"/>
      <c r="Q205" s="36"/>
      <c r="R205" s="36"/>
      <c r="S205" s="36"/>
      <c r="T205" s="36"/>
      <c r="U205" s="36"/>
      <c r="V205" s="36"/>
      <c r="W205" s="36"/>
      <c r="X205" s="36"/>
      <c r="Y205" s="36"/>
      <c r="Z205" s="36"/>
      <c r="AA205" s="36"/>
      <c r="AB205" s="2"/>
    </row>
    <row r="206" spans="1:28" s="5" customFormat="1" x14ac:dyDescent="0.25">
      <c r="A206" s="3"/>
      <c r="B206" s="3"/>
      <c r="C206" s="3"/>
      <c r="D206" s="3"/>
      <c r="E206" s="3" t="str">
        <f>KPI!$E$50</f>
        <v>стомость э/э за 1кВт</v>
      </c>
      <c r="F206" s="3"/>
      <c r="G206" s="3" t="str">
        <f>IF($E206="","",INDEX(KPI!$G:$G,SUMIFS(KPI!$B:$B,KPI!$E:$E,$E206)))</f>
        <v>руб.</v>
      </c>
      <c r="H206" s="3"/>
      <c r="I206" s="6"/>
      <c r="J206" s="204">
        <f>операции!J281</f>
        <v>6</v>
      </c>
      <c r="K206" s="28"/>
      <c r="L206" s="2"/>
      <c r="M206" s="52"/>
      <c r="N206" s="3"/>
      <c r="O206" s="2"/>
      <c r="P206" s="36"/>
      <c r="Q206" s="36"/>
      <c r="R206" s="36"/>
      <c r="S206" s="36"/>
      <c r="T206" s="36"/>
      <c r="U206" s="36"/>
      <c r="V206" s="36"/>
      <c r="W206" s="36"/>
      <c r="X206" s="36"/>
      <c r="Y206" s="36"/>
      <c r="Z206" s="36"/>
      <c r="AA206" s="36"/>
      <c r="AB206" s="2"/>
    </row>
    <row r="207" spans="1:28" s="5" customFormat="1" x14ac:dyDescent="0.25">
      <c r="A207" s="3"/>
      <c r="B207" s="3"/>
      <c r="C207" s="3"/>
      <c r="D207" s="3"/>
      <c r="E207" s="3" t="str">
        <f>KPI!$E$48</f>
        <v>коммунальные расходы (э/э) в сутки - ЛЕТО</v>
      </c>
      <c r="F207" s="3"/>
      <c r="G207" s="3" t="str">
        <f>IF($E207="","",INDEX(KPI!$G:$G,SUMIFS(KPI!$B:$B,KPI!$E:$E,$E207)))</f>
        <v>тыс.руб.</v>
      </c>
      <c r="H207" s="3"/>
      <c r="I207" s="6"/>
      <c r="J207" s="114">
        <f>J205*J206/1000</f>
        <v>0.62040000000000006</v>
      </c>
      <c r="K207" s="28"/>
      <c r="L207" s="2"/>
      <c r="M207" s="52"/>
      <c r="N207" s="3"/>
      <c r="O207" s="2"/>
      <c r="P207" s="36"/>
      <c r="Q207" s="36"/>
      <c r="R207" s="36"/>
      <c r="S207" s="36"/>
      <c r="T207" s="36"/>
      <c r="U207" s="36"/>
      <c r="V207" s="36"/>
      <c r="W207" s="36"/>
      <c r="X207" s="36"/>
      <c r="Y207" s="36"/>
      <c r="Z207" s="36"/>
      <c r="AA207" s="36"/>
      <c r="AB207" s="2"/>
    </row>
    <row r="208" spans="1:28" ht="3.9" customHeight="1" x14ac:dyDescent="0.25">
      <c r="A208" s="2"/>
      <c r="B208" s="2"/>
      <c r="C208" s="2"/>
      <c r="D208" s="2"/>
      <c r="E208" s="110"/>
      <c r="F208" s="2"/>
      <c r="G208" s="2"/>
      <c r="H208" s="2"/>
      <c r="I208" s="28"/>
      <c r="J208" s="2"/>
      <c r="K208" s="28"/>
      <c r="L208" s="2"/>
      <c r="M208" s="52"/>
      <c r="N208" s="2"/>
      <c r="O208" s="2"/>
      <c r="P208" s="36"/>
      <c r="Q208" s="36"/>
      <c r="R208" s="36"/>
      <c r="S208" s="36"/>
      <c r="T208" s="36"/>
      <c r="U208" s="36"/>
      <c r="V208" s="36"/>
      <c r="W208" s="36"/>
      <c r="X208" s="36"/>
      <c r="Y208" s="36"/>
      <c r="Z208" s="36"/>
      <c r="AA208" s="36"/>
      <c r="AB208" s="2"/>
    </row>
    <row r="209" spans="1:28" ht="8.1" customHeight="1" x14ac:dyDescent="0.25">
      <c r="A209" s="2"/>
      <c r="B209" s="2"/>
      <c r="C209" s="2"/>
      <c r="D209" s="2"/>
      <c r="E209" s="2"/>
      <c r="F209" s="2"/>
      <c r="G209" s="2"/>
      <c r="H209" s="2"/>
      <c r="I209" s="28"/>
      <c r="J209" s="2"/>
      <c r="K209" s="28"/>
      <c r="L209" s="2"/>
      <c r="M209" s="52"/>
      <c r="N209" s="2"/>
      <c r="O209" s="2"/>
      <c r="P209" s="36"/>
      <c r="Q209" s="36"/>
      <c r="R209" s="36"/>
      <c r="S209" s="36"/>
      <c r="T209" s="36"/>
      <c r="U209" s="36"/>
      <c r="V209" s="36"/>
      <c r="W209" s="36"/>
      <c r="X209" s="36"/>
      <c r="Y209" s="36"/>
      <c r="Z209" s="36"/>
      <c r="AA209" s="36"/>
      <c r="AB209" s="2"/>
    </row>
    <row r="210" spans="1:28" x14ac:dyDescent="0.25">
      <c r="A210" s="2"/>
      <c r="B210" s="2"/>
      <c r="C210" s="2"/>
      <c r="D210" s="2"/>
      <c r="E210" s="3" t="str">
        <f>KPI!$E$51</f>
        <v>сезонный коэффициент по коммуналке</v>
      </c>
      <c r="F210" s="3"/>
      <c r="G210" s="3" t="str">
        <f>IF($E210="","",INDEX(KPI!$G:$G,SUMIFS(KPI!$B:$B,KPI!$E:$E,$E210)))</f>
        <v>%</v>
      </c>
      <c r="H210" s="3"/>
      <c r="I210" s="28"/>
      <c r="J210" s="44"/>
      <c r="K210" s="28"/>
      <c r="L210" s="3"/>
      <c r="M210" s="55"/>
      <c r="N210" s="2"/>
      <c r="O210" s="2"/>
      <c r="P210" s="36"/>
      <c r="Q210" s="36"/>
      <c r="R210" s="36"/>
      <c r="S210" s="36"/>
      <c r="T210" s="36"/>
      <c r="U210" s="36"/>
      <c r="V210" s="36"/>
      <c r="W210" s="36"/>
      <c r="X210" s="36"/>
      <c r="Y210" s="36"/>
      <c r="Z210" s="36"/>
      <c r="AA210" s="36"/>
      <c r="AB210" s="2"/>
    </row>
    <row r="211" spans="1:28" s="23" customFormat="1" x14ac:dyDescent="0.25">
      <c r="A211" s="22"/>
      <c r="B211" s="22"/>
      <c r="C211" s="22"/>
      <c r="D211" s="22"/>
      <c r="E211" s="22" t="str">
        <f>E210</f>
        <v>сезонный коэффициент по коммуналке</v>
      </c>
      <c r="F211" s="22"/>
      <c r="G211" s="22" t="str">
        <f>IF($E211="","",INDEX(KPI!$G:$G,SUMIFS(KPI!$B:$B,KPI!$E:$E,$E211)))</f>
        <v>%</v>
      </c>
      <c r="H211" s="100">
        <f>структура!$V$12</f>
        <v>1</v>
      </c>
      <c r="I211" s="31"/>
      <c r="J211" s="98" t="str">
        <f>структура!$X$12</f>
        <v>янв</v>
      </c>
      <c r="K211" s="99"/>
      <c r="L211" s="31"/>
      <c r="M211" s="229">
        <f>операции!M286</f>
        <v>1.4</v>
      </c>
      <c r="N211" s="22"/>
      <c r="O211" s="22"/>
      <c r="P211" s="100"/>
      <c r="Q211" s="100"/>
      <c r="R211" s="100"/>
      <c r="S211" s="100"/>
      <c r="T211" s="100"/>
      <c r="U211" s="100"/>
      <c r="V211" s="100"/>
      <c r="W211" s="100"/>
      <c r="X211" s="100"/>
      <c r="Y211" s="100"/>
      <c r="Z211" s="100"/>
      <c r="AA211" s="100"/>
      <c r="AB211" s="22"/>
    </row>
    <row r="212" spans="1:28" s="23" customFormat="1" x14ac:dyDescent="0.25">
      <c r="A212" s="22"/>
      <c r="B212" s="22"/>
      <c r="C212" s="22"/>
      <c r="D212" s="22"/>
      <c r="E212" s="22" t="str">
        <f>E210</f>
        <v>сезонный коэффициент по коммуналке</v>
      </c>
      <c r="F212" s="22"/>
      <c r="G212" s="22" t="str">
        <f>IF($E212="","",INDEX(KPI!$G:$G,SUMIFS(KPI!$B:$B,KPI!$E:$E,$E212)))</f>
        <v>%</v>
      </c>
      <c r="H212" s="100">
        <f>структура!$V$13</f>
        <v>2</v>
      </c>
      <c r="I212" s="31"/>
      <c r="J212" s="98" t="str">
        <f>структура!$X$13</f>
        <v>фев</v>
      </c>
      <c r="K212" s="99"/>
      <c r="L212" s="31"/>
      <c r="M212" s="229">
        <f>операции!M287</f>
        <v>1.4</v>
      </c>
      <c r="N212" s="22"/>
      <c r="O212" s="22"/>
      <c r="P212" s="100"/>
      <c r="Q212" s="100"/>
      <c r="R212" s="100"/>
      <c r="S212" s="100"/>
      <c r="T212" s="100"/>
      <c r="U212" s="100"/>
      <c r="V212" s="100"/>
      <c r="W212" s="100"/>
      <c r="X212" s="100"/>
      <c r="Y212" s="100"/>
      <c r="Z212" s="100"/>
      <c r="AA212" s="100"/>
      <c r="AB212" s="22"/>
    </row>
    <row r="213" spans="1:28" s="23" customFormat="1" x14ac:dyDescent="0.25">
      <c r="A213" s="22"/>
      <c r="B213" s="22"/>
      <c r="C213" s="22"/>
      <c r="D213" s="22"/>
      <c r="E213" s="22" t="str">
        <f>E210</f>
        <v>сезонный коэффициент по коммуналке</v>
      </c>
      <c r="F213" s="22"/>
      <c r="G213" s="22" t="str">
        <f>IF($E213="","",INDEX(KPI!$G:$G,SUMIFS(KPI!$B:$B,KPI!$E:$E,$E213)))</f>
        <v>%</v>
      </c>
      <c r="H213" s="100">
        <f>структура!$V$14</f>
        <v>3</v>
      </c>
      <c r="I213" s="31"/>
      <c r="J213" s="98" t="str">
        <f>структура!$X$14</f>
        <v>мар</v>
      </c>
      <c r="K213" s="99"/>
      <c r="L213" s="31"/>
      <c r="M213" s="229">
        <f>операции!M288</f>
        <v>1.2</v>
      </c>
      <c r="N213" s="22"/>
      <c r="O213" s="22"/>
      <c r="P213" s="100"/>
      <c r="Q213" s="100"/>
      <c r="R213" s="100"/>
      <c r="S213" s="100"/>
      <c r="T213" s="100"/>
      <c r="U213" s="100"/>
      <c r="V213" s="100"/>
      <c r="W213" s="100"/>
      <c r="X213" s="100"/>
      <c r="Y213" s="100"/>
      <c r="Z213" s="100"/>
      <c r="AA213" s="100"/>
      <c r="AB213" s="22"/>
    </row>
    <row r="214" spans="1:28" s="23" customFormat="1" x14ac:dyDescent="0.25">
      <c r="A214" s="22"/>
      <c r="B214" s="22"/>
      <c r="C214" s="22"/>
      <c r="D214" s="22"/>
      <c r="E214" s="22" t="str">
        <f>E210</f>
        <v>сезонный коэффициент по коммуналке</v>
      </c>
      <c r="F214" s="22"/>
      <c r="G214" s="22" t="str">
        <f>IF($E214="","",INDEX(KPI!$G:$G,SUMIFS(KPI!$B:$B,KPI!$E:$E,$E214)))</f>
        <v>%</v>
      </c>
      <c r="H214" s="100">
        <f>структура!$V$15</f>
        <v>4</v>
      </c>
      <c r="I214" s="31"/>
      <c r="J214" s="98" t="str">
        <f>структура!$X$15</f>
        <v>апр</v>
      </c>
      <c r="K214" s="99"/>
      <c r="L214" s="31"/>
      <c r="M214" s="229">
        <f>операции!M289</f>
        <v>1.1499999999999999</v>
      </c>
      <c r="N214" s="22"/>
      <c r="O214" s="22"/>
      <c r="P214" s="100"/>
      <c r="Q214" s="100"/>
      <c r="R214" s="100"/>
      <c r="S214" s="100"/>
      <c r="T214" s="100"/>
      <c r="U214" s="100"/>
      <c r="V214" s="100"/>
      <c r="W214" s="100"/>
      <c r="X214" s="100"/>
      <c r="Y214" s="100"/>
      <c r="Z214" s="100"/>
      <c r="AA214" s="100"/>
      <c r="AB214" s="22"/>
    </row>
    <row r="215" spans="1:28" s="23" customFormat="1" x14ac:dyDescent="0.25">
      <c r="A215" s="22"/>
      <c r="B215" s="22"/>
      <c r="C215" s="22"/>
      <c r="D215" s="22"/>
      <c r="E215" s="22" t="str">
        <f>E210</f>
        <v>сезонный коэффициент по коммуналке</v>
      </c>
      <c r="F215" s="22"/>
      <c r="G215" s="22" t="str">
        <f>IF($E215="","",INDEX(KPI!$G:$G,SUMIFS(KPI!$B:$B,KPI!$E:$E,$E215)))</f>
        <v>%</v>
      </c>
      <c r="H215" s="100">
        <f>структура!$V$16</f>
        <v>5</v>
      </c>
      <c r="I215" s="31"/>
      <c r="J215" s="98" t="str">
        <f>структура!$X$16</f>
        <v>май</v>
      </c>
      <c r="K215" s="99"/>
      <c r="L215" s="31"/>
      <c r="M215" s="229">
        <f>операции!M290</f>
        <v>1.1000000000000001</v>
      </c>
      <c r="N215" s="22"/>
      <c r="O215" s="22"/>
      <c r="P215" s="100"/>
      <c r="Q215" s="100"/>
      <c r="R215" s="100"/>
      <c r="S215" s="100"/>
      <c r="T215" s="100"/>
      <c r="U215" s="100"/>
      <c r="V215" s="100"/>
      <c r="W215" s="100"/>
      <c r="X215" s="100"/>
      <c r="Y215" s="100"/>
      <c r="Z215" s="100"/>
      <c r="AA215" s="100"/>
      <c r="AB215" s="22"/>
    </row>
    <row r="216" spans="1:28" s="23" customFormat="1" x14ac:dyDescent="0.25">
      <c r="A216" s="22"/>
      <c r="B216" s="22"/>
      <c r="C216" s="22"/>
      <c r="D216" s="22"/>
      <c r="E216" s="22" t="str">
        <f>E210</f>
        <v>сезонный коэффициент по коммуналке</v>
      </c>
      <c r="F216" s="22"/>
      <c r="G216" s="22" t="str">
        <f>IF($E216="","",INDEX(KPI!$G:$G,SUMIFS(KPI!$B:$B,KPI!$E:$E,$E216)))</f>
        <v>%</v>
      </c>
      <c r="H216" s="100">
        <f>структура!$V$17</f>
        <v>6</v>
      </c>
      <c r="I216" s="31"/>
      <c r="J216" s="98" t="str">
        <f>структура!$X$17</f>
        <v>июн</v>
      </c>
      <c r="K216" s="99"/>
      <c r="L216" s="31"/>
      <c r="M216" s="229">
        <f>операции!M291</f>
        <v>1</v>
      </c>
      <c r="N216" s="22"/>
      <c r="O216" s="22"/>
      <c r="P216" s="100"/>
      <c r="Q216" s="100"/>
      <c r="R216" s="100"/>
      <c r="S216" s="100"/>
      <c r="T216" s="100"/>
      <c r="U216" s="100"/>
      <c r="V216" s="100"/>
      <c r="W216" s="100"/>
      <c r="X216" s="100"/>
      <c r="Y216" s="100"/>
      <c r="Z216" s="100"/>
      <c r="AA216" s="100"/>
      <c r="AB216" s="22"/>
    </row>
    <row r="217" spans="1:28" s="23" customFormat="1" x14ac:dyDescent="0.25">
      <c r="A217" s="22"/>
      <c r="B217" s="22"/>
      <c r="C217" s="22"/>
      <c r="D217" s="22"/>
      <c r="E217" s="22" t="str">
        <f>E210</f>
        <v>сезонный коэффициент по коммуналке</v>
      </c>
      <c r="F217" s="22"/>
      <c r="G217" s="22" t="str">
        <f>IF($E217="","",INDEX(KPI!$G:$G,SUMIFS(KPI!$B:$B,KPI!$E:$E,$E217)))</f>
        <v>%</v>
      </c>
      <c r="H217" s="100">
        <f>структура!$V$18</f>
        <v>7</v>
      </c>
      <c r="I217" s="31"/>
      <c r="J217" s="98" t="str">
        <f>структура!$X$18</f>
        <v>июл</v>
      </c>
      <c r="K217" s="99"/>
      <c r="L217" s="31"/>
      <c r="M217" s="229">
        <f>операции!M292</f>
        <v>1</v>
      </c>
      <c r="N217" s="22"/>
      <c r="O217" s="22"/>
      <c r="P217" s="100"/>
      <c r="Q217" s="100"/>
      <c r="R217" s="100"/>
      <c r="S217" s="100"/>
      <c r="T217" s="100"/>
      <c r="U217" s="100"/>
      <c r="V217" s="100"/>
      <c r="W217" s="100"/>
      <c r="X217" s="100"/>
      <c r="Y217" s="100"/>
      <c r="Z217" s="100"/>
      <c r="AA217" s="100"/>
      <c r="AB217" s="22"/>
    </row>
    <row r="218" spans="1:28" s="23" customFormat="1" x14ac:dyDescent="0.25">
      <c r="A218" s="22"/>
      <c r="B218" s="22"/>
      <c r="C218" s="22"/>
      <c r="D218" s="22"/>
      <c r="E218" s="22" t="str">
        <f>E210</f>
        <v>сезонный коэффициент по коммуналке</v>
      </c>
      <c r="F218" s="22"/>
      <c r="G218" s="22" t="str">
        <f>IF($E218="","",INDEX(KPI!$G:$G,SUMIFS(KPI!$B:$B,KPI!$E:$E,$E218)))</f>
        <v>%</v>
      </c>
      <c r="H218" s="100">
        <f>структура!$V$19</f>
        <v>8</v>
      </c>
      <c r="I218" s="31"/>
      <c r="J218" s="98" t="str">
        <f>структура!$X$19</f>
        <v>авг</v>
      </c>
      <c r="K218" s="99"/>
      <c r="L218" s="31"/>
      <c r="M218" s="229">
        <f>операции!M293</f>
        <v>1</v>
      </c>
      <c r="N218" s="22"/>
      <c r="O218" s="22"/>
      <c r="P218" s="100"/>
      <c r="Q218" s="100"/>
      <c r="R218" s="100"/>
      <c r="S218" s="100"/>
      <c r="T218" s="100"/>
      <c r="U218" s="100"/>
      <c r="V218" s="100"/>
      <c r="W218" s="100"/>
      <c r="X218" s="100"/>
      <c r="Y218" s="100"/>
      <c r="Z218" s="100"/>
      <c r="AA218" s="100"/>
      <c r="AB218" s="22"/>
    </row>
    <row r="219" spans="1:28" s="23" customFormat="1" x14ac:dyDescent="0.25">
      <c r="A219" s="22"/>
      <c r="B219" s="22"/>
      <c r="C219" s="22"/>
      <c r="D219" s="22"/>
      <c r="E219" s="22" t="str">
        <f>E210</f>
        <v>сезонный коэффициент по коммуналке</v>
      </c>
      <c r="F219" s="22"/>
      <c r="G219" s="22" t="str">
        <f>IF($E219="","",INDEX(KPI!$G:$G,SUMIFS(KPI!$B:$B,KPI!$E:$E,$E219)))</f>
        <v>%</v>
      </c>
      <c r="H219" s="100">
        <f>структура!$V$20</f>
        <v>9</v>
      </c>
      <c r="I219" s="31"/>
      <c r="J219" s="98" t="str">
        <f>структура!$X$20</f>
        <v>сен</v>
      </c>
      <c r="K219" s="99"/>
      <c r="L219" s="31"/>
      <c r="M219" s="229">
        <f>операции!M294</f>
        <v>1.1000000000000001</v>
      </c>
      <c r="N219" s="22"/>
      <c r="O219" s="22"/>
      <c r="P219" s="100"/>
      <c r="Q219" s="100"/>
      <c r="R219" s="100"/>
      <c r="S219" s="100"/>
      <c r="T219" s="100"/>
      <c r="U219" s="100"/>
      <c r="V219" s="100"/>
      <c r="W219" s="100"/>
      <c r="X219" s="100"/>
      <c r="Y219" s="100"/>
      <c r="Z219" s="100"/>
      <c r="AA219" s="100"/>
      <c r="AB219" s="22"/>
    </row>
    <row r="220" spans="1:28" s="23" customFormat="1" x14ac:dyDescent="0.25">
      <c r="A220" s="22"/>
      <c r="B220" s="22"/>
      <c r="C220" s="22"/>
      <c r="D220" s="22"/>
      <c r="E220" s="22" t="str">
        <f>E210</f>
        <v>сезонный коэффициент по коммуналке</v>
      </c>
      <c r="F220" s="22"/>
      <c r="G220" s="22" t="str">
        <f>IF($E220="","",INDEX(KPI!$G:$G,SUMIFS(KPI!$B:$B,KPI!$E:$E,$E220)))</f>
        <v>%</v>
      </c>
      <c r="H220" s="100">
        <f>структура!$V$21</f>
        <v>10</v>
      </c>
      <c r="I220" s="31"/>
      <c r="J220" s="98" t="str">
        <f>структура!$X$21</f>
        <v>окт</v>
      </c>
      <c r="K220" s="99"/>
      <c r="L220" s="31"/>
      <c r="M220" s="229">
        <f>операции!M295</f>
        <v>1.1499999999999999</v>
      </c>
      <c r="N220" s="22"/>
      <c r="O220" s="22"/>
      <c r="P220" s="100"/>
      <c r="Q220" s="100"/>
      <c r="R220" s="100"/>
      <c r="S220" s="100"/>
      <c r="T220" s="100"/>
      <c r="U220" s="100"/>
      <c r="V220" s="100"/>
      <c r="W220" s="100"/>
      <c r="X220" s="100"/>
      <c r="Y220" s="100"/>
      <c r="Z220" s="100"/>
      <c r="AA220" s="100"/>
      <c r="AB220" s="22"/>
    </row>
    <row r="221" spans="1:28" s="23" customFormat="1" x14ac:dyDescent="0.25">
      <c r="A221" s="22"/>
      <c r="B221" s="22"/>
      <c r="C221" s="22"/>
      <c r="D221" s="22"/>
      <c r="E221" s="22" t="str">
        <f>E210</f>
        <v>сезонный коэффициент по коммуналке</v>
      </c>
      <c r="F221" s="22"/>
      <c r="G221" s="22" t="str">
        <f>IF($E221="","",INDEX(KPI!$G:$G,SUMIFS(KPI!$B:$B,KPI!$E:$E,$E221)))</f>
        <v>%</v>
      </c>
      <c r="H221" s="100">
        <f>структура!$V$22</f>
        <v>11</v>
      </c>
      <c r="I221" s="31"/>
      <c r="J221" s="98" t="str">
        <f>структура!$X$22</f>
        <v>ноя</v>
      </c>
      <c r="K221" s="99"/>
      <c r="L221" s="31"/>
      <c r="M221" s="229">
        <f>операции!M296</f>
        <v>1.2</v>
      </c>
      <c r="N221" s="22"/>
      <c r="O221" s="22"/>
      <c r="P221" s="100"/>
      <c r="Q221" s="100"/>
      <c r="R221" s="100"/>
      <c r="S221" s="100"/>
      <c r="T221" s="100"/>
      <c r="U221" s="100"/>
      <c r="V221" s="100"/>
      <c r="W221" s="100"/>
      <c r="X221" s="100"/>
      <c r="Y221" s="100"/>
      <c r="Z221" s="100"/>
      <c r="AA221" s="100"/>
      <c r="AB221" s="22"/>
    </row>
    <row r="222" spans="1:28" s="23" customFormat="1" x14ac:dyDescent="0.25">
      <c r="A222" s="22"/>
      <c r="B222" s="22"/>
      <c r="C222" s="22"/>
      <c r="D222" s="22"/>
      <c r="E222" s="22" t="str">
        <f>E210</f>
        <v>сезонный коэффициент по коммуналке</v>
      </c>
      <c r="F222" s="22"/>
      <c r="G222" s="22" t="str">
        <f>IF($E222="","",INDEX(KPI!$G:$G,SUMIFS(KPI!$B:$B,KPI!$E:$E,$E222)))</f>
        <v>%</v>
      </c>
      <c r="H222" s="100">
        <f>структура!$V$23</f>
        <v>12</v>
      </c>
      <c r="I222" s="31"/>
      <c r="J222" s="98" t="str">
        <f>структура!$X$23</f>
        <v>дек</v>
      </c>
      <c r="K222" s="99"/>
      <c r="L222" s="31"/>
      <c r="M222" s="229">
        <f>операции!M297</f>
        <v>1.4</v>
      </c>
      <c r="N222" s="22"/>
      <c r="O222" s="22"/>
      <c r="P222" s="100"/>
      <c r="Q222" s="100"/>
      <c r="R222" s="100"/>
      <c r="S222" s="100"/>
      <c r="T222" s="100"/>
      <c r="U222" s="100"/>
      <c r="V222" s="100"/>
      <c r="W222" s="100"/>
      <c r="X222" s="100"/>
      <c r="Y222" s="100"/>
      <c r="Z222" s="100"/>
      <c r="AA222" s="100"/>
      <c r="AB222" s="22"/>
    </row>
    <row r="223" spans="1:28" ht="3.9" customHeight="1" x14ac:dyDescent="0.25">
      <c r="A223" s="2"/>
      <c r="B223" s="2"/>
      <c r="C223" s="2"/>
      <c r="D223" s="2"/>
      <c r="E223" s="21"/>
      <c r="F223" s="2"/>
      <c r="G223" s="21"/>
      <c r="H223" s="2"/>
      <c r="I223" s="28"/>
      <c r="J223" s="21"/>
      <c r="K223" s="28"/>
      <c r="L223" s="2"/>
      <c r="M223" s="52"/>
      <c r="N223" s="2"/>
      <c r="O223" s="2"/>
      <c r="P223" s="36"/>
      <c r="Q223" s="36"/>
      <c r="R223" s="36"/>
      <c r="S223" s="36"/>
      <c r="T223" s="36"/>
      <c r="U223" s="36"/>
      <c r="V223" s="36"/>
      <c r="W223" s="36"/>
      <c r="X223" s="36"/>
      <c r="Y223" s="36"/>
      <c r="Z223" s="36"/>
      <c r="AA223" s="36"/>
      <c r="AB223" s="2"/>
    </row>
    <row r="224" spans="1:28" ht="8.1" customHeight="1" x14ac:dyDescent="0.25">
      <c r="A224" s="2"/>
      <c r="B224" s="2"/>
      <c r="C224" s="2"/>
      <c r="D224" s="2"/>
      <c r="E224" s="2"/>
      <c r="F224" s="2"/>
      <c r="G224" s="2"/>
      <c r="H224" s="2"/>
      <c r="I224" s="28"/>
      <c r="J224" s="2"/>
      <c r="K224" s="28"/>
      <c r="L224" s="2"/>
      <c r="M224" s="52"/>
      <c r="N224" s="2"/>
      <c r="O224" s="2"/>
      <c r="P224" s="36"/>
      <c r="Q224" s="36"/>
      <c r="R224" s="36"/>
      <c r="S224" s="36"/>
      <c r="T224" s="36"/>
      <c r="U224" s="36"/>
      <c r="V224" s="36"/>
      <c r="W224" s="36"/>
      <c r="X224" s="36"/>
      <c r="Y224" s="36"/>
      <c r="Z224" s="36"/>
      <c r="AA224" s="36"/>
      <c r="AB224" s="2"/>
    </row>
    <row r="225" spans="1:28" s="5" customFormat="1" x14ac:dyDescent="0.25">
      <c r="A225" s="3"/>
      <c r="B225" s="3"/>
      <c r="C225" s="3"/>
      <c r="D225" s="111"/>
      <c r="E225" s="3" t="str">
        <f>KPI!$E$52</f>
        <v>коммунальные расходы - начисление</v>
      </c>
      <c r="F225" s="3"/>
      <c r="G225" s="3" t="str">
        <f>IF($E225="","",INDEX(KPI!$G:$G,SUMIFS(KPI!$B:$B,KPI!$E:$E,$E225)))</f>
        <v>тыс.руб.</v>
      </c>
      <c r="H225" s="103"/>
      <c r="I225" s="28"/>
      <c r="J225" s="44"/>
      <c r="K225" s="28"/>
      <c r="L225" s="3"/>
      <c r="M225" s="55">
        <f>SUM($O225:$AB225)</f>
        <v>1862.4097800000006</v>
      </c>
      <c r="N225" s="3"/>
      <c r="O225" s="3"/>
      <c r="P225" s="46">
        <f>IF(P$1="",0,IF(P$1=0,SUMIFS(P226:P237,H226:H237,"&gt;="&amp;MONTH($J$13)),SUM(P226:P237)))</f>
        <v>265.81038000000007</v>
      </c>
      <c r="Q225" s="46">
        <f t="shared" ref="Q225" si="36">IF(Q$1="",0,SUM(Q226:Q237))</f>
        <v>265.81038000000007</v>
      </c>
      <c r="R225" s="46">
        <f t="shared" ref="R225:AA225" si="37">IF(R$1="",0,SUM(R226:R237))</f>
        <v>266.67894000000007</v>
      </c>
      <c r="S225" s="46">
        <f t="shared" si="37"/>
        <v>265.81038000000007</v>
      </c>
      <c r="T225" s="46">
        <f t="shared" si="37"/>
        <v>265.81038000000007</v>
      </c>
      <c r="U225" s="46">
        <f t="shared" si="37"/>
        <v>265.81038000000007</v>
      </c>
      <c r="V225" s="46">
        <f t="shared" si="37"/>
        <v>266.67894000000007</v>
      </c>
      <c r="W225" s="46">
        <f t="shared" si="37"/>
        <v>0</v>
      </c>
      <c r="X225" s="46">
        <f t="shared" si="37"/>
        <v>0</v>
      </c>
      <c r="Y225" s="46">
        <f t="shared" si="37"/>
        <v>0</v>
      </c>
      <c r="Z225" s="46">
        <f t="shared" si="37"/>
        <v>0</v>
      </c>
      <c r="AA225" s="46">
        <f t="shared" si="37"/>
        <v>0</v>
      </c>
      <c r="AB225" s="3"/>
    </row>
    <row r="226" spans="1:28" s="23" customFormat="1" ht="10.199999999999999" x14ac:dyDescent="0.2">
      <c r="A226" s="22"/>
      <c r="B226" s="22"/>
      <c r="C226" s="22"/>
      <c r="D226" s="22"/>
      <c r="E226" s="22" t="str">
        <f>E225</f>
        <v>коммунальные расходы - начисление</v>
      </c>
      <c r="F226" s="22"/>
      <c r="G226" s="22" t="str">
        <f>IF($E226="","",INDEX(KPI!$G:$G,SUMIFS(KPI!$B:$B,KPI!$E:$E,$E226)))</f>
        <v>тыс.руб.</v>
      </c>
      <c r="H226" s="100">
        <f>структура!$V$12</f>
        <v>1</v>
      </c>
      <c r="I226" s="31"/>
      <c r="J226" s="98" t="str">
        <f>структура!$X$12</f>
        <v>янв</v>
      </c>
      <c r="K226" s="99"/>
      <c r="L226" s="22"/>
      <c r="M226" s="58"/>
      <c r="N226" s="22"/>
      <c r="O226" s="22"/>
      <c r="P226" s="101">
        <f t="shared" ref="P226:AA226" si="38">IF(P$1="",0,$J$207*$M211*DAY(EOMONTH(P$8,$H226-MONTH(P$8))))</f>
        <v>26.925360000000001</v>
      </c>
      <c r="Q226" s="101">
        <f t="shared" si="38"/>
        <v>26.925360000000001</v>
      </c>
      <c r="R226" s="101">
        <f t="shared" si="38"/>
        <v>26.925360000000001</v>
      </c>
      <c r="S226" s="101">
        <f t="shared" si="38"/>
        <v>26.925360000000001</v>
      </c>
      <c r="T226" s="101">
        <f t="shared" si="38"/>
        <v>26.925360000000001</v>
      </c>
      <c r="U226" s="101">
        <f t="shared" si="38"/>
        <v>26.925360000000001</v>
      </c>
      <c r="V226" s="101">
        <f t="shared" si="38"/>
        <v>26.925360000000001</v>
      </c>
      <c r="W226" s="101">
        <f t="shared" si="38"/>
        <v>0</v>
      </c>
      <c r="X226" s="101">
        <f t="shared" si="38"/>
        <v>0</v>
      </c>
      <c r="Y226" s="101">
        <f t="shared" si="38"/>
        <v>0</v>
      </c>
      <c r="Z226" s="101">
        <f t="shared" si="38"/>
        <v>0</v>
      </c>
      <c r="AA226" s="101">
        <f t="shared" si="38"/>
        <v>0</v>
      </c>
      <c r="AB226" s="22"/>
    </row>
    <row r="227" spans="1:28" s="23" customFormat="1" ht="10.199999999999999" x14ac:dyDescent="0.2">
      <c r="A227" s="22"/>
      <c r="B227" s="22"/>
      <c r="C227" s="22"/>
      <c r="D227" s="22"/>
      <c r="E227" s="22" t="str">
        <f>E225</f>
        <v>коммунальные расходы - начисление</v>
      </c>
      <c r="F227" s="22"/>
      <c r="G227" s="22" t="str">
        <f>IF($E227="","",INDEX(KPI!$G:$G,SUMIFS(KPI!$B:$B,KPI!$E:$E,$E227)))</f>
        <v>тыс.руб.</v>
      </c>
      <c r="H227" s="100">
        <f>структура!$V$13</f>
        <v>2</v>
      </c>
      <c r="I227" s="31"/>
      <c r="J227" s="98" t="str">
        <f>структура!$X$13</f>
        <v>фев</v>
      </c>
      <c r="K227" s="99"/>
      <c r="L227" s="22"/>
      <c r="M227" s="58"/>
      <c r="N227" s="22"/>
      <c r="O227" s="22"/>
      <c r="P227" s="101">
        <f t="shared" ref="P227:AA227" si="39">IF(P$1="",0,$J$207*$M212*DAY(EOMONTH(P$8,$H227-MONTH(P$8))))</f>
        <v>24.319679999999998</v>
      </c>
      <c r="Q227" s="101">
        <f t="shared" si="39"/>
        <v>24.319679999999998</v>
      </c>
      <c r="R227" s="101">
        <f t="shared" si="39"/>
        <v>25.18824</v>
      </c>
      <c r="S227" s="101">
        <f t="shared" si="39"/>
        <v>24.319679999999998</v>
      </c>
      <c r="T227" s="101">
        <f t="shared" si="39"/>
        <v>24.319679999999998</v>
      </c>
      <c r="U227" s="101">
        <f t="shared" si="39"/>
        <v>24.319679999999998</v>
      </c>
      <c r="V227" s="101">
        <f t="shared" si="39"/>
        <v>25.18824</v>
      </c>
      <c r="W227" s="101">
        <f t="shared" si="39"/>
        <v>0</v>
      </c>
      <c r="X227" s="101">
        <f t="shared" si="39"/>
        <v>0</v>
      </c>
      <c r="Y227" s="101">
        <f t="shared" si="39"/>
        <v>0</v>
      </c>
      <c r="Z227" s="101">
        <f t="shared" si="39"/>
        <v>0</v>
      </c>
      <c r="AA227" s="101">
        <f t="shared" si="39"/>
        <v>0</v>
      </c>
      <c r="AB227" s="22"/>
    </row>
    <row r="228" spans="1:28" s="23" customFormat="1" ht="10.199999999999999" x14ac:dyDescent="0.2">
      <c r="A228" s="22"/>
      <c r="B228" s="22"/>
      <c r="C228" s="22"/>
      <c r="D228" s="22"/>
      <c r="E228" s="22" t="str">
        <f>E225</f>
        <v>коммунальные расходы - начисление</v>
      </c>
      <c r="F228" s="22"/>
      <c r="G228" s="22" t="str">
        <f>IF($E228="","",INDEX(KPI!$G:$G,SUMIFS(KPI!$B:$B,KPI!$E:$E,$E228)))</f>
        <v>тыс.руб.</v>
      </c>
      <c r="H228" s="100">
        <f>структура!$V$14</f>
        <v>3</v>
      </c>
      <c r="I228" s="31"/>
      <c r="J228" s="98" t="str">
        <f>структура!$X$14</f>
        <v>мар</v>
      </c>
      <c r="K228" s="99"/>
      <c r="L228" s="22"/>
      <c r="M228" s="58"/>
      <c r="N228" s="22"/>
      <c r="O228" s="22"/>
      <c r="P228" s="101">
        <f t="shared" ref="P228:AA228" si="40">IF(P$1="",0,$J$207*$M213*DAY(EOMONTH(P$8,$H228-MONTH(P$8))))</f>
        <v>23.078880000000002</v>
      </c>
      <c r="Q228" s="101">
        <f t="shared" si="40"/>
        <v>23.078880000000002</v>
      </c>
      <c r="R228" s="101">
        <f t="shared" si="40"/>
        <v>23.078880000000002</v>
      </c>
      <c r="S228" s="101">
        <f t="shared" si="40"/>
        <v>23.078880000000002</v>
      </c>
      <c r="T228" s="101">
        <f t="shared" si="40"/>
        <v>23.078880000000002</v>
      </c>
      <c r="U228" s="101">
        <f t="shared" si="40"/>
        <v>23.078880000000002</v>
      </c>
      <c r="V228" s="101">
        <f t="shared" si="40"/>
        <v>23.078880000000002</v>
      </c>
      <c r="W228" s="101">
        <f t="shared" si="40"/>
        <v>0</v>
      </c>
      <c r="X228" s="101">
        <f t="shared" si="40"/>
        <v>0</v>
      </c>
      <c r="Y228" s="101">
        <f t="shared" si="40"/>
        <v>0</v>
      </c>
      <c r="Z228" s="101">
        <f t="shared" si="40"/>
        <v>0</v>
      </c>
      <c r="AA228" s="101">
        <f t="shared" si="40"/>
        <v>0</v>
      </c>
      <c r="AB228" s="22"/>
    </row>
    <row r="229" spans="1:28" s="23" customFormat="1" ht="10.199999999999999" x14ac:dyDescent="0.2">
      <c r="A229" s="22"/>
      <c r="B229" s="22"/>
      <c r="C229" s="22"/>
      <c r="D229" s="22"/>
      <c r="E229" s="22" t="str">
        <f>E225</f>
        <v>коммунальные расходы - начисление</v>
      </c>
      <c r="F229" s="22"/>
      <c r="G229" s="22" t="str">
        <f>IF($E229="","",INDEX(KPI!$G:$G,SUMIFS(KPI!$B:$B,KPI!$E:$E,$E229)))</f>
        <v>тыс.руб.</v>
      </c>
      <c r="H229" s="100">
        <f>структура!$V$15</f>
        <v>4</v>
      </c>
      <c r="I229" s="31"/>
      <c r="J229" s="98" t="str">
        <f>структура!$X$15</f>
        <v>апр</v>
      </c>
      <c r="K229" s="99"/>
      <c r="L229" s="22"/>
      <c r="M229" s="58"/>
      <c r="N229" s="22"/>
      <c r="O229" s="22"/>
      <c r="P229" s="101">
        <f t="shared" ref="P229:AA229" si="41">IF(P$1="",0,$J$207*$M214*DAY(EOMONTH(P$8,$H229-MONTH(P$8))))</f>
        <v>21.4038</v>
      </c>
      <c r="Q229" s="101">
        <f t="shared" si="41"/>
        <v>21.4038</v>
      </c>
      <c r="R229" s="101">
        <f t="shared" si="41"/>
        <v>21.4038</v>
      </c>
      <c r="S229" s="101">
        <f t="shared" si="41"/>
        <v>21.4038</v>
      </c>
      <c r="T229" s="101">
        <f t="shared" si="41"/>
        <v>21.4038</v>
      </c>
      <c r="U229" s="101">
        <f t="shared" si="41"/>
        <v>21.4038</v>
      </c>
      <c r="V229" s="101">
        <f t="shared" si="41"/>
        <v>21.4038</v>
      </c>
      <c r="W229" s="101">
        <f t="shared" si="41"/>
        <v>0</v>
      </c>
      <c r="X229" s="101">
        <f t="shared" si="41"/>
        <v>0</v>
      </c>
      <c r="Y229" s="101">
        <f t="shared" si="41"/>
        <v>0</v>
      </c>
      <c r="Z229" s="101">
        <f t="shared" si="41"/>
        <v>0</v>
      </c>
      <c r="AA229" s="101">
        <f t="shared" si="41"/>
        <v>0</v>
      </c>
      <c r="AB229" s="22"/>
    </row>
    <row r="230" spans="1:28" s="23" customFormat="1" ht="10.199999999999999" x14ac:dyDescent="0.2">
      <c r="A230" s="22"/>
      <c r="B230" s="22"/>
      <c r="C230" s="22"/>
      <c r="D230" s="22"/>
      <c r="E230" s="22" t="str">
        <f>E225</f>
        <v>коммунальные расходы - начисление</v>
      </c>
      <c r="F230" s="22"/>
      <c r="G230" s="22" t="str">
        <f>IF($E230="","",INDEX(KPI!$G:$G,SUMIFS(KPI!$B:$B,KPI!$E:$E,$E230)))</f>
        <v>тыс.руб.</v>
      </c>
      <c r="H230" s="100">
        <f>структура!$V$16</f>
        <v>5</v>
      </c>
      <c r="I230" s="31"/>
      <c r="J230" s="98" t="str">
        <f>структура!$X$16</f>
        <v>май</v>
      </c>
      <c r="K230" s="99"/>
      <c r="L230" s="22"/>
      <c r="M230" s="58"/>
      <c r="N230" s="22"/>
      <c r="O230" s="22"/>
      <c r="P230" s="101">
        <f t="shared" ref="P230:AA230" si="42">IF(P$1="",0,$J$207*$M215*DAY(EOMONTH(P$8,$H230-MONTH(P$8))))</f>
        <v>21.155640000000005</v>
      </c>
      <c r="Q230" s="101">
        <f t="shared" si="42"/>
        <v>21.155640000000005</v>
      </c>
      <c r="R230" s="101">
        <f t="shared" si="42"/>
        <v>21.155640000000005</v>
      </c>
      <c r="S230" s="101">
        <f t="shared" si="42"/>
        <v>21.155640000000005</v>
      </c>
      <c r="T230" s="101">
        <f t="shared" si="42"/>
        <v>21.155640000000005</v>
      </c>
      <c r="U230" s="101">
        <f t="shared" si="42"/>
        <v>21.155640000000005</v>
      </c>
      <c r="V230" s="101">
        <f t="shared" si="42"/>
        <v>21.155640000000005</v>
      </c>
      <c r="W230" s="101">
        <f t="shared" si="42"/>
        <v>0</v>
      </c>
      <c r="X230" s="101">
        <f t="shared" si="42"/>
        <v>0</v>
      </c>
      <c r="Y230" s="101">
        <f t="shared" si="42"/>
        <v>0</v>
      </c>
      <c r="Z230" s="101">
        <f t="shared" si="42"/>
        <v>0</v>
      </c>
      <c r="AA230" s="101">
        <f t="shared" si="42"/>
        <v>0</v>
      </c>
      <c r="AB230" s="22"/>
    </row>
    <row r="231" spans="1:28" s="23" customFormat="1" ht="10.199999999999999" x14ac:dyDescent="0.2">
      <c r="A231" s="22"/>
      <c r="B231" s="22"/>
      <c r="C231" s="22"/>
      <c r="D231" s="22"/>
      <c r="E231" s="22" t="str">
        <f>E225</f>
        <v>коммунальные расходы - начисление</v>
      </c>
      <c r="F231" s="22"/>
      <c r="G231" s="22" t="str">
        <f>IF($E231="","",INDEX(KPI!$G:$G,SUMIFS(KPI!$B:$B,KPI!$E:$E,$E231)))</f>
        <v>тыс.руб.</v>
      </c>
      <c r="H231" s="100">
        <f>структура!$V$17</f>
        <v>6</v>
      </c>
      <c r="I231" s="31"/>
      <c r="J231" s="98" t="str">
        <f>структура!$X$17</f>
        <v>июн</v>
      </c>
      <c r="K231" s="99"/>
      <c r="L231" s="22"/>
      <c r="M231" s="58"/>
      <c r="N231" s="22"/>
      <c r="O231" s="22"/>
      <c r="P231" s="101">
        <f t="shared" ref="P231:AA231" si="43">IF(P$1="",0,$J$207*$M216*DAY(EOMONTH(P$8,$H231-MONTH(P$8))))</f>
        <v>18.612000000000002</v>
      </c>
      <c r="Q231" s="101">
        <f t="shared" si="43"/>
        <v>18.612000000000002</v>
      </c>
      <c r="R231" s="101">
        <f t="shared" si="43"/>
        <v>18.612000000000002</v>
      </c>
      <c r="S231" s="101">
        <f t="shared" si="43"/>
        <v>18.612000000000002</v>
      </c>
      <c r="T231" s="101">
        <f t="shared" si="43"/>
        <v>18.612000000000002</v>
      </c>
      <c r="U231" s="101">
        <f t="shared" si="43"/>
        <v>18.612000000000002</v>
      </c>
      <c r="V231" s="101">
        <f t="shared" si="43"/>
        <v>18.612000000000002</v>
      </c>
      <c r="W231" s="101">
        <f t="shared" si="43"/>
        <v>0</v>
      </c>
      <c r="X231" s="101">
        <f t="shared" si="43"/>
        <v>0</v>
      </c>
      <c r="Y231" s="101">
        <f t="shared" si="43"/>
        <v>0</v>
      </c>
      <c r="Z231" s="101">
        <f t="shared" si="43"/>
        <v>0</v>
      </c>
      <c r="AA231" s="101">
        <f t="shared" si="43"/>
        <v>0</v>
      </c>
      <c r="AB231" s="22"/>
    </row>
    <row r="232" spans="1:28" s="23" customFormat="1" ht="10.199999999999999" x14ac:dyDescent="0.2">
      <c r="A232" s="22"/>
      <c r="B232" s="22"/>
      <c r="C232" s="22"/>
      <c r="D232" s="22"/>
      <c r="E232" s="22" t="str">
        <f>E225</f>
        <v>коммунальные расходы - начисление</v>
      </c>
      <c r="F232" s="22"/>
      <c r="G232" s="22" t="str">
        <f>IF($E232="","",INDEX(KPI!$G:$G,SUMIFS(KPI!$B:$B,KPI!$E:$E,$E232)))</f>
        <v>тыс.руб.</v>
      </c>
      <c r="H232" s="100">
        <f>структура!$V$18</f>
        <v>7</v>
      </c>
      <c r="I232" s="31"/>
      <c r="J232" s="98" t="str">
        <f>структура!$X$18</f>
        <v>июл</v>
      </c>
      <c r="K232" s="99"/>
      <c r="L232" s="22"/>
      <c r="M232" s="58"/>
      <c r="N232" s="22"/>
      <c r="O232" s="22"/>
      <c r="P232" s="101">
        <f t="shared" ref="P232:AA232" si="44">IF(P$1="",0,$J$207*$M217*DAY(EOMONTH(P$8,$H232-MONTH(P$8))))</f>
        <v>19.232400000000002</v>
      </c>
      <c r="Q232" s="101">
        <f t="shared" si="44"/>
        <v>19.232400000000002</v>
      </c>
      <c r="R232" s="101">
        <f t="shared" si="44"/>
        <v>19.232400000000002</v>
      </c>
      <c r="S232" s="101">
        <f t="shared" si="44"/>
        <v>19.232400000000002</v>
      </c>
      <c r="T232" s="101">
        <f t="shared" si="44"/>
        <v>19.232400000000002</v>
      </c>
      <c r="U232" s="101">
        <f t="shared" si="44"/>
        <v>19.232400000000002</v>
      </c>
      <c r="V232" s="101">
        <f t="shared" si="44"/>
        <v>19.232400000000002</v>
      </c>
      <c r="W232" s="101">
        <f t="shared" si="44"/>
        <v>0</v>
      </c>
      <c r="X232" s="101">
        <f t="shared" si="44"/>
        <v>0</v>
      </c>
      <c r="Y232" s="101">
        <f t="shared" si="44"/>
        <v>0</v>
      </c>
      <c r="Z232" s="101">
        <f t="shared" si="44"/>
        <v>0</v>
      </c>
      <c r="AA232" s="101">
        <f t="shared" si="44"/>
        <v>0</v>
      </c>
      <c r="AB232" s="22"/>
    </row>
    <row r="233" spans="1:28" s="23" customFormat="1" ht="10.199999999999999" x14ac:dyDescent="0.2">
      <c r="A233" s="22"/>
      <c r="B233" s="22"/>
      <c r="C233" s="22"/>
      <c r="D233" s="22"/>
      <c r="E233" s="22" t="str">
        <f>E225</f>
        <v>коммунальные расходы - начисление</v>
      </c>
      <c r="F233" s="22"/>
      <c r="G233" s="22" t="str">
        <f>IF($E233="","",INDEX(KPI!$G:$G,SUMIFS(KPI!$B:$B,KPI!$E:$E,$E233)))</f>
        <v>тыс.руб.</v>
      </c>
      <c r="H233" s="100">
        <f>структура!$V$19</f>
        <v>8</v>
      </c>
      <c r="I233" s="31"/>
      <c r="J233" s="98" t="str">
        <f>структура!$X$19</f>
        <v>авг</v>
      </c>
      <c r="K233" s="99"/>
      <c r="L233" s="22"/>
      <c r="M233" s="58"/>
      <c r="N233" s="22"/>
      <c r="O233" s="22"/>
      <c r="P233" s="101">
        <f t="shared" ref="P233:AA233" si="45">IF(P$1="",0,$J$207*$M218*DAY(EOMONTH(P$8,$H233-MONTH(P$8))))</f>
        <v>19.232400000000002</v>
      </c>
      <c r="Q233" s="101">
        <f t="shared" si="45"/>
        <v>19.232400000000002</v>
      </c>
      <c r="R233" s="101">
        <f t="shared" si="45"/>
        <v>19.232400000000002</v>
      </c>
      <c r="S233" s="101">
        <f t="shared" si="45"/>
        <v>19.232400000000002</v>
      </c>
      <c r="T233" s="101">
        <f t="shared" si="45"/>
        <v>19.232400000000002</v>
      </c>
      <c r="U233" s="101">
        <f t="shared" si="45"/>
        <v>19.232400000000002</v>
      </c>
      <c r="V233" s="101">
        <f t="shared" si="45"/>
        <v>19.232400000000002</v>
      </c>
      <c r="W233" s="101">
        <f t="shared" si="45"/>
        <v>0</v>
      </c>
      <c r="X233" s="101">
        <f t="shared" si="45"/>
        <v>0</v>
      </c>
      <c r="Y233" s="101">
        <f t="shared" si="45"/>
        <v>0</v>
      </c>
      <c r="Z233" s="101">
        <f t="shared" si="45"/>
        <v>0</v>
      </c>
      <c r="AA233" s="101">
        <f t="shared" si="45"/>
        <v>0</v>
      </c>
      <c r="AB233" s="22"/>
    </row>
    <row r="234" spans="1:28" s="23" customFormat="1" ht="10.199999999999999" x14ac:dyDescent="0.2">
      <c r="A234" s="22"/>
      <c r="B234" s="22"/>
      <c r="C234" s="22"/>
      <c r="D234" s="22"/>
      <c r="E234" s="22" t="str">
        <f>E225</f>
        <v>коммунальные расходы - начисление</v>
      </c>
      <c r="F234" s="22"/>
      <c r="G234" s="22" t="str">
        <f>IF($E234="","",INDEX(KPI!$G:$G,SUMIFS(KPI!$B:$B,KPI!$E:$E,$E234)))</f>
        <v>тыс.руб.</v>
      </c>
      <c r="H234" s="100">
        <f>структура!$V$20</f>
        <v>9</v>
      </c>
      <c r="I234" s="31"/>
      <c r="J234" s="98" t="str">
        <f>структура!$X$20</f>
        <v>сен</v>
      </c>
      <c r="K234" s="99"/>
      <c r="L234" s="22"/>
      <c r="M234" s="58"/>
      <c r="N234" s="22"/>
      <c r="O234" s="22"/>
      <c r="P234" s="101">
        <f t="shared" ref="P234:AA234" si="46">IF(P$1="",0,$J$207*$M219*DAY(EOMONTH(P$8,$H234-MONTH(P$8))))</f>
        <v>20.473200000000006</v>
      </c>
      <c r="Q234" s="101">
        <f t="shared" si="46"/>
        <v>20.473200000000006</v>
      </c>
      <c r="R234" s="101">
        <f t="shared" si="46"/>
        <v>20.473200000000006</v>
      </c>
      <c r="S234" s="101">
        <f t="shared" si="46"/>
        <v>20.473200000000006</v>
      </c>
      <c r="T234" s="101">
        <f t="shared" si="46"/>
        <v>20.473200000000006</v>
      </c>
      <c r="U234" s="101">
        <f t="shared" si="46"/>
        <v>20.473200000000006</v>
      </c>
      <c r="V234" s="101">
        <f t="shared" si="46"/>
        <v>20.473200000000006</v>
      </c>
      <c r="W234" s="101">
        <f t="shared" si="46"/>
        <v>0</v>
      </c>
      <c r="X234" s="101">
        <f t="shared" si="46"/>
        <v>0</v>
      </c>
      <c r="Y234" s="101">
        <f t="shared" si="46"/>
        <v>0</v>
      </c>
      <c r="Z234" s="101">
        <f t="shared" si="46"/>
        <v>0</v>
      </c>
      <c r="AA234" s="101">
        <f t="shared" si="46"/>
        <v>0</v>
      </c>
      <c r="AB234" s="22"/>
    </row>
    <row r="235" spans="1:28" s="23" customFormat="1" ht="10.199999999999999" x14ac:dyDescent="0.2">
      <c r="A235" s="22"/>
      <c r="B235" s="22"/>
      <c r="C235" s="22"/>
      <c r="D235" s="22"/>
      <c r="E235" s="22" t="str">
        <f>E225</f>
        <v>коммунальные расходы - начисление</v>
      </c>
      <c r="F235" s="22"/>
      <c r="G235" s="22" t="str">
        <f>IF($E235="","",INDEX(KPI!$G:$G,SUMIFS(KPI!$B:$B,KPI!$E:$E,$E235)))</f>
        <v>тыс.руб.</v>
      </c>
      <c r="H235" s="100">
        <f>структура!$V$21</f>
        <v>10</v>
      </c>
      <c r="I235" s="31"/>
      <c r="J235" s="98" t="str">
        <f>структура!$X$21</f>
        <v>окт</v>
      </c>
      <c r="K235" s="99"/>
      <c r="L235" s="22"/>
      <c r="M235" s="58"/>
      <c r="N235" s="22"/>
      <c r="O235" s="22"/>
      <c r="P235" s="101">
        <f t="shared" ref="P235:AA235" si="47">IF(P$1="",0,$J$207*$M220*DAY(EOMONTH(P$8,$H235-MONTH(P$8))))</f>
        <v>22.117259999999998</v>
      </c>
      <c r="Q235" s="101">
        <f t="shared" si="47"/>
        <v>22.117259999999998</v>
      </c>
      <c r="R235" s="101">
        <f t="shared" si="47"/>
        <v>22.117259999999998</v>
      </c>
      <c r="S235" s="101">
        <f t="shared" si="47"/>
        <v>22.117259999999998</v>
      </c>
      <c r="T235" s="101">
        <f t="shared" si="47"/>
        <v>22.117259999999998</v>
      </c>
      <c r="U235" s="101">
        <f t="shared" si="47"/>
        <v>22.117259999999998</v>
      </c>
      <c r="V235" s="101">
        <f t="shared" si="47"/>
        <v>22.117259999999998</v>
      </c>
      <c r="W235" s="101">
        <f t="shared" si="47"/>
        <v>0</v>
      </c>
      <c r="X235" s="101">
        <f t="shared" si="47"/>
        <v>0</v>
      </c>
      <c r="Y235" s="101">
        <f t="shared" si="47"/>
        <v>0</v>
      </c>
      <c r="Z235" s="101">
        <f t="shared" si="47"/>
        <v>0</v>
      </c>
      <c r="AA235" s="101">
        <f t="shared" si="47"/>
        <v>0</v>
      </c>
      <c r="AB235" s="22"/>
    </row>
    <row r="236" spans="1:28" s="23" customFormat="1" ht="10.199999999999999" x14ac:dyDescent="0.2">
      <c r="A236" s="22"/>
      <c r="B236" s="22"/>
      <c r="C236" s="22"/>
      <c r="D236" s="22"/>
      <c r="E236" s="22" t="str">
        <f>E225</f>
        <v>коммунальные расходы - начисление</v>
      </c>
      <c r="F236" s="22"/>
      <c r="G236" s="22" t="str">
        <f>IF($E236="","",INDEX(KPI!$G:$G,SUMIFS(KPI!$B:$B,KPI!$E:$E,$E236)))</f>
        <v>тыс.руб.</v>
      </c>
      <c r="H236" s="100">
        <f>структура!$V$22</f>
        <v>11</v>
      </c>
      <c r="I236" s="31"/>
      <c r="J236" s="98" t="str">
        <f>структура!$X$22</f>
        <v>ноя</v>
      </c>
      <c r="K236" s="99"/>
      <c r="L236" s="22"/>
      <c r="M236" s="58"/>
      <c r="N236" s="22"/>
      <c r="O236" s="22"/>
      <c r="P236" s="101">
        <f t="shared" ref="P236:AA236" si="48">IF(P$1="",0,$J$207*$M221*DAY(EOMONTH(P$8,$H236-MONTH(P$8))))</f>
        <v>22.334400000000002</v>
      </c>
      <c r="Q236" s="101">
        <f t="shared" si="48"/>
        <v>22.334400000000002</v>
      </c>
      <c r="R236" s="101">
        <f t="shared" si="48"/>
        <v>22.334400000000002</v>
      </c>
      <c r="S236" s="101">
        <f t="shared" si="48"/>
        <v>22.334400000000002</v>
      </c>
      <c r="T236" s="101">
        <f t="shared" si="48"/>
        <v>22.334400000000002</v>
      </c>
      <c r="U236" s="101">
        <f t="shared" si="48"/>
        <v>22.334400000000002</v>
      </c>
      <c r="V236" s="101">
        <f t="shared" si="48"/>
        <v>22.334400000000002</v>
      </c>
      <c r="W236" s="101">
        <f t="shared" si="48"/>
        <v>0</v>
      </c>
      <c r="X236" s="101">
        <f t="shared" si="48"/>
        <v>0</v>
      </c>
      <c r="Y236" s="101">
        <f t="shared" si="48"/>
        <v>0</v>
      </c>
      <c r="Z236" s="101">
        <f t="shared" si="48"/>
        <v>0</v>
      </c>
      <c r="AA236" s="101">
        <f t="shared" si="48"/>
        <v>0</v>
      </c>
      <c r="AB236" s="22"/>
    </row>
    <row r="237" spans="1:28" s="23" customFormat="1" ht="10.199999999999999" x14ac:dyDescent="0.2">
      <c r="A237" s="22"/>
      <c r="B237" s="22"/>
      <c r="C237" s="22"/>
      <c r="D237" s="22"/>
      <c r="E237" s="22" t="str">
        <f>E225</f>
        <v>коммунальные расходы - начисление</v>
      </c>
      <c r="F237" s="22"/>
      <c r="G237" s="22" t="str">
        <f>IF($E237="","",INDEX(KPI!$G:$G,SUMIFS(KPI!$B:$B,KPI!$E:$E,$E237)))</f>
        <v>тыс.руб.</v>
      </c>
      <c r="H237" s="100">
        <f>структура!$V$23</f>
        <v>12</v>
      </c>
      <c r="I237" s="31"/>
      <c r="J237" s="98" t="str">
        <f>структура!$X$23</f>
        <v>дек</v>
      </c>
      <c r="K237" s="99"/>
      <c r="L237" s="22"/>
      <c r="M237" s="58"/>
      <c r="N237" s="22"/>
      <c r="O237" s="22"/>
      <c r="P237" s="101">
        <f t="shared" ref="P237:AA237" si="49">IF(P$1="",0,$J$207*$M222*DAY(EOMONTH(P$8,$H237-MONTH(P$8))))</f>
        <v>26.925360000000001</v>
      </c>
      <c r="Q237" s="101">
        <f t="shared" si="49"/>
        <v>26.925360000000001</v>
      </c>
      <c r="R237" s="101">
        <f t="shared" si="49"/>
        <v>26.925360000000001</v>
      </c>
      <c r="S237" s="101">
        <f t="shared" si="49"/>
        <v>26.925360000000001</v>
      </c>
      <c r="T237" s="101">
        <f t="shared" si="49"/>
        <v>26.925360000000001</v>
      </c>
      <c r="U237" s="101">
        <f t="shared" si="49"/>
        <v>26.925360000000001</v>
      </c>
      <c r="V237" s="101">
        <f t="shared" si="49"/>
        <v>26.925360000000001</v>
      </c>
      <c r="W237" s="101">
        <f t="shared" si="49"/>
        <v>0</v>
      </c>
      <c r="X237" s="101">
        <f t="shared" si="49"/>
        <v>0</v>
      </c>
      <c r="Y237" s="101">
        <f t="shared" si="49"/>
        <v>0</v>
      </c>
      <c r="Z237" s="101">
        <f t="shared" si="49"/>
        <v>0</v>
      </c>
      <c r="AA237" s="101">
        <f t="shared" si="49"/>
        <v>0</v>
      </c>
      <c r="AB237" s="22"/>
    </row>
    <row r="238" spans="1:28" ht="3.9" customHeight="1" x14ac:dyDescent="0.25">
      <c r="A238" s="2"/>
      <c r="B238" s="2"/>
      <c r="C238" s="2"/>
      <c r="D238" s="2"/>
      <c r="E238" s="21"/>
      <c r="F238" s="2"/>
      <c r="G238" s="21"/>
      <c r="H238" s="2"/>
      <c r="I238" s="28"/>
      <c r="J238" s="21"/>
      <c r="K238" s="28"/>
      <c r="L238" s="2"/>
      <c r="M238" s="52"/>
      <c r="N238" s="2"/>
      <c r="O238" s="2"/>
      <c r="P238" s="36"/>
      <c r="Q238" s="36"/>
      <c r="R238" s="36"/>
      <c r="S238" s="36"/>
      <c r="T238" s="36"/>
      <c r="U238" s="36"/>
      <c r="V238" s="36"/>
      <c r="W238" s="36"/>
      <c r="X238" s="36"/>
      <c r="Y238" s="36"/>
      <c r="Z238" s="36"/>
      <c r="AA238" s="36"/>
      <c r="AB238" s="2"/>
    </row>
    <row r="239" spans="1:28" ht="8.1" customHeight="1" x14ac:dyDescent="0.25">
      <c r="A239" s="2"/>
      <c r="B239" s="2"/>
      <c r="C239" s="2"/>
      <c r="D239" s="2"/>
      <c r="E239" s="2"/>
      <c r="F239" s="2"/>
      <c r="G239" s="2"/>
      <c r="H239" s="2"/>
      <c r="I239" s="28"/>
      <c r="J239" s="2"/>
      <c r="K239" s="28"/>
      <c r="L239" s="2"/>
      <c r="M239" s="52"/>
      <c r="N239" s="2"/>
      <c r="O239" s="2"/>
      <c r="P239" s="36"/>
      <c r="Q239" s="36"/>
      <c r="R239" s="36"/>
      <c r="S239" s="36"/>
      <c r="T239" s="36"/>
      <c r="U239" s="36"/>
      <c r="V239" s="36"/>
      <c r="W239" s="36"/>
      <c r="X239" s="36"/>
      <c r="Y239" s="36"/>
      <c r="Z239" s="36"/>
      <c r="AA239" s="36"/>
      <c r="AB239" s="2"/>
    </row>
    <row r="240" spans="1:28" s="5" customFormat="1" x14ac:dyDescent="0.25">
      <c r="A240" s="3"/>
      <c r="B240" s="3"/>
      <c r="C240" s="3"/>
      <c r="D240" s="111"/>
      <c r="E240" s="3" t="str">
        <f>KPI!$E$53</f>
        <v>коммунальные расходы - оплата</v>
      </c>
      <c r="F240" s="3"/>
      <c r="G240" s="3" t="str">
        <f>IF($E240="","",INDEX(KPI!$G:$G,SUMIFS(KPI!$B:$B,KPI!$E:$E,$E240)))</f>
        <v>тыс.руб.</v>
      </c>
      <c r="H240" s="116" t="str">
        <f>структура!$AL$20</f>
        <v>Заложен сдвиг на один месяц!</v>
      </c>
      <c r="I240" s="28"/>
      <c r="J240" s="44"/>
      <c r="K240" s="28"/>
      <c r="L240" s="3"/>
      <c r="M240" s="55">
        <f>SUM($O240:$AB240)</f>
        <v>1835.48442</v>
      </c>
      <c r="N240" s="3"/>
      <c r="O240" s="3"/>
      <c r="P240" s="46">
        <f>IF(P$1="",0,IF(P$1=0,SUMIFS(P241:P252,H241:H252,"&gt;="&amp;MONTH($J$13)),SUM(P241:P252)))</f>
        <v>238.88502000000005</v>
      </c>
      <c r="Q240" s="46">
        <f t="shared" ref="Q240" si="50">IF(Q$1="",0,SUM(Q241:Q252))</f>
        <v>265.81038000000001</v>
      </c>
      <c r="R240" s="46">
        <f t="shared" ref="R240:AA240" si="51">IF(R$1="",0,SUM(R241:R252))</f>
        <v>266.67894000000001</v>
      </c>
      <c r="S240" s="46">
        <f t="shared" si="51"/>
        <v>265.81038000000001</v>
      </c>
      <c r="T240" s="46">
        <f t="shared" si="51"/>
        <v>265.81038000000001</v>
      </c>
      <c r="U240" s="46">
        <f t="shared" si="51"/>
        <v>265.81038000000001</v>
      </c>
      <c r="V240" s="46">
        <f t="shared" si="51"/>
        <v>266.67894000000001</v>
      </c>
      <c r="W240" s="46">
        <f t="shared" si="51"/>
        <v>0</v>
      </c>
      <c r="X240" s="46">
        <f t="shared" si="51"/>
        <v>0</v>
      </c>
      <c r="Y240" s="46">
        <f t="shared" si="51"/>
        <v>0</v>
      </c>
      <c r="Z240" s="46">
        <f t="shared" si="51"/>
        <v>0</v>
      </c>
      <c r="AA240" s="46">
        <f t="shared" si="51"/>
        <v>0</v>
      </c>
      <c r="AB240" s="3"/>
    </row>
    <row r="241" spans="1:28" s="23" customFormat="1" ht="10.199999999999999" x14ac:dyDescent="0.2">
      <c r="A241" s="22"/>
      <c r="B241" s="22"/>
      <c r="C241" s="22"/>
      <c r="D241" s="22"/>
      <c r="E241" s="22" t="str">
        <f>E240</f>
        <v>коммунальные расходы - оплата</v>
      </c>
      <c r="F241" s="22"/>
      <c r="G241" s="22" t="str">
        <f>IF($E241="","",INDEX(KPI!$G:$G,SUMIFS(KPI!$B:$B,KPI!$E:$E,$E241)))</f>
        <v>тыс.руб.</v>
      </c>
      <c r="H241" s="100">
        <f>структура!$V$12</f>
        <v>1</v>
      </c>
      <c r="I241" s="31"/>
      <c r="J241" s="98" t="str">
        <f>структура!$X$12</f>
        <v>янв</v>
      </c>
      <c r="K241" s="99"/>
      <c r="L241" s="22"/>
      <c r="M241" s="58"/>
      <c r="N241" s="22"/>
      <c r="O241" s="22"/>
      <c r="P241" s="101">
        <f t="shared" ref="P241" si="52">IF(P$1="",0,O237)</f>
        <v>0</v>
      </c>
      <c r="Q241" s="101">
        <f>IF(Q$1="",0,P237)</f>
        <v>26.925360000000001</v>
      </c>
      <c r="R241" s="101">
        <f t="shared" ref="R241:AA241" si="53">IF(R$1="",0,Q237)</f>
        <v>26.925360000000001</v>
      </c>
      <c r="S241" s="101">
        <f t="shared" si="53"/>
        <v>26.925360000000001</v>
      </c>
      <c r="T241" s="101">
        <f t="shared" si="53"/>
        <v>26.925360000000001</v>
      </c>
      <c r="U241" s="101">
        <f t="shared" si="53"/>
        <v>26.925360000000001</v>
      </c>
      <c r="V241" s="101">
        <f t="shared" si="53"/>
        <v>26.925360000000001</v>
      </c>
      <c r="W241" s="101">
        <f t="shared" si="53"/>
        <v>0</v>
      </c>
      <c r="X241" s="101">
        <f t="shared" si="53"/>
        <v>0</v>
      </c>
      <c r="Y241" s="101">
        <f t="shared" si="53"/>
        <v>0</v>
      </c>
      <c r="Z241" s="101">
        <f t="shared" si="53"/>
        <v>0</v>
      </c>
      <c r="AA241" s="101">
        <f t="shared" si="53"/>
        <v>0</v>
      </c>
      <c r="AB241" s="22"/>
    </row>
    <row r="242" spans="1:28" s="23" customFormat="1" ht="10.199999999999999" x14ac:dyDescent="0.2">
      <c r="A242" s="22"/>
      <c r="B242" s="22"/>
      <c r="C242" s="22"/>
      <c r="D242" s="22"/>
      <c r="E242" s="22" t="str">
        <f>E240</f>
        <v>коммунальные расходы - оплата</v>
      </c>
      <c r="F242" s="22"/>
      <c r="G242" s="22" t="str">
        <f>IF($E242="","",INDEX(KPI!$G:$G,SUMIFS(KPI!$B:$B,KPI!$E:$E,$E242)))</f>
        <v>тыс.руб.</v>
      </c>
      <c r="H242" s="100">
        <f>структура!$V$13</f>
        <v>2</v>
      </c>
      <c r="I242" s="31"/>
      <c r="J242" s="98" t="str">
        <f>структура!$X$13</f>
        <v>фев</v>
      </c>
      <c r="K242" s="99"/>
      <c r="L242" s="22"/>
      <c r="M242" s="58"/>
      <c r="N242" s="22"/>
      <c r="O242" s="22"/>
      <c r="P242" s="101">
        <f>IF(P$1="",0,P226)</f>
        <v>26.925360000000001</v>
      </c>
      <c r="Q242" s="101">
        <f t="shared" ref="Q242:AA242" si="54">IF(Q$1="",0,Q226)</f>
        <v>26.925360000000001</v>
      </c>
      <c r="R242" s="101">
        <f t="shared" si="54"/>
        <v>26.925360000000001</v>
      </c>
      <c r="S242" s="101">
        <f t="shared" si="54"/>
        <v>26.925360000000001</v>
      </c>
      <c r="T242" s="101">
        <f t="shared" si="54"/>
        <v>26.925360000000001</v>
      </c>
      <c r="U242" s="101">
        <f t="shared" si="54"/>
        <v>26.925360000000001</v>
      </c>
      <c r="V242" s="101">
        <f t="shared" si="54"/>
        <v>26.925360000000001</v>
      </c>
      <c r="W242" s="101">
        <f t="shared" si="54"/>
        <v>0</v>
      </c>
      <c r="X242" s="101">
        <f t="shared" si="54"/>
        <v>0</v>
      </c>
      <c r="Y242" s="101">
        <f t="shared" si="54"/>
        <v>0</v>
      </c>
      <c r="Z242" s="101">
        <f t="shared" si="54"/>
        <v>0</v>
      </c>
      <c r="AA242" s="101">
        <f t="shared" si="54"/>
        <v>0</v>
      </c>
      <c r="AB242" s="22"/>
    </row>
    <row r="243" spans="1:28" s="23" customFormat="1" ht="10.199999999999999" x14ac:dyDescent="0.2">
      <c r="A243" s="22"/>
      <c r="B243" s="22"/>
      <c r="C243" s="22"/>
      <c r="D243" s="22"/>
      <c r="E243" s="22" t="str">
        <f>E240</f>
        <v>коммунальные расходы - оплата</v>
      </c>
      <c r="F243" s="22"/>
      <c r="G243" s="22" t="str">
        <f>IF($E243="","",INDEX(KPI!$G:$G,SUMIFS(KPI!$B:$B,KPI!$E:$E,$E243)))</f>
        <v>тыс.руб.</v>
      </c>
      <c r="H243" s="100">
        <f>структура!$V$14</f>
        <v>3</v>
      </c>
      <c r="I243" s="31"/>
      <c r="J243" s="98" t="str">
        <f>структура!$X$14</f>
        <v>мар</v>
      </c>
      <c r="K243" s="99"/>
      <c r="L243" s="22"/>
      <c r="M243" s="58"/>
      <c r="N243" s="22"/>
      <c r="O243" s="22"/>
      <c r="P243" s="101">
        <f t="shared" ref="P243:AA252" si="55">IF(P$1="",0,P227)</f>
        <v>24.319679999999998</v>
      </c>
      <c r="Q243" s="101">
        <f t="shared" si="55"/>
        <v>24.319679999999998</v>
      </c>
      <c r="R243" s="101">
        <f t="shared" si="55"/>
        <v>25.18824</v>
      </c>
      <c r="S243" s="101">
        <f t="shared" si="55"/>
        <v>24.319679999999998</v>
      </c>
      <c r="T243" s="101">
        <f t="shared" si="55"/>
        <v>24.319679999999998</v>
      </c>
      <c r="U243" s="101">
        <f t="shared" si="55"/>
        <v>24.319679999999998</v>
      </c>
      <c r="V243" s="101">
        <f t="shared" si="55"/>
        <v>25.18824</v>
      </c>
      <c r="W243" s="101">
        <f t="shared" si="55"/>
        <v>0</v>
      </c>
      <c r="X243" s="101">
        <f t="shared" si="55"/>
        <v>0</v>
      </c>
      <c r="Y243" s="101">
        <f t="shared" si="55"/>
        <v>0</v>
      </c>
      <c r="Z243" s="101">
        <f t="shared" si="55"/>
        <v>0</v>
      </c>
      <c r="AA243" s="101">
        <f t="shared" si="55"/>
        <v>0</v>
      </c>
      <c r="AB243" s="22"/>
    </row>
    <row r="244" spans="1:28" s="23" customFormat="1" ht="10.199999999999999" x14ac:dyDescent="0.2">
      <c r="A244" s="22"/>
      <c r="B244" s="22"/>
      <c r="C244" s="22"/>
      <c r="D244" s="22"/>
      <c r="E244" s="22" t="str">
        <f>E240</f>
        <v>коммунальные расходы - оплата</v>
      </c>
      <c r="F244" s="22"/>
      <c r="G244" s="22" t="str">
        <f>IF($E244="","",INDEX(KPI!$G:$G,SUMIFS(KPI!$B:$B,KPI!$E:$E,$E244)))</f>
        <v>тыс.руб.</v>
      </c>
      <c r="H244" s="100">
        <f>структура!$V$15</f>
        <v>4</v>
      </c>
      <c r="I244" s="31"/>
      <c r="J244" s="98" t="str">
        <f>структура!$X$15</f>
        <v>апр</v>
      </c>
      <c r="K244" s="99"/>
      <c r="L244" s="22"/>
      <c r="M244" s="58"/>
      <c r="N244" s="22"/>
      <c r="O244" s="22"/>
      <c r="P244" s="101">
        <f t="shared" si="55"/>
        <v>23.078880000000002</v>
      </c>
      <c r="Q244" s="101">
        <f>IF(Q$1="",0,Q228)</f>
        <v>23.078880000000002</v>
      </c>
      <c r="R244" s="101">
        <f t="shared" si="55"/>
        <v>23.078880000000002</v>
      </c>
      <c r="S244" s="101">
        <f t="shared" si="55"/>
        <v>23.078880000000002</v>
      </c>
      <c r="T244" s="101">
        <f t="shared" si="55"/>
        <v>23.078880000000002</v>
      </c>
      <c r="U244" s="101">
        <f t="shared" si="55"/>
        <v>23.078880000000002</v>
      </c>
      <c r="V244" s="101">
        <f t="shared" si="55"/>
        <v>23.078880000000002</v>
      </c>
      <c r="W244" s="101">
        <f t="shared" si="55"/>
        <v>0</v>
      </c>
      <c r="X244" s="101">
        <f t="shared" si="55"/>
        <v>0</v>
      </c>
      <c r="Y244" s="101">
        <f t="shared" si="55"/>
        <v>0</v>
      </c>
      <c r="Z244" s="101">
        <f t="shared" si="55"/>
        <v>0</v>
      </c>
      <c r="AA244" s="101">
        <f t="shared" si="55"/>
        <v>0</v>
      </c>
      <c r="AB244" s="22"/>
    </row>
    <row r="245" spans="1:28" s="23" customFormat="1" ht="10.199999999999999" x14ac:dyDescent="0.2">
      <c r="A245" s="22"/>
      <c r="B245" s="22"/>
      <c r="C245" s="22"/>
      <c r="D245" s="22"/>
      <c r="E245" s="22" t="str">
        <f>E240</f>
        <v>коммунальные расходы - оплата</v>
      </c>
      <c r="F245" s="22"/>
      <c r="G245" s="22" t="str">
        <f>IF($E245="","",INDEX(KPI!$G:$G,SUMIFS(KPI!$B:$B,KPI!$E:$E,$E245)))</f>
        <v>тыс.руб.</v>
      </c>
      <c r="H245" s="100">
        <f>структура!$V$16</f>
        <v>5</v>
      </c>
      <c r="I245" s="31"/>
      <c r="J245" s="98" t="str">
        <f>структура!$X$16</f>
        <v>май</v>
      </c>
      <c r="K245" s="99"/>
      <c r="L245" s="22"/>
      <c r="M245" s="58"/>
      <c r="N245" s="22"/>
      <c r="O245" s="22"/>
      <c r="P245" s="101">
        <f t="shared" si="55"/>
        <v>21.4038</v>
      </c>
      <c r="Q245" s="101">
        <f t="shared" si="55"/>
        <v>21.4038</v>
      </c>
      <c r="R245" s="101">
        <f t="shared" si="55"/>
        <v>21.4038</v>
      </c>
      <c r="S245" s="101">
        <f t="shared" si="55"/>
        <v>21.4038</v>
      </c>
      <c r="T245" s="101">
        <f t="shared" si="55"/>
        <v>21.4038</v>
      </c>
      <c r="U245" s="101">
        <f t="shared" si="55"/>
        <v>21.4038</v>
      </c>
      <c r="V245" s="101">
        <f t="shared" si="55"/>
        <v>21.4038</v>
      </c>
      <c r="W245" s="101">
        <f t="shared" si="55"/>
        <v>0</v>
      </c>
      <c r="X245" s="101">
        <f t="shared" si="55"/>
        <v>0</v>
      </c>
      <c r="Y245" s="101">
        <f t="shared" si="55"/>
        <v>0</v>
      </c>
      <c r="Z245" s="101">
        <f t="shared" si="55"/>
        <v>0</v>
      </c>
      <c r="AA245" s="101">
        <f t="shared" si="55"/>
        <v>0</v>
      </c>
      <c r="AB245" s="22"/>
    </row>
    <row r="246" spans="1:28" s="23" customFormat="1" ht="10.199999999999999" x14ac:dyDescent="0.2">
      <c r="A246" s="22"/>
      <c r="B246" s="22"/>
      <c r="C246" s="22"/>
      <c r="D246" s="22"/>
      <c r="E246" s="22" t="str">
        <f>E240</f>
        <v>коммунальные расходы - оплата</v>
      </c>
      <c r="F246" s="22"/>
      <c r="G246" s="22" t="str">
        <f>IF($E246="","",INDEX(KPI!$G:$G,SUMIFS(KPI!$B:$B,KPI!$E:$E,$E246)))</f>
        <v>тыс.руб.</v>
      </c>
      <c r="H246" s="100">
        <f>структура!$V$17</f>
        <v>6</v>
      </c>
      <c r="I246" s="31"/>
      <c r="J246" s="98" t="str">
        <f>структура!$X$17</f>
        <v>июн</v>
      </c>
      <c r="K246" s="99"/>
      <c r="L246" s="22"/>
      <c r="M246" s="58"/>
      <c r="N246" s="22"/>
      <c r="O246" s="22"/>
      <c r="P246" s="101">
        <f t="shared" si="55"/>
        <v>21.155640000000005</v>
      </c>
      <c r="Q246" s="101">
        <f t="shared" si="55"/>
        <v>21.155640000000005</v>
      </c>
      <c r="R246" s="101">
        <f t="shared" si="55"/>
        <v>21.155640000000005</v>
      </c>
      <c r="S246" s="101">
        <f t="shared" si="55"/>
        <v>21.155640000000005</v>
      </c>
      <c r="T246" s="101">
        <f t="shared" si="55"/>
        <v>21.155640000000005</v>
      </c>
      <c r="U246" s="101">
        <f t="shared" si="55"/>
        <v>21.155640000000005</v>
      </c>
      <c r="V246" s="101">
        <f t="shared" si="55"/>
        <v>21.155640000000005</v>
      </c>
      <c r="W246" s="101">
        <f t="shared" si="55"/>
        <v>0</v>
      </c>
      <c r="X246" s="101">
        <f t="shared" si="55"/>
        <v>0</v>
      </c>
      <c r="Y246" s="101">
        <f t="shared" si="55"/>
        <v>0</v>
      </c>
      <c r="Z246" s="101">
        <f t="shared" si="55"/>
        <v>0</v>
      </c>
      <c r="AA246" s="101">
        <f t="shared" si="55"/>
        <v>0</v>
      </c>
      <c r="AB246" s="22"/>
    </row>
    <row r="247" spans="1:28" s="23" customFormat="1" ht="10.199999999999999" x14ac:dyDescent="0.2">
      <c r="A247" s="22"/>
      <c r="B247" s="22"/>
      <c r="C247" s="22"/>
      <c r="D247" s="22"/>
      <c r="E247" s="22" t="str">
        <f>E240</f>
        <v>коммунальные расходы - оплата</v>
      </c>
      <c r="F247" s="22"/>
      <c r="G247" s="22" t="str">
        <f>IF($E247="","",INDEX(KPI!$G:$G,SUMIFS(KPI!$B:$B,KPI!$E:$E,$E247)))</f>
        <v>тыс.руб.</v>
      </c>
      <c r="H247" s="100">
        <f>структура!$V$18</f>
        <v>7</v>
      </c>
      <c r="I247" s="31"/>
      <c r="J247" s="98" t="str">
        <f>структура!$X$18</f>
        <v>июл</v>
      </c>
      <c r="K247" s="99"/>
      <c r="L247" s="22"/>
      <c r="M247" s="58"/>
      <c r="N247" s="22"/>
      <c r="O247" s="22"/>
      <c r="P247" s="101">
        <f t="shared" si="55"/>
        <v>18.612000000000002</v>
      </c>
      <c r="Q247" s="101">
        <f t="shared" si="55"/>
        <v>18.612000000000002</v>
      </c>
      <c r="R247" s="101">
        <f t="shared" si="55"/>
        <v>18.612000000000002</v>
      </c>
      <c r="S247" s="101">
        <f t="shared" si="55"/>
        <v>18.612000000000002</v>
      </c>
      <c r="T247" s="101">
        <f t="shared" si="55"/>
        <v>18.612000000000002</v>
      </c>
      <c r="U247" s="101">
        <f t="shared" si="55"/>
        <v>18.612000000000002</v>
      </c>
      <c r="V247" s="101">
        <f t="shared" si="55"/>
        <v>18.612000000000002</v>
      </c>
      <c r="W247" s="101">
        <f t="shared" si="55"/>
        <v>0</v>
      </c>
      <c r="X247" s="101">
        <f t="shared" si="55"/>
        <v>0</v>
      </c>
      <c r="Y247" s="101">
        <f t="shared" si="55"/>
        <v>0</v>
      </c>
      <c r="Z247" s="101">
        <f t="shared" si="55"/>
        <v>0</v>
      </c>
      <c r="AA247" s="101">
        <f t="shared" si="55"/>
        <v>0</v>
      </c>
      <c r="AB247" s="22"/>
    </row>
    <row r="248" spans="1:28" s="23" customFormat="1" ht="10.199999999999999" x14ac:dyDescent="0.2">
      <c r="A248" s="22"/>
      <c r="B248" s="22"/>
      <c r="C248" s="22"/>
      <c r="D248" s="22"/>
      <c r="E248" s="22" t="str">
        <f>E240</f>
        <v>коммунальные расходы - оплата</v>
      </c>
      <c r="F248" s="22"/>
      <c r="G248" s="22" t="str">
        <f>IF($E248="","",INDEX(KPI!$G:$G,SUMIFS(KPI!$B:$B,KPI!$E:$E,$E248)))</f>
        <v>тыс.руб.</v>
      </c>
      <c r="H248" s="100">
        <f>структура!$V$19</f>
        <v>8</v>
      </c>
      <c r="I248" s="31"/>
      <c r="J248" s="98" t="str">
        <f>структура!$X$19</f>
        <v>авг</v>
      </c>
      <c r="K248" s="99"/>
      <c r="L248" s="22"/>
      <c r="M248" s="58"/>
      <c r="N248" s="22"/>
      <c r="O248" s="22"/>
      <c r="P248" s="101">
        <f t="shared" si="55"/>
        <v>19.232400000000002</v>
      </c>
      <c r="Q248" s="101">
        <f t="shared" si="55"/>
        <v>19.232400000000002</v>
      </c>
      <c r="R248" s="101">
        <f t="shared" si="55"/>
        <v>19.232400000000002</v>
      </c>
      <c r="S248" s="101">
        <f t="shared" si="55"/>
        <v>19.232400000000002</v>
      </c>
      <c r="T248" s="101">
        <f t="shared" si="55"/>
        <v>19.232400000000002</v>
      </c>
      <c r="U248" s="101">
        <f t="shared" si="55"/>
        <v>19.232400000000002</v>
      </c>
      <c r="V248" s="101">
        <f t="shared" si="55"/>
        <v>19.232400000000002</v>
      </c>
      <c r="W248" s="101">
        <f t="shared" si="55"/>
        <v>0</v>
      </c>
      <c r="X248" s="101">
        <f t="shared" si="55"/>
        <v>0</v>
      </c>
      <c r="Y248" s="101">
        <f t="shared" si="55"/>
        <v>0</v>
      </c>
      <c r="Z248" s="101">
        <f t="shared" si="55"/>
        <v>0</v>
      </c>
      <c r="AA248" s="101">
        <f t="shared" si="55"/>
        <v>0</v>
      </c>
      <c r="AB248" s="22"/>
    </row>
    <row r="249" spans="1:28" s="23" customFormat="1" ht="10.199999999999999" x14ac:dyDescent="0.2">
      <c r="A249" s="22"/>
      <c r="B249" s="22"/>
      <c r="C249" s="22"/>
      <c r="D249" s="22"/>
      <c r="E249" s="22" t="str">
        <f>E240</f>
        <v>коммунальные расходы - оплата</v>
      </c>
      <c r="F249" s="22"/>
      <c r="G249" s="22" t="str">
        <f>IF($E249="","",INDEX(KPI!$G:$G,SUMIFS(KPI!$B:$B,KPI!$E:$E,$E249)))</f>
        <v>тыс.руб.</v>
      </c>
      <c r="H249" s="100">
        <f>структура!$V$20</f>
        <v>9</v>
      </c>
      <c r="I249" s="31"/>
      <c r="J249" s="98" t="str">
        <f>структура!$X$20</f>
        <v>сен</v>
      </c>
      <c r="K249" s="99"/>
      <c r="L249" s="22"/>
      <c r="M249" s="58"/>
      <c r="N249" s="22"/>
      <c r="O249" s="22"/>
      <c r="P249" s="101">
        <f t="shared" si="55"/>
        <v>19.232400000000002</v>
      </c>
      <c r="Q249" s="101">
        <f t="shared" si="55"/>
        <v>19.232400000000002</v>
      </c>
      <c r="R249" s="101">
        <f t="shared" si="55"/>
        <v>19.232400000000002</v>
      </c>
      <c r="S249" s="101">
        <f t="shared" si="55"/>
        <v>19.232400000000002</v>
      </c>
      <c r="T249" s="101">
        <f t="shared" si="55"/>
        <v>19.232400000000002</v>
      </c>
      <c r="U249" s="101">
        <f t="shared" si="55"/>
        <v>19.232400000000002</v>
      </c>
      <c r="V249" s="101">
        <f t="shared" si="55"/>
        <v>19.232400000000002</v>
      </c>
      <c r="W249" s="101">
        <f t="shared" si="55"/>
        <v>0</v>
      </c>
      <c r="X249" s="101">
        <f t="shared" si="55"/>
        <v>0</v>
      </c>
      <c r="Y249" s="101">
        <f t="shared" si="55"/>
        <v>0</v>
      </c>
      <c r="Z249" s="101">
        <f t="shared" si="55"/>
        <v>0</v>
      </c>
      <c r="AA249" s="101">
        <f t="shared" si="55"/>
        <v>0</v>
      </c>
      <c r="AB249" s="22"/>
    </row>
    <row r="250" spans="1:28" s="23" customFormat="1" ht="10.199999999999999" x14ac:dyDescent="0.2">
      <c r="A250" s="22"/>
      <c r="B250" s="22"/>
      <c r="C250" s="22"/>
      <c r="D250" s="22"/>
      <c r="E250" s="22" t="str">
        <f>E240</f>
        <v>коммунальные расходы - оплата</v>
      </c>
      <c r="F250" s="22"/>
      <c r="G250" s="22" t="str">
        <f>IF($E250="","",INDEX(KPI!$G:$G,SUMIFS(KPI!$B:$B,KPI!$E:$E,$E250)))</f>
        <v>тыс.руб.</v>
      </c>
      <c r="H250" s="100">
        <f>структура!$V$21</f>
        <v>10</v>
      </c>
      <c r="I250" s="31"/>
      <c r="J250" s="98" t="str">
        <f>структура!$X$21</f>
        <v>окт</v>
      </c>
      <c r="K250" s="99"/>
      <c r="L250" s="22"/>
      <c r="M250" s="58"/>
      <c r="N250" s="22"/>
      <c r="O250" s="22"/>
      <c r="P250" s="101">
        <f t="shared" si="55"/>
        <v>20.473200000000006</v>
      </c>
      <c r="Q250" s="101">
        <f t="shared" si="55"/>
        <v>20.473200000000006</v>
      </c>
      <c r="R250" s="101">
        <f t="shared" si="55"/>
        <v>20.473200000000006</v>
      </c>
      <c r="S250" s="101">
        <f t="shared" si="55"/>
        <v>20.473200000000006</v>
      </c>
      <c r="T250" s="101">
        <f t="shared" si="55"/>
        <v>20.473200000000006</v>
      </c>
      <c r="U250" s="101">
        <f t="shared" si="55"/>
        <v>20.473200000000006</v>
      </c>
      <c r="V250" s="101">
        <f t="shared" si="55"/>
        <v>20.473200000000006</v>
      </c>
      <c r="W250" s="101">
        <f t="shared" si="55"/>
        <v>0</v>
      </c>
      <c r="X250" s="101">
        <f t="shared" si="55"/>
        <v>0</v>
      </c>
      <c r="Y250" s="101">
        <f t="shared" si="55"/>
        <v>0</v>
      </c>
      <c r="Z250" s="101">
        <f t="shared" si="55"/>
        <v>0</v>
      </c>
      <c r="AA250" s="101">
        <f t="shared" si="55"/>
        <v>0</v>
      </c>
      <c r="AB250" s="22"/>
    </row>
    <row r="251" spans="1:28" s="23" customFormat="1" ht="10.199999999999999" x14ac:dyDescent="0.2">
      <c r="A251" s="22"/>
      <c r="B251" s="22"/>
      <c r="C251" s="22"/>
      <c r="D251" s="22"/>
      <c r="E251" s="22" t="str">
        <f>E240</f>
        <v>коммунальные расходы - оплата</v>
      </c>
      <c r="F251" s="22"/>
      <c r="G251" s="22" t="str">
        <f>IF($E251="","",INDEX(KPI!$G:$G,SUMIFS(KPI!$B:$B,KPI!$E:$E,$E251)))</f>
        <v>тыс.руб.</v>
      </c>
      <c r="H251" s="100">
        <f>структура!$V$22</f>
        <v>11</v>
      </c>
      <c r="I251" s="31"/>
      <c r="J251" s="98" t="str">
        <f>структура!$X$22</f>
        <v>ноя</v>
      </c>
      <c r="K251" s="99"/>
      <c r="L251" s="22"/>
      <c r="M251" s="58"/>
      <c r="N251" s="22"/>
      <c r="O251" s="22"/>
      <c r="P251" s="101">
        <f t="shared" si="55"/>
        <v>22.117259999999998</v>
      </c>
      <c r="Q251" s="101">
        <f>IF(Q$1="",0,Q235)</f>
        <v>22.117259999999998</v>
      </c>
      <c r="R251" s="101">
        <f t="shared" si="55"/>
        <v>22.117259999999998</v>
      </c>
      <c r="S251" s="101">
        <f t="shared" si="55"/>
        <v>22.117259999999998</v>
      </c>
      <c r="T251" s="101">
        <f t="shared" si="55"/>
        <v>22.117259999999998</v>
      </c>
      <c r="U251" s="101">
        <f t="shared" si="55"/>
        <v>22.117259999999998</v>
      </c>
      <c r="V251" s="101">
        <f t="shared" si="55"/>
        <v>22.117259999999998</v>
      </c>
      <c r="W251" s="101">
        <f t="shared" si="55"/>
        <v>0</v>
      </c>
      <c r="X251" s="101">
        <f t="shared" si="55"/>
        <v>0</v>
      </c>
      <c r="Y251" s="101">
        <f t="shared" si="55"/>
        <v>0</v>
      </c>
      <c r="Z251" s="101">
        <f t="shared" si="55"/>
        <v>0</v>
      </c>
      <c r="AA251" s="101">
        <f t="shared" si="55"/>
        <v>0</v>
      </c>
      <c r="AB251" s="22"/>
    </row>
    <row r="252" spans="1:28" s="23" customFormat="1" ht="10.199999999999999" x14ac:dyDescent="0.2">
      <c r="A252" s="22"/>
      <c r="B252" s="22"/>
      <c r="C252" s="22"/>
      <c r="D252" s="22"/>
      <c r="E252" s="22" t="str">
        <f>E240</f>
        <v>коммунальные расходы - оплата</v>
      </c>
      <c r="F252" s="22"/>
      <c r="G252" s="22" t="str">
        <f>IF($E252="","",INDEX(KPI!$G:$G,SUMIFS(KPI!$B:$B,KPI!$E:$E,$E252)))</f>
        <v>тыс.руб.</v>
      </c>
      <c r="H252" s="100">
        <f>структура!$V$23</f>
        <v>12</v>
      </c>
      <c r="I252" s="31"/>
      <c r="J252" s="98" t="str">
        <f>структура!$X$23</f>
        <v>дек</v>
      </c>
      <c r="K252" s="99"/>
      <c r="L252" s="22"/>
      <c r="M252" s="58"/>
      <c r="N252" s="22"/>
      <c r="O252" s="22"/>
      <c r="P252" s="101">
        <f t="shared" si="55"/>
        <v>22.334400000000002</v>
      </c>
      <c r="Q252" s="101">
        <f>IF(Q$1="",0,Q236)</f>
        <v>22.334400000000002</v>
      </c>
      <c r="R252" s="101">
        <f t="shared" si="55"/>
        <v>22.334400000000002</v>
      </c>
      <c r="S252" s="101">
        <f t="shared" si="55"/>
        <v>22.334400000000002</v>
      </c>
      <c r="T252" s="101">
        <f t="shared" si="55"/>
        <v>22.334400000000002</v>
      </c>
      <c r="U252" s="101">
        <f t="shared" si="55"/>
        <v>22.334400000000002</v>
      </c>
      <c r="V252" s="101">
        <f t="shared" si="55"/>
        <v>22.334400000000002</v>
      </c>
      <c r="W252" s="101">
        <f t="shared" si="55"/>
        <v>0</v>
      </c>
      <c r="X252" s="101">
        <f t="shared" si="55"/>
        <v>0</v>
      </c>
      <c r="Y252" s="101">
        <f t="shared" si="55"/>
        <v>0</v>
      </c>
      <c r="Z252" s="101">
        <f t="shared" si="55"/>
        <v>0</v>
      </c>
      <c r="AA252" s="101">
        <f t="shared" si="55"/>
        <v>0</v>
      </c>
      <c r="AB252" s="22"/>
    </row>
    <row r="253" spans="1:28" ht="3.9" customHeight="1" x14ac:dyDescent="0.25">
      <c r="A253" s="2"/>
      <c r="B253" s="2"/>
      <c r="C253" s="2"/>
      <c r="D253" s="2"/>
      <c r="E253" s="21"/>
      <c r="F253" s="2"/>
      <c r="G253" s="21"/>
      <c r="H253" s="2"/>
      <c r="I253" s="28"/>
      <c r="J253" s="21"/>
      <c r="K253" s="28"/>
      <c r="L253" s="2"/>
      <c r="M253" s="52"/>
      <c r="N253" s="2"/>
      <c r="O253" s="2"/>
      <c r="P253" s="36"/>
      <c r="Q253" s="36"/>
      <c r="R253" s="36"/>
      <c r="S253" s="36"/>
      <c r="T253" s="36"/>
      <c r="U253" s="36"/>
      <c r="V253" s="36"/>
      <c r="W253" s="36"/>
      <c r="X253" s="36"/>
      <c r="Y253" s="36"/>
      <c r="Z253" s="36"/>
      <c r="AA253" s="36"/>
      <c r="AB253" s="2"/>
    </row>
    <row r="254" spans="1:28" ht="8.1" customHeight="1" x14ac:dyDescent="0.25">
      <c r="A254" s="2"/>
      <c r="B254" s="2"/>
      <c r="C254" s="2"/>
      <c r="D254" s="2"/>
      <c r="E254" s="2"/>
      <c r="F254" s="2"/>
      <c r="G254" s="2"/>
      <c r="H254" s="2"/>
      <c r="I254" s="28"/>
      <c r="J254" s="2"/>
      <c r="K254" s="28"/>
      <c r="L254" s="2"/>
      <c r="M254" s="52"/>
      <c r="N254" s="2"/>
      <c r="O254" s="2"/>
      <c r="P254" s="36"/>
      <c r="Q254" s="36"/>
      <c r="R254" s="36"/>
      <c r="S254" s="36"/>
      <c r="T254" s="36"/>
      <c r="U254" s="36"/>
      <c r="V254" s="36"/>
      <c r="W254" s="36"/>
      <c r="X254" s="36"/>
      <c r="Y254" s="36"/>
      <c r="Z254" s="36"/>
      <c r="AA254" s="36"/>
      <c r="AB254" s="2"/>
    </row>
    <row r="255" spans="1:28" s="5" customFormat="1" x14ac:dyDescent="0.25">
      <c r="A255" s="3"/>
      <c r="B255" s="3"/>
      <c r="C255" s="3"/>
      <c r="D255" s="3"/>
      <c r="E255" s="3" t="str">
        <f>KPI!$E$54</f>
        <v>количество персонала</v>
      </c>
      <c r="F255" s="3"/>
      <c r="G255" s="3" t="str">
        <f>IF($E255="","",INDEX(KPI!$G:$G,SUMIFS(KPI!$B:$B,KPI!$E:$E,$E255)))</f>
        <v>чел</v>
      </c>
      <c r="H255" s="3"/>
      <c r="I255" s="6"/>
      <c r="J255" s="204">
        <f>операции!J330</f>
        <v>0</v>
      </c>
      <c r="K255" s="28"/>
      <c r="L255" s="2"/>
      <c r="M255" s="52"/>
      <c r="N255" s="3"/>
      <c r="O255" s="2"/>
      <c r="P255" s="36"/>
      <c r="Q255" s="36"/>
      <c r="R255" s="36"/>
      <c r="S255" s="36"/>
      <c r="T255" s="36"/>
      <c r="U255" s="36"/>
      <c r="V255" s="36"/>
      <c r="W255" s="36"/>
      <c r="X255" s="36"/>
      <c r="Y255" s="36"/>
      <c r="Z255" s="36"/>
      <c r="AA255" s="36"/>
      <c r="AB255" s="2"/>
    </row>
    <row r="256" spans="1:28" s="5" customFormat="1" x14ac:dyDescent="0.25">
      <c r="A256" s="3"/>
      <c r="B256" s="3"/>
      <c r="C256" s="3"/>
      <c r="D256" s="3"/>
      <c r="E256" s="3" t="str">
        <f>KPI!$E$55</f>
        <v>средний оклад одного сотрудника</v>
      </c>
      <c r="F256" s="3"/>
      <c r="G256" s="3" t="str">
        <f>IF($E256="","",INDEX(KPI!$G:$G,SUMIFS(KPI!$B:$B,KPI!$E:$E,$E256)))</f>
        <v>тыс.руб.</v>
      </c>
      <c r="H256" s="3"/>
      <c r="I256" s="6"/>
      <c r="J256" s="204">
        <f>операции!J331</f>
        <v>0</v>
      </c>
      <c r="K256" s="28"/>
      <c r="L256" s="2"/>
      <c r="M256" s="52"/>
      <c r="N256" s="3"/>
      <c r="O256" s="2"/>
      <c r="P256" s="36"/>
      <c r="Q256" s="36"/>
      <c r="R256" s="36"/>
      <c r="S256" s="36"/>
      <c r="T256" s="36"/>
      <c r="U256" s="36"/>
      <c r="V256" s="36"/>
      <c r="W256" s="36"/>
      <c r="X256" s="36"/>
      <c r="Y256" s="36"/>
      <c r="Z256" s="36"/>
      <c r="AA256" s="36"/>
      <c r="AB256" s="2"/>
    </row>
    <row r="257" spans="1:28" s="5" customFormat="1" x14ac:dyDescent="0.25">
      <c r="A257" s="3"/>
      <c r="B257" s="3"/>
      <c r="C257" s="3"/>
      <c r="D257" s="3"/>
      <c r="E257" s="3" t="str">
        <f>KPI!$E$56</f>
        <v>ФОТ в месяц</v>
      </c>
      <c r="F257" s="3"/>
      <c r="G257" s="3" t="str">
        <f>IF($E257="","",INDEX(KPI!$G:$G,SUMIFS(KPI!$B:$B,KPI!$E:$E,$E257)))</f>
        <v>тыс.руб.</v>
      </c>
      <c r="H257" s="3"/>
      <c r="I257" s="6"/>
      <c r="J257" s="115">
        <f>J255*J256</f>
        <v>0</v>
      </c>
      <c r="K257" s="28"/>
      <c r="L257" s="2"/>
      <c r="M257" s="52"/>
      <c r="N257" s="3"/>
      <c r="O257" s="2"/>
      <c r="P257" s="36"/>
      <c r="Q257" s="36"/>
      <c r="R257" s="36"/>
      <c r="S257" s="36"/>
      <c r="T257" s="36"/>
      <c r="U257" s="36"/>
      <c r="V257" s="36"/>
      <c r="W257" s="36"/>
      <c r="X257" s="36"/>
      <c r="Y257" s="36"/>
      <c r="Z257" s="36"/>
      <c r="AA257" s="36"/>
      <c r="AB257" s="2"/>
    </row>
    <row r="258" spans="1:28" ht="3.9" customHeight="1" x14ac:dyDescent="0.25">
      <c r="A258" s="2"/>
      <c r="B258" s="2"/>
      <c r="C258" s="2"/>
      <c r="D258" s="2"/>
      <c r="E258" s="110"/>
      <c r="F258" s="2"/>
      <c r="G258" s="2"/>
      <c r="H258" s="2"/>
      <c r="I258" s="28"/>
      <c r="J258" s="2"/>
      <c r="K258" s="28"/>
      <c r="L258" s="2"/>
      <c r="M258" s="52"/>
      <c r="N258" s="2"/>
      <c r="O258" s="2"/>
      <c r="P258" s="36"/>
      <c r="Q258" s="36"/>
      <c r="R258" s="36"/>
      <c r="S258" s="36"/>
      <c r="T258" s="36"/>
      <c r="U258" s="36"/>
      <c r="V258" s="36"/>
      <c r="W258" s="36"/>
      <c r="X258" s="36"/>
      <c r="Y258" s="36"/>
      <c r="Z258" s="36"/>
      <c r="AA258" s="36"/>
      <c r="AB258" s="2"/>
    </row>
    <row r="259" spans="1:28" ht="8.1" customHeight="1" x14ac:dyDescent="0.25">
      <c r="A259" s="2"/>
      <c r="B259" s="2"/>
      <c r="C259" s="2"/>
      <c r="D259" s="2"/>
      <c r="E259" s="2"/>
      <c r="F259" s="2"/>
      <c r="G259" s="2"/>
      <c r="H259" s="2"/>
      <c r="I259" s="28"/>
      <c r="J259" s="2"/>
      <c r="K259" s="28"/>
      <c r="L259" s="2"/>
      <c r="M259" s="52"/>
      <c r="N259" s="2"/>
      <c r="O259" s="2"/>
      <c r="P259" s="36"/>
      <c r="Q259" s="36"/>
      <c r="R259" s="36"/>
      <c r="S259" s="36"/>
      <c r="T259" s="36"/>
      <c r="U259" s="36"/>
      <c r="V259" s="36"/>
      <c r="W259" s="36"/>
      <c r="X259" s="36"/>
      <c r="Y259" s="36"/>
      <c r="Z259" s="36"/>
      <c r="AA259" s="36"/>
      <c r="AB259" s="2"/>
    </row>
    <row r="260" spans="1:28" s="5" customFormat="1" x14ac:dyDescent="0.25">
      <c r="A260" s="3"/>
      <c r="B260" s="3"/>
      <c r="C260" s="3"/>
      <c r="D260" s="111"/>
      <c r="E260" s="3" t="str">
        <f>KPI!$E$57</f>
        <v>ФОТ - начисления/оплаты</v>
      </c>
      <c r="F260" s="3"/>
      <c r="G260" s="3" t="str">
        <f>IF($E260="","",INDEX(KPI!$G:$G,SUMIFS(KPI!$B:$B,KPI!$E:$E,$E260)))</f>
        <v>тыс.руб.</v>
      </c>
      <c r="H260" s="103"/>
      <c r="I260" s="28"/>
      <c r="J260" s="44"/>
      <c r="K260" s="28"/>
      <c r="L260" s="3"/>
      <c r="M260" s="55">
        <f>SUM($O260:$AB260)</f>
        <v>15540</v>
      </c>
      <c r="N260" s="3"/>
      <c r="O260" s="3"/>
      <c r="P260" s="46">
        <f>IF(P$1="",0,IF(P$1=0,SUMIFS(P261:P272,H261:H272,"&gt;="&amp;MONTH($J$13)),SUM(P261:P272)))</f>
        <v>2220</v>
      </c>
      <c r="Q260" s="46">
        <f t="shared" ref="Q260" si="56">IF(Q$1="",0,SUM(Q261:Q272))</f>
        <v>2220</v>
      </c>
      <c r="R260" s="46">
        <f t="shared" ref="R260:AA260" si="57">IF(R$1="",0,SUM(R261:R272))</f>
        <v>2220</v>
      </c>
      <c r="S260" s="46">
        <f t="shared" si="57"/>
        <v>2220</v>
      </c>
      <c r="T260" s="46">
        <f t="shared" si="57"/>
        <v>2220</v>
      </c>
      <c r="U260" s="46">
        <f t="shared" si="57"/>
        <v>2220</v>
      </c>
      <c r="V260" s="46">
        <f t="shared" si="57"/>
        <v>2220</v>
      </c>
      <c r="W260" s="46">
        <f t="shared" si="57"/>
        <v>0</v>
      </c>
      <c r="X260" s="46">
        <f t="shared" si="57"/>
        <v>0</v>
      </c>
      <c r="Y260" s="46">
        <f t="shared" si="57"/>
        <v>0</v>
      </c>
      <c r="Z260" s="46">
        <f t="shared" si="57"/>
        <v>0</v>
      </c>
      <c r="AA260" s="46">
        <f t="shared" si="57"/>
        <v>0</v>
      </c>
      <c r="AB260" s="3"/>
    </row>
    <row r="261" spans="1:28" s="23" customFormat="1" ht="10.199999999999999" x14ac:dyDescent="0.2">
      <c r="A261" s="22"/>
      <c r="B261" s="22"/>
      <c r="C261" s="22"/>
      <c r="D261" s="22"/>
      <c r="E261" s="22" t="str">
        <f>E260</f>
        <v>ФОТ - начисления/оплаты</v>
      </c>
      <c r="F261" s="22"/>
      <c r="G261" s="22" t="str">
        <f>IF($E261="","",INDEX(KPI!$G:$G,SUMIFS(KPI!$B:$B,KPI!$E:$E,$E261)))</f>
        <v>тыс.руб.</v>
      </c>
      <c r="H261" s="100">
        <f>структура!$V$12</f>
        <v>1</v>
      </c>
      <c r="I261" s="31"/>
      <c r="J261" s="98" t="str">
        <f>структура!$X$12</f>
        <v>янв</v>
      </c>
      <c r="K261" s="99"/>
      <c r="L261" s="22"/>
      <c r="M261" s="58"/>
      <c r="N261" s="22"/>
      <c r="O261" s="22"/>
      <c r="P261" s="101">
        <f>IF(P$1="",0,операции!P336)</f>
        <v>185</v>
      </c>
      <c r="Q261" s="101">
        <f>IF(Q$1="",0,операции!Q336)</f>
        <v>185</v>
      </c>
      <c r="R261" s="101">
        <f>IF(R$1="",0,операции!R336)</f>
        <v>185</v>
      </c>
      <c r="S261" s="101">
        <f>IF(S$1="",0,операции!S336)</f>
        <v>185</v>
      </c>
      <c r="T261" s="101">
        <f>IF(T$1="",0,операции!T336)</f>
        <v>185</v>
      </c>
      <c r="U261" s="101">
        <f>IF(U$1="",0,операции!U336)</f>
        <v>185</v>
      </c>
      <c r="V261" s="101">
        <f>IF(V$1="",0,операции!V336)</f>
        <v>185</v>
      </c>
      <c r="W261" s="101">
        <f>IF(W$1="",0,операции!W336)</f>
        <v>0</v>
      </c>
      <c r="X261" s="101">
        <f>IF(X$1="",0,операции!X336)</f>
        <v>0</v>
      </c>
      <c r="Y261" s="101">
        <f>IF(Y$1="",0,операции!Y336)</f>
        <v>0</v>
      </c>
      <c r="Z261" s="101">
        <f>IF(Z$1="",0,операции!Z336)</f>
        <v>0</v>
      </c>
      <c r="AA261" s="101">
        <f>IF(AA$1="",0,операции!AA336)</f>
        <v>0</v>
      </c>
      <c r="AB261" s="22"/>
    </row>
    <row r="262" spans="1:28" s="23" customFormat="1" ht="10.199999999999999" x14ac:dyDescent="0.2">
      <c r="A262" s="22"/>
      <c r="B262" s="22"/>
      <c r="C262" s="22"/>
      <c r="D262" s="22"/>
      <c r="E262" s="22" t="str">
        <f>E260</f>
        <v>ФОТ - начисления/оплаты</v>
      </c>
      <c r="F262" s="22"/>
      <c r="G262" s="22" t="str">
        <f>IF($E262="","",INDEX(KPI!$G:$G,SUMIFS(KPI!$B:$B,KPI!$E:$E,$E262)))</f>
        <v>тыс.руб.</v>
      </c>
      <c r="H262" s="100">
        <f>структура!$V$13</f>
        <v>2</v>
      </c>
      <c r="I262" s="31"/>
      <c r="J262" s="98" t="str">
        <f>структура!$X$13</f>
        <v>фев</v>
      </c>
      <c r="K262" s="99"/>
      <c r="L262" s="22"/>
      <c r="M262" s="58"/>
      <c r="N262" s="22"/>
      <c r="O262" s="22"/>
      <c r="P262" s="101">
        <f>IF(P$1="",0,операции!P337)</f>
        <v>185</v>
      </c>
      <c r="Q262" s="101">
        <f>IF(Q$1="",0,операции!Q337)</f>
        <v>185</v>
      </c>
      <c r="R262" s="101">
        <f>IF(R$1="",0,операции!R337)</f>
        <v>185</v>
      </c>
      <c r="S262" s="101">
        <f>IF(S$1="",0,операции!S337)</f>
        <v>185</v>
      </c>
      <c r="T262" s="101">
        <f>IF(T$1="",0,операции!T337)</f>
        <v>185</v>
      </c>
      <c r="U262" s="101">
        <f>IF(U$1="",0,операции!U337)</f>
        <v>185</v>
      </c>
      <c r="V262" s="101">
        <f>IF(V$1="",0,операции!V337)</f>
        <v>185</v>
      </c>
      <c r="W262" s="101">
        <f>IF(W$1="",0,операции!W337)</f>
        <v>0</v>
      </c>
      <c r="X262" s="101">
        <f>IF(X$1="",0,операции!X337)</f>
        <v>0</v>
      </c>
      <c r="Y262" s="101">
        <f>IF(Y$1="",0,операции!Y337)</f>
        <v>0</v>
      </c>
      <c r="Z262" s="101">
        <f>IF(Z$1="",0,операции!Z337)</f>
        <v>0</v>
      </c>
      <c r="AA262" s="101">
        <f>IF(AA$1="",0,операции!AA337)</f>
        <v>0</v>
      </c>
      <c r="AB262" s="22"/>
    </row>
    <row r="263" spans="1:28" s="23" customFormat="1" ht="10.199999999999999" x14ac:dyDescent="0.2">
      <c r="A263" s="22"/>
      <c r="B263" s="22"/>
      <c r="C263" s="22"/>
      <c r="D263" s="22"/>
      <c r="E263" s="22" t="str">
        <f>E260</f>
        <v>ФОТ - начисления/оплаты</v>
      </c>
      <c r="F263" s="22"/>
      <c r="G263" s="22" t="str">
        <f>IF($E263="","",INDEX(KPI!$G:$G,SUMIFS(KPI!$B:$B,KPI!$E:$E,$E263)))</f>
        <v>тыс.руб.</v>
      </c>
      <c r="H263" s="100">
        <f>структура!$V$14</f>
        <v>3</v>
      </c>
      <c r="I263" s="31"/>
      <c r="J263" s="98" t="str">
        <f>структура!$X$14</f>
        <v>мар</v>
      </c>
      <c r="K263" s="99"/>
      <c r="L263" s="22"/>
      <c r="M263" s="58"/>
      <c r="N263" s="22"/>
      <c r="O263" s="22"/>
      <c r="P263" s="101">
        <f>IF(P$1="",0,операции!P338)</f>
        <v>185</v>
      </c>
      <c r="Q263" s="101">
        <f>IF(Q$1="",0,операции!Q338)</f>
        <v>185</v>
      </c>
      <c r="R263" s="101">
        <f>IF(R$1="",0,операции!R338)</f>
        <v>185</v>
      </c>
      <c r="S263" s="101">
        <f>IF(S$1="",0,операции!S338)</f>
        <v>185</v>
      </c>
      <c r="T263" s="101">
        <f>IF(T$1="",0,операции!T338)</f>
        <v>185</v>
      </c>
      <c r="U263" s="101">
        <f>IF(U$1="",0,операции!U338)</f>
        <v>185</v>
      </c>
      <c r="V263" s="101">
        <f>IF(V$1="",0,операции!V338)</f>
        <v>185</v>
      </c>
      <c r="W263" s="101">
        <f>IF(W$1="",0,операции!W338)</f>
        <v>0</v>
      </c>
      <c r="X263" s="101">
        <f>IF(X$1="",0,операции!X338)</f>
        <v>0</v>
      </c>
      <c r="Y263" s="101">
        <f>IF(Y$1="",0,операции!Y338)</f>
        <v>0</v>
      </c>
      <c r="Z263" s="101">
        <f>IF(Z$1="",0,операции!Z338)</f>
        <v>0</v>
      </c>
      <c r="AA263" s="101">
        <f>IF(AA$1="",0,операции!AA338)</f>
        <v>0</v>
      </c>
      <c r="AB263" s="22"/>
    </row>
    <row r="264" spans="1:28" s="23" customFormat="1" ht="10.199999999999999" x14ac:dyDescent="0.2">
      <c r="A264" s="22"/>
      <c r="B264" s="22"/>
      <c r="C264" s="22"/>
      <c r="D264" s="22"/>
      <c r="E264" s="22" t="str">
        <f>E260</f>
        <v>ФОТ - начисления/оплаты</v>
      </c>
      <c r="F264" s="22"/>
      <c r="G264" s="22" t="str">
        <f>IF($E264="","",INDEX(KPI!$G:$G,SUMIFS(KPI!$B:$B,KPI!$E:$E,$E264)))</f>
        <v>тыс.руб.</v>
      </c>
      <c r="H264" s="100">
        <f>структура!$V$15</f>
        <v>4</v>
      </c>
      <c r="I264" s="31"/>
      <c r="J264" s="98" t="str">
        <f>структура!$X$15</f>
        <v>апр</v>
      </c>
      <c r="K264" s="99"/>
      <c r="L264" s="22"/>
      <c r="M264" s="58"/>
      <c r="N264" s="22"/>
      <c r="O264" s="22"/>
      <c r="P264" s="101">
        <f>IF(P$1="",0,операции!P339)</f>
        <v>185</v>
      </c>
      <c r="Q264" s="101">
        <f>IF(Q$1="",0,операции!Q339)</f>
        <v>185</v>
      </c>
      <c r="R264" s="101">
        <f>IF(R$1="",0,операции!R339)</f>
        <v>185</v>
      </c>
      <c r="S264" s="101">
        <f>IF(S$1="",0,операции!S339)</f>
        <v>185</v>
      </c>
      <c r="T264" s="101">
        <f>IF(T$1="",0,операции!T339)</f>
        <v>185</v>
      </c>
      <c r="U264" s="101">
        <f>IF(U$1="",0,операции!U339)</f>
        <v>185</v>
      </c>
      <c r="V264" s="101">
        <f>IF(V$1="",0,операции!V339)</f>
        <v>185</v>
      </c>
      <c r="W264" s="101">
        <f>IF(W$1="",0,операции!W339)</f>
        <v>0</v>
      </c>
      <c r="X264" s="101">
        <f>IF(X$1="",0,операции!X339)</f>
        <v>0</v>
      </c>
      <c r="Y264" s="101">
        <f>IF(Y$1="",0,операции!Y339)</f>
        <v>0</v>
      </c>
      <c r="Z264" s="101">
        <f>IF(Z$1="",0,операции!Z339)</f>
        <v>0</v>
      </c>
      <c r="AA264" s="101">
        <f>IF(AA$1="",0,операции!AA339)</f>
        <v>0</v>
      </c>
      <c r="AB264" s="22"/>
    </row>
    <row r="265" spans="1:28" s="23" customFormat="1" ht="10.199999999999999" x14ac:dyDescent="0.2">
      <c r="A265" s="22"/>
      <c r="B265" s="22"/>
      <c r="C265" s="22"/>
      <c r="D265" s="22"/>
      <c r="E265" s="22" t="str">
        <f>E260</f>
        <v>ФОТ - начисления/оплаты</v>
      </c>
      <c r="F265" s="22"/>
      <c r="G265" s="22" t="str">
        <f>IF($E265="","",INDEX(KPI!$G:$G,SUMIFS(KPI!$B:$B,KPI!$E:$E,$E265)))</f>
        <v>тыс.руб.</v>
      </c>
      <c r="H265" s="100">
        <f>структура!$V$16</f>
        <v>5</v>
      </c>
      <c r="I265" s="31"/>
      <c r="J265" s="98" t="str">
        <f>структура!$X$16</f>
        <v>май</v>
      </c>
      <c r="K265" s="99"/>
      <c r="L265" s="22"/>
      <c r="M265" s="58"/>
      <c r="N265" s="22"/>
      <c r="O265" s="22"/>
      <c r="P265" s="101">
        <f>IF(P$1="",0,операции!P340)</f>
        <v>185</v>
      </c>
      <c r="Q265" s="101">
        <f>IF(Q$1="",0,операции!Q340)</f>
        <v>185</v>
      </c>
      <c r="R265" s="101">
        <f>IF(R$1="",0,операции!R340)</f>
        <v>185</v>
      </c>
      <c r="S265" s="101">
        <f>IF(S$1="",0,операции!S340)</f>
        <v>185</v>
      </c>
      <c r="T265" s="101">
        <f>IF(T$1="",0,операции!T340)</f>
        <v>185</v>
      </c>
      <c r="U265" s="101">
        <f>IF(U$1="",0,операции!U340)</f>
        <v>185</v>
      </c>
      <c r="V265" s="101">
        <f>IF(V$1="",0,операции!V340)</f>
        <v>185</v>
      </c>
      <c r="W265" s="101">
        <f>IF(W$1="",0,операции!W340)</f>
        <v>0</v>
      </c>
      <c r="X265" s="101">
        <f>IF(X$1="",0,операции!X340)</f>
        <v>0</v>
      </c>
      <c r="Y265" s="101">
        <f>IF(Y$1="",0,операции!Y340)</f>
        <v>0</v>
      </c>
      <c r="Z265" s="101">
        <f>IF(Z$1="",0,операции!Z340)</f>
        <v>0</v>
      </c>
      <c r="AA265" s="101">
        <f>IF(AA$1="",0,операции!AA340)</f>
        <v>0</v>
      </c>
      <c r="AB265" s="22"/>
    </row>
    <row r="266" spans="1:28" s="23" customFormat="1" ht="10.199999999999999" x14ac:dyDescent="0.2">
      <c r="A266" s="22"/>
      <c r="B266" s="22"/>
      <c r="C266" s="22"/>
      <c r="D266" s="22"/>
      <c r="E266" s="22" t="str">
        <f>E260</f>
        <v>ФОТ - начисления/оплаты</v>
      </c>
      <c r="F266" s="22"/>
      <c r="G266" s="22" t="str">
        <f>IF($E266="","",INDEX(KPI!$G:$G,SUMIFS(KPI!$B:$B,KPI!$E:$E,$E266)))</f>
        <v>тыс.руб.</v>
      </c>
      <c r="H266" s="100">
        <f>структура!$V$17</f>
        <v>6</v>
      </c>
      <c r="I266" s="31"/>
      <c r="J266" s="98" t="str">
        <f>структура!$X$17</f>
        <v>июн</v>
      </c>
      <c r="K266" s="99"/>
      <c r="L266" s="22"/>
      <c r="M266" s="58"/>
      <c r="N266" s="22"/>
      <c r="O266" s="22"/>
      <c r="P266" s="101">
        <f>IF(P$1="",0,операции!P341)</f>
        <v>185</v>
      </c>
      <c r="Q266" s="101">
        <f>IF(Q$1="",0,операции!Q341)</f>
        <v>185</v>
      </c>
      <c r="R266" s="101">
        <f>IF(R$1="",0,операции!R341)</f>
        <v>185</v>
      </c>
      <c r="S266" s="101">
        <f>IF(S$1="",0,операции!S341)</f>
        <v>185</v>
      </c>
      <c r="T266" s="101">
        <f>IF(T$1="",0,операции!T341)</f>
        <v>185</v>
      </c>
      <c r="U266" s="101">
        <f>IF(U$1="",0,операции!U341)</f>
        <v>185</v>
      </c>
      <c r="V266" s="101">
        <f>IF(V$1="",0,операции!V341)</f>
        <v>185</v>
      </c>
      <c r="W266" s="101">
        <f>IF(W$1="",0,операции!W341)</f>
        <v>0</v>
      </c>
      <c r="X266" s="101">
        <f>IF(X$1="",0,операции!X341)</f>
        <v>0</v>
      </c>
      <c r="Y266" s="101">
        <f>IF(Y$1="",0,операции!Y341)</f>
        <v>0</v>
      </c>
      <c r="Z266" s="101">
        <f>IF(Z$1="",0,операции!Z341)</f>
        <v>0</v>
      </c>
      <c r="AA266" s="101">
        <f>IF(AA$1="",0,операции!AA341)</f>
        <v>0</v>
      </c>
      <c r="AB266" s="22"/>
    </row>
    <row r="267" spans="1:28" s="23" customFormat="1" ht="10.199999999999999" x14ac:dyDescent="0.2">
      <c r="A267" s="22"/>
      <c r="B267" s="22"/>
      <c r="C267" s="22"/>
      <c r="D267" s="22"/>
      <c r="E267" s="22" t="str">
        <f>E260</f>
        <v>ФОТ - начисления/оплаты</v>
      </c>
      <c r="F267" s="22"/>
      <c r="G267" s="22" t="str">
        <f>IF($E267="","",INDEX(KPI!$G:$G,SUMIFS(KPI!$B:$B,KPI!$E:$E,$E267)))</f>
        <v>тыс.руб.</v>
      </c>
      <c r="H267" s="100">
        <f>структура!$V$18</f>
        <v>7</v>
      </c>
      <c r="I267" s="31"/>
      <c r="J267" s="98" t="str">
        <f>структура!$X$18</f>
        <v>июл</v>
      </c>
      <c r="K267" s="99"/>
      <c r="L267" s="22"/>
      <c r="M267" s="58"/>
      <c r="N267" s="22"/>
      <c r="O267" s="22"/>
      <c r="P267" s="101">
        <f>IF(P$1="",0,операции!P342)</f>
        <v>185</v>
      </c>
      <c r="Q267" s="101">
        <f>IF(Q$1="",0,операции!Q342)</f>
        <v>185</v>
      </c>
      <c r="R267" s="101">
        <f>IF(R$1="",0,операции!R342)</f>
        <v>185</v>
      </c>
      <c r="S267" s="101">
        <f>IF(S$1="",0,операции!S342)</f>
        <v>185</v>
      </c>
      <c r="T267" s="101">
        <f>IF(T$1="",0,операции!T342)</f>
        <v>185</v>
      </c>
      <c r="U267" s="101">
        <f>IF(U$1="",0,операции!U342)</f>
        <v>185</v>
      </c>
      <c r="V267" s="101">
        <f>IF(V$1="",0,операции!V342)</f>
        <v>185</v>
      </c>
      <c r="W267" s="101">
        <f>IF(W$1="",0,операции!W342)</f>
        <v>0</v>
      </c>
      <c r="X267" s="101">
        <f>IF(X$1="",0,операции!X342)</f>
        <v>0</v>
      </c>
      <c r="Y267" s="101">
        <f>IF(Y$1="",0,операции!Y342)</f>
        <v>0</v>
      </c>
      <c r="Z267" s="101">
        <f>IF(Z$1="",0,операции!Z342)</f>
        <v>0</v>
      </c>
      <c r="AA267" s="101">
        <f>IF(AA$1="",0,операции!AA342)</f>
        <v>0</v>
      </c>
      <c r="AB267" s="22"/>
    </row>
    <row r="268" spans="1:28" s="23" customFormat="1" ht="10.199999999999999" x14ac:dyDescent="0.2">
      <c r="A268" s="22"/>
      <c r="B268" s="22"/>
      <c r="C268" s="22"/>
      <c r="D268" s="22"/>
      <c r="E268" s="22" t="str">
        <f>E260</f>
        <v>ФОТ - начисления/оплаты</v>
      </c>
      <c r="F268" s="22"/>
      <c r="G268" s="22" t="str">
        <f>IF($E268="","",INDEX(KPI!$G:$G,SUMIFS(KPI!$B:$B,KPI!$E:$E,$E268)))</f>
        <v>тыс.руб.</v>
      </c>
      <c r="H268" s="100">
        <f>структура!$V$19</f>
        <v>8</v>
      </c>
      <c r="I268" s="31"/>
      <c r="J268" s="98" t="str">
        <f>структура!$X$19</f>
        <v>авг</v>
      </c>
      <c r="K268" s="99"/>
      <c r="L268" s="22"/>
      <c r="M268" s="58"/>
      <c r="N268" s="22"/>
      <c r="O268" s="22"/>
      <c r="P268" s="101">
        <f>IF(P$1="",0,операции!P343)</f>
        <v>185</v>
      </c>
      <c r="Q268" s="101">
        <f>IF(Q$1="",0,операции!Q343)</f>
        <v>185</v>
      </c>
      <c r="R268" s="101">
        <f>IF(R$1="",0,операции!R343)</f>
        <v>185</v>
      </c>
      <c r="S268" s="101">
        <f>IF(S$1="",0,операции!S343)</f>
        <v>185</v>
      </c>
      <c r="T268" s="101">
        <f>IF(T$1="",0,операции!T343)</f>
        <v>185</v>
      </c>
      <c r="U268" s="101">
        <f>IF(U$1="",0,операции!U343)</f>
        <v>185</v>
      </c>
      <c r="V268" s="101">
        <f>IF(V$1="",0,операции!V343)</f>
        <v>185</v>
      </c>
      <c r="W268" s="101">
        <f>IF(W$1="",0,операции!W343)</f>
        <v>0</v>
      </c>
      <c r="X268" s="101">
        <f>IF(X$1="",0,операции!X343)</f>
        <v>0</v>
      </c>
      <c r="Y268" s="101">
        <f>IF(Y$1="",0,операции!Y343)</f>
        <v>0</v>
      </c>
      <c r="Z268" s="101">
        <f>IF(Z$1="",0,операции!Z343)</f>
        <v>0</v>
      </c>
      <c r="AA268" s="101">
        <f>IF(AA$1="",0,операции!AA343)</f>
        <v>0</v>
      </c>
      <c r="AB268" s="22"/>
    </row>
    <row r="269" spans="1:28" s="23" customFormat="1" ht="10.199999999999999" x14ac:dyDescent="0.2">
      <c r="A269" s="22"/>
      <c r="B269" s="22"/>
      <c r="C269" s="22"/>
      <c r="D269" s="22"/>
      <c r="E269" s="22" t="str">
        <f>E260</f>
        <v>ФОТ - начисления/оплаты</v>
      </c>
      <c r="F269" s="22"/>
      <c r="G269" s="22" t="str">
        <f>IF($E269="","",INDEX(KPI!$G:$G,SUMIFS(KPI!$B:$B,KPI!$E:$E,$E269)))</f>
        <v>тыс.руб.</v>
      </c>
      <c r="H269" s="100">
        <f>структура!$V$20</f>
        <v>9</v>
      </c>
      <c r="I269" s="31"/>
      <c r="J269" s="98" t="str">
        <f>структура!$X$20</f>
        <v>сен</v>
      </c>
      <c r="K269" s="99"/>
      <c r="L269" s="22"/>
      <c r="M269" s="58"/>
      <c r="N269" s="22"/>
      <c r="O269" s="22"/>
      <c r="P269" s="101">
        <f>IF(P$1="",0,операции!P344)</f>
        <v>185</v>
      </c>
      <c r="Q269" s="101">
        <f>IF(Q$1="",0,операции!Q344)</f>
        <v>185</v>
      </c>
      <c r="R269" s="101">
        <f>IF(R$1="",0,операции!R344)</f>
        <v>185</v>
      </c>
      <c r="S269" s="101">
        <f>IF(S$1="",0,операции!S344)</f>
        <v>185</v>
      </c>
      <c r="T269" s="101">
        <f>IF(T$1="",0,операции!T344)</f>
        <v>185</v>
      </c>
      <c r="U269" s="101">
        <f>IF(U$1="",0,операции!U344)</f>
        <v>185</v>
      </c>
      <c r="V269" s="101">
        <f>IF(V$1="",0,операции!V344)</f>
        <v>185</v>
      </c>
      <c r="W269" s="101">
        <f>IF(W$1="",0,операции!W344)</f>
        <v>0</v>
      </c>
      <c r="X269" s="101">
        <f>IF(X$1="",0,операции!X344)</f>
        <v>0</v>
      </c>
      <c r="Y269" s="101">
        <f>IF(Y$1="",0,операции!Y344)</f>
        <v>0</v>
      </c>
      <c r="Z269" s="101">
        <f>IF(Z$1="",0,операции!Z344)</f>
        <v>0</v>
      </c>
      <c r="AA269" s="101">
        <f>IF(AA$1="",0,операции!AA344)</f>
        <v>0</v>
      </c>
      <c r="AB269" s="22"/>
    </row>
    <row r="270" spans="1:28" s="23" customFormat="1" ht="10.199999999999999" x14ac:dyDescent="0.2">
      <c r="A270" s="22"/>
      <c r="B270" s="22"/>
      <c r="C270" s="22"/>
      <c r="D270" s="22"/>
      <c r="E270" s="22" t="str">
        <f>E260</f>
        <v>ФОТ - начисления/оплаты</v>
      </c>
      <c r="F270" s="22"/>
      <c r="G270" s="22" t="str">
        <f>IF($E270="","",INDEX(KPI!$G:$G,SUMIFS(KPI!$B:$B,KPI!$E:$E,$E270)))</f>
        <v>тыс.руб.</v>
      </c>
      <c r="H270" s="100">
        <f>структура!$V$21</f>
        <v>10</v>
      </c>
      <c r="I270" s="31"/>
      <c r="J270" s="98" t="str">
        <f>структура!$X$21</f>
        <v>окт</v>
      </c>
      <c r="K270" s="99"/>
      <c r="L270" s="22"/>
      <c r="M270" s="58"/>
      <c r="N270" s="22"/>
      <c r="O270" s="22"/>
      <c r="P270" s="101">
        <f>IF(P$1="",0,операции!P345)</f>
        <v>185</v>
      </c>
      <c r="Q270" s="101">
        <f>IF(Q$1="",0,операции!Q345)</f>
        <v>185</v>
      </c>
      <c r="R270" s="101">
        <f>IF(R$1="",0,операции!R345)</f>
        <v>185</v>
      </c>
      <c r="S270" s="101">
        <f>IF(S$1="",0,операции!S345)</f>
        <v>185</v>
      </c>
      <c r="T270" s="101">
        <f>IF(T$1="",0,операции!T345)</f>
        <v>185</v>
      </c>
      <c r="U270" s="101">
        <f>IF(U$1="",0,операции!U345)</f>
        <v>185</v>
      </c>
      <c r="V270" s="101">
        <f>IF(V$1="",0,операции!V345)</f>
        <v>185</v>
      </c>
      <c r="W270" s="101">
        <f>IF(W$1="",0,операции!W345)</f>
        <v>0</v>
      </c>
      <c r="X270" s="101">
        <f>IF(X$1="",0,операции!X345)</f>
        <v>0</v>
      </c>
      <c r="Y270" s="101">
        <f>IF(Y$1="",0,операции!Y345)</f>
        <v>0</v>
      </c>
      <c r="Z270" s="101">
        <f>IF(Z$1="",0,операции!Z345)</f>
        <v>0</v>
      </c>
      <c r="AA270" s="101">
        <f>IF(AA$1="",0,операции!AA345)</f>
        <v>0</v>
      </c>
      <c r="AB270" s="22"/>
    </row>
    <row r="271" spans="1:28" s="23" customFormat="1" ht="10.199999999999999" x14ac:dyDescent="0.2">
      <c r="A271" s="22"/>
      <c r="B271" s="22"/>
      <c r="C271" s="22"/>
      <c r="D271" s="22"/>
      <c r="E271" s="22" t="str">
        <f>E260</f>
        <v>ФОТ - начисления/оплаты</v>
      </c>
      <c r="F271" s="22"/>
      <c r="G271" s="22" t="str">
        <f>IF($E271="","",INDEX(KPI!$G:$G,SUMIFS(KPI!$B:$B,KPI!$E:$E,$E271)))</f>
        <v>тыс.руб.</v>
      </c>
      <c r="H271" s="100">
        <f>структура!$V$22</f>
        <v>11</v>
      </c>
      <c r="I271" s="31"/>
      <c r="J271" s="98" t="str">
        <f>структура!$X$22</f>
        <v>ноя</v>
      </c>
      <c r="K271" s="99"/>
      <c r="L271" s="22"/>
      <c r="M271" s="58"/>
      <c r="N271" s="22"/>
      <c r="O271" s="22"/>
      <c r="P271" s="101">
        <f>IF(P$1="",0,операции!P346)</f>
        <v>185</v>
      </c>
      <c r="Q271" s="101">
        <f>IF(Q$1="",0,операции!Q346)</f>
        <v>185</v>
      </c>
      <c r="R271" s="101">
        <f>IF(R$1="",0,операции!R346)</f>
        <v>185</v>
      </c>
      <c r="S271" s="101">
        <f>IF(S$1="",0,операции!S346)</f>
        <v>185</v>
      </c>
      <c r="T271" s="101">
        <f>IF(T$1="",0,операции!T346)</f>
        <v>185</v>
      </c>
      <c r="U271" s="101">
        <f>IF(U$1="",0,операции!U346)</f>
        <v>185</v>
      </c>
      <c r="V271" s="101">
        <f>IF(V$1="",0,операции!V346)</f>
        <v>185</v>
      </c>
      <c r="W271" s="101">
        <f>IF(W$1="",0,операции!W346)</f>
        <v>0</v>
      </c>
      <c r="X271" s="101">
        <f>IF(X$1="",0,операции!X346)</f>
        <v>0</v>
      </c>
      <c r="Y271" s="101">
        <f>IF(Y$1="",0,операции!Y346)</f>
        <v>0</v>
      </c>
      <c r="Z271" s="101">
        <f>IF(Z$1="",0,операции!Z346)</f>
        <v>0</v>
      </c>
      <c r="AA271" s="101">
        <f>IF(AA$1="",0,операции!AA346)</f>
        <v>0</v>
      </c>
      <c r="AB271" s="22"/>
    </row>
    <row r="272" spans="1:28" s="23" customFormat="1" ht="10.199999999999999" x14ac:dyDescent="0.2">
      <c r="A272" s="22"/>
      <c r="B272" s="22"/>
      <c r="C272" s="22"/>
      <c r="D272" s="22"/>
      <c r="E272" s="22" t="str">
        <f>E260</f>
        <v>ФОТ - начисления/оплаты</v>
      </c>
      <c r="F272" s="22"/>
      <c r="G272" s="22" t="str">
        <f>IF($E272="","",INDEX(KPI!$G:$G,SUMIFS(KPI!$B:$B,KPI!$E:$E,$E272)))</f>
        <v>тыс.руб.</v>
      </c>
      <c r="H272" s="100">
        <f>структура!$V$23</f>
        <v>12</v>
      </c>
      <c r="I272" s="31"/>
      <c r="J272" s="98" t="str">
        <f>структура!$X$23</f>
        <v>дек</v>
      </c>
      <c r="K272" s="99"/>
      <c r="L272" s="22"/>
      <c r="M272" s="58"/>
      <c r="N272" s="22"/>
      <c r="O272" s="22"/>
      <c r="P272" s="101">
        <f>IF(P$1="",0,операции!P347)</f>
        <v>185</v>
      </c>
      <c r="Q272" s="101">
        <f>IF(Q$1="",0,операции!Q347)</f>
        <v>185</v>
      </c>
      <c r="R272" s="101">
        <f>IF(R$1="",0,операции!R347)</f>
        <v>185</v>
      </c>
      <c r="S272" s="101">
        <f>IF(S$1="",0,операции!S347)</f>
        <v>185</v>
      </c>
      <c r="T272" s="101">
        <f>IF(T$1="",0,операции!T347)</f>
        <v>185</v>
      </c>
      <c r="U272" s="101">
        <f>IF(U$1="",0,операции!U347)</f>
        <v>185</v>
      </c>
      <c r="V272" s="101">
        <f>IF(V$1="",0,операции!V347)</f>
        <v>185</v>
      </c>
      <c r="W272" s="101">
        <f>IF(W$1="",0,операции!W347)</f>
        <v>0</v>
      </c>
      <c r="X272" s="101">
        <f>IF(X$1="",0,операции!X347)</f>
        <v>0</v>
      </c>
      <c r="Y272" s="101">
        <f>IF(Y$1="",0,операции!Y347)</f>
        <v>0</v>
      </c>
      <c r="Z272" s="101">
        <f>IF(Z$1="",0,операции!Z347)</f>
        <v>0</v>
      </c>
      <c r="AA272" s="101">
        <f>IF(AA$1="",0,операции!AA347)</f>
        <v>0</v>
      </c>
      <c r="AB272" s="22"/>
    </row>
    <row r="273" spans="1:28" ht="3.9" customHeight="1" x14ac:dyDescent="0.25">
      <c r="A273" s="2"/>
      <c r="B273" s="2"/>
      <c r="C273" s="2"/>
      <c r="D273" s="2"/>
      <c r="E273" s="21"/>
      <c r="F273" s="2"/>
      <c r="G273" s="21"/>
      <c r="H273" s="2"/>
      <c r="I273" s="28"/>
      <c r="J273" s="21"/>
      <c r="K273" s="28"/>
      <c r="L273" s="2"/>
      <c r="M273" s="52"/>
      <c r="N273" s="2"/>
      <c r="O273" s="2"/>
      <c r="P273" s="36"/>
      <c r="Q273" s="36"/>
      <c r="R273" s="36"/>
      <c r="S273" s="36"/>
      <c r="T273" s="36"/>
      <c r="U273" s="36"/>
      <c r="V273" s="36"/>
      <c r="W273" s="36"/>
      <c r="X273" s="36"/>
      <c r="Y273" s="36"/>
      <c r="Z273" s="36"/>
      <c r="AA273" s="36"/>
      <c r="AB273" s="2"/>
    </row>
    <row r="274" spans="1:28" ht="8.1" customHeight="1" x14ac:dyDescent="0.25">
      <c r="A274" s="2"/>
      <c r="B274" s="2"/>
      <c r="C274" s="2"/>
      <c r="D274" s="2"/>
      <c r="E274" s="2"/>
      <c r="F274" s="2"/>
      <c r="G274" s="2"/>
      <c r="H274" s="2"/>
      <c r="I274" s="28"/>
      <c r="J274" s="2"/>
      <c r="K274" s="28"/>
      <c r="L274" s="2"/>
      <c r="M274" s="52"/>
      <c r="N274" s="2"/>
      <c r="O274" s="2"/>
      <c r="P274" s="36"/>
      <c r="Q274" s="36"/>
      <c r="R274" s="36"/>
      <c r="S274" s="36"/>
      <c r="T274" s="36"/>
      <c r="U274" s="36"/>
      <c r="V274" s="36"/>
      <c r="W274" s="36"/>
      <c r="X274" s="36"/>
      <c r="Y274" s="36"/>
      <c r="Z274" s="36"/>
      <c r="AA274" s="36"/>
      <c r="AB274" s="2"/>
    </row>
    <row r="275" spans="1:28" s="5" customFormat="1" x14ac:dyDescent="0.25">
      <c r="A275" s="3"/>
      <c r="B275" s="3"/>
      <c r="C275" s="3"/>
      <c r="D275" s="3"/>
      <c r="E275" s="3" t="str">
        <f>KPI!$E$58</f>
        <v>ставка отчислений в соцфонды+страхНС</v>
      </c>
      <c r="F275" s="3"/>
      <c r="G275" s="3" t="str">
        <f>IF($E275="","",INDEX(KPI!$G:$G,SUMIFS(KPI!$B:$B,KPI!$E:$E,$E275)))</f>
        <v>%</v>
      </c>
      <c r="H275" s="3"/>
      <c r="I275" s="6"/>
      <c r="J275" s="229">
        <f>операции!J350</f>
        <v>0.30199999999999999</v>
      </c>
      <c r="K275" s="28"/>
      <c r="L275" s="2"/>
      <c r="M275" s="52"/>
      <c r="N275" s="3"/>
      <c r="O275" s="2"/>
      <c r="P275" s="36"/>
      <c r="Q275" s="36"/>
      <c r="R275" s="36"/>
      <c r="S275" s="36"/>
      <c r="T275" s="36"/>
      <c r="U275" s="36"/>
      <c r="V275" s="36"/>
      <c r="W275" s="36"/>
      <c r="X275" s="36"/>
      <c r="Y275" s="36"/>
      <c r="Z275" s="36"/>
      <c r="AA275" s="36"/>
      <c r="AB275" s="2"/>
    </row>
    <row r="276" spans="1:28" ht="3.9" customHeight="1" x14ac:dyDescent="0.25">
      <c r="A276" s="2"/>
      <c r="B276" s="2"/>
      <c r="C276" s="2"/>
      <c r="D276" s="2"/>
      <c r="E276" s="110"/>
      <c r="F276" s="2"/>
      <c r="G276" s="2"/>
      <c r="H276" s="2"/>
      <c r="I276" s="28"/>
      <c r="J276" s="2"/>
      <c r="K276" s="28"/>
      <c r="L276" s="2"/>
      <c r="M276" s="52"/>
      <c r="N276" s="2"/>
      <c r="O276" s="2"/>
      <c r="P276" s="36"/>
      <c r="Q276" s="36"/>
      <c r="R276" s="36"/>
      <c r="S276" s="36"/>
      <c r="T276" s="36"/>
      <c r="U276" s="36"/>
      <c r="V276" s="36"/>
      <c r="W276" s="36"/>
      <c r="X276" s="36"/>
      <c r="Y276" s="36"/>
      <c r="Z276" s="36"/>
      <c r="AA276" s="36"/>
      <c r="AB276" s="2"/>
    </row>
    <row r="277" spans="1:28" ht="8.1" customHeight="1" x14ac:dyDescent="0.25">
      <c r="A277" s="2"/>
      <c r="B277" s="2"/>
      <c r="C277" s="2"/>
      <c r="D277" s="2"/>
      <c r="E277" s="2"/>
      <c r="F277" s="2"/>
      <c r="G277" s="2"/>
      <c r="H277" s="2"/>
      <c r="I277" s="28"/>
      <c r="J277" s="2"/>
      <c r="K277" s="28"/>
      <c r="L277" s="2"/>
      <c r="M277" s="52"/>
      <c r="N277" s="2"/>
      <c r="O277" s="2"/>
      <c r="P277" s="36"/>
      <c r="Q277" s="36"/>
      <c r="R277" s="36"/>
      <c r="S277" s="36"/>
      <c r="T277" s="36"/>
      <c r="U277" s="36"/>
      <c r="V277" s="36"/>
      <c r="W277" s="36"/>
      <c r="X277" s="36"/>
      <c r="Y277" s="36"/>
      <c r="Z277" s="36"/>
      <c r="AA277" s="36"/>
      <c r="AB277" s="2"/>
    </row>
    <row r="278" spans="1:28" s="5" customFormat="1" x14ac:dyDescent="0.25">
      <c r="A278" s="3"/>
      <c r="B278" s="3"/>
      <c r="C278" s="3"/>
      <c r="D278" s="111"/>
      <c r="E278" s="3" t="str">
        <f>KPI!$E$59</f>
        <v>начисления в соцфонды</v>
      </c>
      <c r="F278" s="3"/>
      <c r="G278" s="3" t="str">
        <f>IF($E278="","",INDEX(KPI!$G:$G,SUMIFS(KPI!$B:$B,KPI!$E:$E,$E278)))</f>
        <v>тыс.руб.</v>
      </c>
      <c r="H278" s="103"/>
      <c r="I278" s="28"/>
      <c r="J278" s="44"/>
      <c r="K278" s="28"/>
      <c r="L278" s="3"/>
      <c r="M278" s="55">
        <f>SUM($O278:$AB278)</f>
        <v>4693.08</v>
      </c>
      <c r="N278" s="3"/>
      <c r="O278" s="3"/>
      <c r="P278" s="46">
        <f>IF(P$1="",0,IF(P$1=0,SUMIFS(P279:P290,H279:H290,"&gt;="&amp;MONTH($J$13)),SUM(P279:P290)))</f>
        <v>670.43999999999994</v>
      </c>
      <c r="Q278" s="46">
        <f t="shared" ref="Q278" si="58">IF(Q$1="",0,SUM(Q279:Q290))</f>
        <v>670.43999999999994</v>
      </c>
      <c r="R278" s="46">
        <f t="shared" ref="R278:AA278" si="59">IF(R$1="",0,SUM(R279:R290))</f>
        <v>670.43999999999994</v>
      </c>
      <c r="S278" s="46">
        <f t="shared" si="59"/>
        <v>670.43999999999994</v>
      </c>
      <c r="T278" s="46">
        <f t="shared" si="59"/>
        <v>670.43999999999994</v>
      </c>
      <c r="U278" s="46">
        <f t="shared" si="59"/>
        <v>670.43999999999994</v>
      </c>
      <c r="V278" s="46">
        <f t="shared" si="59"/>
        <v>670.43999999999994</v>
      </c>
      <c r="W278" s="46">
        <f t="shared" si="59"/>
        <v>0</v>
      </c>
      <c r="X278" s="46">
        <f t="shared" si="59"/>
        <v>0</v>
      </c>
      <c r="Y278" s="46">
        <f t="shared" si="59"/>
        <v>0</v>
      </c>
      <c r="Z278" s="46">
        <f t="shared" si="59"/>
        <v>0</v>
      </c>
      <c r="AA278" s="46">
        <f t="shared" si="59"/>
        <v>0</v>
      </c>
      <c r="AB278" s="3"/>
    </row>
    <row r="279" spans="1:28" s="23" customFormat="1" ht="10.199999999999999" x14ac:dyDescent="0.2">
      <c r="A279" s="22"/>
      <c r="B279" s="22"/>
      <c r="C279" s="22"/>
      <c r="D279" s="22"/>
      <c r="E279" s="22" t="str">
        <f>E278</f>
        <v>начисления в соцфонды</v>
      </c>
      <c r="F279" s="22"/>
      <c r="G279" s="22" t="str">
        <f>IF($E279="","",INDEX(KPI!$G:$G,SUMIFS(KPI!$B:$B,KPI!$E:$E,$E279)))</f>
        <v>тыс.руб.</v>
      </c>
      <c r="H279" s="100">
        <f>структура!$V$12</f>
        <v>1</v>
      </c>
      <c r="I279" s="31"/>
      <c r="J279" s="98" t="str">
        <f>структура!$X$12</f>
        <v>янв</v>
      </c>
      <c r="K279" s="99"/>
      <c r="L279" s="22"/>
      <c r="M279" s="58"/>
      <c r="N279" s="22"/>
      <c r="O279" s="22"/>
      <c r="P279" s="101">
        <f>IF(P$1="",0,операции!P354)</f>
        <v>55.87</v>
      </c>
      <c r="Q279" s="101">
        <f>IF(Q$1="",0,операции!Q354)</f>
        <v>55.87</v>
      </c>
      <c r="R279" s="101">
        <f>IF(R$1="",0,операции!R354)</f>
        <v>55.87</v>
      </c>
      <c r="S279" s="101">
        <f>IF(S$1="",0,операции!S354)</f>
        <v>55.87</v>
      </c>
      <c r="T279" s="101">
        <f>IF(T$1="",0,операции!T354)</f>
        <v>55.87</v>
      </c>
      <c r="U279" s="101">
        <f>IF(U$1="",0,операции!U354)</f>
        <v>55.87</v>
      </c>
      <c r="V279" s="101">
        <f>IF(V$1="",0,операции!V354)</f>
        <v>55.87</v>
      </c>
      <c r="W279" s="101">
        <f>IF(W$1="",0,операции!W354)</f>
        <v>0</v>
      </c>
      <c r="X279" s="101">
        <f>IF(X$1="",0,операции!X354)</f>
        <v>0</v>
      </c>
      <c r="Y279" s="101">
        <f>IF(Y$1="",0,операции!Y354)</f>
        <v>0</v>
      </c>
      <c r="Z279" s="101">
        <f>IF(Z$1="",0,операции!Z354)</f>
        <v>0</v>
      </c>
      <c r="AA279" s="101">
        <f>IF(AA$1="",0,операции!AA354)</f>
        <v>0</v>
      </c>
      <c r="AB279" s="22"/>
    </row>
    <row r="280" spans="1:28" s="23" customFormat="1" ht="10.199999999999999" x14ac:dyDescent="0.2">
      <c r="A280" s="22"/>
      <c r="B280" s="22"/>
      <c r="C280" s="22"/>
      <c r="D280" s="22"/>
      <c r="E280" s="22" t="str">
        <f>E278</f>
        <v>начисления в соцфонды</v>
      </c>
      <c r="F280" s="22"/>
      <c r="G280" s="22" t="str">
        <f>IF($E280="","",INDEX(KPI!$G:$G,SUMIFS(KPI!$B:$B,KPI!$E:$E,$E280)))</f>
        <v>тыс.руб.</v>
      </c>
      <c r="H280" s="100">
        <f>структура!$V$13</f>
        <v>2</v>
      </c>
      <c r="I280" s="31"/>
      <c r="J280" s="98" t="str">
        <f>структура!$X$13</f>
        <v>фев</v>
      </c>
      <c r="K280" s="99"/>
      <c r="L280" s="22"/>
      <c r="M280" s="58"/>
      <c r="N280" s="22"/>
      <c r="O280" s="22"/>
      <c r="P280" s="101">
        <f>IF(P$1="",0,операции!P355)</f>
        <v>55.87</v>
      </c>
      <c r="Q280" s="101">
        <f>IF(Q$1="",0,операции!Q355)</f>
        <v>55.87</v>
      </c>
      <c r="R280" s="101">
        <f>IF(R$1="",0,операции!R355)</f>
        <v>55.87</v>
      </c>
      <c r="S280" s="101">
        <f>IF(S$1="",0,операции!S355)</f>
        <v>55.87</v>
      </c>
      <c r="T280" s="101">
        <f>IF(T$1="",0,операции!T355)</f>
        <v>55.87</v>
      </c>
      <c r="U280" s="101">
        <f>IF(U$1="",0,операции!U355)</f>
        <v>55.87</v>
      </c>
      <c r="V280" s="101">
        <f>IF(V$1="",0,операции!V355)</f>
        <v>55.87</v>
      </c>
      <c r="W280" s="101">
        <f>IF(W$1="",0,операции!W355)</f>
        <v>0</v>
      </c>
      <c r="X280" s="101">
        <f>IF(X$1="",0,операции!X355)</f>
        <v>0</v>
      </c>
      <c r="Y280" s="101">
        <f>IF(Y$1="",0,операции!Y355)</f>
        <v>0</v>
      </c>
      <c r="Z280" s="101">
        <f>IF(Z$1="",0,операции!Z355)</f>
        <v>0</v>
      </c>
      <c r="AA280" s="101">
        <f>IF(AA$1="",0,операции!AA355)</f>
        <v>0</v>
      </c>
      <c r="AB280" s="22"/>
    </row>
    <row r="281" spans="1:28" s="23" customFormat="1" ht="10.199999999999999" x14ac:dyDescent="0.2">
      <c r="A281" s="22"/>
      <c r="B281" s="22"/>
      <c r="C281" s="22"/>
      <c r="D281" s="22"/>
      <c r="E281" s="22" t="str">
        <f>E278</f>
        <v>начисления в соцфонды</v>
      </c>
      <c r="F281" s="22"/>
      <c r="G281" s="22" t="str">
        <f>IF($E281="","",INDEX(KPI!$G:$G,SUMIFS(KPI!$B:$B,KPI!$E:$E,$E281)))</f>
        <v>тыс.руб.</v>
      </c>
      <c r="H281" s="100">
        <f>структура!$V$14</f>
        <v>3</v>
      </c>
      <c r="I281" s="31"/>
      <c r="J281" s="98" t="str">
        <f>структура!$X$14</f>
        <v>мар</v>
      </c>
      <c r="K281" s="99"/>
      <c r="L281" s="22"/>
      <c r="M281" s="58"/>
      <c r="N281" s="22"/>
      <c r="O281" s="22"/>
      <c r="P281" s="101">
        <f>IF(P$1="",0,операции!P356)</f>
        <v>55.87</v>
      </c>
      <c r="Q281" s="101">
        <f>IF(Q$1="",0,операции!Q356)</f>
        <v>55.87</v>
      </c>
      <c r="R281" s="101">
        <f>IF(R$1="",0,операции!R356)</f>
        <v>55.87</v>
      </c>
      <c r="S281" s="101">
        <f>IF(S$1="",0,операции!S356)</f>
        <v>55.87</v>
      </c>
      <c r="T281" s="101">
        <f>IF(T$1="",0,операции!T356)</f>
        <v>55.87</v>
      </c>
      <c r="U281" s="101">
        <f>IF(U$1="",0,операции!U356)</f>
        <v>55.87</v>
      </c>
      <c r="V281" s="101">
        <f>IF(V$1="",0,операции!V356)</f>
        <v>55.87</v>
      </c>
      <c r="W281" s="101">
        <f>IF(W$1="",0,операции!W356)</f>
        <v>0</v>
      </c>
      <c r="X281" s="101">
        <f>IF(X$1="",0,операции!X356)</f>
        <v>0</v>
      </c>
      <c r="Y281" s="101">
        <f>IF(Y$1="",0,операции!Y356)</f>
        <v>0</v>
      </c>
      <c r="Z281" s="101">
        <f>IF(Z$1="",0,операции!Z356)</f>
        <v>0</v>
      </c>
      <c r="AA281" s="101">
        <f>IF(AA$1="",0,операции!AA356)</f>
        <v>0</v>
      </c>
      <c r="AB281" s="22"/>
    </row>
    <row r="282" spans="1:28" s="23" customFormat="1" ht="10.199999999999999" x14ac:dyDescent="0.2">
      <c r="A282" s="22"/>
      <c r="B282" s="22"/>
      <c r="C282" s="22"/>
      <c r="D282" s="22"/>
      <c r="E282" s="22" t="str">
        <f>E278</f>
        <v>начисления в соцфонды</v>
      </c>
      <c r="F282" s="22"/>
      <c r="G282" s="22" t="str">
        <f>IF($E282="","",INDEX(KPI!$G:$G,SUMIFS(KPI!$B:$B,KPI!$E:$E,$E282)))</f>
        <v>тыс.руб.</v>
      </c>
      <c r="H282" s="100">
        <f>структура!$V$15</f>
        <v>4</v>
      </c>
      <c r="I282" s="31"/>
      <c r="J282" s="98" t="str">
        <f>структура!$X$15</f>
        <v>апр</v>
      </c>
      <c r="K282" s="99"/>
      <c r="L282" s="22"/>
      <c r="M282" s="58"/>
      <c r="N282" s="22"/>
      <c r="O282" s="22"/>
      <c r="P282" s="101">
        <f>IF(P$1="",0,операции!P357)</f>
        <v>55.87</v>
      </c>
      <c r="Q282" s="101">
        <f>IF(Q$1="",0,операции!Q357)</f>
        <v>55.87</v>
      </c>
      <c r="R282" s="101">
        <f>IF(R$1="",0,операции!R357)</f>
        <v>55.87</v>
      </c>
      <c r="S282" s="101">
        <f>IF(S$1="",0,операции!S357)</f>
        <v>55.87</v>
      </c>
      <c r="T282" s="101">
        <f>IF(T$1="",0,операции!T357)</f>
        <v>55.87</v>
      </c>
      <c r="U282" s="101">
        <f>IF(U$1="",0,операции!U357)</f>
        <v>55.87</v>
      </c>
      <c r="V282" s="101">
        <f>IF(V$1="",0,операции!V357)</f>
        <v>55.87</v>
      </c>
      <c r="W282" s="101">
        <f>IF(W$1="",0,операции!W357)</f>
        <v>0</v>
      </c>
      <c r="X282" s="101">
        <f>IF(X$1="",0,операции!X357)</f>
        <v>0</v>
      </c>
      <c r="Y282" s="101">
        <f>IF(Y$1="",0,операции!Y357)</f>
        <v>0</v>
      </c>
      <c r="Z282" s="101">
        <f>IF(Z$1="",0,операции!Z357)</f>
        <v>0</v>
      </c>
      <c r="AA282" s="101">
        <f>IF(AA$1="",0,операции!AA357)</f>
        <v>0</v>
      </c>
      <c r="AB282" s="22"/>
    </row>
    <row r="283" spans="1:28" s="23" customFormat="1" ht="10.199999999999999" x14ac:dyDescent="0.2">
      <c r="A283" s="22"/>
      <c r="B283" s="22"/>
      <c r="C283" s="22"/>
      <c r="D283" s="22"/>
      <c r="E283" s="22" t="str">
        <f>E278</f>
        <v>начисления в соцфонды</v>
      </c>
      <c r="F283" s="22"/>
      <c r="G283" s="22" t="str">
        <f>IF($E283="","",INDEX(KPI!$G:$G,SUMIFS(KPI!$B:$B,KPI!$E:$E,$E283)))</f>
        <v>тыс.руб.</v>
      </c>
      <c r="H283" s="100">
        <f>структура!$V$16</f>
        <v>5</v>
      </c>
      <c r="I283" s="31"/>
      <c r="J283" s="98" t="str">
        <f>структура!$X$16</f>
        <v>май</v>
      </c>
      <c r="K283" s="99"/>
      <c r="L283" s="22"/>
      <c r="M283" s="58"/>
      <c r="N283" s="22"/>
      <c r="O283" s="22"/>
      <c r="P283" s="101">
        <f>IF(P$1="",0,операции!P358)</f>
        <v>55.87</v>
      </c>
      <c r="Q283" s="101">
        <f>IF(Q$1="",0,операции!Q358)</f>
        <v>55.87</v>
      </c>
      <c r="R283" s="101">
        <f>IF(R$1="",0,операции!R358)</f>
        <v>55.87</v>
      </c>
      <c r="S283" s="101">
        <f>IF(S$1="",0,операции!S358)</f>
        <v>55.87</v>
      </c>
      <c r="T283" s="101">
        <f>IF(T$1="",0,операции!T358)</f>
        <v>55.87</v>
      </c>
      <c r="U283" s="101">
        <f>IF(U$1="",0,операции!U358)</f>
        <v>55.87</v>
      </c>
      <c r="V283" s="101">
        <f>IF(V$1="",0,операции!V358)</f>
        <v>55.87</v>
      </c>
      <c r="W283" s="101">
        <f>IF(W$1="",0,операции!W358)</f>
        <v>0</v>
      </c>
      <c r="X283" s="101">
        <f>IF(X$1="",0,операции!X358)</f>
        <v>0</v>
      </c>
      <c r="Y283" s="101">
        <f>IF(Y$1="",0,операции!Y358)</f>
        <v>0</v>
      </c>
      <c r="Z283" s="101">
        <f>IF(Z$1="",0,операции!Z358)</f>
        <v>0</v>
      </c>
      <c r="AA283" s="101">
        <f>IF(AA$1="",0,операции!AA358)</f>
        <v>0</v>
      </c>
      <c r="AB283" s="22"/>
    </row>
    <row r="284" spans="1:28" s="23" customFormat="1" ht="10.199999999999999" x14ac:dyDescent="0.2">
      <c r="A284" s="22"/>
      <c r="B284" s="22"/>
      <c r="C284" s="22"/>
      <c r="D284" s="22"/>
      <c r="E284" s="22" t="str">
        <f>E278</f>
        <v>начисления в соцфонды</v>
      </c>
      <c r="F284" s="22"/>
      <c r="G284" s="22" t="str">
        <f>IF($E284="","",INDEX(KPI!$G:$G,SUMIFS(KPI!$B:$B,KPI!$E:$E,$E284)))</f>
        <v>тыс.руб.</v>
      </c>
      <c r="H284" s="100">
        <f>структура!$V$17</f>
        <v>6</v>
      </c>
      <c r="I284" s="31"/>
      <c r="J284" s="98" t="str">
        <f>структура!$X$17</f>
        <v>июн</v>
      </c>
      <c r="K284" s="99"/>
      <c r="L284" s="22"/>
      <c r="M284" s="58"/>
      <c r="N284" s="22"/>
      <c r="O284" s="22"/>
      <c r="P284" s="101">
        <f>IF(P$1="",0,операции!P359)</f>
        <v>55.87</v>
      </c>
      <c r="Q284" s="101">
        <f>IF(Q$1="",0,операции!Q359)</f>
        <v>55.87</v>
      </c>
      <c r="R284" s="101">
        <f>IF(R$1="",0,операции!R359)</f>
        <v>55.87</v>
      </c>
      <c r="S284" s="101">
        <f>IF(S$1="",0,операции!S359)</f>
        <v>55.87</v>
      </c>
      <c r="T284" s="101">
        <f>IF(T$1="",0,операции!T359)</f>
        <v>55.87</v>
      </c>
      <c r="U284" s="101">
        <f>IF(U$1="",0,операции!U359)</f>
        <v>55.87</v>
      </c>
      <c r="V284" s="101">
        <f>IF(V$1="",0,операции!V359)</f>
        <v>55.87</v>
      </c>
      <c r="W284" s="101">
        <f>IF(W$1="",0,операции!W359)</f>
        <v>0</v>
      </c>
      <c r="X284" s="101">
        <f>IF(X$1="",0,операции!X359)</f>
        <v>0</v>
      </c>
      <c r="Y284" s="101">
        <f>IF(Y$1="",0,операции!Y359)</f>
        <v>0</v>
      </c>
      <c r="Z284" s="101">
        <f>IF(Z$1="",0,операции!Z359)</f>
        <v>0</v>
      </c>
      <c r="AA284" s="101">
        <f>IF(AA$1="",0,операции!AA359)</f>
        <v>0</v>
      </c>
      <c r="AB284" s="22"/>
    </row>
    <row r="285" spans="1:28" s="23" customFormat="1" ht="10.199999999999999" x14ac:dyDescent="0.2">
      <c r="A285" s="22"/>
      <c r="B285" s="22"/>
      <c r="C285" s="22"/>
      <c r="D285" s="22"/>
      <c r="E285" s="22" t="str">
        <f>E278</f>
        <v>начисления в соцфонды</v>
      </c>
      <c r="F285" s="22"/>
      <c r="G285" s="22" t="str">
        <f>IF($E285="","",INDEX(KPI!$G:$G,SUMIFS(KPI!$B:$B,KPI!$E:$E,$E285)))</f>
        <v>тыс.руб.</v>
      </c>
      <c r="H285" s="100">
        <f>структура!$V$18</f>
        <v>7</v>
      </c>
      <c r="I285" s="31"/>
      <c r="J285" s="98" t="str">
        <f>структура!$X$18</f>
        <v>июл</v>
      </c>
      <c r="K285" s="99"/>
      <c r="L285" s="22"/>
      <c r="M285" s="58"/>
      <c r="N285" s="22"/>
      <c r="O285" s="22"/>
      <c r="P285" s="101">
        <f>IF(P$1="",0,операции!P360)</f>
        <v>55.87</v>
      </c>
      <c r="Q285" s="101">
        <f>IF(Q$1="",0,операции!Q360)</f>
        <v>55.87</v>
      </c>
      <c r="R285" s="101">
        <f>IF(R$1="",0,операции!R360)</f>
        <v>55.87</v>
      </c>
      <c r="S285" s="101">
        <f>IF(S$1="",0,операции!S360)</f>
        <v>55.87</v>
      </c>
      <c r="T285" s="101">
        <f>IF(T$1="",0,операции!T360)</f>
        <v>55.87</v>
      </c>
      <c r="U285" s="101">
        <f>IF(U$1="",0,операции!U360)</f>
        <v>55.87</v>
      </c>
      <c r="V285" s="101">
        <f>IF(V$1="",0,операции!V360)</f>
        <v>55.87</v>
      </c>
      <c r="W285" s="101">
        <f>IF(W$1="",0,операции!W360)</f>
        <v>0</v>
      </c>
      <c r="X285" s="101">
        <f>IF(X$1="",0,операции!X360)</f>
        <v>0</v>
      </c>
      <c r="Y285" s="101">
        <f>IF(Y$1="",0,операции!Y360)</f>
        <v>0</v>
      </c>
      <c r="Z285" s="101">
        <f>IF(Z$1="",0,операции!Z360)</f>
        <v>0</v>
      </c>
      <c r="AA285" s="101">
        <f>IF(AA$1="",0,операции!AA360)</f>
        <v>0</v>
      </c>
      <c r="AB285" s="22"/>
    </row>
    <row r="286" spans="1:28" s="23" customFormat="1" ht="10.199999999999999" x14ac:dyDescent="0.2">
      <c r="A286" s="22"/>
      <c r="B286" s="22"/>
      <c r="C286" s="22"/>
      <c r="D286" s="22"/>
      <c r="E286" s="22" t="str">
        <f>E278</f>
        <v>начисления в соцфонды</v>
      </c>
      <c r="F286" s="22"/>
      <c r="G286" s="22" t="str">
        <f>IF($E286="","",INDEX(KPI!$G:$G,SUMIFS(KPI!$B:$B,KPI!$E:$E,$E286)))</f>
        <v>тыс.руб.</v>
      </c>
      <c r="H286" s="100">
        <f>структура!$V$19</f>
        <v>8</v>
      </c>
      <c r="I286" s="31"/>
      <c r="J286" s="98" t="str">
        <f>структура!$X$19</f>
        <v>авг</v>
      </c>
      <c r="K286" s="99"/>
      <c r="L286" s="22"/>
      <c r="M286" s="58"/>
      <c r="N286" s="22"/>
      <c r="O286" s="22"/>
      <c r="P286" s="101">
        <f>IF(P$1="",0,операции!P361)</f>
        <v>55.87</v>
      </c>
      <c r="Q286" s="101">
        <f>IF(Q$1="",0,операции!Q361)</f>
        <v>55.87</v>
      </c>
      <c r="R286" s="101">
        <f>IF(R$1="",0,операции!R361)</f>
        <v>55.87</v>
      </c>
      <c r="S286" s="101">
        <f>IF(S$1="",0,операции!S361)</f>
        <v>55.87</v>
      </c>
      <c r="T286" s="101">
        <f>IF(T$1="",0,операции!T361)</f>
        <v>55.87</v>
      </c>
      <c r="U286" s="101">
        <f>IF(U$1="",0,операции!U361)</f>
        <v>55.87</v>
      </c>
      <c r="V286" s="101">
        <f>IF(V$1="",0,операции!V361)</f>
        <v>55.87</v>
      </c>
      <c r="W286" s="101">
        <f>IF(W$1="",0,операции!W361)</f>
        <v>0</v>
      </c>
      <c r="X286" s="101">
        <f>IF(X$1="",0,операции!X361)</f>
        <v>0</v>
      </c>
      <c r="Y286" s="101">
        <f>IF(Y$1="",0,операции!Y361)</f>
        <v>0</v>
      </c>
      <c r="Z286" s="101">
        <f>IF(Z$1="",0,операции!Z361)</f>
        <v>0</v>
      </c>
      <c r="AA286" s="101">
        <f>IF(AA$1="",0,операции!AA361)</f>
        <v>0</v>
      </c>
      <c r="AB286" s="22"/>
    </row>
    <row r="287" spans="1:28" s="23" customFormat="1" ht="10.199999999999999" x14ac:dyDescent="0.2">
      <c r="A287" s="22"/>
      <c r="B287" s="22"/>
      <c r="C287" s="22"/>
      <c r="D287" s="22"/>
      <c r="E287" s="22" t="str">
        <f>E278</f>
        <v>начисления в соцфонды</v>
      </c>
      <c r="F287" s="22"/>
      <c r="G287" s="22" t="str">
        <f>IF($E287="","",INDEX(KPI!$G:$G,SUMIFS(KPI!$B:$B,KPI!$E:$E,$E287)))</f>
        <v>тыс.руб.</v>
      </c>
      <c r="H287" s="100">
        <f>структура!$V$20</f>
        <v>9</v>
      </c>
      <c r="I287" s="31"/>
      <c r="J287" s="98" t="str">
        <f>структура!$X$20</f>
        <v>сен</v>
      </c>
      <c r="K287" s="99"/>
      <c r="L287" s="22"/>
      <c r="M287" s="58"/>
      <c r="N287" s="22"/>
      <c r="O287" s="22"/>
      <c r="P287" s="101">
        <f>IF(P$1="",0,операции!P362)</f>
        <v>55.87</v>
      </c>
      <c r="Q287" s="101">
        <f>IF(Q$1="",0,операции!Q362)</f>
        <v>55.87</v>
      </c>
      <c r="R287" s="101">
        <f>IF(R$1="",0,операции!R362)</f>
        <v>55.87</v>
      </c>
      <c r="S287" s="101">
        <f>IF(S$1="",0,операции!S362)</f>
        <v>55.87</v>
      </c>
      <c r="T287" s="101">
        <f>IF(T$1="",0,операции!T362)</f>
        <v>55.87</v>
      </c>
      <c r="U287" s="101">
        <f>IF(U$1="",0,операции!U362)</f>
        <v>55.87</v>
      </c>
      <c r="V287" s="101">
        <f>IF(V$1="",0,операции!V362)</f>
        <v>55.87</v>
      </c>
      <c r="W287" s="101">
        <f>IF(W$1="",0,операции!W362)</f>
        <v>0</v>
      </c>
      <c r="X287" s="101">
        <f>IF(X$1="",0,операции!X362)</f>
        <v>0</v>
      </c>
      <c r="Y287" s="101">
        <f>IF(Y$1="",0,операции!Y362)</f>
        <v>0</v>
      </c>
      <c r="Z287" s="101">
        <f>IF(Z$1="",0,операции!Z362)</f>
        <v>0</v>
      </c>
      <c r="AA287" s="101">
        <f>IF(AA$1="",0,операции!AA362)</f>
        <v>0</v>
      </c>
      <c r="AB287" s="22"/>
    </row>
    <row r="288" spans="1:28" s="23" customFormat="1" ht="10.199999999999999" x14ac:dyDescent="0.2">
      <c r="A288" s="22"/>
      <c r="B288" s="22"/>
      <c r="C288" s="22"/>
      <c r="D288" s="22"/>
      <c r="E288" s="22" t="str">
        <f>E278</f>
        <v>начисления в соцфонды</v>
      </c>
      <c r="F288" s="22"/>
      <c r="G288" s="22" t="str">
        <f>IF($E288="","",INDEX(KPI!$G:$G,SUMIFS(KPI!$B:$B,KPI!$E:$E,$E288)))</f>
        <v>тыс.руб.</v>
      </c>
      <c r="H288" s="100">
        <f>структура!$V$21</f>
        <v>10</v>
      </c>
      <c r="I288" s="31"/>
      <c r="J288" s="98" t="str">
        <f>структура!$X$21</f>
        <v>окт</v>
      </c>
      <c r="K288" s="99"/>
      <c r="L288" s="22"/>
      <c r="M288" s="58"/>
      <c r="N288" s="22"/>
      <c r="O288" s="22"/>
      <c r="P288" s="101">
        <f>IF(P$1="",0,операции!P363)</f>
        <v>55.87</v>
      </c>
      <c r="Q288" s="101">
        <f>IF(Q$1="",0,операции!Q363)</f>
        <v>55.87</v>
      </c>
      <c r="R288" s="101">
        <f>IF(R$1="",0,операции!R363)</f>
        <v>55.87</v>
      </c>
      <c r="S288" s="101">
        <f>IF(S$1="",0,операции!S363)</f>
        <v>55.87</v>
      </c>
      <c r="T288" s="101">
        <f>IF(T$1="",0,операции!T363)</f>
        <v>55.87</v>
      </c>
      <c r="U288" s="101">
        <f>IF(U$1="",0,операции!U363)</f>
        <v>55.87</v>
      </c>
      <c r="V288" s="101">
        <f>IF(V$1="",0,операции!V363)</f>
        <v>55.87</v>
      </c>
      <c r="W288" s="101">
        <f>IF(W$1="",0,операции!W363)</f>
        <v>0</v>
      </c>
      <c r="X288" s="101">
        <f>IF(X$1="",0,операции!X363)</f>
        <v>0</v>
      </c>
      <c r="Y288" s="101">
        <f>IF(Y$1="",0,операции!Y363)</f>
        <v>0</v>
      </c>
      <c r="Z288" s="101">
        <f>IF(Z$1="",0,операции!Z363)</f>
        <v>0</v>
      </c>
      <c r="AA288" s="101">
        <f>IF(AA$1="",0,операции!AA363)</f>
        <v>0</v>
      </c>
      <c r="AB288" s="22"/>
    </row>
    <row r="289" spans="1:28" s="23" customFormat="1" ht="10.199999999999999" x14ac:dyDescent="0.2">
      <c r="A289" s="22"/>
      <c r="B289" s="22"/>
      <c r="C289" s="22"/>
      <c r="D289" s="22"/>
      <c r="E289" s="22" t="str">
        <f>E278</f>
        <v>начисления в соцфонды</v>
      </c>
      <c r="F289" s="22"/>
      <c r="G289" s="22" t="str">
        <f>IF($E289="","",INDEX(KPI!$G:$G,SUMIFS(KPI!$B:$B,KPI!$E:$E,$E289)))</f>
        <v>тыс.руб.</v>
      </c>
      <c r="H289" s="100">
        <f>структура!$V$22</f>
        <v>11</v>
      </c>
      <c r="I289" s="31"/>
      <c r="J289" s="98" t="str">
        <f>структура!$X$22</f>
        <v>ноя</v>
      </c>
      <c r="K289" s="99"/>
      <c r="L289" s="22"/>
      <c r="M289" s="58"/>
      <c r="N289" s="22"/>
      <c r="O289" s="22"/>
      <c r="P289" s="101">
        <f>IF(P$1="",0,операции!P364)</f>
        <v>55.87</v>
      </c>
      <c r="Q289" s="101">
        <f>IF(Q$1="",0,операции!Q364)</f>
        <v>55.87</v>
      </c>
      <c r="R289" s="101">
        <f>IF(R$1="",0,операции!R364)</f>
        <v>55.87</v>
      </c>
      <c r="S289" s="101">
        <f>IF(S$1="",0,операции!S364)</f>
        <v>55.87</v>
      </c>
      <c r="T289" s="101">
        <f>IF(T$1="",0,операции!T364)</f>
        <v>55.87</v>
      </c>
      <c r="U289" s="101">
        <f>IF(U$1="",0,операции!U364)</f>
        <v>55.87</v>
      </c>
      <c r="V289" s="101">
        <f>IF(V$1="",0,операции!V364)</f>
        <v>55.87</v>
      </c>
      <c r="W289" s="101">
        <f>IF(W$1="",0,операции!W364)</f>
        <v>0</v>
      </c>
      <c r="X289" s="101">
        <f>IF(X$1="",0,операции!X364)</f>
        <v>0</v>
      </c>
      <c r="Y289" s="101">
        <f>IF(Y$1="",0,операции!Y364)</f>
        <v>0</v>
      </c>
      <c r="Z289" s="101">
        <f>IF(Z$1="",0,операции!Z364)</f>
        <v>0</v>
      </c>
      <c r="AA289" s="101">
        <f>IF(AA$1="",0,операции!AA364)</f>
        <v>0</v>
      </c>
      <c r="AB289" s="22"/>
    </row>
    <row r="290" spans="1:28" s="23" customFormat="1" ht="10.199999999999999" x14ac:dyDescent="0.2">
      <c r="A290" s="22"/>
      <c r="B290" s="22"/>
      <c r="C290" s="22"/>
      <c r="D290" s="22"/>
      <c r="E290" s="22" t="str">
        <f>E278</f>
        <v>начисления в соцфонды</v>
      </c>
      <c r="F290" s="22"/>
      <c r="G290" s="22" t="str">
        <f>IF($E290="","",INDEX(KPI!$G:$G,SUMIFS(KPI!$B:$B,KPI!$E:$E,$E290)))</f>
        <v>тыс.руб.</v>
      </c>
      <c r="H290" s="100">
        <f>структура!$V$23</f>
        <v>12</v>
      </c>
      <c r="I290" s="31"/>
      <c r="J290" s="98" t="str">
        <f>структура!$X$23</f>
        <v>дек</v>
      </c>
      <c r="K290" s="99"/>
      <c r="L290" s="22"/>
      <c r="M290" s="58"/>
      <c r="N290" s="22"/>
      <c r="O290" s="22"/>
      <c r="P290" s="101">
        <f>IF(P$1="",0,операции!P365)</f>
        <v>55.87</v>
      </c>
      <c r="Q290" s="101">
        <f>IF(Q$1="",0,операции!Q365)</f>
        <v>55.87</v>
      </c>
      <c r="R290" s="101">
        <f>IF(R$1="",0,операции!R365)</f>
        <v>55.87</v>
      </c>
      <c r="S290" s="101">
        <f>IF(S$1="",0,операции!S365)</f>
        <v>55.87</v>
      </c>
      <c r="T290" s="101">
        <f>IF(T$1="",0,операции!T365)</f>
        <v>55.87</v>
      </c>
      <c r="U290" s="101">
        <f>IF(U$1="",0,операции!U365)</f>
        <v>55.87</v>
      </c>
      <c r="V290" s="101">
        <f>IF(V$1="",0,операции!V365)</f>
        <v>55.87</v>
      </c>
      <c r="W290" s="101">
        <f>IF(W$1="",0,операции!W365)</f>
        <v>0</v>
      </c>
      <c r="X290" s="101">
        <f>IF(X$1="",0,операции!X365)</f>
        <v>0</v>
      </c>
      <c r="Y290" s="101">
        <f>IF(Y$1="",0,операции!Y365)</f>
        <v>0</v>
      </c>
      <c r="Z290" s="101">
        <f>IF(Z$1="",0,операции!Z365)</f>
        <v>0</v>
      </c>
      <c r="AA290" s="101">
        <f>IF(AA$1="",0,операции!AA365)</f>
        <v>0</v>
      </c>
      <c r="AB290" s="22"/>
    </row>
    <row r="291" spans="1:28" ht="3.9" customHeight="1" x14ac:dyDescent="0.25">
      <c r="A291" s="2"/>
      <c r="B291" s="2"/>
      <c r="C291" s="2"/>
      <c r="D291" s="2"/>
      <c r="E291" s="21"/>
      <c r="F291" s="2"/>
      <c r="G291" s="21"/>
      <c r="H291" s="2"/>
      <c r="I291" s="28"/>
      <c r="J291" s="21"/>
      <c r="K291" s="28"/>
      <c r="L291" s="2"/>
      <c r="M291" s="52"/>
      <c r="N291" s="2"/>
      <c r="O291" s="2"/>
      <c r="P291" s="36"/>
      <c r="Q291" s="36"/>
      <c r="R291" s="36"/>
      <c r="S291" s="36"/>
      <c r="T291" s="36"/>
      <c r="U291" s="36"/>
      <c r="V291" s="36"/>
      <c r="W291" s="36"/>
      <c r="X291" s="36"/>
      <c r="Y291" s="36"/>
      <c r="Z291" s="36"/>
      <c r="AA291" s="36"/>
      <c r="AB291" s="2"/>
    </row>
    <row r="292" spans="1:28" ht="8.1" customHeight="1" x14ac:dyDescent="0.25">
      <c r="A292" s="2"/>
      <c r="B292" s="2"/>
      <c r="C292" s="2"/>
      <c r="D292" s="2"/>
      <c r="E292" s="2"/>
      <c r="F292" s="2"/>
      <c r="G292" s="2"/>
      <c r="H292" s="2"/>
      <c r="I292" s="28"/>
      <c r="J292" s="2"/>
      <c r="K292" s="28"/>
      <c r="L292" s="2"/>
      <c r="M292" s="52"/>
      <c r="N292" s="2"/>
      <c r="O292" s="2"/>
      <c r="P292" s="36"/>
      <c r="Q292" s="36"/>
      <c r="R292" s="36"/>
      <c r="S292" s="36"/>
      <c r="T292" s="36"/>
      <c r="U292" s="36"/>
      <c r="V292" s="36"/>
      <c r="W292" s="36"/>
      <c r="X292" s="36"/>
      <c r="Y292" s="36"/>
      <c r="Z292" s="36"/>
      <c r="AA292" s="36"/>
      <c r="AB292" s="2"/>
    </row>
    <row r="293" spans="1:28" s="5" customFormat="1" x14ac:dyDescent="0.25">
      <c r="A293" s="3"/>
      <c r="B293" s="3"/>
      <c r="C293" s="3"/>
      <c r="D293" s="111"/>
      <c r="E293" s="3" t="str">
        <f>KPI!$E$60</f>
        <v>оплаты в соцфонды</v>
      </c>
      <c r="F293" s="3"/>
      <c r="G293" s="3" t="str">
        <f>IF($E293="","",INDEX(KPI!$G:$G,SUMIFS(KPI!$B:$B,KPI!$E:$E,$E293)))</f>
        <v>тыс.руб.</v>
      </c>
      <c r="H293" s="116" t="str">
        <f>структура!$AL$20</f>
        <v>Заложен сдвиг на один месяц!</v>
      </c>
      <c r="I293" s="28"/>
      <c r="J293" s="44"/>
      <c r="K293" s="28"/>
      <c r="L293" s="3"/>
      <c r="M293" s="55">
        <f>SUM($O293:$AB293)</f>
        <v>4637.21</v>
      </c>
      <c r="N293" s="3"/>
      <c r="O293" s="3"/>
      <c r="P293" s="46">
        <f>IF(P$1="",0,IF(P$1=0,SUMIFS(P294:P305,H294:H305,"&gt;="&amp;MONTH($J$13)),SUM(P294:P305)))</f>
        <v>614.56999999999994</v>
      </c>
      <c r="Q293" s="46">
        <f t="shared" ref="Q293" si="60">IF(Q$1="",0,SUM(Q294:Q305))</f>
        <v>670.43999999999994</v>
      </c>
      <c r="R293" s="46">
        <f t="shared" ref="R293:AA293" si="61">IF(R$1="",0,SUM(R294:R305))</f>
        <v>670.43999999999994</v>
      </c>
      <c r="S293" s="46">
        <f t="shared" si="61"/>
        <v>670.43999999999994</v>
      </c>
      <c r="T293" s="46">
        <f t="shared" si="61"/>
        <v>670.43999999999994</v>
      </c>
      <c r="U293" s="46">
        <f t="shared" si="61"/>
        <v>670.43999999999994</v>
      </c>
      <c r="V293" s="46">
        <f t="shared" si="61"/>
        <v>670.43999999999994</v>
      </c>
      <c r="W293" s="46">
        <f t="shared" si="61"/>
        <v>0</v>
      </c>
      <c r="X293" s="46">
        <f t="shared" si="61"/>
        <v>0</v>
      </c>
      <c r="Y293" s="46">
        <f t="shared" si="61"/>
        <v>0</v>
      </c>
      <c r="Z293" s="46">
        <f t="shared" si="61"/>
        <v>0</v>
      </c>
      <c r="AA293" s="46">
        <f t="shared" si="61"/>
        <v>0</v>
      </c>
      <c r="AB293" s="3"/>
    </row>
    <row r="294" spans="1:28" s="23" customFormat="1" ht="10.199999999999999" x14ac:dyDescent="0.2">
      <c r="A294" s="22"/>
      <c r="B294" s="22"/>
      <c r="C294" s="22"/>
      <c r="D294" s="22"/>
      <c r="E294" s="22" t="str">
        <f>E293</f>
        <v>оплаты в соцфонды</v>
      </c>
      <c r="F294" s="22"/>
      <c r="G294" s="22" t="str">
        <f>IF($E294="","",INDEX(KPI!$G:$G,SUMIFS(KPI!$B:$B,KPI!$E:$E,$E294)))</f>
        <v>тыс.руб.</v>
      </c>
      <c r="H294" s="100">
        <f>структура!$V$12</f>
        <v>1</v>
      </c>
      <c r="I294" s="31"/>
      <c r="J294" s="98" t="str">
        <f>структура!$X$12</f>
        <v>янв</v>
      </c>
      <c r="K294" s="99"/>
      <c r="L294" s="22"/>
      <c r="M294" s="58"/>
      <c r="N294" s="22"/>
      <c r="O294" s="22"/>
      <c r="P294" s="101">
        <f>IF(P$1="",0,операции!P369)</f>
        <v>0</v>
      </c>
      <c r="Q294" s="101">
        <f>IF(Q$1="",0,операции!Q369)</f>
        <v>55.87</v>
      </c>
      <c r="R294" s="101">
        <f>IF(R$1="",0,операции!R369)</f>
        <v>55.87</v>
      </c>
      <c r="S294" s="101">
        <f>IF(S$1="",0,операции!S369)</f>
        <v>55.87</v>
      </c>
      <c r="T294" s="101">
        <f>IF(T$1="",0,операции!T369)</f>
        <v>55.87</v>
      </c>
      <c r="U294" s="101">
        <f>IF(U$1="",0,операции!U369)</f>
        <v>55.87</v>
      </c>
      <c r="V294" s="101">
        <f>IF(V$1="",0,операции!V369)</f>
        <v>55.87</v>
      </c>
      <c r="W294" s="101">
        <f>IF(W$1="",0,операции!W369)</f>
        <v>0</v>
      </c>
      <c r="X294" s="101">
        <f>IF(X$1="",0,операции!X369)</f>
        <v>0</v>
      </c>
      <c r="Y294" s="101">
        <f>IF(Y$1="",0,операции!Y369)</f>
        <v>0</v>
      </c>
      <c r="Z294" s="101">
        <f>IF(Z$1="",0,операции!Z369)</f>
        <v>0</v>
      </c>
      <c r="AA294" s="101">
        <f>IF(AA$1="",0,операции!AA369)</f>
        <v>0</v>
      </c>
      <c r="AB294" s="22"/>
    </row>
    <row r="295" spans="1:28" s="23" customFormat="1" ht="10.199999999999999" x14ac:dyDescent="0.2">
      <c r="A295" s="22"/>
      <c r="B295" s="22"/>
      <c r="C295" s="22"/>
      <c r="D295" s="22"/>
      <c r="E295" s="22" t="str">
        <f>E293</f>
        <v>оплаты в соцфонды</v>
      </c>
      <c r="F295" s="22"/>
      <c r="G295" s="22" t="str">
        <f>IF($E295="","",INDEX(KPI!$G:$G,SUMIFS(KPI!$B:$B,KPI!$E:$E,$E295)))</f>
        <v>тыс.руб.</v>
      </c>
      <c r="H295" s="100">
        <f>структура!$V$13</f>
        <v>2</v>
      </c>
      <c r="I295" s="31"/>
      <c r="J295" s="98" t="str">
        <f>структура!$X$13</f>
        <v>фев</v>
      </c>
      <c r="K295" s="99"/>
      <c r="L295" s="22"/>
      <c r="M295" s="58"/>
      <c r="N295" s="22"/>
      <c r="O295" s="22"/>
      <c r="P295" s="101">
        <f>IF(P$1="",0,операции!P370)</f>
        <v>55.87</v>
      </c>
      <c r="Q295" s="101">
        <f>IF(Q$1="",0,операции!Q370)</f>
        <v>55.87</v>
      </c>
      <c r="R295" s="101">
        <f>IF(R$1="",0,операции!R370)</f>
        <v>55.87</v>
      </c>
      <c r="S295" s="101">
        <f>IF(S$1="",0,операции!S370)</f>
        <v>55.87</v>
      </c>
      <c r="T295" s="101">
        <f>IF(T$1="",0,операции!T370)</f>
        <v>55.87</v>
      </c>
      <c r="U295" s="101">
        <f>IF(U$1="",0,операции!U370)</f>
        <v>55.87</v>
      </c>
      <c r="V295" s="101">
        <f>IF(V$1="",0,операции!V370)</f>
        <v>55.87</v>
      </c>
      <c r="W295" s="101">
        <f>IF(W$1="",0,операции!W370)</f>
        <v>0</v>
      </c>
      <c r="X295" s="101">
        <f>IF(X$1="",0,операции!X370)</f>
        <v>0</v>
      </c>
      <c r="Y295" s="101">
        <f>IF(Y$1="",0,операции!Y370)</f>
        <v>0</v>
      </c>
      <c r="Z295" s="101">
        <f>IF(Z$1="",0,операции!Z370)</f>
        <v>0</v>
      </c>
      <c r="AA295" s="101">
        <f>IF(AA$1="",0,операции!AA370)</f>
        <v>0</v>
      </c>
      <c r="AB295" s="22"/>
    </row>
    <row r="296" spans="1:28" s="23" customFormat="1" ht="10.199999999999999" x14ac:dyDescent="0.2">
      <c r="A296" s="22"/>
      <c r="B296" s="22"/>
      <c r="C296" s="22"/>
      <c r="D296" s="22"/>
      <c r="E296" s="22" t="str">
        <f>E293</f>
        <v>оплаты в соцфонды</v>
      </c>
      <c r="F296" s="22"/>
      <c r="G296" s="22" t="str">
        <f>IF($E296="","",INDEX(KPI!$G:$G,SUMIFS(KPI!$B:$B,KPI!$E:$E,$E296)))</f>
        <v>тыс.руб.</v>
      </c>
      <c r="H296" s="100">
        <f>структура!$V$14</f>
        <v>3</v>
      </c>
      <c r="I296" s="31"/>
      <c r="J296" s="98" t="str">
        <f>структура!$X$14</f>
        <v>мар</v>
      </c>
      <c r="K296" s="99"/>
      <c r="L296" s="22"/>
      <c r="M296" s="58"/>
      <c r="N296" s="22"/>
      <c r="O296" s="22"/>
      <c r="P296" s="101">
        <f>IF(P$1="",0,операции!P371)</f>
        <v>55.87</v>
      </c>
      <c r="Q296" s="101">
        <f>IF(Q$1="",0,операции!Q371)</f>
        <v>55.87</v>
      </c>
      <c r="R296" s="101">
        <f>IF(R$1="",0,операции!R371)</f>
        <v>55.87</v>
      </c>
      <c r="S296" s="101">
        <f>IF(S$1="",0,операции!S371)</f>
        <v>55.87</v>
      </c>
      <c r="T296" s="101">
        <f>IF(T$1="",0,операции!T371)</f>
        <v>55.87</v>
      </c>
      <c r="U296" s="101">
        <f>IF(U$1="",0,операции!U371)</f>
        <v>55.87</v>
      </c>
      <c r="V296" s="101">
        <f>IF(V$1="",0,операции!V371)</f>
        <v>55.87</v>
      </c>
      <c r="W296" s="101">
        <f>IF(W$1="",0,операции!W371)</f>
        <v>0</v>
      </c>
      <c r="X296" s="101">
        <f>IF(X$1="",0,операции!X371)</f>
        <v>0</v>
      </c>
      <c r="Y296" s="101">
        <f>IF(Y$1="",0,операции!Y371)</f>
        <v>0</v>
      </c>
      <c r="Z296" s="101">
        <f>IF(Z$1="",0,операции!Z371)</f>
        <v>0</v>
      </c>
      <c r="AA296" s="101">
        <f>IF(AA$1="",0,операции!AA371)</f>
        <v>0</v>
      </c>
      <c r="AB296" s="22"/>
    </row>
    <row r="297" spans="1:28" s="23" customFormat="1" ht="10.199999999999999" x14ac:dyDescent="0.2">
      <c r="A297" s="22"/>
      <c r="B297" s="22"/>
      <c r="C297" s="22"/>
      <c r="D297" s="22"/>
      <c r="E297" s="22" t="str">
        <f>E293</f>
        <v>оплаты в соцфонды</v>
      </c>
      <c r="F297" s="22"/>
      <c r="G297" s="22" t="str">
        <f>IF($E297="","",INDEX(KPI!$G:$G,SUMIFS(KPI!$B:$B,KPI!$E:$E,$E297)))</f>
        <v>тыс.руб.</v>
      </c>
      <c r="H297" s="100">
        <f>структура!$V$15</f>
        <v>4</v>
      </c>
      <c r="I297" s="31"/>
      <c r="J297" s="98" t="str">
        <f>структура!$X$15</f>
        <v>апр</v>
      </c>
      <c r="K297" s="99"/>
      <c r="L297" s="22"/>
      <c r="M297" s="58"/>
      <c r="N297" s="22"/>
      <c r="O297" s="22"/>
      <c r="P297" s="101">
        <f>IF(P$1="",0,операции!P372)</f>
        <v>55.87</v>
      </c>
      <c r="Q297" s="101">
        <f>IF(Q$1="",0,операции!Q372)</f>
        <v>55.87</v>
      </c>
      <c r="R297" s="101">
        <f>IF(R$1="",0,операции!R372)</f>
        <v>55.87</v>
      </c>
      <c r="S297" s="101">
        <f>IF(S$1="",0,операции!S372)</f>
        <v>55.87</v>
      </c>
      <c r="T297" s="101">
        <f>IF(T$1="",0,операции!T372)</f>
        <v>55.87</v>
      </c>
      <c r="U297" s="101">
        <f>IF(U$1="",0,операции!U372)</f>
        <v>55.87</v>
      </c>
      <c r="V297" s="101">
        <f>IF(V$1="",0,операции!V372)</f>
        <v>55.87</v>
      </c>
      <c r="W297" s="101">
        <f>IF(W$1="",0,операции!W372)</f>
        <v>0</v>
      </c>
      <c r="X297" s="101">
        <f>IF(X$1="",0,операции!X372)</f>
        <v>0</v>
      </c>
      <c r="Y297" s="101">
        <f>IF(Y$1="",0,операции!Y372)</f>
        <v>0</v>
      </c>
      <c r="Z297" s="101">
        <f>IF(Z$1="",0,операции!Z372)</f>
        <v>0</v>
      </c>
      <c r="AA297" s="101">
        <f>IF(AA$1="",0,операции!AA372)</f>
        <v>0</v>
      </c>
      <c r="AB297" s="22"/>
    </row>
    <row r="298" spans="1:28" s="23" customFormat="1" ht="10.199999999999999" x14ac:dyDescent="0.2">
      <c r="A298" s="22"/>
      <c r="B298" s="22"/>
      <c r="C298" s="22"/>
      <c r="D298" s="22"/>
      <c r="E298" s="22" t="str">
        <f>E293</f>
        <v>оплаты в соцфонды</v>
      </c>
      <c r="F298" s="22"/>
      <c r="G298" s="22" t="str">
        <f>IF($E298="","",INDEX(KPI!$G:$G,SUMIFS(KPI!$B:$B,KPI!$E:$E,$E298)))</f>
        <v>тыс.руб.</v>
      </c>
      <c r="H298" s="100">
        <f>структура!$V$16</f>
        <v>5</v>
      </c>
      <c r="I298" s="31"/>
      <c r="J298" s="98" t="str">
        <f>структура!$X$16</f>
        <v>май</v>
      </c>
      <c r="K298" s="99"/>
      <c r="L298" s="22"/>
      <c r="M298" s="58"/>
      <c r="N298" s="22"/>
      <c r="O298" s="22"/>
      <c r="P298" s="101">
        <f>IF(P$1="",0,операции!P373)</f>
        <v>55.87</v>
      </c>
      <c r="Q298" s="101">
        <f>IF(Q$1="",0,операции!Q373)</f>
        <v>55.87</v>
      </c>
      <c r="R298" s="101">
        <f>IF(R$1="",0,операции!R373)</f>
        <v>55.87</v>
      </c>
      <c r="S298" s="101">
        <f>IF(S$1="",0,операции!S373)</f>
        <v>55.87</v>
      </c>
      <c r="T298" s="101">
        <f>IF(T$1="",0,операции!T373)</f>
        <v>55.87</v>
      </c>
      <c r="U298" s="101">
        <f>IF(U$1="",0,операции!U373)</f>
        <v>55.87</v>
      </c>
      <c r="V298" s="101">
        <f>IF(V$1="",0,операции!V373)</f>
        <v>55.87</v>
      </c>
      <c r="W298" s="101">
        <f>IF(W$1="",0,операции!W373)</f>
        <v>0</v>
      </c>
      <c r="X298" s="101">
        <f>IF(X$1="",0,операции!X373)</f>
        <v>0</v>
      </c>
      <c r="Y298" s="101">
        <f>IF(Y$1="",0,операции!Y373)</f>
        <v>0</v>
      </c>
      <c r="Z298" s="101">
        <f>IF(Z$1="",0,операции!Z373)</f>
        <v>0</v>
      </c>
      <c r="AA298" s="101">
        <f>IF(AA$1="",0,операции!AA373)</f>
        <v>0</v>
      </c>
      <c r="AB298" s="22"/>
    </row>
    <row r="299" spans="1:28" s="23" customFormat="1" ht="10.199999999999999" x14ac:dyDescent="0.2">
      <c r="A299" s="22"/>
      <c r="B299" s="22"/>
      <c r="C299" s="22"/>
      <c r="D299" s="22"/>
      <c r="E299" s="22" t="str">
        <f>E293</f>
        <v>оплаты в соцфонды</v>
      </c>
      <c r="F299" s="22"/>
      <c r="G299" s="22" t="str">
        <f>IF($E299="","",INDEX(KPI!$G:$G,SUMIFS(KPI!$B:$B,KPI!$E:$E,$E299)))</f>
        <v>тыс.руб.</v>
      </c>
      <c r="H299" s="100">
        <f>структура!$V$17</f>
        <v>6</v>
      </c>
      <c r="I299" s="31"/>
      <c r="J299" s="98" t="str">
        <f>структура!$X$17</f>
        <v>июн</v>
      </c>
      <c r="K299" s="99"/>
      <c r="L299" s="22"/>
      <c r="M299" s="58"/>
      <c r="N299" s="22"/>
      <c r="O299" s="22"/>
      <c r="P299" s="101">
        <f>IF(P$1="",0,операции!P374)</f>
        <v>55.87</v>
      </c>
      <c r="Q299" s="101">
        <f>IF(Q$1="",0,операции!Q374)</f>
        <v>55.87</v>
      </c>
      <c r="R299" s="101">
        <f>IF(R$1="",0,операции!R374)</f>
        <v>55.87</v>
      </c>
      <c r="S299" s="101">
        <f>IF(S$1="",0,операции!S374)</f>
        <v>55.87</v>
      </c>
      <c r="T299" s="101">
        <f>IF(T$1="",0,операции!T374)</f>
        <v>55.87</v>
      </c>
      <c r="U299" s="101">
        <f>IF(U$1="",0,операции!U374)</f>
        <v>55.87</v>
      </c>
      <c r="V299" s="101">
        <f>IF(V$1="",0,операции!V374)</f>
        <v>55.87</v>
      </c>
      <c r="W299" s="101">
        <f>IF(W$1="",0,операции!W374)</f>
        <v>0</v>
      </c>
      <c r="X299" s="101">
        <f>IF(X$1="",0,операции!X374)</f>
        <v>0</v>
      </c>
      <c r="Y299" s="101">
        <f>IF(Y$1="",0,операции!Y374)</f>
        <v>0</v>
      </c>
      <c r="Z299" s="101">
        <f>IF(Z$1="",0,операции!Z374)</f>
        <v>0</v>
      </c>
      <c r="AA299" s="101">
        <f>IF(AA$1="",0,операции!AA374)</f>
        <v>0</v>
      </c>
      <c r="AB299" s="22"/>
    </row>
    <row r="300" spans="1:28" s="23" customFormat="1" ht="10.199999999999999" x14ac:dyDescent="0.2">
      <c r="A300" s="22"/>
      <c r="B300" s="22"/>
      <c r="C300" s="22"/>
      <c r="D300" s="22"/>
      <c r="E300" s="22" t="str">
        <f>E293</f>
        <v>оплаты в соцфонды</v>
      </c>
      <c r="F300" s="22"/>
      <c r="G300" s="22" t="str">
        <f>IF($E300="","",INDEX(KPI!$G:$G,SUMIFS(KPI!$B:$B,KPI!$E:$E,$E300)))</f>
        <v>тыс.руб.</v>
      </c>
      <c r="H300" s="100">
        <f>структура!$V$18</f>
        <v>7</v>
      </c>
      <c r="I300" s="31"/>
      <c r="J300" s="98" t="str">
        <f>структура!$X$18</f>
        <v>июл</v>
      </c>
      <c r="K300" s="99"/>
      <c r="L300" s="22"/>
      <c r="M300" s="58"/>
      <c r="N300" s="22"/>
      <c r="O300" s="22"/>
      <c r="P300" s="101">
        <f>IF(P$1="",0,операции!P375)</f>
        <v>55.87</v>
      </c>
      <c r="Q300" s="101">
        <f>IF(Q$1="",0,операции!Q375)</f>
        <v>55.87</v>
      </c>
      <c r="R300" s="101">
        <f>IF(R$1="",0,операции!R375)</f>
        <v>55.87</v>
      </c>
      <c r="S300" s="101">
        <f>IF(S$1="",0,операции!S375)</f>
        <v>55.87</v>
      </c>
      <c r="T300" s="101">
        <f>IF(T$1="",0,операции!T375)</f>
        <v>55.87</v>
      </c>
      <c r="U300" s="101">
        <f>IF(U$1="",0,операции!U375)</f>
        <v>55.87</v>
      </c>
      <c r="V300" s="101">
        <f>IF(V$1="",0,операции!V375)</f>
        <v>55.87</v>
      </c>
      <c r="W300" s="101">
        <f>IF(W$1="",0,операции!W375)</f>
        <v>0</v>
      </c>
      <c r="X300" s="101">
        <f>IF(X$1="",0,операции!X375)</f>
        <v>0</v>
      </c>
      <c r="Y300" s="101">
        <f>IF(Y$1="",0,операции!Y375)</f>
        <v>0</v>
      </c>
      <c r="Z300" s="101">
        <f>IF(Z$1="",0,операции!Z375)</f>
        <v>0</v>
      </c>
      <c r="AA300" s="101">
        <f>IF(AA$1="",0,операции!AA375)</f>
        <v>0</v>
      </c>
      <c r="AB300" s="22"/>
    </row>
    <row r="301" spans="1:28" s="23" customFormat="1" ht="10.199999999999999" x14ac:dyDescent="0.2">
      <c r="A301" s="22"/>
      <c r="B301" s="22"/>
      <c r="C301" s="22"/>
      <c r="D301" s="22"/>
      <c r="E301" s="22" t="str">
        <f>E293</f>
        <v>оплаты в соцфонды</v>
      </c>
      <c r="F301" s="22"/>
      <c r="G301" s="22" t="str">
        <f>IF($E301="","",INDEX(KPI!$G:$G,SUMIFS(KPI!$B:$B,KPI!$E:$E,$E301)))</f>
        <v>тыс.руб.</v>
      </c>
      <c r="H301" s="100">
        <f>структура!$V$19</f>
        <v>8</v>
      </c>
      <c r="I301" s="31"/>
      <c r="J301" s="98" t="str">
        <f>структура!$X$19</f>
        <v>авг</v>
      </c>
      <c r="K301" s="99"/>
      <c r="L301" s="22"/>
      <c r="M301" s="58"/>
      <c r="N301" s="22"/>
      <c r="O301" s="22"/>
      <c r="P301" s="101">
        <f>IF(P$1="",0,операции!P376)</f>
        <v>55.87</v>
      </c>
      <c r="Q301" s="101">
        <f>IF(Q$1="",0,операции!Q376)</f>
        <v>55.87</v>
      </c>
      <c r="R301" s="101">
        <f>IF(R$1="",0,операции!R376)</f>
        <v>55.87</v>
      </c>
      <c r="S301" s="101">
        <f>IF(S$1="",0,операции!S376)</f>
        <v>55.87</v>
      </c>
      <c r="T301" s="101">
        <f>IF(T$1="",0,операции!T376)</f>
        <v>55.87</v>
      </c>
      <c r="U301" s="101">
        <f>IF(U$1="",0,операции!U376)</f>
        <v>55.87</v>
      </c>
      <c r="V301" s="101">
        <f>IF(V$1="",0,операции!V376)</f>
        <v>55.87</v>
      </c>
      <c r="W301" s="101">
        <f>IF(W$1="",0,операции!W376)</f>
        <v>0</v>
      </c>
      <c r="X301" s="101">
        <f>IF(X$1="",0,операции!X376)</f>
        <v>0</v>
      </c>
      <c r="Y301" s="101">
        <f>IF(Y$1="",0,операции!Y376)</f>
        <v>0</v>
      </c>
      <c r="Z301" s="101">
        <f>IF(Z$1="",0,операции!Z376)</f>
        <v>0</v>
      </c>
      <c r="AA301" s="101">
        <f>IF(AA$1="",0,операции!AA376)</f>
        <v>0</v>
      </c>
      <c r="AB301" s="22"/>
    </row>
    <row r="302" spans="1:28" s="23" customFormat="1" ht="10.199999999999999" x14ac:dyDescent="0.2">
      <c r="A302" s="22"/>
      <c r="B302" s="22"/>
      <c r="C302" s="22"/>
      <c r="D302" s="22"/>
      <c r="E302" s="22" t="str">
        <f>E293</f>
        <v>оплаты в соцфонды</v>
      </c>
      <c r="F302" s="22"/>
      <c r="G302" s="22" t="str">
        <f>IF($E302="","",INDEX(KPI!$G:$G,SUMIFS(KPI!$B:$B,KPI!$E:$E,$E302)))</f>
        <v>тыс.руб.</v>
      </c>
      <c r="H302" s="100">
        <f>структура!$V$20</f>
        <v>9</v>
      </c>
      <c r="I302" s="31"/>
      <c r="J302" s="98" t="str">
        <f>структура!$X$20</f>
        <v>сен</v>
      </c>
      <c r="K302" s="99"/>
      <c r="L302" s="22"/>
      <c r="M302" s="58"/>
      <c r="N302" s="22"/>
      <c r="O302" s="22"/>
      <c r="P302" s="101">
        <f>IF(P$1="",0,операции!P377)</f>
        <v>55.87</v>
      </c>
      <c r="Q302" s="101">
        <f>IF(Q$1="",0,операции!Q377)</f>
        <v>55.87</v>
      </c>
      <c r="R302" s="101">
        <f>IF(R$1="",0,операции!R377)</f>
        <v>55.87</v>
      </c>
      <c r="S302" s="101">
        <f>IF(S$1="",0,операции!S377)</f>
        <v>55.87</v>
      </c>
      <c r="T302" s="101">
        <f>IF(T$1="",0,операции!T377)</f>
        <v>55.87</v>
      </c>
      <c r="U302" s="101">
        <f>IF(U$1="",0,операции!U377)</f>
        <v>55.87</v>
      </c>
      <c r="V302" s="101">
        <f>IF(V$1="",0,операции!V377)</f>
        <v>55.87</v>
      </c>
      <c r="W302" s="101">
        <f>IF(W$1="",0,операции!W377)</f>
        <v>0</v>
      </c>
      <c r="X302" s="101">
        <f>IF(X$1="",0,операции!X377)</f>
        <v>0</v>
      </c>
      <c r="Y302" s="101">
        <f>IF(Y$1="",0,операции!Y377)</f>
        <v>0</v>
      </c>
      <c r="Z302" s="101">
        <f>IF(Z$1="",0,операции!Z377)</f>
        <v>0</v>
      </c>
      <c r="AA302" s="101">
        <f>IF(AA$1="",0,операции!AA377)</f>
        <v>0</v>
      </c>
      <c r="AB302" s="22"/>
    </row>
    <row r="303" spans="1:28" s="23" customFormat="1" ht="10.199999999999999" x14ac:dyDescent="0.2">
      <c r="A303" s="22"/>
      <c r="B303" s="22"/>
      <c r="C303" s="22"/>
      <c r="D303" s="22"/>
      <c r="E303" s="22" t="str">
        <f>E293</f>
        <v>оплаты в соцфонды</v>
      </c>
      <c r="F303" s="22"/>
      <c r="G303" s="22" t="str">
        <f>IF($E303="","",INDEX(KPI!$G:$G,SUMIFS(KPI!$B:$B,KPI!$E:$E,$E303)))</f>
        <v>тыс.руб.</v>
      </c>
      <c r="H303" s="100">
        <f>структура!$V$21</f>
        <v>10</v>
      </c>
      <c r="I303" s="31"/>
      <c r="J303" s="98" t="str">
        <f>структура!$X$21</f>
        <v>окт</v>
      </c>
      <c r="K303" s="99"/>
      <c r="L303" s="22"/>
      <c r="M303" s="58"/>
      <c r="N303" s="22"/>
      <c r="O303" s="22"/>
      <c r="P303" s="101">
        <f>IF(P$1="",0,операции!P378)</f>
        <v>55.87</v>
      </c>
      <c r="Q303" s="101">
        <f>IF(Q$1="",0,операции!Q378)</f>
        <v>55.87</v>
      </c>
      <c r="R303" s="101">
        <f>IF(R$1="",0,операции!R378)</f>
        <v>55.87</v>
      </c>
      <c r="S303" s="101">
        <f>IF(S$1="",0,операции!S378)</f>
        <v>55.87</v>
      </c>
      <c r="T303" s="101">
        <f>IF(T$1="",0,операции!T378)</f>
        <v>55.87</v>
      </c>
      <c r="U303" s="101">
        <f>IF(U$1="",0,операции!U378)</f>
        <v>55.87</v>
      </c>
      <c r="V303" s="101">
        <f>IF(V$1="",0,операции!V378)</f>
        <v>55.87</v>
      </c>
      <c r="W303" s="101">
        <f>IF(W$1="",0,операции!W378)</f>
        <v>0</v>
      </c>
      <c r="X303" s="101">
        <f>IF(X$1="",0,операции!X378)</f>
        <v>0</v>
      </c>
      <c r="Y303" s="101">
        <f>IF(Y$1="",0,операции!Y378)</f>
        <v>0</v>
      </c>
      <c r="Z303" s="101">
        <f>IF(Z$1="",0,операции!Z378)</f>
        <v>0</v>
      </c>
      <c r="AA303" s="101">
        <f>IF(AA$1="",0,операции!AA378)</f>
        <v>0</v>
      </c>
      <c r="AB303" s="22"/>
    </row>
    <row r="304" spans="1:28" s="23" customFormat="1" ht="10.199999999999999" x14ac:dyDescent="0.2">
      <c r="A304" s="22"/>
      <c r="B304" s="22"/>
      <c r="C304" s="22"/>
      <c r="D304" s="22"/>
      <c r="E304" s="22" t="str">
        <f>E293</f>
        <v>оплаты в соцфонды</v>
      </c>
      <c r="F304" s="22"/>
      <c r="G304" s="22" t="str">
        <f>IF($E304="","",INDEX(KPI!$G:$G,SUMIFS(KPI!$B:$B,KPI!$E:$E,$E304)))</f>
        <v>тыс.руб.</v>
      </c>
      <c r="H304" s="100">
        <f>структура!$V$22</f>
        <v>11</v>
      </c>
      <c r="I304" s="31"/>
      <c r="J304" s="98" t="str">
        <f>структура!$X$22</f>
        <v>ноя</v>
      </c>
      <c r="K304" s="99"/>
      <c r="L304" s="22"/>
      <c r="M304" s="58"/>
      <c r="N304" s="22"/>
      <c r="O304" s="22"/>
      <c r="P304" s="101">
        <f>IF(P$1="",0,операции!P379)</f>
        <v>55.87</v>
      </c>
      <c r="Q304" s="101">
        <f>IF(Q$1="",0,операции!Q379)</f>
        <v>55.87</v>
      </c>
      <c r="R304" s="101">
        <f>IF(R$1="",0,операции!R379)</f>
        <v>55.87</v>
      </c>
      <c r="S304" s="101">
        <f>IF(S$1="",0,операции!S379)</f>
        <v>55.87</v>
      </c>
      <c r="T304" s="101">
        <f>IF(T$1="",0,операции!T379)</f>
        <v>55.87</v>
      </c>
      <c r="U304" s="101">
        <f>IF(U$1="",0,операции!U379)</f>
        <v>55.87</v>
      </c>
      <c r="V304" s="101">
        <f>IF(V$1="",0,операции!V379)</f>
        <v>55.87</v>
      </c>
      <c r="W304" s="101">
        <f>IF(W$1="",0,операции!W379)</f>
        <v>0</v>
      </c>
      <c r="X304" s="101">
        <f>IF(X$1="",0,операции!X379)</f>
        <v>0</v>
      </c>
      <c r="Y304" s="101">
        <f>IF(Y$1="",0,операции!Y379)</f>
        <v>0</v>
      </c>
      <c r="Z304" s="101">
        <f>IF(Z$1="",0,операции!Z379)</f>
        <v>0</v>
      </c>
      <c r="AA304" s="101">
        <f>IF(AA$1="",0,операции!AA379)</f>
        <v>0</v>
      </c>
      <c r="AB304" s="22"/>
    </row>
    <row r="305" spans="1:28" s="23" customFormat="1" ht="10.199999999999999" x14ac:dyDescent="0.2">
      <c r="A305" s="22"/>
      <c r="B305" s="22"/>
      <c r="C305" s="22"/>
      <c r="D305" s="22"/>
      <c r="E305" s="22" t="str">
        <f>E293</f>
        <v>оплаты в соцфонды</v>
      </c>
      <c r="F305" s="22"/>
      <c r="G305" s="22" t="str">
        <f>IF($E305="","",INDEX(KPI!$G:$G,SUMIFS(KPI!$B:$B,KPI!$E:$E,$E305)))</f>
        <v>тыс.руб.</v>
      </c>
      <c r="H305" s="100">
        <f>структура!$V$23</f>
        <v>12</v>
      </c>
      <c r="I305" s="31"/>
      <c r="J305" s="98" t="str">
        <f>структура!$X$23</f>
        <v>дек</v>
      </c>
      <c r="K305" s="99"/>
      <c r="L305" s="22"/>
      <c r="M305" s="58"/>
      <c r="N305" s="22"/>
      <c r="O305" s="22"/>
      <c r="P305" s="101">
        <f>IF(P$1="",0,операции!P380)</f>
        <v>55.87</v>
      </c>
      <c r="Q305" s="101">
        <f>IF(Q$1="",0,операции!Q380)</f>
        <v>55.87</v>
      </c>
      <c r="R305" s="101">
        <f>IF(R$1="",0,операции!R380)</f>
        <v>55.87</v>
      </c>
      <c r="S305" s="101">
        <f>IF(S$1="",0,операции!S380)</f>
        <v>55.87</v>
      </c>
      <c r="T305" s="101">
        <f>IF(T$1="",0,операции!T380)</f>
        <v>55.87</v>
      </c>
      <c r="U305" s="101">
        <f>IF(U$1="",0,операции!U380)</f>
        <v>55.87</v>
      </c>
      <c r="V305" s="101">
        <f>IF(V$1="",0,операции!V380)</f>
        <v>55.87</v>
      </c>
      <c r="W305" s="101">
        <f>IF(W$1="",0,операции!W380)</f>
        <v>0</v>
      </c>
      <c r="X305" s="101">
        <f>IF(X$1="",0,операции!X380)</f>
        <v>0</v>
      </c>
      <c r="Y305" s="101">
        <f>IF(Y$1="",0,операции!Y380)</f>
        <v>0</v>
      </c>
      <c r="Z305" s="101">
        <f>IF(Z$1="",0,операции!Z380)</f>
        <v>0</v>
      </c>
      <c r="AA305" s="101">
        <f>IF(AA$1="",0,операции!AA380)</f>
        <v>0</v>
      </c>
      <c r="AB305" s="22"/>
    </row>
    <row r="306" spans="1:28" ht="3.9" customHeight="1" x14ac:dyDescent="0.25">
      <c r="A306" s="2"/>
      <c r="B306" s="2"/>
      <c r="C306" s="2"/>
      <c r="D306" s="2"/>
      <c r="E306" s="21"/>
      <c r="F306" s="2"/>
      <c r="G306" s="21"/>
      <c r="H306" s="2"/>
      <c r="I306" s="28"/>
      <c r="J306" s="21"/>
      <c r="K306" s="28"/>
      <c r="L306" s="2"/>
      <c r="M306" s="52"/>
      <c r="N306" s="2"/>
      <c r="O306" s="2"/>
      <c r="P306" s="36"/>
      <c r="Q306" s="36"/>
      <c r="R306" s="36"/>
      <c r="S306" s="36"/>
      <c r="T306" s="36"/>
      <c r="U306" s="36"/>
      <c r="V306" s="36"/>
      <c r="W306" s="36"/>
      <c r="X306" s="36"/>
      <c r="Y306" s="36"/>
      <c r="Z306" s="36"/>
      <c r="AA306" s="36"/>
      <c r="AB306" s="2"/>
    </row>
    <row r="307" spans="1:28" ht="8.1" customHeight="1" x14ac:dyDescent="0.25">
      <c r="A307" s="2"/>
      <c r="B307" s="2"/>
      <c r="C307" s="2"/>
      <c r="D307" s="2"/>
      <c r="E307" s="2"/>
      <c r="F307" s="2"/>
      <c r="G307" s="2"/>
      <c r="H307" s="2"/>
      <c r="I307" s="28"/>
      <c r="J307" s="2"/>
      <c r="K307" s="28"/>
      <c r="L307" s="2"/>
      <c r="M307" s="52"/>
      <c r="N307" s="2"/>
      <c r="O307" s="2"/>
      <c r="P307" s="36"/>
      <c r="Q307" s="36"/>
      <c r="R307" s="36"/>
      <c r="S307" s="36"/>
      <c r="T307" s="36"/>
      <c r="U307" s="36"/>
      <c r="V307" s="36"/>
      <c r="W307" s="36"/>
      <c r="X307" s="36"/>
      <c r="Y307" s="36"/>
      <c r="Z307" s="36"/>
      <c r="AA307" s="36"/>
      <c r="AB307" s="2"/>
    </row>
    <row r="308" spans="1:28" s="5" customFormat="1" x14ac:dyDescent="0.25">
      <c r="A308" s="3"/>
      <c r="B308" s="3"/>
      <c r="C308" s="3"/>
      <c r="D308" s="3"/>
      <c r="E308" s="3" t="str">
        <f>KPI!$E$61</f>
        <v>доля общехоз. расходов в доходах</v>
      </c>
      <c r="F308" s="3"/>
      <c r="G308" s="3" t="str">
        <f>IF($E308="","",INDEX(KPI!$G:$G,SUMIFS(KPI!$B:$B,KPI!$E:$E,$E308)))</f>
        <v>%</v>
      </c>
      <c r="H308" s="3"/>
      <c r="I308" s="6"/>
      <c r="J308" s="229">
        <f>операции!J383</f>
        <v>7.0000000000000007E-2</v>
      </c>
      <c r="K308" s="28"/>
      <c r="L308" s="2"/>
      <c r="M308" s="52"/>
      <c r="N308" s="3"/>
      <c r="O308" s="2"/>
      <c r="P308" s="36"/>
      <c r="Q308" s="36"/>
      <c r="R308" s="36"/>
      <c r="S308" s="36"/>
      <c r="T308" s="36"/>
      <c r="U308" s="36"/>
      <c r="V308" s="36"/>
      <c r="W308" s="36"/>
      <c r="X308" s="36"/>
      <c r="Y308" s="36"/>
      <c r="Z308" s="36"/>
      <c r="AA308" s="36"/>
      <c r="AB308" s="2"/>
    </row>
    <row r="309" spans="1:28" ht="3.9" customHeight="1" x14ac:dyDescent="0.25">
      <c r="A309" s="2"/>
      <c r="B309" s="2"/>
      <c r="C309" s="2"/>
      <c r="D309" s="2"/>
      <c r="E309" s="110"/>
      <c r="F309" s="2"/>
      <c r="G309" s="2"/>
      <c r="H309" s="2"/>
      <c r="I309" s="28"/>
      <c r="J309" s="2"/>
      <c r="K309" s="28"/>
      <c r="L309" s="2"/>
      <c r="M309" s="52"/>
      <c r="N309" s="2"/>
      <c r="O309" s="2"/>
      <c r="P309" s="36"/>
      <c r="Q309" s="36"/>
      <c r="R309" s="36"/>
      <c r="S309" s="36"/>
      <c r="T309" s="36"/>
      <c r="U309" s="36"/>
      <c r="V309" s="36"/>
      <c r="W309" s="36"/>
      <c r="X309" s="36"/>
      <c r="Y309" s="36"/>
      <c r="Z309" s="36"/>
      <c r="AA309" s="36"/>
      <c r="AB309" s="2"/>
    </row>
    <row r="310" spans="1:28" ht="8.1" customHeight="1" x14ac:dyDescent="0.25">
      <c r="A310" s="2"/>
      <c r="B310" s="2"/>
      <c r="C310" s="2"/>
      <c r="D310" s="2"/>
      <c r="E310" s="2"/>
      <c r="F310" s="2"/>
      <c r="G310" s="2"/>
      <c r="H310" s="2"/>
      <c r="I310" s="28"/>
      <c r="J310" s="2"/>
      <c r="K310" s="28"/>
      <c r="L310" s="2"/>
      <c r="M310" s="52"/>
      <c r="N310" s="2"/>
      <c r="O310" s="2"/>
      <c r="P310" s="36"/>
      <c r="Q310" s="36"/>
      <c r="R310" s="36"/>
      <c r="S310" s="36"/>
      <c r="T310" s="36"/>
      <c r="U310" s="36"/>
      <c r="V310" s="36"/>
      <c r="W310" s="36"/>
      <c r="X310" s="36"/>
      <c r="Y310" s="36"/>
      <c r="Z310" s="36"/>
      <c r="AA310" s="36"/>
      <c r="AB310" s="2"/>
    </row>
    <row r="311" spans="1:28" s="5" customFormat="1" x14ac:dyDescent="0.25">
      <c r="A311" s="3"/>
      <c r="B311" s="3"/>
      <c r="C311" s="3"/>
      <c r="D311" s="111"/>
      <c r="E311" s="3" t="str">
        <f>KPI!$E$62</f>
        <v>общехоз. расходы - начисление/оплата</v>
      </c>
      <c r="F311" s="3"/>
      <c r="G311" s="3" t="str">
        <f>IF($E311="","",INDEX(KPI!$G:$G,SUMIFS(KPI!$B:$B,KPI!$E:$E,$E311)))</f>
        <v>тыс.руб.</v>
      </c>
      <c r="H311" s="103"/>
      <c r="I311" s="28"/>
      <c r="J311" s="44"/>
      <c r="K311" s="28"/>
      <c r="L311" s="3"/>
      <c r="M311" s="55">
        <f>SUM($O311:$AB311)</f>
        <v>9676.0275769230757</v>
      </c>
      <c r="N311" s="3"/>
      <c r="O311" s="3"/>
      <c r="P311" s="46">
        <f>IF(P$1="",0,IF(P$1=0,SUMIFS(P312:P323,H312:H323,"&gt;="&amp;MONTH($J$13)),SUM(P312:P323)))</f>
        <v>1188.4979884615384</v>
      </c>
      <c r="Q311" s="46">
        <f t="shared" ref="Q311" si="62">IF(Q$1="",0,SUM(Q312:Q323))</f>
        <v>1232.8394884615384</v>
      </c>
      <c r="R311" s="46">
        <f t="shared" ref="R311:AA311" si="63">IF(R$1="",0,SUM(R312:R323))</f>
        <v>1301.4146923076923</v>
      </c>
      <c r="S311" s="46">
        <f t="shared" si="63"/>
        <v>1343.6932384615384</v>
      </c>
      <c r="T311" s="46">
        <f t="shared" si="63"/>
        <v>1410.2054884615386</v>
      </c>
      <c r="U311" s="46">
        <f t="shared" si="63"/>
        <v>1521.0592384615386</v>
      </c>
      <c r="V311" s="46">
        <f t="shared" si="63"/>
        <v>1678.3174423076923</v>
      </c>
      <c r="W311" s="46">
        <f t="shared" si="63"/>
        <v>0</v>
      </c>
      <c r="X311" s="46">
        <f t="shared" si="63"/>
        <v>0</v>
      </c>
      <c r="Y311" s="46">
        <f t="shared" si="63"/>
        <v>0</v>
      </c>
      <c r="Z311" s="46">
        <f t="shared" si="63"/>
        <v>0</v>
      </c>
      <c r="AA311" s="46">
        <f t="shared" si="63"/>
        <v>0</v>
      </c>
      <c r="AB311" s="3"/>
    </row>
    <row r="312" spans="1:28" s="23" customFormat="1" ht="10.199999999999999" x14ac:dyDescent="0.2">
      <c r="A312" s="22"/>
      <c r="B312" s="22"/>
      <c r="C312" s="22"/>
      <c r="D312" s="22"/>
      <c r="E312" s="22" t="str">
        <f>E311</f>
        <v>общехоз. расходы - начисление/оплата</v>
      </c>
      <c r="F312" s="22"/>
      <c r="G312" s="22" t="str">
        <f>IF($E312="","",INDEX(KPI!$G:$G,SUMIFS(KPI!$B:$B,KPI!$E:$E,$E312)))</f>
        <v>тыс.руб.</v>
      </c>
      <c r="H312" s="100">
        <f>структура!$V$12</f>
        <v>1</v>
      </c>
      <c r="I312" s="31"/>
      <c r="J312" s="98" t="str">
        <f>структура!$X$12</f>
        <v>янв</v>
      </c>
      <c r="K312" s="99"/>
      <c r="L312" s="22"/>
      <c r="M312" s="58"/>
      <c r="N312" s="22"/>
      <c r="O312" s="22"/>
      <c r="P312" s="101">
        <f t="shared" ref="P312:AA312" si="64">IF(P$1="",0,(P59+P138)*$J$308)</f>
        <v>76.527903846153848</v>
      </c>
      <c r="Q312" s="101">
        <f t="shared" si="64"/>
        <v>77.840403846153848</v>
      </c>
      <c r="R312" s="101">
        <f t="shared" si="64"/>
        <v>79.809153846153848</v>
      </c>
      <c r="S312" s="101">
        <f t="shared" si="64"/>
        <v>81.121653846153848</v>
      </c>
      <c r="T312" s="101">
        <f t="shared" si="64"/>
        <v>83.090403846153848</v>
      </c>
      <c r="U312" s="101">
        <f t="shared" si="64"/>
        <v>86.371653846153848</v>
      </c>
      <c r="V312" s="101">
        <f t="shared" si="64"/>
        <v>90.965403846153848</v>
      </c>
      <c r="W312" s="101">
        <f t="shared" si="64"/>
        <v>0</v>
      </c>
      <c r="X312" s="101">
        <f t="shared" si="64"/>
        <v>0</v>
      </c>
      <c r="Y312" s="101">
        <f t="shared" si="64"/>
        <v>0</v>
      </c>
      <c r="Z312" s="101">
        <f t="shared" si="64"/>
        <v>0</v>
      </c>
      <c r="AA312" s="101">
        <f t="shared" si="64"/>
        <v>0</v>
      </c>
      <c r="AB312" s="22"/>
    </row>
    <row r="313" spans="1:28" s="23" customFormat="1" ht="10.199999999999999" x14ac:dyDescent="0.2">
      <c r="A313" s="22"/>
      <c r="B313" s="22"/>
      <c r="C313" s="22"/>
      <c r="D313" s="22"/>
      <c r="E313" s="22" t="str">
        <f>E311</f>
        <v>общехоз. расходы - начисление/оплата</v>
      </c>
      <c r="F313" s="22"/>
      <c r="G313" s="22" t="str">
        <f>IF($E313="","",INDEX(KPI!$G:$G,SUMIFS(KPI!$B:$B,KPI!$E:$E,$E313)))</f>
        <v>тыс.руб.</v>
      </c>
      <c r="H313" s="100">
        <f>структура!$V$13</f>
        <v>2</v>
      </c>
      <c r="I313" s="31"/>
      <c r="J313" s="98" t="str">
        <f>структура!$X$13</f>
        <v>фев</v>
      </c>
      <c r="K313" s="99"/>
      <c r="L313" s="22"/>
      <c r="M313" s="58"/>
      <c r="N313" s="22"/>
      <c r="O313" s="22"/>
      <c r="P313" s="101">
        <f t="shared" ref="P313:AA313" si="65">IF(P$1="",0,(P60+P139)*$J$308)</f>
        <v>71.711661538461541</v>
      </c>
      <c r="Q313" s="101">
        <f t="shared" si="65"/>
        <v>73.447661538461531</v>
      </c>
      <c r="R313" s="101">
        <f t="shared" si="65"/>
        <v>78.114615384615391</v>
      </c>
      <c r="S313" s="101">
        <f t="shared" si="65"/>
        <v>77.787661538461535</v>
      </c>
      <c r="T313" s="101">
        <f t="shared" si="65"/>
        <v>80.391661538461534</v>
      </c>
      <c r="U313" s="101">
        <f t="shared" si="65"/>
        <v>84.731661538461537</v>
      </c>
      <c r="V313" s="101">
        <f t="shared" si="65"/>
        <v>92.870615384615391</v>
      </c>
      <c r="W313" s="101">
        <f t="shared" si="65"/>
        <v>0</v>
      </c>
      <c r="X313" s="101">
        <f t="shared" si="65"/>
        <v>0</v>
      </c>
      <c r="Y313" s="101">
        <f t="shared" si="65"/>
        <v>0</v>
      </c>
      <c r="Z313" s="101">
        <f t="shared" si="65"/>
        <v>0</v>
      </c>
      <c r="AA313" s="101">
        <f t="shared" si="65"/>
        <v>0</v>
      </c>
      <c r="AB313" s="22"/>
    </row>
    <row r="314" spans="1:28" s="23" customFormat="1" ht="10.199999999999999" x14ac:dyDescent="0.2">
      <c r="A314" s="22"/>
      <c r="B314" s="22"/>
      <c r="C314" s="22"/>
      <c r="D314" s="22"/>
      <c r="E314" s="22" t="str">
        <f>E311</f>
        <v>общехоз. расходы - начисление/оплата</v>
      </c>
      <c r="F314" s="22"/>
      <c r="G314" s="22" t="str">
        <f>IF($E314="","",INDEX(KPI!$G:$G,SUMIFS(KPI!$B:$B,KPI!$E:$E,$E314)))</f>
        <v>тыс.руб.</v>
      </c>
      <c r="H314" s="100">
        <f>структура!$V$14</f>
        <v>3</v>
      </c>
      <c r="I314" s="31"/>
      <c r="J314" s="98" t="str">
        <f>структура!$X$14</f>
        <v>мар</v>
      </c>
      <c r="K314" s="99"/>
      <c r="L314" s="22"/>
      <c r="M314" s="58"/>
      <c r="N314" s="22"/>
      <c r="O314" s="22"/>
      <c r="P314" s="101">
        <f t="shared" ref="P314:AA314" si="66">IF(P$1="",0,(P61+P140)*$J$308)</f>
        <v>82.959153846153853</v>
      </c>
      <c r="Q314" s="101">
        <f t="shared" si="66"/>
        <v>85.129153846153855</v>
      </c>
      <c r="R314" s="101">
        <f t="shared" si="66"/>
        <v>88.384153846153851</v>
      </c>
      <c r="S314" s="101">
        <f t="shared" si="66"/>
        <v>90.554153846153852</v>
      </c>
      <c r="T314" s="101">
        <f t="shared" si="66"/>
        <v>93.809153846153848</v>
      </c>
      <c r="U314" s="101">
        <f t="shared" si="66"/>
        <v>99.234153846153845</v>
      </c>
      <c r="V314" s="101">
        <f t="shared" si="66"/>
        <v>106.82915384615384</v>
      </c>
      <c r="W314" s="101">
        <f t="shared" si="66"/>
        <v>0</v>
      </c>
      <c r="X314" s="101">
        <f t="shared" si="66"/>
        <v>0</v>
      </c>
      <c r="Y314" s="101">
        <f t="shared" si="66"/>
        <v>0</v>
      </c>
      <c r="Z314" s="101">
        <f t="shared" si="66"/>
        <v>0</v>
      </c>
      <c r="AA314" s="101">
        <f t="shared" si="66"/>
        <v>0</v>
      </c>
      <c r="AB314" s="22"/>
    </row>
    <row r="315" spans="1:28" s="23" customFormat="1" ht="10.199999999999999" x14ac:dyDescent="0.2">
      <c r="A315" s="22"/>
      <c r="B315" s="22"/>
      <c r="C315" s="22"/>
      <c r="D315" s="22"/>
      <c r="E315" s="22" t="str">
        <f>E311</f>
        <v>общехоз. расходы - начисление/оплата</v>
      </c>
      <c r="F315" s="22"/>
      <c r="G315" s="22" t="str">
        <f>IF($E315="","",INDEX(KPI!$G:$G,SUMIFS(KPI!$B:$B,KPI!$E:$E,$E315)))</f>
        <v>тыс.руб.</v>
      </c>
      <c r="H315" s="100">
        <f>структура!$V$15</f>
        <v>4</v>
      </c>
      <c r="I315" s="31"/>
      <c r="J315" s="98" t="str">
        <f>структура!$X$15</f>
        <v>апр</v>
      </c>
      <c r="K315" s="99"/>
      <c r="L315" s="22"/>
      <c r="M315" s="58"/>
      <c r="N315" s="22"/>
      <c r="O315" s="22"/>
      <c r="P315" s="101">
        <f t="shared" ref="P315:AA315" si="67">IF(P$1="",0,(P62+P141)*$J$308)</f>
        <v>82.408199999999994</v>
      </c>
      <c r="Q315" s="101">
        <f t="shared" si="67"/>
        <v>84.578199999999995</v>
      </c>
      <c r="R315" s="101">
        <f t="shared" si="67"/>
        <v>87.833199999999991</v>
      </c>
      <c r="S315" s="101">
        <f t="shared" si="67"/>
        <v>90.003199999999993</v>
      </c>
      <c r="T315" s="101">
        <f t="shared" si="67"/>
        <v>93.258199999999988</v>
      </c>
      <c r="U315" s="101">
        <f t="shared" si="67"/>
        <v>98.683199999999999</v>
      </c>
      <c r="V315" s="101">
        <f t="shared" si="67"/>
        <v>106.2782</v>
      </c>
      <c r="W315" s="101">
        <f t="shared" si="67"/>
        <v>0</v>
      </c>
      <c r="X315" s="101">
        <f t="shared" si="67"/>
        <v>0</v>
      </c>
      <c r="Y315" s="101">
        <f t="shared" si="67"/>
        <v>0</v>
      </c>
      <c r="Z315" s="101">
        <f t="shared" si="67"/>
        <v>0</v>
      </c>
      <c r="AA315" s="101">
        <f t="shared" si="67"/>
        <v>0</v>
      </c>
      <c r="AB315" s="22"/>
    </row>
    <row r="316" spans="1:28" s="23" customFormat="1" ht="10.199999999999999" x14ac:dyDescent="0.2">
      <c r="A316" s="22"/>
      <c r="B316" s="22"/>
      <c r="C316" s="22"/>
      <c r="D316" s="22"/>
      <c r="E316" s="22" t="str">
        <f>E311</f>
        <v>общехоз. расходы - начисление/оплата</v>
      </c>
      <c r="F316" s="22"/>
      <c r="G316" s="22" t="str">
        <f>IF($E316="","",INDEX(KPI!$G:$G,SUMIFS(KPI!$B:$B,KPI!$E:$E,$E316)))</f>
        <v>тыс.руб.</v>
      </c>
      <c r="H316" s="100">
        <f>структура!$V$16</f>
        <v>5</v>
      </c>
      <c r="I316" s="31"/>
      <c r="J316" s="98" t="str">
        <f>структура!$X$16</f>
        <v>май</v>
      </c>
      <c r="K316" s="99"/>
      <c r="L316" s="22"/>
      <c r="M316" s="58"/>
      <c r="N316" s="22"/>
      <c r="O316" s="22"/>
      <c r="P316" s="101">
        <f t="shared" ref="P316:AA316" si="68">IF(P$1="",0,(P63+P142)*$J$308)</f>
        <v>120.94815384615386</v>
      </c>
      <c r="Q316" s="101">
        <f t="shared" si="68"/>
        <v>126.77215384615386</v>
      </c>
      <c r="R316" s="101">
        <f t="shared" si="68"/>
        <v>135.50815384615385</v>
      </c>
      <c r="S316" s="101">
        <f t="shared" si="68"/>
        <v>141.33215384615386</v>
      </c>
      <c r="T316" s="101">
        <f t="shared" si="68"/>
        <v>150.06815384615385</v>
      </c>
      <c r="U316" s="101">
        <f t="shared" si="68"/>
        <v>164.62815384615385</v>
      </c>
      <c r="V316" s="101">
        <f t="shared" si="68"/>
        <v>185.01215384615386</v>
      </c>
      <c r="W316" s="101">
        <f t="shared" si="68"/>
        <v>0</v>
      </c>
      <c r="X316" s="101">
        <f t="shared" si="68"/>
        <v>0</v>
      </c>
      <c r="Y316" s="101">
        <f t="shared" si="68"/>
        <v>0</v>
      </c>
      <c r="Z316" s="101">
        <f t="shared" si="68"/>
        <v>0</v>
      </c>
      <c r="AA316" s="101">
        <f t="shared" si="68"/>
        <v>0</v>
      </c>
      <c r="AB316" s="22"/>
    </row>
    <row r="317" spans="1:28" s="23" customFormat="1" ht="10.199999999999999" x14ac:dyDescent="0.2">
      <c r="A317" s="22"/>
      <c r="B317" s="22"/>
      <c r="C317" s="22"/>
      <c r="D317" s="22"/>
      <c r="E317" s="22" t="str">
        <f>E311</f>
        <v>общехоз. расходы - начисление/оплата</v>
      </c>
      <c r="F317" s="22"/>
      <c r="G317" s="22" t="str">
        <f>IF($E317="","",INDEX(KPI!$G:$G,SUMIFS(KPI!$B:$B,KPI!$E:$E,$E317)))</f>
        <v>тыс.руб.</v>
      </c>
      <c r="H317" s="100">
        <f>структура!$V$17</f>
        <v>6</v>
      </c>
      <c r="I317" s="31"/>
      <c r="J317" s="98" t="str">
        <f>структура!$X$17</f>
        <v>июн</v>
      </c>
      <c r="K317" s="99"/>
      <c r="L317" s="22"/>
      <c r="M317" s="58"/>
      <c r="N317" s="22"/>
      <c r="O317" s="22"/>
      <c r="P317" s="101">
        <f t="shared" ref="P317:AA317" si="69">IF(P$1="",0,(P64+P143)*$J$308)</f>
        <v>148.0752</v>
      </c>
      <c r="Q317" s="101">
        <f t="shared" si="69"/>
        <v>157.0352</v>
      </c>
      <c r="R317" s="101">
        <f t="shared" si="69"/>
        <v>170.4752</v>
      </c>
      <c r="S317" s="101">
        <f t="shared" si="69"/>
        <v>179.43519999999998</v>
      </c>
      <c r="T317" s="101">
        <f t="shared" si="69"/>
        <v>192.87520000000001</v>
      </c>
      <c r="U317" s="101">
        <f t="shared" si="69"/>
        <v>215.27519999999998</v>
      </c>
      <c r="V317" s="101">
        <f t="shared" si="69"/>
        <v>246.6352</v>
      </c>
      <c r="W317" s="101">
        <f t="shared" si="69"/>
        <v>0</v>
      </c>
      <c r="X317" s="101">
        <f t="shared" si="69"/>
        <v>0</v>
      </c>
      <c r="Y317" s="101">
        <f t="shared" si="69"/>
        <v>0</v>
      </c>
      <c r="Z317" s="101">
        <f t="shared" si="69"/>
        <v>0</v>
      </c>
      <c r="AA317" s="101">
        <f t="shared" si="69"/>
        <v>0</v>
      </c>
      <c r="AB317" s="22"/>
    </row>
    <row r="318" spans="1:28" s="23" customFormat="1" ht="10.199999999999999" x14ac:dyDescent="0.2">
      <c r="A318" s="22"/>
      <c r="B318" s="22"/>
      <c r="C318" s="22"/>
      <c r="D318" s="22"/>
      <c r="E318" s="22" t="str">
        <f>E311</f>
        <v>общехоз. расходы - начисление/оплата</v>
      </c>
      <c r="F318" s="22"/>
      <c r="G318" s="22" t="str">
        <f>IF($E318="","",INDEX(KPI!$G:$G,SUMIFS(KPI!$B:$B,KPI!$E:$E,$E318)))</f>
        <v>тыс.руб.</v>
      </c>
      <c r="H318" s="100">
        <f>структура!$V$18</f>
        <v>7</v>
      </c>
      <c r="I318" s="31"/>
      <c r="J318" s="98" t="str">
        <f>структура!$X$18</f>
        <v>июл</v>
      </c>
      <c r="K318" s="99"/>
      <c r="L318" s="22"/>
      <c r="M318" s="58"/>
      <c r="N318" s="22"/>
      <c r="O318" s="22"/>
      <c r="P318" s="101">
        <f t="shared" ref="P318:AA318" si="70">IF(P$1="",0,(P65+P144)*$J$308)</f>
        <v>133.86735384615386</v>
      </c>
      <c r="Q318" s="101">
        <f t="shared" si="70"/>
        <v>140.58735384615386</v>
      </c>
      <c r="R318" s="101">
        <f t="shared" si="70"/>
        <v>150.66735384615387</v>
      </c>
      <c r="S318" s="101">
        <f t="shared" si="70"/>
        <v>157.38735384615387</v>
      </c>
      <c r="T318" s="101">
        <f t="shared" si="70"/>
        <v>167.46735384615388</v>
      </c>
      <c r="U318" s="101">
        <f t="shared" si="70"/>
        <v>184.26735384615387</v>
      </c>
      <c r="V318" s="101">
        <f t="shared" si="70"/>
        <v>207.78735384615388</v>
      </c>
      <c r="W318" s="101">
        <f t="shared" si="70"/>
        <v>0</v>
      </c>
      <c r="X318" s="101">
        <f t="shared" si="70"/>
        <v>0</v>
      </c>
      <c r="Y318" s="101">
        <f t="shared" si="70"/>
        <v>0</v>
      </c>
      <c r="Z318" s="101">
        <f t="shared" si="70"/>
        <v>0</v>
      </c>
      <c r="AA318" s="101">
        <f t="shared" si="70"/>
        <v>0</v>
      </c>
      <c r="AB318" s="22"/>
    </row>
    <row r="319" spans="1:28" s="23" customFormat="1" ht="10.199999999999999" x14ac:dyDescent="0.2">
      <c r="A319" s="22"/>
      <c r="B319" s="22"/>
      <c r="C319" s="22"/>
      <c r="D319" s="22"/>
      <c r="E319" s="22" t="str">
        <f>E311</f>
        <v>общехоз. расходы - начисление/оплата</v>
      </c>
      <c r="F319" s="22"/>
      <c r="G319" s="22" t="str">
        <f>IF($E319="","",INDEX(KPI!$G:$G,SUMIFS(KPI!$B:$B,KPI!$E:$E,$E319)))</f>
        <v>тыс.руб.</v>
      </c>
      <c r="H319" s="100">
        <f>структура!$V$19</f>
        <v>8</v>
      </c>
      <c r="I319" s="31"/>
      <c r="J319" s="98" t="str">
        <f>структура!$X$19</f>
        <v>авг</v>
      </c>
      <c r="K319" s="99"/>
      <c r="L319" s="22"/>
      <c r="M319" s="58"/>
      <c r="N319" s="22"/>
      <c r="O319" s="22"/>
      <c r="P319" s="101">
        <f t="shared" ref="P319:AA319" si="71">IF(P$1="",0,(P66+P145)*$J$308)</f>
        <v>127.14735384615385</v>
      </c>
      <c r="Q319" s="101">
        <f t="shared" si="71"/>
        <v>132.97135384615385</v>
      </c>
      <c r="R319" s="101">
        <f t="shared" si="71"/>
        <v>141.70735384615386</v>
      </c>
      <c r="S319" s="101">
        <f t="shared" si="71"/>
        <v>147.53135384615385</v>
      </c>
      <c r="T319" s="101">
        <f t="shared" si="71"/>
        <v>156.26735384615387</v>
      </c>
      <c r="U319" s="101">
        <f t="shared" si="71"/>
        <v>170.82735384615387</v>
      </c>
      <c r="V319" s="101">
        <f t="shared" si="71"/>
        <v>191.21135384615386</v>
      </c>
      <c r="W319" s="101">
        <f t="shared" si="71"/>
        <v>0</v>
      </c>
      <c r="X319" s="101">
        <f t="shared" si="71"/>
        <v>0</v>
      </c>
      <c r="Y319" s="101">
        <f t="shared" si="71"/>
        <v>0</v>
      </c>
      <c r="Z319" s="101">
        <f t="shared" si="71"/>
        <v>0</v>
      </c>
      <c r="AA319" s="101">
        <f t="shared" si="71"/>
        <v>0</v>
      </c>
      <c r="AB319" s="22"/>
    </row>
    <row r="320" spans="1:28" s="23" customFormat="1" ht="10.199999999999999" x14ac:dyDescent="0.2">
      <c r="A320" s="22"/>
      <c r="B320" s="22"/>
      <c r="C320" s="22"/>
      <c r="D320" s="22"/>
      <c r="E320" s="22" t="str">
        <f>E311</f>
        <v>общехоз. расходы - начисление/оплата</v>
      </c>
      <c r="F320" s="22"/>
      <c r="G320" s="22" t="str">
        <f>IF($E320="","",INDEX(KPI!$G:$G,SUMIFS(KPI!$B:$B,KPI!$E:$E,$E320)))</f>
        <v>тыс.руб.</v>
      </c>
      <c r="H320" s="100">
        <f>структура!$V$20</f>
        <v>9</v>
      </c>
      <c r="I320" s="31"/>
      <c r="J320" s="98" t="str">
        <f>структура!$X$20</f>
        <v>сен</v>
      </c>
      <c r="K320" s="99"/>
      <c r="L320" s="22"/>
      <c r="M320" s="58"/>
      <c r="N320" s="22"/>
      <c r="O320" s="22"/>
      <c r="P320" s="101">
        <f t="shared" ref="P320:AA320" si="72">IF(P$1="",0,(P67+P146)*$J$308)</f>
        <v>86.546250000000015</v>
      </c>
      <c r="Q320" s="101">
        <f t="shared" si="72"/>
        <v>88.733750000000015</v>
      </c>
      <c r="R320" s="101">
        <f t="shared" si="72"/>
        <v>92.015000000000015</v>
      </c>
      <c r="S320" s="101">
        <f t="shared" si="72"/>
        <v>94.202500000000015</v>
      </c>
      <c r="T320" s="101">
        <f t="shared" si="72"/>
        <v>97.483750000000015</v>
      </c>
      <c r="U320" s="101">
        <f t="shared" si="72"/>
        <v>102.95250000000001</v>
      </c>
      <c r="V320" s="101">
        <f t="shared" si="72"/>
        <v>110.60875000000001</v>
      </c>
      <c r="W320" s="101">
        <f t="shared" si="72"/>
        <v>0</v>
      </c>
      <c r="X320" s="101">
        <f t="shared" si="72"/>
        <v>0</v>
      </c>
      <c r="Y320" s="101">
        <f t="shared" si="72"/>
        <v>0</v>
      </c>
      <c r="Z320" s="101">
        <f t="shared" si="72"/>
        <v>0</v>
      </c>
      <c r="AA320" s="101">
        <f t="shared" si="72"/>
        <v>0</v>
      </c>
      <c r="AB320" s="22"/>
    </row>
    <row r="321" spans="1:28" s="23" customFormat="1" ht="10.199999999999999" x14ac:dyDescent="0.2">
      <c r="A321" s="22"/>
      <c r="B321" s="22"/>
      <c r="C321" s="22"/>
      <c r="D321" s="22"/>
      <c r="E321" s="22" t="str">
        <f>E311</f>
        <v>общехоз. расходы - начисление/оплата</v>
      </c>
      <c r="F321" s="22"/>
      <c r="G321" s="22" t="str">
        <f>IF($E321="","",INDEX(KPI!$G:$G,SUMIFS(KPI!$B:$B,KPI!$E:$E,$E321)))</f>
        <v>тыс.руб.</v>
      </c>
      <c r="H321" s="100">
        <f>структура!$V$21</f>
        <v>10</v>
      </c>
      <c r="I321" s="31"/>
      <c r="J321" s="98" t="str">
        <f>структура!$X$21</f>
        <v>окт</v>
      </c>
      <c r="K321" s="99"/>
      <c r="L321" s="22"/>
      <c r="M321" s="58"/>
      <c r="N321" s="22"/>
      <c r="O321" s="22"/>
      <c r="P321" s="101">
        <f t="shared" ref="P321:AA321" si="73">IF(P$1="",0,(P68+P147)*$J$308)</f>
        <v>92.676903846153849</v>
      </c>
      <c r="Q321" s="101">
        <f t="shared" si="73"/>
        <v>95.739403846153849</v>
      </c>
      <c r="R321" s="101">
        <f t="shared" si="73"/>
        <v>100.33315384615385</v>
      </c>
      <c r="S321" s="101">
        <f t="shared" si="73"/>
        <v>103.39565384615385</v>
      </c>
      <c r="T321" s="101">
        <f t="shared" si="73"/>
        <v>107.98940384615385</v>
      </c>
      <c r="U321" s="101">
        <f t="shared" si="73"/>
        <v>115.64565384615385</v>
      </c>
      <c r="V321" s="101">
        <f t="shared" si="73"/>
        <v>126.36440384615385</v>
      </c>
      <c r="W321" s="101">
        <f t="shared" si="73"/>
        <v>0</v>
      </c>
      <c r="X321" s="101">
        <f t="shared" si="73"/>
        <v>0</v>
      </c>
      <c r="Y321" s="101">
        <f t="shared" si="73"/>
        <v>0</v>
      </c>
      <c r="Z321" s="101">
        <f t="shared" si="73"/>
        <v>0</v>
      </c>
      <c r="AA321" s="101">
        <f t="shared" si="73"/>
        <v>0</v>
      </c>
      <c r="AB321" s="22"/>
    </row>
    <row r="322" spans="1:28" s="23" customFormat="1" ht="10.199999999999999" x14ac:dyDescent="0.2">
      <c r="A322" s="22"/>
      <c r="B322" s="22"/>
      <c r="C322" s="22"/>
      <c r="D322" s="22"/>
      <c r="E322" s="22" t="str">
        <f>E311</f>
        <v>общехоз. расходы - начисление/оплата</v>
      </c>
      <c r="F322" s="22"/>
      <c r="G322" s="22" t="str">
        <f>IF($E322="","",INDEX(KPI!$G:$G,SUMIFS(KPI!$B:$B,KPI!$E:$E,$E322)))</f>
        <v>тыс.руб.</v>
      </c>
      <c r="H322" s="100">
        <f>структура!$V$22</f>
        <v>11</v>
      </c>
      <c r="I322" s="31"/>
      <c r="J322" s="98" t="str">
        <f>структура!$X$22</f>
        <v>ноя</v>
      </c>
      <c r="K322" s="99"/>
      <c r="L322" s="22"/>
      <c r="M322" s="58"/>
      <c r="N322" s="22"/>
      <c r="O322" s="22"/>
      <c r="P322" s="101">
        <f t="shared" ref="P322:AA322" si="74">IF(P$1="",0,(P69+P148)*$J$308)</f>
        <v>80.896199999999993</v>
      </c>
      <c r="Q322" s="101">
        <f t="shared" si="74"/>
        <v>83.066199999999995</v>
      </c>
      <c r="R322" s="101">
        <f t="shared" si="74"/>
        <v>86.321200000000005</v>
      </c>
      <c r="S322" s="101">
        <f t="shared" si="74"/>
        <v>88.491199999999992</v>
      </c>
      <c r="T322" s="101">
        <f t="shared" si="74"/>
        <v>91.746200000000002</v>
      </c>
      <c r="U322" s="101">
        <f t="shared" si="74"/>
        <v>97.171199999999999</v>
      </c>
      <c r="V322" s="101">
        <f t="shared" si="74"/>
        <v>104.7662</v>
      </c>
      <c r="W322" s="101">
        <f t="shared" si="74"/>
        <v>0</v>
      </c>
      <c r="X322" s="101">
        <f t="shared" si="74"/>
        <v>0</v>
      </c>
      <c r="Y322" s="101">
        <f t="shared" si="74"/>
        <v>0</v>
      </c>
      <c r="Z322" s="101">
        <f t="shared" si="74"/>
        <v>0</v>
      </c>
      <c r="AA322" s="101">
        <f t="shared" si="74"/>
        <v>0</v>
      </c>
      <c r="AB322" s="22"/>
    </row>
    <row r="323" spans="1:28" s="23" customFormat="1" ht="10.199999999999999" x14ac:dyDescent="0.2">
      <c r="A323" s="22"/>
      <c r="B323" s="22"/>
      <c r="C323" s="22"/>
      <c r="D323" s="22"/>
      <c r="E323" s="22" t="str">
        <f>E311</f>
        <v>общехоз. расходы - начисление/оплата</v>
      </c>
      <c r="F323" s="22"/>
      <c r="G323" s="22" t="str">
        <f>IF($E323="","",INDEX(KPI!$G:$G,SUMIFS(KPI!$B:$B,KPI!$E:$E,$E323)))</f>
        <v>тыс.руб.</v>
      </c>
      <c r="H323" s="100">
        <f>структура!$V$23</f>
        <v>12</v>
      </c>
      <c r="I323" s="31"/>
      <c r="J323" s="98" t="str">
        <f>структура!$X$23</f>
        <v>дек</v>
      </c>
      <c r="K323" s="99"/>
      <c r="L323" s="22"/>
      <c r="M323" s="58"/>
      <c r="N323" s="22"/>
      <c r="O323" s="22"/>
      <c r="P323" s="101">
        <f t="shared" ref="P323:AA323" si="75">IF(P$1="",0,(P70+P149)*$J$308)</f>
        <v>84.7336538461538</v>
      </c>
      <c r="Q323" s="101">
        <f t="shared" si="75"/>
        <v>86.938653846153784</v>
      </c>
      <c r="R323" s="101">
        <f t="shared" si="75"/>
        <v>90.246153846153774</v>
      </c>
      <c r="S323" s="101">
        <f t="shared" si="75"/>
        <v>92.451153846153758</v>
      </c>
      <c r="T323" s="101">
        <f t="shared" si="75"/>
        <v>95.758653846153749</v>
      </c>
      <c r="U323" s="101">
        <f t="shared" si="75"/>
        <v>101.27115384615374</v>
      </c>
      <c r="V323" s="101">
        <f t="shared" si="75"/>
        <v>108.98865384615371</v>
      </c>
      <c r="W323" s="101">
        <f t="shared" si="75"/>
        <v>0</v>
      </c>
      <c r="X323" s="101">
        <f t="shared" si="75"/>
        <v>0</v>
      </c>
      <c r="Y323" s="101">
        <f t="shared" si="75"/>
        <v>0</v>
      </c>
      <c r="Z323" s="101">
        <f t="shared" si="75"/>
        <v>0</v>
      </c>
      <c r="AA323" s="101">
        <f t="shared" si="75"/>
        <v>0</v>
      </c>
      <c r="AB323" s="22"/>
    </row>
    <row r="324" spans="1:28" ht="3.9" customHeight="1" x14ac:dyDescent="0.25">
      <c r="A324" s="2"/>
      <c r="B324" s="2"/>
      <c r="C324" s="2"/>
      <c r="D324" s="2"/>
      <c r="E324" s="21"/>
      <c r="F324" s="2"/>
      <c r="G324" s="21"/>
      <c r="H324" s="2"/>
      <c r="I324" s="28"/>
      <c r="J324" s="21"/>
      <c r="K324" s="28"/>
      <c r="L324" s="2"/>
      <c r="M324" s="52"/>
      <c r="N324" s="2"/>
      <c r="O324" s="2"/>
      <c r="P324" s="36"/>
      <c r="Q324" s="36"/>
      <c r="R324" s="36"/>
      <c r="S324" s="36"/>
      <c r="T324" s="36"/>
      <c r="U324" s="36"/>
      <c r="V324" s="36"/>
      <c r="W324" s="36"/>
      <c r="X324" s="36"/>
      <c r="Y324" s="36"/>
      <c r="Z324" s="36"/>
      <c r="AA324" s="36"/>
      <c r="AB324" s="2"/>
    </row>
    <row r="325" spans="1:28" ht="8.1" customHeight="1" x14ac:dyDescent="0.25">
      <c r="A325" s="2"/>
      <c r="B325" s="2"/>
      <c r="C325" s="2"/>
      <c r="D325" s="2"/>
      <c r="E325" s="2"/>
      <c r="F325" s="2"/>
      <c r="G325" s="2"/>
      <c r="H325" s="2"/>
      <c r="I325" s="28"/>
      <c r="J325" s="2"/>
      <c r="K325" s="28"/>
      <c r="L325" s="2"/>
      <c r="M325" s="52"/>
      <c r="N325" s="2"/>
      <c r="O325" s="2"/>
      <c r="P325" s="36"/>
      <c r="Q325" s="36"/>
      <c r="R325" s="36"/>
      <c r="S325" s="36"/>
      <c r="T325" s="36"/>
      <c r="U325" s="36"/>
      <c r="V325" s="36"/>
      <c r="W325" s="36"/>
      <c r="X325" s="36"/>
      <c r="Y325" s="36"/>
      <c r="Z325" s="36"/>
      <c r="AA325" s="36"/>
      <c r="AB325" s="2"/>
    </row>
    <row r="326" spans="1:28" s="5" customFormat="1" x14ac:dyDescent="0.25">
      <c r="A326" s="3"/>
      <c r="B326" s="3"/>
      <c r="C326" s="3"/>
      <c r="D326" s="3"/>
      <c r="E326" s="3" t="str">
        <f>KPI!$E$63</f>
        <v>доля непредв. расходов в доходах</v>
      </c>
      <c r="F326" s="3"/>
      <c r="G326" s="3" t="str">
        <f>IF($E326="","",INDEX(KPI!$G:$G,SUMIFS(KPI!$B:$B,KPI!$E:$E,$E326)))</f>
        <v>%</v>
      </c>
      <c r="H326" s="3"/>
      <c r="I326" s="6"/>
      <c r="J326" s="229">
        <f>операции!J401</f>
        <v>0.03</v>
      </c>
      <c r="K326" s="28"/>
      <c r="L326" s="2"/>
      <c r="M326" s="52"/>
      <c r="N326" s="3"/>
      <c r="O326" s="2"/>
      <c r="P326" s="36"/>
      <c r="Q326" s="36"/>
      <c r="R326" s="36"/>
      <c r="S326" s="36"/>
      <c r="T326" s="36"/>
      <c r="U326" s="36"/>
      <c r="V326" s="36"/>
      <c r="W326" s="36"/>
      <c r="X326" s="36"/>
      <c r="Y326" s="36"/>
      <c r="Z326" s="36"/>
      <c r="AA326" s="36"/>
      <c r="AB326" s="2"/>
    </row>
    <row r="327" spans="1:28" ht="3.9" customHeight="1" x14ac:dyDescent="0.25">
      <c r="A327" s="2"/>
      <c r="B327" s="2"/>
      <c r="C327" s="2"/>
      <c r="D327" s="2"/>
      <c r="E327" s="110"/>
      <c r="F327" s="2"/>
      <c r="G327" s="2"/>
      <c r="H327" s="2"/>
      <c r="I327" s="28"/>
      <c r="J327" s="2"/>
      <c r="K327" s="28"/>
      <c r="L327" s="2"/>
      <c r="M327" s="52"/>
      <c r="N327" s="2"/>
      <c r="O327" s="2"/>
      <c r="P327" s="36"/>
      <c r="Q327" s="36"/>
      <c r="R327" s="36"/>
      <c r="S327" s="36"/>
      <c r="T327" s="36"/>
      <c r="U327" s="36"/>
      <c r="V327" s="36"/>
      <c r="W327" s="36"/>
      <c r="X327" s="36"/>
      <c r="Y327" s="36"/>
      <c r="Z327" s="36"/>
      <c r="AA327" s="36"/>
      <c r="AB327" s="2"/>
    </row>
    <row r="328" spans="1:28" ht="8.1" customHeight="1" x14ac:dyDescent="0.25">
      <c r="A328" s="2"/>
      <c r="B328" s="2"/>
      <c r="C328" s="2"/>
      <c r="D328" s="2"/>
      <c r="E328" s="2"/>
      <c r="F328" s="2"/>
      <c r="G328" s="2"/>
      <c r="H328" s="2"/>
      <c r="I328" s="28"/>
      <c r="J328" s="2"/>
      <c r="K328" s="28"/>
      <c r="L328" s="2"/>
      <c r="M328" s="52"/>
      <c r="N328" s="2"/>
      <c r="O328" s="2"/>
      <c r="P328" s="36"/>
      <c r="Q328" s="36"/>
      <c r="R328" s="36"/>
      <c r="S328" s="36"/>
      <c r="T328" s="36"/>
      <c r="U328" s="36"/>
      <c r="V328" s="36"/>
      <c r="W328" s="36"/>
      <c r="X328" s="36"/>
      <c r="Y328" s="36"/>
      <c r="Z328" s="36"/>
      <c r="AA328" s="36"/>
      <c r="AB328" s="2"/>
    </row>
    <row r="329" spans="1:28" s="5" customFormat="1" x14ac:dyDescent="0.25">
      <c r="A329" s="3"/>
      <c r="B329" s="3"/>
      <c r="C329" s="3"/>
      <c r="D329" s="111"/>
      <c r="E329" s="3" t="str">
        <f>KPI!$E$64</f>
        <v>непредв. расходы - начисление/оплата</v>
      </c>
      <c r="F329" s="3"/>
      <c r="G329" s="3" t="str">
        <f>IF($E329="","",INDEX(KPI!$G:$G,SUMIFS(KPI!$B:$B,KPI!$E:$E,$E329)))</f>
        <v>тыс.руб.</v>
      </c>
      <c r="H329" s="103"/>
      <c r="I329" s="28"/>
      <c r="J329" s="44"/>
      <c r="K329" s="28"/>
      <c r="L329" s="3"/>
      <c r="M329" s="55">
        <f>SUM($O329:$AB329)</f>
        <v>4146.8689615384601</v>
      </c>
      <c r="N329" s="3"/>
      <c r="O329" s="3"/>
      <c r="P329" s="46">
        <f>IF(P$1="",0,IF(P$1=0,SUMIFS(P330:P341,H330:H341,"&gt;="&amp;MONTH($J$13)),SUM(P330:P341)))</f>
        <v>509.35628076923069</v>
      </c>
      <c r="Q329" s="46">
        <f t="shared" ref="Q329" si="76">IF(Q$1="",0,SUM(Q330:Q341))</f>
        <v>528.35978076923084</v>
      </c>
      <c r="R329" s="46">
        <f t="shared" ref="R329:AA329" si="77">IF(R$1="",0,SUM(R330:R341))</f>
        <v>557.74915384615372</v>
      </c>
      <c r="S329" s="46">
        <f t="shared" si="77"/>
        <v>575.86853076923069</v>
      </c>
      <c r="T329" s="46">
        <f t="shared" si="77"/>
        <v>604.37378076923073</v>
      </c>
      <c r="U329" s="46">
        <f t="shared" si="77"/>
        <v>651.8825307692307</v>
      </c>
      <c r="V329" s="46">
        <f t="shared" si="77"/>
        <v>719.27890384615364</v>
      </c>
      <c r="W329" s="46">
        <f t="shared" si="77"/>
        <v>0</v>
      </c>
      <c r="X329" s="46">
        <f t="shared" si="77"/>
        <v>0</v>
      </c>
      <c r="Y329" s="46">
        <f t="shared" si="77"/>
        <v>0</v>
      </c>
      <c r="Z329" s="46">
        <f t="shared" si="77"/>
        <v>0</v>
      </c>
      <c r="AA329" s="46">
        <f t="shared" si="77"/>
        <v>0</v>
      </c>
      <c r="AB329" s="3"/>
    </row>
    <row r="330" spans="1:28" s="23" customFormat="1" ht="10.199999999999999" x14ac:dyDescent="0.2">
      <c r="A330" s="22"/>
      <c r="B330" s="22"/>
      <c r="C330" s="22"/>
      <c r="D330" s="22"/>
      <c r="E330" s="22" t="str">
        <f>E329</f>
        <v>непредв. расходы - начисление/оплата</v>
      </c>
      <c r="F330" s="22"/>
      <c r="G330" s="22" t="str">
        <f>IF($E330="","",INDEX(KPI!$G:$G,SUMIFS(KPI!$B:$B,KPI!$E:$E,$E330)))</f>
        <v>тыс.руб.</v>
      </c>
      <c r="H330" s="100">
        <f>структура!$V$12</f>
        <v>1</v>
      </c>
      <c r="I330" s="31"/>
      <c r="J330" s="98" t="str">
        <f>структура!$X$12</f>
        <v>янв</v>
      </c>
      <c r="K330" s="99"/>
      <c r="L330" s="22"/>
      <c r="M330" s="58"/>
      <c r="N330" s="22"/>
      <c r="O330" s="22"/>
      <c r="P330" s="101">
        <f t="shared" ref="P330:AA330" si="78">IF(P$1="",0,(P59+P138)*$J$326)</f>
        <v>32.797673076923076</v>
      </c>
      <c r="Q330" s="101">
        <f t="shared" si="78"/>
        <v>33.360173076923076</v>
      </c>
      <c r="R330" s="101">
        <f t="shared" si="78"/>
        <v>34.203923076923076</v>
      </c>
      <c r="S330" s="101">
        <f t="shared" si="78"/>
        <v>34.766423076923076</v>
      </c>
      <c r="T330" s="101">
        <f t="shared" si="78"/>
        <v>35.610173076923076</v>
      </c>
      <c r="U330" s="101">
        <f t="shared" si="78"/>
        <v>37.016423076923076</v>
      </c>
      <c r="V330" s="101">
        <f t="shared" si="78"/>
        <v>38.985173076923076</v>
      </c>
      <c r="W330" s="101">
        <f t="shared" si="78"/>
        <v>0</v>
      </c>
      <c r="X330" s="101">
        <f t="shared" si="78"/>
        <v>0</v>
      </c>
      <c r="Y330" s="101">
        <f t="shared" si="78"/>
        <v>0</v>
      </c>
      <c r="Z330" s="101">
        <f t="shared" si="78"/>
        <v>0</v>
      </c>
      <c r="AA330" s="101">
        <f t="shared" si="78"/>
        <v>0</v>
      </c>
      <c r="AB330" s="22"/>
    </row>
    <row r="331" spans="1:28" s="23" customFormat="1" ht="10.199999999999999" x14ac:dyDescent="0.2">
      <c r="A331" s="22"/>
      <c r="B331" s="22"/>
      <c r="C331" s="22"/>
      <c r="D331" s="22"/>
      <c r="E331" s="22" t="str">
        <f>E329</f>
        <v>непредв. расходы - начисление/оплата</v>
      </c>
      <c r="F331" s="22"/>
      <c r="G331" s="22" t="str">
        <f>IF($E331="","",INDEX(KPI!$G:$G,SUMIFS(KPI!$B:$B,KPI!$E:$E,$E331)))</f>
        <v>тыс.руб.</v>
      </c>
      <c r="H331" s="100">
        <f>структура!$V$13</f>
        <v>2</v>
      </c>
      <c r="I331" s="31"/>
      <c r="J331" s="98" t="str">
        <f>структура!$X$13</f>
        <v>фев</v>
      </c>
      <c r="K331" s="99"/>
      <c r="L331" s="22"/>
      <c r="M331" s="58"/>
      <c r="N331" s="22"/>
      <c r="O331" s="22"/>
      <c r="P331" s="101">
        <f t="shared" ref="P331:AA331" si="79">IF(P$1="",0,(P60+P139)*$J$326)</f>
        <v>30.733569230769227</v>
      </c>
      <c r="Q331" s="101">
        <f t="shared" si="79"/>
        <v>31.477569230769227</v>
      </c>
      <c r="R331" s="101">
        <f t="shared" si="79"/>
        <v>33.477692307692308</v>
      </c>
      <c r="S331" s="101">
        <f t="shared" si="79"/>
        <v>33.337569230769226</v>
      </c>
      <c r="T331" s="101">
        <f t="shared" si="79"/>
        <v>34.453569230769226</v>
      </c>
      <c r="U331" s="101">
        <f t="shared" si="79"/>
        <v>36.313569230769225</v>
      </c>
      <c r="V331" s="101">
        <f t="shared" si="79"/>
        <v>39.801692307692306</v>
      </c>
      <c r="W331" s="101">
        <f t="shared" si="79"/>
        <v>0</v>
      </c>
      <c r="X331" s="101">
        <f t="shared" si="79"/>
        <v>0</v>
      </c>
      <c r="Y331" s="101">
        <f t="shared" si="79"/>
        <v>0</v>
      </c>
      <c r="Z331" s="101">
        <f t="shared" si="79"/>
        <v>0</v>
      </c>
      <c r="AA331" s="101">
        <f t="shared" si="79"/>
        <v>0</v>
      </c>
      <c r="AB331" s="22"/>
    </row>
    <row r="332" spans="1:28" s="23" customFormat="1" ht="10.199999999999999" x14ac:dyDescent="0.2">
      <c r="A332" s="22"/>
      <c r="B332" s="22"/>
      <c r="C332" s="22"/>
      <c r="D332" s="22"/>
      <c r="E332" s="22" t="str">
        <f>E329</f>
        <v>непредв. расходы - начисление/оплата</v>
      </c>
      <c r="F332" s="22"/>
      <c r="G332" s="22" t="str">
        <f>IF($E332="","",INDEX(KPI!$G:$G,SUMIFS(KPI!$B:$B,KPI!$E:$E,$E332)))</f>
        <v>тыс.руб.</v>
      </c>
      <c r="H332" s="100">
        <f>структура!$V$14</f>
        <v>3</v>
      </c>
      <c r="I332" s="31"/>
      <c r="J332" s="98" t="str">
        <f>структура!$X$14</f>
        <v>мар</v>
      </c>
      <c r="K332" s="99"/>
      <c r="L332" s="22"/>
      <c r="M332" s="58"/>
      <c r="N332" s="22"/>
      <c r="O332" s="22"/>
      <c r="P332" s="101">
        <f t="shared" ref="P332:AA332" si="80">IF(P$1="",0,(P61+P140)*$J$326)</f>
        <v>35.55392307692307</v>
      </c>
      <c r="Q332" s="101">
        <f t="shared" si="80"/>
        <v>36.48392307692307</v>
      </c>
      <c r="R332" s="101">
        <f t="shared" si="80"/>
        <v>37.878923076923073</v>
      </c>
      <c r="S332" s="101">
        <f t="shared" si="80"/>
        <v>38.808923076923072</v>
      </c>
      <c r="T332" s="101">
        <f t="shared" si="80"/>
        <v>40.203923076923076</v>
      </c>
      <c r="U332" s="101">
        <f t="shared" si="80"/>
        <v>42.528923076923071</v>
      </c>
      <c r="V332" s="101">
        <f t="shared" si="80"/>
        <v>45.783923076923074</v>
      </c>
      <c r="W332" s="101">
        <f t="shared" si="80"/>
        <v>0</v>
      </c>
      <c r="X332" s="101">
        <f t="shared" si="80"/>
        <v>0</v>
      </c>
      <c r="Y332" s="101">
        <f t="shared" si="80"/>
        <v>0</v>
      </c>
      <c r="Z332" s="101">
        <f t="shared" si="80"/>
        <v>0</v>
      </c>
      <c r="AA332" s="101">
        <f t="shared" si="80"/>
        <v>0</v>
      </c>
      <c r="AB332" s="22"/>
    </row>
    <row r="333" spans="1:28" s="23" customFormat="1" ht="10.199999999999999" x14ac:dyDescent="0.2">
      <c r="A333" s="22"/>
      <c r="B333" s="22"/>
      <c r="C333" s="22"/>
      <c r="D333" s="22"/>
      <c r="E333" s="22" t="str">
        <f>E329</f>
        <v>непредв. расходы - начисление/оплата</v>
      </c>
      <c r="F333" s="22"/>
      <c r="G333" s="22" t="str">
        <f>IF($E333="","",INDEX(KPI!$G:$G,SUMIFS(KPI!$B:$B,KPI!$E:$E,$E333)))</f>
        <v>тыс.руб.</v>
      </c>
      <c r="H333" s="100">
        <f>структура!$V$15</f>
        <v>4</v>
      </c>
      <c r="I333" s="31"/>
      <c r="J333" s="98" t="str">
        <f>структура!$X$15</f>
        <v>апр</v>
      </c>
      <c r="K333" s="99"/>
      <c r="L333" s="22"/>
      <c r="M333" s="58"/>
      <c r="N333" s="22"/>
      <c r="O333" s="22"/>
      <c r="P333" s="101">
        <f t="shared" ref="P333:AA333" si="81">IF(P$1="",0,(P62+P141)*$J$326)</f>
        <v>35.317799999999991</v>
      </c>
      <c r="Q333" s="101">
        <f t="shared" si="81"/>
        <v>36.247799999999991</v>
      </c>
      <c r="R333" s="101">
        <f t="shared" si="81"/>
        <v>37.642799999999994</v>
      </c>
      <c r="S333" s="101">
        <f t="shared" si="81"/>
        <v>38.572799999999994</v>
      </c>
      <c r="T333" s="101">
        <f t="shared" si="81"/>
        <v>39.96779999999999</v>
      </c>
      <c r="U333" s="101">
        <f t="shared" si="81"/>
        <v>42.292799999999993</v>
      </c>
      <c r="V333" s="101">
        <f t="shared" si="81"/>
        <v>45.547799999999988</v>
      </c>
      <c r="W333" s="101">
        <f t="shared" si="81"/>
        <v>0</v>
      </c>
      <c r="X333" s="101">
        <f t="shared" si="81"/>
        <v>0</v>
      </c>
      <c r="Y333" s="101">
        <f t="shared" si="81"/>
        <v>0</v>
      </c>
      <c r="Z333" s="101">
        <f t="shared" si="81"/>
        <v>0</v>
      </c>
      <c r="AA333" s="101">
        <f t="shared" si="81"/>
        <v>0</v>
      </c>
      <c r="AB333" s="22"/>
    </row>
    <row r="334" spans="1:28" s="23" customFormat="1" ht="10.199999999999999" x14ac:dyDescent="0.2">
      <c r="A334" s="22"/>
      <c r="B334" s="22"/>
      <c r="C334" s="22"/>
      <c r="D334" s="22"/>
      <c r="E334" s="22" t="str">
        <f>E329</f>
        <v>непредв. расходы - начисление/оплата</v>
      </c>
      <c r="F334" s="22"/>
      <c r="G334" s="22" t="str">
        <f>IF($E334="","",INDEX(KPI!$G:$G,SUMIFS(KPI!$B:$B,KPI!$E:$E,$E334)))</f>
        <v>тыс.руб.</v>
      </c>
      <c r="H334" s="100">
        <f>структура!$V$16</f>
        <v>5</v>
      </c>
      <c r="I334" s="31"/>
      <c r="J334" s="98" t="str">
        <f>структура!$X$16</f>
        <v>май</v>
      </c>
      <c r="K334" s="99"/>
      <c r="L334" s="22"/>
      <c r="M334" s="58"/>
      <c r="N334" s="22"/>
      <c r="O334" s="22"/>
      <c r="P334" s="101">
        <f t="shared" ref="P334:AA334" si="82">IF(P$1="",0,(P63+P142)*$J$326)</f>
        <v>51.834923076923076</v>
      </c>
      <c r="Q334" s="101">
        <f t="shared" si="82"/>
        <v>54.330923076923078</v>
      </c>
      <c r="R334" s="101">
        <f t="shared" si="82"/>
        <v>58.074923076923071</v>
      </c>
      <c r="S334" s="101">
        <f t="shared" si="82"/>
        <v>60.570923076923073</v>
      </c>
      <c r="T334" s="101">
        <f t="shared" si="82"/>
        <v>64.314923076923066</v>
      </c>
      <c r="U334" s="101">
        <f t="shared" si="82"/>
        <v>70.55492307692306</v>
      </c>
      <c r="V334" s="101">
        <f t="shared" si="82"/>
        <v>79.290923076923079</v>
      </c>
      <c r="W334" s="101">
        <f t="shared" si="82"/>
        <v>0</v>
      </c>
      <c r="X334" s="101">
        <f t="shared" si="82"/>
        <v>0</v>
      </c>
      <c r="Y334" s="101">
        <f t="shared" si="82"/>
        <v>0</v>
      </c>
      <c r="Z334" s="101">
        <f t="shared" si="82"/>
        <v>0</v>
      </c>
      <c r="AA334" s="101">
        <f t="shared" si="82"/>
        <v>0</v>
      </c>
      <c r="AB334" s="22"/>
    </row>
    <row r="335" spans="1:28" s="23" customFormat="1" ht="10.199999999999999" x14ac:dyDescent="0.2">
      <c r="A335" s="22"/>
      <c r="B335" s="22"/>
      <c r="C335" s="22"/>
      <c r="D335" s="22"/>
      <c r="E335" s="22" t="str">
        <f>E329</f>
        <v>непредв. расходы - начисление/оплата</v>
      </c>
      <c r="F335" s="22"/>
      <c r="G335" s="22" t="str">
        <f>IF($E335="","",INDEX(KPI!$G:$G,SUMIFS(KPI!$B:$B,KPI!$E:$E,$E335)))</f>
        <v>тыс.руб.</v>
      </c>
      <c r="H335" s="100">
        <f>структура!$V$17</f>
        <v>6</v>
      </c>
      <c r="I335" s="31"/>
      <c r="J335" s="98" t="str">
        <f>структура!$X$17</f>
        <v>июн</v>
      </c>
      <c r="K335" s="99"/>
      <c r="L335" s="22"/>
      <c r="M335" s="58"/>
      <c r="N335" s="22"/>
      <c r="O335" s="22"/>
      <c r="P335" s="101">
        <f t="shared" ref="P335:AA335" si="83">IF(P$1="",0,(P64+P143)*$J$326)</f>
        <v>63.460799999999985</v>
      </c>
      <c r="Q335" s="101">
        <f t="shared" si="83"/>
        <v>67.300799999999981</v>
      </c>
      <c r="R335" s="101">
        <f t="shared" si="83"/>
        <v>73.060799999999986</v>
      </c>
      <c r="S335" s="101">
        <f t="shared" si="83"/>
        <v>76.90079999999999</v>
      </c>
      <c r="T335" s="101">
        <f t="shared" si="83"/>
        <v>82.660799999999981</v>
      </c>
      <c r="U335" s="101">
        <f t="shared" si="83"/>
        <v>92.260799999999989</v>
      </c>
      <c r="V335" s="101">
        <f t="shared" si="83"/>
        <v>105.70079999999999</v>
      </c>
      <c r="W335" s="101">
        <f t="shared" si="83"/>
        <v>0</v>
      </c>
      <c r="X335" s="101">
        <f t="shared" si="83"/>
        <v>0</v>
      </c>
      <c r="Y335" s="101">
        <f t="shared" si="83"/>
        <v>0</v>
      </c>
      <c r="Z335" s="101">
        <f t="shared" si="83"/>
        <v>0</v>
      </c>
      <c r="AA335" s="101">
        <f t="shared" si="83"/>
        <v>0</v>
      </c>
      <c r="AB335" s="22"/>
    </row>
    <row r="336" spans="1:28" s="23" customFormat="1" ht="10.199999999999999" x14ac:dyDescent="0.2">
      <c r="A336" s="22"/>
      <c r="B336" s="22"/>
      <c r="C336" s="22"/>
      <c r="D336" s="22"/>
      <c r="E336" s="22" t="str">
        <f>E329</f>
        <v>непредв. расходы - начисление/оплата</v>
      </c>
      <c r="F336" s="22"/>
      <c r="G336" s="22" t="str">
        <f>IF($E336="","",INDEX(KPI!$G:$G,SUMIFS(KPI!$B:$B,KPI!$E:$E,$E336)))</f>
        <v>тыс.руб.</v>
      </c>
      <c r="H336" s="100">
        <f>структура!$V$18</f>
        <v>7</v>
      </c>
      <c r="I336" s="31"/>
      <c r="J336" s="98" t="str">
        <f>структура!$X$18</f>
        <v>июл</v>
      </c>
      <c r="K336" s="99"/>
      <c r="L336" s="22"/>
      <c r="M336" s="58"/>
      <c r="N336" s="22"/>
      <c r="O336" s="22"/>
      <c r="P336" s="101">
        <f t="shared" ref="P336:AA336" si="84">IF(P$1="",0,(P65+P144)*$J$326)</f>
        <v>57.371723076923075</v>
      </c>
      <c r="Q336" s="101">
        <f t="shared" si="84"/>
        <v>60.251723076923071</v>
      </c>
      <c r="R336" s="101">
        <f t="shared" si="84"/>
        <v>64.571723076923078</v>
      </c>
      <c r="S336" s="101">
        <f t="shared" si="84"/>
        <v>67.451723076923074</v>
      </c>
      <c r="T336" s="101">
        <f t="shared" si="84"/>
        <v>71.771723076923081</v>
      </c>
      <c r="U336" s="101">
        <f t="shared" si="84"/>
        <v>78.971723076923084</v>
      </c>
      <c r="V336" s="101">
        <f t="shared" si="84"/>
        <v>89.051723076923082</v>
      </c>
      <c r="W336" s="101">
        <f t="shared" si="84"/>
        <v>0</v>
      </c>
      <c r="X336" s="101">
        <f t="shared" si="84"/>
        <v>0</v>
      </c>
      <c r="Y336" s="101">
        <f t="shared" si="84"/>
        <v>0</v>
      </c>
      <c r="Z336" s="101">
        <f t="shared" si="84"/>
        <v>0</v>
      </c>
      <c r="AA336" s="101">
        <f t="shared" si="84"/>
        <v>0</v>
      </c>
      <c r="AB336" s="22"/>
    </row>
    <row r="337" spans="1:28" s="23" customFormat="1" ht="10.199999999999999" x14ac:dyDescent="0.2">
      <c r="A337" s="22"/>
      <c r="B337" s="22"/>
      <c r="C337" s="22"/>
      <c r="D337" s="22"/>
      <c r="E337" s="22" t="str">
        <f>E329</f>
        <v>непредв. расходы - начисление/оплата</v>
      </c>
      <c r="F337" s="22"/>
      <c r="G337" s="22" t="str">
        <f>IF($E337="","",INDEX(KPI!$G:$G,SUMIFS(KPI!$B:$B,KPI!$E:$E,$E337)))</f>
        <v>тыс.руб.</v>
      </c>
      <c r="H337" s="100">
        <f>структура!$V$19</f>
        <v>8</v>
      </c>
      <c r="I337" s="31"/>
      <c r="J337" s="98" t="str">
        <f>структура!$X$19</f>
        <v>авг</v>
      </c>
      <c r="K337" s="99"/>
      <c r="L337" s="22"/>
      <c r="M337" s="58"/>
      <c r="N337" s="22"/>
      <c r="O337" s="22"/>
      <c r="P337" s="101">
        <f t="shared" ref="P337:AA337" si="85">IF(P$1="",0,(P66+P145)*$J$326)</f>
        <v>54.491723076923073</v>
      </c>
      <c r="Q337" s="101">
        <f t="shared" si="85"/>
        <v>56.987723076923075</v>
      </c>
      <c r="R337" s="101">
        <f t="shared" si="85"/>
        <v>60.731723076923075</v>
      </c>
      <c r="S337" s="101">
        <f t="shared" si="85"/>
        <v>63.22772307692307</v>
      </c>
      <c r="T337" s="101">
        <f t="shared" si="85"/>
        <v>66.971723076923084</v>
      </c>
      <c r="U337" s="101">
        <f t="shared" si="85"/>
        <v>73.211723076923079</v>
      </c>
      <c r="V337" s="101">
        <f t="shared" si="85"/>
        <v>81.947723076923069</v>
      </c>
      <c r="W337" s="101">
        <f t="shared" si="85"/>
        <v>0</v>
      </c>
      <c r="X337" s="101">
        <f t="shared" si="85"/>
        <v>0</v>
      </c>
      <c r="Y337" s="101">
        <f t="shared" si="85"/>
        <v>0</v>
      </c>
      <c r="Z337" s="101">
        <f t="shared" si="85"/>
        <v>0</v>
      </c>
      <c r="AA337" s="101">
        <f t="shared" si="85"/>
        <v>0</v>
      </c>
      <c r="AB337" s="22"/>
    </row>
    <row r="338" spans="1:28" s="23" customFormat="1" ht="10.199999999999999" x14ac:dyDescent="0.2">
      <c r="A338" s="22"/>
      <c r="B338" s="22"/>
      <c r="C338" s="22"/>
      <c r="D338" s="22"/>
      <c r="E338" s="22" t="str">
        <f>E329</f>
        <v>непредв. расходы - начисление/оплата</v>
      </c>
      <c r="F338" s="22"/>
      <c r="G338" s="22" t="str">
        <f>IF($E338="","",INDEX(KPI!$G:$G,SUMIFS(KPI!$B:$B,KPI!$E:$E,$E338)))</f>
        <v>тыс.руб.</v>
      </c>
      <c r="H338" s="100">
        <f>структура!$V$20</f>
        <v>9</v>
      </c>
      <c r="I338" s="31"/>
      <c r="J338" s="98" t="str">
        <f>структура!$X$20</f>
        <v>сен</v>
      </c>
      <c r="K338" s="99"/>
      <c r="L338" s="22"/>
      <c r="M338" s="58"/>
      <c r="N338" s="22"/>
      <c r="O338" s="22"/>
      <c r="P338" s="101">
        <f t="shared" ref="P338:AA338" si="86">IF(P$1="",0,(P67+P146)*$J$326)</f>
        <v>37.091249999999995</v>
      </c>
      <c r="Q338" s="101">
        <f t="shared" si="86"/>
        <v>38.028749999999995</v>
      </c>
      <c r="R338" s="101">
        <f t="shared" si="86"/>
        <v>39.434999999999995</v>
      </c>
      <c r="S338" s="101">
        <f t="shared" si="86"/>
        <v>40.372499999999995</v>
      </c>
      <c r="T338" s="101">
        <f t="shared" si="86"/>
        <v>41.778749999999995</v>
      </c>
      <c r="U338" s="101">
        <f t="shared" si="86"/>
        <v>44.122499999999995</v>
      </c>
      <c r="V338" s="101">
        <f t="shared" si="86"/>
        <v>47.403749999999995</v>
      </c>
      <c r="W338" s="101">
        <f t="shared" si="86"/>
        <v>0</v>
      </c>
      <c r="X338" s="101">
        <f t="shared" si="86"/>
        <v>0</v>
      </c>
      <c r="Y338" s="101">
        <f t="shared" si="86"/>
        <v>0</v>
      </c>
      <c r="Z338" s="101">
        <f t="shared" si="86"/>
        <v>0</v>
      </c>
      <c r="AA338" s="101">
        <f t="shared" si="86"/>
        <v>0</v>
      </c>
      <c r="AB338" s="22"/>
    </row>
    <row r="339" spans="1:28" s="23" customFormat="1" ht="10.199999999999999" x14ac:dyDescent="0.2">
      <c r="A339" s="22"/>
      <c r="B339" s="22"/>
      <c r="C339" s="22"/>
      <c r="D339" s="22"/>
      <c r="E339" s="22" t="str">
        <f>E329</f>
        <v>непредв. расходы - начисление/оплата</v>
      </c>
      <c r="F339" s="22"/>
      <c r="G339" s="22" t="str">
        <f>IF($E339="","",INDEX(KPI!$G:$G,SUMIFS(KPI!$B:$B,KPI!$E:$E,$E339)))</f>
        <v>тыс.руб.</v>
      </c>
      <c r="H339" s="100">
        <f>структура!$V$21</f>
        <v>10</v>
      </c>
      <c r="I339" s="31"/>
      <c r="J339" s="98" t="str">
        <f>структура!$X$21</f>
        <v>окт</v>
      </c>
      <c r="K339" s="99"/>
      <c r="L339" s="22"/>
      <c r="M339" s="58"/>
      <c r="N339" s="22"/>
      <c r="O339" s="22"/>
      <c r="P339" s="101">
        <f t="shared" ref="P339:AA339" si="87">IF(P$1="",0,(P68+P147)*$J$326)</f>
        <v>39.718673076923075</v>
      </c>
      <c r="Q339" s="101">
        <f t="shared" si="87"/>
        <v>41.031173076923075</v>
      </c>
      <c r="R339" s="101">
        <f t="shared" si="87"/>
        <v>42.999923076923075</v>
      </c>
      <c r="S339" s="101">
        <f t="shared" si="87"/>
        <v>44.312423076923075</v>
      </c>
      <c r="T339" s="101">
        <f t="shared" si="87"/>
        <v>46.281173076923075</v>
      </c>
      <c r="U339" s="101">
        <f t="shared" si="87"/>
        <v>49.562423076923075</v>
      </c>
      <c r="V339" s="101">
        <f t="shared" si="87"/>
        <v>54.156173076923075</v>
      </c>
      <c r="W339" s="101">
        <f t="shared" si="87"/>
        <v>0</v>
      </c>
      <c r="X339" s="101">
        <f t="shared" si="87"/>
        <v>0</v>
      </c>
      <c r="Y339" s="101">
        <f t="shared" si="87"/>
        <v>0</v>
      </c>
      <c r="Z339" s="101">
        <f t="shared" si="87"/>
        <v>0</v>
      </c>
      <c r="AA339" s="101">
        <f t="shared" si="87"/>
        <v>0</v>
      </c>
      <c r="AB339" s="22"/>
    </row>
    <row r="340" spans="1:28" s="23" customFormat="1" ht="10.199999999999999" x14ac:dyDescent="0.2">
      <c r="A340" s="22"/>
      <c r="B340" s="22"/>
      <c r="C340" s="22"/>
      <c r="D340" s="22"/>
      <c r="E340" s="22" t="str">
        <f>E329</f>
        <v>непредв. расходы - начисление/оплата</v>
      </c>
      <c r="F340" s="22"/>
      <c r="G340" s="22" t="str">
        <f>IF($E340="","",INDEX(KPI!$G:$G,SUMIFS(KPI!$B:$B,KPI!$E:$E,$E340)))</f>
        <v>тыс.руб.</v>
      </c>
      <c r="H340" s="100">
        <f>структура!$V$22</f>
        <v>11</v>
      </c>
      <c r="I340" s="31"/>
      <c r="J340" s="98" t="str">
        <f>структура!$X$22</f>
        <v>ноя</v>
      </c>
      <c r="K340" s="99"/>
      <c r="L340" s="22"/>
      <c r="M340" s="58"/>
      <c r="N340" s="22"/>
      <c r="O340" s="22"/>
      <c r="P340" s="101">
        <f t="shared" ref="P340:AA340" si="88">IF(P$1="",0,(P69+P148)*$J$326)</f>
        <v>34.669799999999995</v>
      </c>
      <c r="Q340" s="101">
        <f t="shared" si="88"/>
        <v>35.599799999999995</v>
      </c>
      <c r="R340" s="101">
        <f t="shared" si="88"/>
        <v>36.994799999999991</v>
      </c>
      <c r="S340" s="101">
        <f t="shared" si="88"/>
        <v>37.924799999999998</v>
      </c>
      <c r="T340" s="101">
        <f t="shared" si="88"/>
        <v>39.319799999999994</v>
      </c>
      <c r="U340" s="101">
        <f t="shared" si="88"/>
        <v>41.644799999999996</v>
      </c>
      <c r="V340" s="101">
        <f t="shared" si="88"/>
        <v>44.899799999999992</v>
      </c>
      <c r="W340" s="101">
        <f t="shared" si="88"/>
        <v>0</v>
      </c>
      <c r="X340" s="101">
        <f t="shared" si="88"/>
        <v>0</v>
      </c>
      <c r="Y340" s="101">
        <f t="shared" si="88"/>
        <v>0</v>
      </c>
      <c r="Z340" s="101">
        <f t="shared" si="88"/>
        <v>0</v>
      </c>
      <c r="AA340" s="101">
        <f t="shared" si="88"/>
        <v>0</v>
      </c>
      <c r="AB340" s="22"/>
    </row>
    <row r="341" spans="1:28" s="23" customFormat="1" ht="10.199999999999999" x14ac:dyDescent="0.2">
      <c r="A341" s="22"/>
      <c r="B341" s="22"/>
      <c r="C341" s="22"/>
      <c r="D341" s="22"/>
      <c r="E341" s="22" t="str">
        <f>E329</f>
        <v>непредв. расходы - начисление/оплата</v>
      </c>
      <c r="F341" s="22"/>
      <c r="G341" s="22" t="str">
        <f>IF($E341="","",INDEX(KPI!$G:$G,SUMIFS(KPI!$B:$B,KPI!$E:$E,$E341)))</f>
        <v>тыс.руб.</v>
      </c>
      <c r="H341" s="100">
        <f>структура!$V$23</f>
        <v>12</v>
      </c>
      <c r="I341" s="31"/>
      <c r="J341" s="98" t="str">
        <f>структура!$X$23</f>
        <v>дек</v>
      </c>
      <c r="K341" s="99"/>
      <c r="L341" s="22"/>
      <c r="M341" s="58"/>
      <c r="N341" s="22"/>
      <c r="O341" s="22"/>
      <c r="P341" s="101">
        <f t="shared" ref="P341:AA341" si="89">IF(P$1="",0,(P70+P149)*$J$326)</f>
        <v>36.314423076923049</v>
      </c>
      <c r="Q341" s="101">
        <f t="shared" si="89"/>
        <v>37.259423076923042</v>
      </c>
      <c r="R341" s="101">
        <f t="shared" si="89"/>
        <v>38.676923076923046</v>
      </c>
      <c r="S341" s="101">
        <f t="shared" si="89"/>
        <v>39.621923076923039</v>
      </c>
      <c r="T341" s="101">
        <f t="shared" si="89"/>
        <v>41.039423076923029</v>
      </c>
      <c r="U341" s="101">
        <f t="shared" si="89"/>
        <v>43.401923076923019</v>
      </c>
      <c r="V341" s="101">
        <f t="shared" si="89"/>
        <v>46.709423076923017</v>
      </c>
      <c r="W341" s="101">
        <f t="shared" si="89"/>
        <v>0</v>
      </c>
      <c r="X341" s="101">
        <f t="shared" si="89"/>
        <v>0</v>
      </c>
      <c r="Y341" s="101">
        <f t="shared" si="89"/>
        <v>0</v>
      </c>
      <c r="Z341" s="101">
        <f t="shared" si="89"/>
        <v>0</v>
      </c>
      <c r="AA341" s="101">
        <f t="shared" si="89"/>
        <v>0</v>
      </c>
      <c r="AB341" s="22"/>
    </row>
    <row r="342" spans="1:28" ht="3.9" customHeight="1" x14ac:dyDescent="0.25">
      <c r="A342" s="2"/>
      <c r="B342" s="2"/>
      <c r="C342" s="2"/>
      <c r="D342" s="119"/>
      <c r="E342" s="119"/>
      <c r="F342" s="2"/>
      <c r="G342" s="119"/>
      <c r="H342" s="2"/>
      <c r="I342" s="28"/>
      <c r="J342" s="119"/>
      <c r="K342" s="28"/>
      <c r="L342" s="2"/>
      <c r="M342" s="52"/>
      <c r="N342" s="2"/>
      <c r="O342" s="2"/>
      <c r="P342" s="36"/>
      <c r="Q342" s="36"/>
      <c r="R342" s="36"/>
      <c r="S342" s="36"/>
      <c r="T342" s="36"/>
      <c r="U342" s="36"/>
      <c r="V342" s="36"/>
      <c r="W342" s="36"/>
      <c r="X342" s="36"/>
      <c r="Y342" s="36"/>
      <c r="Z342" s="36"/>
      <c r="AA342" s="36"/>
      <c r="AB342" s="2"/>
    </row>
    <row r="343" spans="1:28" ht="8.1" customHeight="1" x14ac:dyDescent="0.25">
      <c r="A343" s="2"/>
      <c r="B343" s="2"/>
      <c r="C343" s="2"/>
      <c r="D343" s="2"/>
      <c r="E343" s="2"/>
      <c r="F343" s="2"/>
      <c r="G343" s="2"/>
      <c r="H343" s="2"/>
      <c r="I343" s="28"/>
      <c r="J343" s="2"/>
      <c r="K343" s="28"/>
      <c r="L343" s="2"/>
      <c r="M343" s="52"/>
      <c r="N343" s="2"/>
      <c r="O343" s="2"/>
      <c r="P343" s="36"/>
      <c r="Q343" s="36"/>
      <c r="R343" s="36"/>
      <c r="S343" s="36"/>
      <c r="T343" s="36"/>
      <c r="U343" s="36"/>
      <c r="V343" s="36"/>
      <c r="W343" s="36"/>
      <c r="X343" s="36"/>
      <c r="Y343" s="36"/>
      <c r="Z343" s="36"/>
      <c r="AA343" s="36"/>
      <c r="AB343" s="2"/>
    </row>
    <row r="344" spans="1:28" x14ac:dyDescent="0.25">
      <c r="A344" s="2"/>
      <c r="B344" s="2"/>
      <c r="C344" s="2"/>
      <c r="D344" s="2"/>
      <c r="E344" s="121" t="s">
        <v>244</v>
      </c>
      <c r="F344" s="2"/>
      <c r="G344" s="2"/>
      <c r="H344" s="2"/>
      <c r="I344" s="28"/>
      <c r="J344" s="2"/>
      <c r="K344" s="28"/>
      <c r="L344" s="2"/>
      <c r="M344" s="52"/>
      <c r="N344" s="2"/>
      <c r="O344" s="2"/>
      <c r="P344" s="36"/>
      <c r="Q344" s="36"/>
      <c r="R344" s="36"/>
      <c r="S344" s="36"/>
      <c r="T344" s="36"/>
      <c r="U344" s="36"/>
      <c r="V344" s="36"/>
      <c r="W344" s="36"/>
      <c r="X344" s="36"/>
      <c r="Y344" s="36"/>
      <c r="Z344" s="36"/>
      <c r="AA344" s="36"/>
      <c r="AB344" s="2"/>
    </row>
    <row r="345" spans="1:28" ht="8.1" customHeight="1" x14ac:dyDescent="0.25">
      <c r="A345" s="2"/>
      <c r="B345" s="2"/>
      <c r="C345" s="2"/>
      <c r="D345" s="2"/>
      <c r="E345" s="2"/>
      <c r="F345" s="2"/>
      <c r="G345" s="2"/>
      <c r="H345" s="2"/>
      <c r="I345" s="28"/>
      <c r="J345" s="2"/>
      <c r="K345" s="28"/>
      <c r="L345" s="2"/>
      <c r="M345" s="52"/>
      <c r="N345" s="2"/>
      <c r="O345" s="2"/>
      <c r="P345" s="36"/>
      <c r="Q345" s="36"/>
      <c r="R345" s="36"/>
      <c r="S345" s="36"/>
      <c r="T345" s="36"/>
      <c r="U345" s="36"/>
      <c r="V345" s="36"/>
      <c r="W345" s="36"/>
      <c r="X345" s="36"/>
      <c r="Y345" s="36"/>
      <c r="Z345" s="36"/>
      <c r="AA345" s="36"/>
      <c r="AB345" s="2"/>
    </row>
    <row r="346" spans="1:28" s="5" customFormat="1" x14ac:dyDescent="0.25">
      <c r="A346" s="3"/>
      <c r="B346" s="3"/>
      <c r="C346" s="3"/>
      <c r="D346" s="3"/>
      <c r="E346" s="3" t="str">
        <f>KPI!$E$65</f>
        <v>ставка НДС</v>
      </c>
      <c r="F346" s="3"/>
      <c r="G346" s="3" t="str">
        <f>IF($E346="","",INDEX(KPI!$G:$G,SUMIFS(KPI!$B:$B,KPI!$E:$E,$E346)))</f>
        <v>%</v>
      </c>
      <c r="H346" s="3"/>
      <c r="I346" s="28"/>
      <c r="J346" s="2"/>
      <c r="K346" s="28"/>
      <c r="L346" s="2"/>
      <c r="M346" s="52"/>
      <c r="N346" s="3"/>
      <c r="O346" s="6"/>
      <c r="P346" s="229">
        <f>операции!P421</f>
        <v>0.2</v>
      </c>
      <c r="Q346" s="229">
        <f>операции!Q421</f>
        <v>0.2</v>
      </c>
      <c r="R346" s="229">
        <f>операции!R421</f>
        <v>0.2</v>
      </c>
      <c r="S346" s="229">
        <f>операции!S421</f>
        <v>0.2</v>
      </c>
      <c r="T346" s="229">
        <f>операции!T421</f>
        <v>0.2</v>
      </c>
      <c r="U346" s="229">
        <f>операции!U421</f>
        <v>0.2</v>
      </c>
      <c r="V346" s="229">
        <f>операции!V421</f>
        <v>0.2</v>
      </c>
      <c r="W346" s="229">
        <f>операции!W421</f>
        <v>0.2</v>
      </c>
      <c r="X346" s="229">
        <f>операции!X421</f>
        <v>0.2</v>
      </c>
      <c r="Y346" s="229">
        <f>операции!Y421</f>
        <v>0.2</v>
      </c>
      <c r="Z346" s="229">
        <f>операции!Z421</f>
        <v>0.2</v>
      </c>
      <c r="AA346" s="229">
        <f>операции!AA421</f>
        <v>0.2</v>
      </c>
      <c r="AB346" s="3"/>
    </row>
    <row r="347" spans="1:28" ht="3.9" customHeight="1" x14ac:dyDescent="0.25">
      <c r="A347" s="2"/>
      <c r="B347" s="2"/>
      <c r="C347" s="2"/>
      <c r="D347" s="2"/>
      <c r="E347" s="122"/>
      <c r="F347" s="2"/>
      <c r="G347" s="2"/>
      <c r="H347" s="2"/>
      <c r="I347" s="28"/>
      <c r="J347" s="2"/>
      <c r="K347" s="28"/>
      <c r="L347" s="2"/>
      <c r="M347" s="52"/>
      <c r="N347" s="2"/>
      <c r="O347" s="2"/>
      <c r="P347" s="36"/>
      <c r="Q347" s="36"/>
      <c r="R347" s="36"/>
      <c r="S347" s="36"/>
      <c r="T347" s="36"/>
      <c r="U347" s="36"/>
      <c r="V347" s="36"/>
      <c r="W347" s="36"/>
      <c r="X347" s="36"/>
      <c r="Y347" s="36"/>
      <c r="Z347" s="36"/>
      <c r="AA347" s="36"/>
      <c r="AB347" s="2"/>
    </row>
    <row r="348" spans="1:28" ht="3.9" customHeight="1" x14ac:dyDescent="0.25">
      <c r="A348" s="2"/>
      <c r="B348" s="2"/>
      <c r="C348" s="2"/>
      <c r="D348" s="2"/>
      <c r="E348" s="2"/>
      <c r="F348" s="2"/>
      <c r="G348" s="2"/>
      <c r="H348" s="2"/>
      <c r="I348" s="28"/>
      <c r="J348" s="2"/>
      <c r="K348" s="28"/>
      <c r="L348" s="2"/>
      <c r="M348" s="52"/>
      <c r="N348" s="2"/>
      <c r="O348" s="2"/>
      <c r="P348" s="36"/>
      <c r="Q348" s="36"/>
      <c r="R348" s="36"/>
      <c r="S348" s="36"/>
      <c r="T348" s="36"/>
      <c r="U348" s="36"/>
      <c r="V348" s="36"/>
      <c r="W348" s="36"/>
      <c r="X348" s="36"/>
      <c r="Y348" s="36"/>
      <c r="Z348" s="36"/>
      <c r="AA348" s="36"/>
      <c r="AB348" s="2"/>
    </row>
    <row r="349" spans="1:28" s="5" customFormat="1" x14ac:dyDescent="0.25">
      <c r="A349" s="3"/>
      <c r="B349" s="3"/>
      <c r="C349" s="3"/>
      <c r="D349" s="3"/>
      <c r="E349" s="3" t="str">
        <f>KPI!$E$66</f>
        <v>ставка налога на прибыль (ОСНО)</v>
      </c>
      <c r="F349" s="3"/>
      <c r="G349" s="3" t="str">
        <f>IF($E349="","",INDEX(KPI!$G:$G,SUMIFS(KPI!$B:$B,KPI!$E:$E,$E349)))</f>
        <v>%</v>
      </c>
      <c r="H349" s="3"/>
      <c r="I349" s="28"/>
      <c r="J349" s="2"/>
      <c r="K349" s="28"/>
      <c r="L349" s="2"/>
      <c r="M349" s="52"/>
      <c r="N349" s="3"/>
      <c r="O349" s="6"/>
      <c r="P349" s="229">
        <f>операции!P424</f>
        <v>0.2</v>
      </c>
      <c r="Q349" s="229">
        <f>операции!Q424</f>
        <v>0.2</v>
      </c>
      <c r="R349" s="229">
        <f>операции!R424</f>
        <v>0.2</v>
      </c>
      <c r="S349" s="229">
        <f>операции!S424</f>
        <v>0.2</v>
      </c>
      <c r="T349" s="229">
        <f>операции!T424</f>
        <v>0.2</v>
      </c>
      <c r="U349" s="229">
        <f>операции!U424</f>
        <v>0.2</v>
      </c>
      <c r="V349" s="229">
        <f>операции!V424</f>
        <v>0.2</v>
      </c>
      <c r="W349" s="229">
        <f>операции!W424</f>
        <v>0.2</v>
      </c>
      <c r="X349" s="229">
        <f>операции!X424</f>
        <v>0.2</v>
      </c>
      <c r="Y349" s="229">
        <f>операции!Y424</f>
        <v>0.2</v>
      </c>
      <c r="Z349" s="229">
        <f>операции!Z424</f>
        <v>0.2</v>
      </c>
      <c r="AA349" s="229">
        <f>операции!AA424</f>
        <v>0.2</v>
      </c>
      <c r="AB349" s="3"/>
    </row>
    <row r="350" spans="1:28" ht="3.9" customHeight="1" x14ac:dyDescent="0.25">
      <c r="A350" s="2"/>
      <c r="B350" s="2"/>
      <c r="C350" s="2"/>
      <c r="D350" s="2"/>
      <c r="E350" s="122"/>
      <c r="F350" s="2"/>
      <c r="G350" s="2"/>
      <c r="H350" s="2"/>
      <c r="I350" s="28"/>
      <c r="J350" s="2"/>
      <c r="K350" s="28"/>
      <c r="L350" s="2"/>
      <c r="M350" s="52"/>
      <c r="N350" s="2"/>
      <c r="O350" s="2"/>
      <c r="P350" s="36"/>
      <c r="Q350" s="36"/>
      <c r="R350" s="36"/>
      <c r="S350" s="36"/>
      <c r="T350" s="36"/>
      <c r="U350" s="36"/>
      <c r="V350" s="36"/>
      <c r="W350" s="36"/>
      <c r="X350" s="36"/>
      <c r="Y350" s="36"/>
      <c r="Z350" s="36"/>
      <c r="AA350" s="36"/>
      <c r="AB350" s="2"/>
    </row>
    <row r="351" spans="1:28" ht="3.9" customHeight="1" x14ac:dyDescent="0.25">
      <c r="A351" s="2"/>
      <c r="B351" s="2"/>
      <c r="C351" s="2"/>
      <c r="D351" s="2"/>
      <c r="E351" s="2"/>
      <c r="F351" s="2"/>
      <c r="G351" s="2"/>
      <c r="H351" s="2"/>
      <c r="I351" s="28"/>
      <c r="J351" s="2"/>
      <c r="K351" s="28"/>
      <c r="L351" s="2"/>
      <c r="M351" s="52"/>
      <c r="N351" s="2"/>
      <c r="O351" s="2"/>
      <c r="P351" s="36"/>
      <c r="Q351" s="36"/>
      <c r="R351" s="36"/>
      <c r="S351" s="36"/>
      <c r="T351" s="36"/>
      <c r="U351" s="36"/>
      <c r="V351" s="36"/>
      <c r="W351" s="36"/>
      <c r="X351" s="36"/>
      <c r="Y351" s="36"/>
      <c r="Z351" s="36"/>
      <c r="AA351" s="36"/>
      <c r="AB351" s="2"/>
    </row>
    <row r="352" spans="1:28" s="5" customFormat="1" x14ac:dyDescent="0.25">
      <c r="A352" s="3"/>
      <c r="B352" s="3"/>
      <c r="C352" s="3"/>
      <c r="D352" s="3"/>
      <c r="E352" s="3" t="str">
        <f>KPI!$E$67</f>
        <v>ставка налога УСН-доход</v>
      </c>
      <c r="F352" s="3"/>
      <c r="G352" s="3" t="str">
        <f>IF($E352="","",INDEX(KPI!$G:$G,SUMIFS(KPI!$B:$B,KPI!$E:$E,$E352)))</f>
        <v>%</v>
      </c>
      <c r="H352" s="3"/>
      <c r="I352" s="28"/>
      <c r="J352" s="2"/>
      <c r="K352" s="28"/>
      <c r="L352" s="2"/>
      <c r="M352" s="52"/>
      <c r="N352" s="3"/>
      <c r="O352" s="6"/>
      <c r="P352" s="229">
        <f>операции!P427</f>
        <v>0.06</v>
      </c>
      <c r="Q352" s="229">
        <f>операции!Q427</f>
        <v>0.06</v>
      </c>
      <c r="R352" s="229">
        <f>операции!R427</f>
        <v>0.06</v>
      </c>
      <c r="S352" s="229">
        <f>операции!S427</f>
        <v>0.06</v>
      </c>
      <c r="T352" s="229">
        <f>операции!T427</f>
        <v>0.06</v>
      </c>
      <c r="U352" s="229">
        <f>операции!U427</f>
        <v>0.06</v>
      </c>
      <c r="V352" s="229">
        <f>операции!V427</f>
        <v>0.06</v>
      </c>
      <c r="W352" s="229">
        <f>операции!W427</f>
        <v>0.06</v>
      </c>
      <c r="X352" s="229">
        <f>операции!X427</f>
        <v>0.06</v>
      </c>
      <c r="Y352" s="229">
        <f>операции!Y427</f>
        <v>0.06</v>
      </c>
      <c r="Z352" s="229">
        <f>операции!Z427</f>
        <v>0.06</v>
      </c>
      <c r="AA352" s="229">
        <f>операции!AA427</f>
        <v>0.06</v>
      </c>
      <c r="AB352" s="3"/>
    </row>
    <row r="353" spans="1:28" ht="3.9" customHeight="1" x14ac:dyDescent="0.25">
      <c r="A353" s="2"/>
      <c r="B353" s="2"/>
      <c r="C353" s="2"/>
      <c r="D353" s="2"/>
      <c r="E353" s="122"/>
      <c r="F353" s="2"/>
      <c r="G353" s="2"/>
      <c r="H353" s="2"/>
      <c r="I353" s="28"/>
      <c r="J353" s="2"/>
      <c r="K353" s="28"/>
      <c r="L353" s="2"/>
      <c r="M353" s="52"/>
      <c r="N353" s="2"/>
      <c r="O353" s="2"/>
      <c r="P353" s="36"/>
      <c r="Q353" s="36"/>
      <c r="R353" s="36"/>
      <c r="S353" s="36"/>
      <c r="T353" s="36"/>
      <c r="U353" s="36"/>
      <c r="V353" s="36"/>
      <c r="W353" s="36"/>
      <c r="X353" s="36"/>
      <c r="Y353" s="36"/>
      <c r="Z353" s="36"/>
      <c r="AA353" s="36"/>
      <c r="AB353" s="2"/>
    </row>
    <row r="354" spans="1:28" ht="3.9" customHeight="1" x14ac:dyDescent="0.25">
      <c r="A354" s="2"/>
      <c r="B354" s="2"/>
      <c r="C354" s="2"/>
      <c r="D354" s="2"/>
      <c r="E354" s="2"/>
      <c r="F354" s="2"/>
      <c r="G354" s="2"/>
      <c r="H354" s="2"/>
      <c r="I354" s="28"/>
      <c r="J354" s="2"/>
      <c r="K354" s="28"/>
      <c r="L354" s="2"/>
      <c r="M354" s="52"/>
      <c r="N354" s="2"/>
      <c r="O354" s="2"/>
      <c r="P354" s="36"/>
      <c r="Q354" s="36"/>
      <c r="R354" s="36"/>
      <c r="S354" s="36"/>
      <c r="T354" s="36"/>
      <c r="U354" s="36"/>
      <c r="V354" s="36"/>
      <c r="W354" s="36"/>
      <c r="X354" s="36"/>
      <c r="Y354" s="36"/>
      <c r="Z354" s="36"/>
      <c r="AA354" s="36"/>
      <c r="AB354" s="2"/>
    </row>
    <row r="355" spans="1:28" s="5" customFormat="1" x14ac:dyDescent="0.25">
      <c r="A355" s="3"/>
      <c r="B355" s="3"/>
      <c r="C355" s="3"/>
      <c r="D355" s="3"/>
      <c r="E355" s="3" t="str">
        <f>KPI!$E$68</f>
        <v>ставка налога УСН-доход-расход</v>
      </c>
      <c r="F355" s="3"/>
      <c r="G355" s="3" t="str">
        <f>IF($E355="","",INDEX(KPI!$G:$G,SUMIFS(KPI!$B:$B,KPI!$E:$E,$E355)))</f>
        <v>%</v>
      </c>
      <c r="H355" s="3"/>
      <c r="I355" s="28"/>
      <c r="J355" s="2"/>
      <c r="K355" s="28"/>
      <c r="L355" s="2"/>
      <c r="M355" s="52"/>
      <c r="N355" s="3"/>
      <c r="O355" s="6"/>
      <c r="P355" s="229">
        <f>операции!P430</f>
        <v>0.15</v>
      </c>
      <c r="Q355" s="229">
        <f>операции!Q430</f>
        <v>0.15</v>
      </c>
      <c r="R355" s="229">
        <f>операции!R430</f>
        <v>0.15</v>
      </c>
      <c r="S355" s="229">
        <f>операции!S430</f>
        <v>0.15</v>
      </c>
      <c r="T355" s="229">
        <f>операции!T430</f>
        <v>0.15</v>
      </c>
      <c r="U355" s="229">
        <f>операции!U430</f>
        <v>0.15</v>
      </c>
      <c r="V355" s="229">
        <f>операции!V430</f>
        <v>0.15</v>
      </c>
      <c r="W355" s="229">
        <f>операции!W430</f>
        <v>0.15</v>
      </c>
      <c r="X355" s="229">
        <f>операции!X430</f>
        <v>0.15</v>
      </c>
      <c r="Y355" s="229">
        <f>операции!Y430</f>
        <v>0.15</v>
      </c>
      <c r="Z355" s="229">
        <f>операции!Z430</f>
        <v>0.15</v>
      </c>
      <c r="AA355" s="229">
        <f>операции!AA430</f>
        <v>0.15</v>
      </c>
      <c r="AB355" s="3"/>
    </row>
    <row r="356" spans="1:28" ht="3.9" customHeight="1" x14ac:dyDescent="0.25">
      <c r="A356" s="2"/>
      <c r="B356" s="2"/>
      <c r="C356" s="2"/>
      <c r="D356" s="2"/>
      <c r="E356" s="122"/>
      <c r="F356" s="2"/>
      <c r="G356" s="2"/>
      <c r="H356" s="2"/>
      <c r="I356" s="28"/>
      <c r="J356" s="2"/>
      <c r="K356" s="28"/>
      <c r="L356" s="2"/>
      <c r="M356" s="52"/>
      <c r="N356" s="2"/>
      <c r="O356" s="2"/>
      <c r="P356" s="36"/>
      <c r="Q356" s="36"/>
      <c r="R356" s="36"/>
      <c r="S356" s="36"/>
      <c r="T356" s="36"/>
      <c r="U356" s="36"/>
      <c r="V356" s="36"/>
      <c r="W356" s="36"/>
      <c r="X356" s="36"/>
      <c r="Y356" s="36"/>
      <c r="Z356" s="36"/>
      <c r="AA356" s="36"/>
      <c r="AB356" s="2"/>
    </row>
    <row r="357" spans="1:28" ht="3.9" customHeight="1" x14ac:dyDescent="0.25">
      <c r="A357" s="2"/>
      <c r="B357" s="2"/>
      <c r="C357" s="2"/>
      <c r="D357" s="2"/>
      <c r="E357" s="2"/>
      <c r="F357" s="2"/>
      <c r="G357" s="2"/>
      <c r="H357" s="2"/>
      <c r="I357" s="28"/>
      <c r="J357" s="2"/>
      <c r="K357" s="28"/>
      <c r="L357" s="2"/>
      <c r="M357" s="52"/>
      <c r="N357" s="2"/>
      <c r="O357" s="2"/>
      <c r="P357" s="36"/>
      <c r="Q357" s="36"/>
      <c r="R357" s="36"/>
      <c r="S357" s="36"/>
      <c r="T357" s="36"/>
      <c r="U357" s="36"/>
      <c r="V357" s="36"/>
      <c r="W357" s="36"/>
      <c r="X357" s="36"/>
      <c r="Y357" s="36"/>
      <c r="Z357" s="36"/>
      <c r="AA357" s="36"/>
      <c r="AB357" s="2"/>
    </row>
    <row r="358" spans="1:28" s="5" customFormat="1" x14ac:dyDescent="0.25">
      <c r="A358" s="3"/>
      <c r="B358" s="3"/>
      <c r="C358" s="3"/>
      <c r="D358" s="3"/>
      <c r="E358" s="3" t="str">
        <f>KPI!$E$69</f>
        <v>ставка налога УСН-ИП-доход</v>
      </c>
      <c r="F358" s="3"/>
      <c r="G358" s="3" t="str">
        <f>IF($E358="","",INDEX(KPI!$G:$G,SUMIFS(KPI!$B:$B,KPI!$E:$E,$E358)))</f>
        <v>%</v>
      </c>
      <c r="H358" s="3"/>
      <c r="I358" s="28"/>
      <c r="J358" s="2"/>
      <c r="K358" s="28"/>
      <c r="L358" s="2"/>
      <c r="M358" s="52"/>
      <c r="N358" s="3"/>
      <c r="O358" s="6"/>
      <c r="P358" s="229">
        <f>операции!P433</f>
        <v>0</v>
      </c>
      <c r="Q358" s="229">
        <f>операции!Q433</f>
        <v>0</v>
      </c>
      <c r="R358" s="229">
        <f>операции!R433</f>
        <v>0</v>
      </c>
      <c r="S358" s="229">
        <f>операции!S433</f>
        <v>0</v>
      </c>
      <c r="T358" s="229">
        <f>операции!T433</f>
        <v>0.06</v>
      </c>
      <c r="U358" s="229">
        <f>операции!U433</f>
        <v>0.06</v>
      </c>
      <c r="V358" s="229">
        <f>операции!V433</f>
        <v>0.06</v>
      </c>
      <c r="W358" s="229">
        <f>операции!W433</f>
        <v>0.03</v>
      </c>
      <c r="X358" s="229">
        <f>операции!X433</f>
        <v>0.03</v>
      </c>
      <c r="Y358" s="229">
        <f>операции!Y433</f>
        <v>0.03</v>
      </c>
      <c r="Z358" s="229">
        <f>операции!Z433</f>
        <v>0.03</v>
      </c>
      <c r="AA358" s="229">
        <f>операции!AA433</f>
        <v>0.03</v>
      </c>
      <c r="AB358" s="3"/>
    </row>
    <row r="359" spans="1:28" ht="3.9" customHeight="1" x14ac:dyDescent="0.25">
      <c r="A359" s="2"/>
      <c r="B359" s="2"/>
      <c r="C359" s="2"/>
      <c r="D359" s="2"/>
      <c r="E359" s="122"/>
      <c r="F359" s="2"/>
      <c r="G359" s="2"/>
      <c r="H359" s="2"/>
      <c r="I359" s="28"/>
      <c r="J359" s="2"/>
      <c r="K359" s="28"/>
      <c r="L359" s="2"/>
      <c r="M359" s="52"/>
      <c r="N359" s="2"/>
      <c r="O359" s="2"/>
      <c r="P359" s="36"/>
      <c r="Q359" s="36"/>
      <c r="R359" s="36"/>
      <c r="S359" s="36"/>
      <c r="T359" s="36"/>
      <c r="U359" s="36"/>
      <c r="V359" s="36"/>
      <c r="W359" s="36"/>
      <c r="X359" s="36"/>
      <c r="Y359" s="36"/>
      <c r="Z359" s="36"/>
      <c r="AA359" s="36"/>
      <c r="AB359" s="2"/>
    </row>
    <row r="360" spans="1:28" ht="3.9" customHeight="1" x14ac:dyDescent="0.25">
      <c r="A360" s="2"/>
      <c r="B360" s="2"/>
      <c r="C360" s="2"/>
      <c r="D360" s="2"/>
      <c r="E360" s="2"/>
      <c r="F360" s="2"/>
      <c r="G360" s="2"/>
      <c r="H360" s="2"/>
      <c r="I360" s="28"/>
      <c r="J360" s="2"/>
      <c r="K360" s="28"/>
      <c r="L360" s="2"/>
      <c r="M360" s="52"/>
      <c r="N360" s="2"/>
      <c r="O360" s="2"/>
      <c r="P360" s="36"/>
      <c r="Q360" s="36"/>
      <c r="R360" s="36"/>
      <c r="S360" s="36"/>
      <c r="T360" s="36"/>
      <c r="U360" s="36"/>
      <c r="V360" s="36"/>
      <c r="W360" s="36"/>
      <c r="X360" s="36"/>
      <c r="Y360" s="36"/>
      <c r="Z360" s="36"/>
      <c r="AA360" s="36"/>
      <c r="AB360" s="2"/>
    </row>
    <row r="361" spans="1:28" s="5" customFormat="1" x14ac:dyDescent="0.25">
      <c r="A361" s="3"/>
      <c r="B361" s="3"/>
      <c r="C361" s="3"/>
      <c r="D361" s="3"/>
      <c r="E361" s="3" t="str">
        <f>KPI!$E$70</f>
        <v>неснижаемая доля налога УСН-доход</v>
      </c>
      <c r="F361" s="3"/>
      <c r="G361" s="3" t="str">
        <f>IF($E361="","",INDEX(KPI!$G:$G,SUMIFS(KPI!$B:$B,KPI!$E:$E,$E361)))</f>
        <v>%</v>
      </c>
      <c r="H361" s="3"/>
      <c r="I361" s="28"/>
      <c r="J361" s="2"/>
      <c r="K361" s="28"/>
      <c r="L361" s="2"/>
      <c r="M361" s="52"/>
      <c r="N361" s="3"/>
      <c r="O361" s="6"/>
      <c r="P361" s="229">
        <f>операции!P436</f>
        <v>0.5</v>
      </c>
      <c r="Q361" s="229">
        <f>операции!Q436</f>
        <v>0.5</v>
      </c>
      <c r="R361" s="229">
        <f>операции!R436</f>
        <v>0.5</v>
      </c>
      <c r="S361" s="229">
        <f>операции!S436</f>
        <v>0.5</v>
      </c>
      <c r="T361" s="229">
        <f>операции!T436</f>
        <v>0.5</v>
      </c>
      <c r="U361" s="229">
        <f>операции!U436</f>
        <v>0.5</v>
      </c>
      <c r="V361" s="229">
        <f>операции!V436</f>
        <v>0.5</v>
      </c>
      <c r="W361" s="229">
        <f>операции!W436</f>
        <v>0.5</v>
      </c>
      <c r="X361" s="229">
        <f>операции!X436</f>
        <v>0.5</v>
      </c>
      <c r="Y361" s="229">
        <f>операции!Y436</f>
        <v>0.5</v>
      </c>
      <c r="Z361" s="229">
        <f>операции!Z436</f>
        <v>0.5</v>
      </c>
      <c r="AA361" s="229">
        <f>операции!AA436</f>
        <v>0.5</v>
      </c>
      <c r="AB361" s="3"/>
    </row>
    <row r="362" spans="1:28" ht="3.9" customHeight="1" x14ac:dyDescent="0.25">
      <c r="A362" s="2"/>
      <c r="B362" s="2"/>
      <c r="C362" s="2"/>
      <c r="D362" s="2"/>
      <c r="E362" s="122"/>
      <c r="F362" s="2"/>
      <c r="G362" s="2"/>
      <c r="H362" s="2"/>
      <c r="I362" s="28"/>
      <c r="J362" s="2"/>
      <c r="K362" s="28"/>
      <c r="L362" s="2"/>
      <c r="M362" s="52"/>
      <c r="N362" s="2"/>
      <c r="O362" s="2"/>
      <c r="P362" s="36"/>
      <c r="Q362" s="36"/>
      <c r="R362" s="36"/>
      <c r="S362" s="36"/>
      <c r="T362" s="36"/>
      <c r="U362" s="36"/>
      <c r="V362" s="36"/>
      <c r="W362" s="36"/>
      <c r="X362" s="36"/>
      <c r="Y362" s="36"/>
      <c r="Z362" s="36"/>
      <c r="AA362" s="36"/>
      <c r="AB362" s="2"/>
    </row>
    <row r="363" spans="1:28" ht="3.9" customHeight="1" x14ac:dyDescent="0.25">
      <c r="A363" s="2"/>
      <c r="B363" s="2"/>
      <c r="C363" s="2"/>
      <c r="D363" s="2"/>
      <c r="E363" s="2"/>
      <c r="F363" s="2"/>
      <c r="G363" s="2"/>
      <c r="H363" s="2"/>
      <c r="I363" s="28"/>
      <c r="J363" s="2"/>
      <c r="K363" s="28"/>
      <c r="L363" s="2"/>
      <c r="M363" s="52"/>
      <c r="N363" s="2"/>
      <c r="O363" s="2"/>
      <c r="P363" s="36"/>
      <c r="Q363" s="36"/>
      <c r="R363" s="36"/>
      <c r="S363" s="36"/>
      <c r="T363" s="36"/>
      <c r="U363" s="36"/>
      <c r="V363" s="36"/>
      <c r="W363" s="36"/>
      <c r="X363" s="36"/>
      <c r="Y363" s="36"/>
      <c r="Z363" s="36"/>
      <c r="AA363" s="36"/>
      <c r="AB363" s="2"/>
    </row>
    <row r="364" spans="1:28" s="5" customFormat="1" x14ac:dyDescent="0.25">
      <c r="A364" s="3"/>
      <c r="B364" s="3"/>
      <c r="C364" s="3"/>
      <c r="D364" s="3"/>
      <c r="E364" s="3" t="str">
        <f>KPI!$E$71</f>
        <v>минимум налога УСН-доход-расход</v>
      </c>
      <c r="F364" s="3"/>
      <c r="G364" s="3" t="str">
        <f>IF($E364="","",INDEX(KPI!$G:$G,SUMIFS(KPI!$B:$B,KPI!$E:$E,$E364)))</f>
        <v>%</v>
      </c>
      <c r="H364" s="3"/>
      <c r="I364" s="28"/>
      <c r="J364" s="2"/>
      <c r="K364" s="28"/>
      <c r="L364" s="2"/>
      <c r="M364" s="52"/>
      <c r="N364" s="3"/>
      <c r="O364" s="6"/>
      <c r="P364" s="229">
        <f>операции!P439</f>
        <v>0.01</v>
      </c>
      <c r="Q364" s="229">
        <f>операции!Q439</f>
        <v>0.01</v>
      </c>
      <c r="R364" s="229">
        <f>операции!R439</f>
        <v>0.01</v>
      </c>
      <c r="S364" s="229">
        <f>операции!S439</f>
        <v>0.01</v>
      </c>
      <c r="T364" s="229">
        <f>операции!T439</f>
        <v>0.01</v>
      </c>
      <c r="U364" s="229">
        <f>операции!U439</f>
        <v>0.01</v>
      </c>
      <c r="V364" s="229">
        <f>операции!V439</f>
        <v>0.01</v>
      </c>
      <c r="W364" s="229">
        <f>операции!W439</f>
        <v>0.01</v>
      </c>
      <c r="X364" s="229">
        <f>операции!X439</f>
        <v>0.01</v>
      </c>
      <c r="Y364" s="229">
        <f>операции!Y439</f>
        <v>0.01</v>
      </c>
      <c r="Z364" s="229">
        <f>операции!Z439</f>
        <v>0.01</v>
      </c>
      <c r="AA364" s="229">
        <f>операции!AA439</f>
        <v>0.01</v>
      </c>
      <c r="AB364" s="3"/>
    </row>
    <row r="365" spans="1:28" ht="3.9" customHeight="1" x14ac:dyDescent="0.25">
      <c r="A365" s="2"/>
      <c r="B365" s="2"/>
      <c r="C365" s="2"/>
      <c r="D365" s="2"/>
      <c r="E365" s="122"/>
      <c r="F365" s="2"/>
      <c r="G365" s="2"/>
      <c r="H365" s="2"/>
      <c r="I365" s="28"/>
      <c r="J365" s="2"/>
      <c r="K365" s="28"/>
      <c r="L365" s="2"/>
      <c r="M365" s="52"/>
      <c r="N365" s="2"/>
      <c r="O365" s="2"/>
      <c r="P365" s="36"/>
      <c r="Q365" s="36"/>
      <c r="R365" s="36"/>
      <c r="S365" s="36"/>
      <c r="T365" s="36"/>
      <c r="U365" s="36"/>
      <c r="V365" s="36"/>
      <c r="W365" s="36"/>
      <c r="X365" s="36"/>
      <c r="Y365" s="36"/>
      <c r="Z365" s="36"/>
      <c r="AA365" s="36"/>
      <c r="AB365" s="2"/>
    </row>
    <row r="366" spans="1:28" ht="3.9" customHeight="1" x14ac:dyDescent="0.25">
      <c r="A366" s="2"/>
      <c r="B366" s="2"/>
      <c r="C366" s="2"/>
      <c r="D366" s="2"/>
      <c r="E366" s="2"/>
      <c r="F366" s="2"/>
      <c r="G366" s="2"/>
      <c r="H366" s="2"/>
      <c r="I366" s="28"/>
      <c r="J366" s="2"/>
      <c r="K366" s="28"/>
      <c r="L366" s="2"/>
      <c r="M366" s="52"/>
      <c r="N366" s="2"/>
      <c r="O366" s="2"/>
      <c r="P366" s="36"/>
      <c r="Q366" s="36"/>
      <c r="R366" s="36"/>
      <c r="S366" s="36"/>
      <c r="T366" s="36"/>
      <c r="U366" s="36"/>
      <c r="V366" s="36"/>
      <c r="W366" s="36"/>
      <c r="X366" s="36"/>
      <c r="Y366" s="36"/>
      <c r="Z366" s="36"/>
      <c r="AA366" s="36"/>
      <c r="AB366" s="2"/>
    </row>
    <row r="367" spans="1:28" s="5" customFormat="1" x14ac:dyDescent="0.25">
      <c r="A367" s="3"/>
      <c r="B367" s="3"/>
      <c r="C367" s="3"/>
      <c r="D367" s="3"/>
      <c r="E367" s="3" t="str">
        <f>KPI!$E$72</f>
        <v>ставка налога на имущество</v>
      </c>
      <c r="F367" s="3"/>
      <c r="G367" s="3" t="str">
        <f>IF($E367="","",INDEX(KPI!$G:$G,SUMIFS(KPI!$B:$B,KPI!$E:$E,$E367)))</f>
        <v>%</v>
      </c>
      <c r="H367" s="3"/>
      <c r="I367" s="28"/>
      <c r="J367" s="2"/>
      <c r="K367" s="28"/>
      <c r="L367" s="2"/>
      <c r="M367" s="52"/>
      <c r="N367" s="3"/>
      <c r="O367" s="6"/>
      <c r="P367" s="229">
        <f>операции!P442</f>
        <v>2.1999999999999999E-2</v>
      </c>
      <c r="Q367" s="229">
        <f>операции!Q442</f>
        <v>2.1999999999999999E-2</v>
      </c>
      <c r="R367" s="229">
        <f>операции!R442</f>
        <v>2.1999999999999999E-2</v>
      </c>
      <c r="S367" s="229">
        <f>операции!S442</f>
        <v>2.1999999999999999E-2</v>
      </c>
      <c r="T367" s="229">
        <f>операции!T442</f>
        <v>2.1999999999999999E-2</v>
      </c>
      <c r="U367" s="229">
        <f>операции!U442</f>
        <v>2.1999999999999999E-2</v>
      </c>
      <c r="V367" s="229">
        <f>операции!V442</f>
        <v>2.1999999999999999E-2</v>
      </c>
      <c r="W367" s="229">
        <f>операции!W442</f>
        <v>2.1999999999999999E-2</v>
      </c>
      <c r="X367" s="229">
        <f>операции!X442</f>
        <v>2.1999999999999999E-2</v>
      </c>
      <c r="Y367" s="229">
        <f>операции!Y442</f>
        <v>2.1999999999999999E-2</v>
      </c>
      <c r="Z367" s="229">
        <f>операции!Z442</f>
        <v>2.1999999999999999E-2</v>
      </c>
      <c r="AA367" s="229">
        <f>операции!AA442</f>
        <v>2.1999999999999999E-2</v>
      </c>
      <c r="AB367" s="3"/>
    </row>
    <row r="368" spans="1:28" ht="3.9" customHeight="1" x14ac:dyDescent="0.25">
      <c r="A368" s="2"/>
      <c r="B368" s="2"/>
      <c r="C368" s="2"/>
      <c r="D368" s="2"/>
      <c r="E368" s="122"/>
      <c r="F368" s="2"/>
      <c r="G368" s="2"/>
      <c r="H368" s="2"/>
      <c r="I368" s="28"/>
      <c r="J368" s="2"/>
      <c r="K368" s="28"/>
      <c r="L368" s="2"/>
      <c r="M368" s="52"/>
      <c r="N368" s="2"/>
      <c r="O368" s="2"/>
      <c r="P368" s="36"/>
      <c r="Q368" s="36"/>
      <c r="R368" s="36"/>
      <c r="S368" s="36"/>
      <c r="T368" s="36"/>
      <c r="U368" s="36"/>
      <c r="V368" s="36"/>
      <c r="W368" s="36"/>
      <c r="X368" s="36"/>
      <c r="Y368" s="36"/>
      <c r="Z368" s="36"/>
      <c r="AA368" s="36"/>
      <c r="AB368" s="2"/>
    </row>
    <row r="369" spans="1:28" ht="3.9" customHeight="1" x14ac:dyDescent="0.25">
      <c r="A369" s="2"/>
      <c r="B369" s="2"/>
      <c r="C369" s="2"/>
      <c r="D369" s="2"/>
      <c r="E369" s="2"/>
      <c r="F369" s="2"/>
      <c r="G369" s="2"/>
      <c r="H369" s="2"/>
      <c r="I369" s="28"/>
      <c r="J369" s="2"/>
      <c r="K369" s="28"/>
      <c r="L369" s="2"/>
      <c r="M369" s="52"/>
      <c r="N369" s="2"/>
      <c r="O369" s="2"/>
      <c r="P369" s="36"/>
      <c r="Q369" s="36"/>
      <c r="R369" s="36"/>
      <c r="S369" s="36"/>
      <c r="T369" s="36"/>
      <c r="U369" s="36"/>
      <c r="V369" s="36"/>
      <c r="W369" s="36"/>
      <c r="X369" s="36"/>
      <c r="Y369" s="36"/>
      <c r="Z369" s="36"/>
      <c r="AA369" s="36"/>
      <c r="AB369" s="2"/>
    </row>
    <row r="370" spans="1:28" s="5" customFormat="1" x14ac:dyDescent="0.25">
      <c r="A370" s="3"/>
      <c r="B370" s="3"/>
      <c r="C370" s="3"/>
      <c r="D370" s="3"/>
      <c r="E370" s="3" t="str">
        <f>KPI!$E$73</f>
        <v>ставка дисконтирования</v>
      </c>
      <c r="F370" s="3"/>
      <c r="G370" s="3" t="str">
        <f>IF($E370="","",INDEX(KPI!$G:$G,SUMIFS(KPI!$B:$B,KPI!$E:$E,$E370)))</f>
        <v>%</v>
      </c>
      <c r="H370" s="3"/>
      <c r="I370" s="28"/>
      <c r="J370" s="3"/>
      <c r="K370" s="28"/>
      <c r="L370" s="3"/>
      <c r="M370" s="55"/>
      <c r="N370" s="3"/>
      <c r="O370" s="6"/>
      <c r="P370" s="230">
        <f>операции!P445</f>
        <v>0.1</v>
      </c>
      <c r="Q370" s="230">
        <f>операции!Q445</f>
        <v>0.1</v>
      </c>
      <c r="R370" s="230">
        <f>операции!R445</f>
        <v>0.1</v>
      </c>
      <c r="S370" s="230">
        <f>операции!S445</f>
        <v>0.1</v>
      </c>
      <c r="T370" s="230">
        <f>операции!T445</f>
        <v>0.1</v>
      </c>
      <c r="U370" s="230">
        <f>операции!U445</f>
        <v>0.1</v>
      </c>
      <c r="V370" s="230">
        <f>операции!V445</f>
        <v>0.1</v>
      </c>
      <c r="W370" s="230">
        <f>операции!W445</f>
        <v>0.1</v>
      </c>
      <c r="X370" s="230">
        <f>операции!X445</f>
        <v>0.1</v>
      </c>
      <c r="Y370" s="230">
        <f>операции!Y445</f>
        <v>0.1</v>
      </c>
      <c r="Z370" s="230">
        <f>операции!Z445</f>
        <v>0.1</v>
      </c>
      <c r="AA370" s="230">
        <f>операции!AA445</f>
        <v>0.1</v>
      </c>
      <c r="AB370" s="3"/>
    </row>
    <row r="371" spans="1:28" ht="3.9" customHeight="1" x14ac:dyDescent="0.25">
      <c r="A371" s="2"/>
      <c r="B371" s="2"/>
      <c r="C371" s="2"/>
      <c r="D371" s="2"/>
      <c r="E371" s="122"/>
      <c r="F371" s="2"/>
      <c r="G371" s="2"/>
      <c r="H371" s="2"/>
      <c r="I371" s="28"/>
      <c r="J371" s="2"/>
      <c r="K371" s="28"/>
      <c r="L371" s="2"/>
      <c r="M371" s="52"/>
      <c r="N371" s="2"/>
      <c r="O371" s="2"/>
      <c r="P371" s="36"/>
      <c r="Q371" s="36"/>
      <c r="R371" s="36"/>
      <c r="S371" s="36"/>
      <c r="T371" s="36"/>
      <c r="U371" s="36"/>
      <c r="V371" s="36"/>
      <c r="W371" s="36"/>
      <c r="X371" s="36"/>
      <c r="Y371" s="36"/>
      <c r="Z371" s="36"/>
      <c r="AA371" s="36"/>
      <c r="AB371" s="2"/>
    </row>
    <row r="372" spans="1:28" x14ac:dyDescent="0.25">
      <c r="A372" s="2"/>
      <c r="B372" s="2"/>
      <c r="C372" s="2"/>
      <c r="D372" s="2"/>
      <c r="E372" s="2"/>
      <c r="F372" s="2"/>
      <c r="G372" s="2"/>
      <c r="H372" s="2"/>
      <c r="I372" s="28"/>
      <c r="J372" s="2"/>
      <c r="K372" s="28"/>
      <c r="L372" s="2"/>
      <c r="M372" s="52"/>
      <c r="N372" s="2"/>
      <c r="O372" s="2"/>
      <c r="P372" s="36"/>
      <c r="Q372" s="36"/>
      <c r="R372" s="36"/>
      <c r="S372" s="36"/>
      <c r="T372" s="36"/>
      <c r="U372" s="36"/>
      <c r="V372" s="36"/>
      <c r="W372" s="36"/>
      <c r="X372" s="36"/>
      <c r="Y372" s="36"/>
      <c r="Z372" s="36"/>
      <c r="AA372" s="36"/>
      <c r="AB372" s="2"/>
    </row>
    <row r="373" spans="1:28" ht="8.1" customHeight="1" x14ac:dyDescent="0.25">
      <c r="A373" s="2"/>
      <c r="B373" s="2"/>
      <c r="C373" s="2"/>
      <c r="D373" s="2"/>
      <c r="E373" s="2"/>
      <c r="F373" s="2"/>
      <c r="G373" s="2"/>
      <c r="H373" s="2"/>
      <c r="I373" s="28"/>
      <c r="J373" s="2"/>
      <c r="K373" s="28"/>
      <c r="L373" s="2"/>
      <c r="M373" s="52"/>
      <c r="N373" s="2"/>
      <c r="O373" s="2"/>
      <c r="P373" s="36"/>
      <c r="Q373" s="36"/>
      <c r="R373" s="36"/>
      <c r="S373" s="36"/>
      <c r="T373" s="36"/>
      <c r="U373" s="36"/>
      <c r="V373" s="36"/>
      <c r="W373" s="36"/>
      <c r="X373" s="36"/>
      <c r="Y373" s="36"/>
      <c r="Z373" s="36"/>
      <c r="AA373" s="36"/>
      <c r="AB373" s="2"/>
    </row>
    <row r="374" spans="1:28" s="5" customFormat="1" x14ac:dyDescent="0.25">
      <c r="A374" s="3"/>
      <c r="B374" s="3"/>
      <c r="C374" s="3"/>
      <c r="D374" s="148"/>
      <c r="E374" s="3" t="str">
        <f>KPI!$E$84</f>
        <v>амортизация кап/затрат</v>
      </c>
      <c r="F374" s="3"/>
      <c r="G374" s="3" t="str">
        <f>IF($E374="","",INDEX(KPI!$G:$G,SUMIFS(KPI!$B:$B,KPI!$E:$E,$E374)))</f>
        <v>тыс.руб.</v>
      </c>
      <c r="H374" s="103"/>
      <c r="I374" s="28"/>
      <c r="J374" s="44"/>
      <c r="K374" s="28"/>
      <c r="L374" s="3"/>
      <c r="M374" s="55">
        <f>SUM($O374:$AB374)</f>
        <v>14970.374840000004</v>
      </c>
      <c r="N374" s="3"/>
      <c r="O374" s="3"/>
      <c r="P374" s="46">
        <f>IF(P$1="",0,IF(P$1=0,SUMIFS(P375:P386,H375:H386,"&gt;="&amp;MONTH($J$13)),SUM(P375:P386)))</f>
        <v>2138.6249771428579</v>
      </c>
      <c r="Q374" s="46">
        <f t="shared" ref="Q374" si="90">IF(Q$1="",0,SUM(Q375:Q386))</f>
        <v>2138.6249771428579</v>
      </c>
      <c r="R374" s="46">
        <f t="shared" ref="R374:AA374" si="91">IF(R$1="",0,SUM(R375:R386))</f>
        <v>2138.6249771428579</v>
      </c>
      <c r="S374" s="46">
        <f t="shared" si="91"/>
        <v>2138.6249771428579</v>
      </c>
      <c r="T374" s="46">
        <f t="shared" si="91"/>
        <v>2138.6249771428579</v>
      </c>
      <c r="U374" s="46">
        <f t="shared" si="91"/>
        <v>2138.6249771428579</v>
      </c>
      <c r="V374" s="46">
        <f t="shared" si="91"/>
        <v>2138.6249771428579</v>
      </c>
      <c r="W374" s="46">
        <f t="shared" si="91"/>
        <v>0</v>
      </c>
      <c r="X374" s="46">
        <f t="shared" si="91"/>
        <v>0</v>
      </c>
      <c r="Y374" s="46">
        <f t="shared" si="91"/>
        <v>0</v>
      </c>
      <c r="Z374" s="46">
        <f t="shared" si="91"/>
        <v>0</v>
      </c>
      <c r="AA374" s="46">
        <f t="shared" si="91"/>
        <v>0</v>
      </c>
      <c r="AB374" s="3"/>
    </row>
    <row r="375" spans="1:28" s="23" customFormat="1" ht="10.199999999999999" x14ac:dyDescent="0.2">
      <c r="A375" s="22"/>
      <c r="B375" s="22"/>
      <c r="C375" s="22"/>
      <c r="D375" s="22"/>
      <c r="E375" s="22" t="str">
        <f>E374</f>
        <v>амортизация кап/затрат</v>
      </c>
      <c r="F375" s="22"/>
      <c r="G375" s="22" t="str">
        <f>IF($E375="","",INDEX(KPI!$G:$G,SUMIFS(KPI!$B:$B,KPI!$E:$E,$E375)))</f>
        <v>тыс.руб.</v>
      </c>
      <c r="H375" s="100">
        <f>структура!$V$12</f>
        <v>1</v>
      </c>
      <c r="I375" s="31"/>
      <c r="J375" s="98" t="str">
        <f>структура!$X$12</f>
        <v>янв</v>
      </c>
      <c r="K375" s="99"/>
      <c r="L375" s="22"/>
      <c r="M375" s="58"/>
      <c r="N375" s="22"/>
      <c r="O375" s="22"/>
      <c r="P375" s="101">
        <f>IF(P$1="",0,IF(AND(P$1=0,$H375&lt;MONTH($J$13)),0,IF(((YEAR(P$8)-1)*12+$H375)-((YEAR($J$13)-1)*12+MONTH($J$13))+1&gt;капитал!$J$105*12,0,IF(капитал!$J$105=0,0,капитал!$M$102/(капитал!$J$105*12)))))</f>
        <v>178.21874809523811</v>
      </c>
      <c r="Q375" s="101">
        <f>IF(Q$1="",0,IF(AND(Q$1=0,$H375&lt;MONTH($J$13)),0,IF(((YEAR(Q$8)-1)*12+$H375)-((YEAR($J$13)-1)*12+MONTH($J$13))+1&gt;капитал!$J$105*12,0,IF(капитал!$J$105=0,0,капитал!$M$102/(капитал!$J$105*12)))))</f>
        <v>178.21874809523811</v>
      </c>
      <c r="R375" s="101">
        <f>IF(R$1="",0,IF(AND(R$1=0,$H375&lt;MONTH($J$13)),0,IF(((YEAR(R$8)-1)*12+$H375)-((YEAR($J$13)-1)*12+MONTH($J$13))+1&gt;капитал!$J$105*12,0,IF(капитал!$J$105=0,0,капитал!$M$102/(капитал!$J$105*12)))))</f>
        <v>178.21874809523811</v>
      </c>
      <c r="S375" s="101">
        <f>IF(S$1="",0,IF(AND(S$1=0,$H375&lt;MONTH($J$13)),0,IF(((YEAR(S$8)-1)*12+$H375)-((YEAR($J$13)-1)*12+MONTH($J$13))+1&gt;капитал!$J$105*12,0,IF(капитал!$J$105=0,0,капитал!$M$102/(капитал!$J$105*12)))))</f>
        <v>178.21874809523811</v>
      </c>
      <c r="T375" s="101">
        <f>IF(T$1="",0,IF(AND(T$1=0,$H375&lt;MONTH($J$13)),0,IF(((YEAR(T$8)-1)*12+$H375)-((YEAR($J$13)-1)*12+MONTH($J$13))+1&gt;капитал!$J$105*12,0,IF(капитал!$J$105=0,0,капитал!$M$102/(капитал!$J$105*12)))))</f>
        <v>178.21874809523811</v>
      </c>
      <c r="U375" s="101">
        <f>IF(U$1="",0,IF(AND(U$1=0,$H375&lt;MONTH($J$13)),0,IF(((YEAR(U$8)-1)*12+$H375)-((YEAR($J$13)-1)*12+MONTH($J$13))+1&gt;капитал!$J$105*12,0,IF(капитал!$J$105=0,0,капитал!$M$102/(капитал!$J$105*12)))))</f>
        <v>178.21874809523811</v>
      </c>
      <c r="V375" s="101">
        <f>IF(V$1="",0,IF(AND(V$1=0,$H375&lt;MONTH($J$13)),0,IF(((YEAR(V$8)-1)*12+$H375)-((YEAR($J$13)-1)*12+MONTH($J$13))+1&gt;капитал!$J$105*12,0,IF(капитал!$J$105=0,0,капитал!$M$102/(капитал!$J$105*12)))))</f>
        <v>178.21874809523811</v>
      </c>
      <c r="W375" s="101">
        <f>IF(W$1="",0,IF(AND(W$1=0,$H375&lt;MONTH($J$13)),0,IF(((YEAR(W$8)-1)*12+$H375)-((YEAR($J$13)-1)*12+MONTH($J$13))+1&gt;капитал!$J$105*12,0,IF(капитал!$J$105=0,0,капитал!$M$102/(капитал!$J$105*12)))))</f>
        <v>0</v>
      </c>
      <c r="X375" s="101">
        <f>IF(X$1="",0,IF(AND(X$1=0,$H375&lt;MONTH($J$13)),0,IF(((YEAR(X$8)-1)*12+$H375)-((YEAR($J$13)-1)*12+MONTH($J$13))+1&gt;капитал!$J$105*12,0,IF(капитал!$J$105=0,0,капитал!$M$102/(капитал!$J$105*12)))))</f>
        <v>0</v>
      </c>
      <c r="Y375" s="101">
        <f>IF(Y$1="",0,IF(AND(Y$1=0,$H375&lt;MONTH($J$13)),0,IF(((YEAR(Y$8)-1)*12+$H375)-((YEAR($J$13)-1)*12+MONTH($J$13))+1&gt;капитал!$J$105*12,0,IF(капитал!$J$105=0,0,капитал!$M$102/(капитал!$J$105*12)))))</f>
        <v>0</v>
      </c>
      <c r="Z375" s="101">
        <f>IF(Z$1="",0,IF(AND(Z$1=0,$H375&lt;MONTH($J$13)),0,IF(((YEAR(Z$8)-1)*12+$H375)-((YEAR($J$13)-1)*12+MONTH($J$13))+1&gt;капитал!$J$105*12,0,IF(капитал!$J$105=0,0,капитал!$M$102/(капитал!$J$105*12)))))</f>
        <v>0</v>
      </c>
      <c r="AA375" s="101">
        <f>IF(AA$1="",0,IF(AND(AA$1=0,$H375&lt;MONTH($J$13)),0,IF(((YEAR(AA$8)-1)*12+$H375)-((YEAR($J$13)-1)*12+MONTH($J$13))+1&gt;капитал!$J$105*12,0,IF(капитал!$J$105=0,0,капитал!$M$102/(капитал!$J$105*12)))))</f>
        <v>0</v>
      </c>
      <c r="AB375" s="22"/>
    </row>
    <row r="376" spans="1:28" s="23" customFormat="1" ht="10.199999999999999" x14ac:dyDescent="0.2">
      <c r="A376" s="22"/>
      <c r="B376" s="22"/>
      <c r="C376" s="22"/>
      <c r="D376" s="22"/>
      <c r="E376" s="22" t="str">
        <f>E374</f>
        <v>амортизация кап/затрат</v>
      </c>
      <c r="F376" s="22"/>
      <c r="G376" s="22" t="str">
        <f>IF($E376="","",INDEX(KPI!$G:$G,SUMIFS(KPI!$B:$B,KPI!$E:$E,$E376)))</f>
        <v>тыс.руб.</v>
      </c>
      <c r="H376" s="100">
        <f>структура!$V$13</f>
        <v>2</v>
      </c>
      <c r="I376" s="31"/>
      <c r="J376" s="98" t="str">
        <f>структура!$X$13</f>
        <v>фев</v>
      </c>
      <c r="K376" s="99"/>
      <c r="L376" s="22"/>
      <c r="M376" s="58"/>
      <c r="N376" s="22"/>
      <c r="O376" s="22"/>
      <c r="P376" s="101">
        <f>IF(P$1="",0,IF(AND(P$1=0,$H376&lt;MONTH($J$13)),0,IF(((YEAR(P$8)-1)*12+$H376)-((YEAR($J$13)-1)*12+MONTH($J$13))+1&gt;капитал!$J$105*12,0,IF(капитал!$J$105=0,0,капитал!$M$102/(капитал!$J$105*12)))))</f>
        <v>178.21874809523811</v>
      </c>
      <c r="Q376" s="101">
        <f>IF(Q$1="",0,IF(AND(Q$1=0,$H376&lt;MONTH($J$13)),0,IF(((YEAR(Q$8)-1)*12+$H376)-((YEAR($J$13)-1)*12+MONTH($J$13))+1&gt;капитал!$J$105*12,0,IF(капитал!$J$105=0,0,капитал!$M$102/(капитал!$J$105*12)))))</f>
        <v>178.21874809523811</v>
      </c>
      <c r="R376" s="101">
        <f>IF(R$1="",0,IF(AND(R$1=0,$H376&lt;MONTH($J$13)),0,IF(((YEAR(R$8)-1)*12+$H376)-((YEAR($J$13)-1)*12+MONTH($J$13))+1&gt;капитал!$J$105*12,0,IF(капитал!$J$105=0,0,капитал!$M$102/(капитал!$J$105*12)))))</f>
        <v>178.21874809523811</v>
      </c>
      <c r="S376" s="101">
        <f>IF(S$1="",0,IF(AND(S$1=0,$H376&lt;MONTH($J$13)),0,IF(((YEAR(S$8)-1)*12+$H376)-((YEAR($J$13)-1)*12+MONTH($J$13))+1&gt;капитал!$J$105*12,0,IF(капитал!$J$105=0,0,капитал!$M$102/(капитал!$J$105*12)))))</f>
        <v>178.21874809523811</v>
      </c>
      <c r="T376" s="101">
        <f>IF(T$1="",0,IF(AND(T$1=0,$H376&lt;MONTH($J$13)),0,IF(((YEAR(T$8)-1)*12+$H376)-((YEAR($J$13)-1)*12+MONTH($J$13))+1&gt;капитал!$J$105*12,0,IF(капитал!$J$105=0,0,капитал!$M$102/(капитал!$J$105*12)))))</f>
        <v>178.21874809523811</v>
      </c>
      <c r="U376" s="101">
        <f>IF(U$1="",0,IF(AND(U$1=0,$H376&lt;MONTH($J$13)),0,IF(((YEAR(U$8)-1)*12+$H376)-((YEAR($J$13)-1)*12+MONTH($J$13))+1&gt;капитал!$J$105*12,0,IF(капитал!$J$105=0,0,капитал!$M$102/(капитал!$J$105*12)))))</f>
        <v>178.21874809523811</v>
      </c>
      <c r="V376" s="101">
        <f>IF(V$1="",0,IF(AND(V$1=0,$H376&lt;MONTH($J$13)),0,IF(((YEAR(V$8)-1)*12+$H376)-((YEAR($J$13)-1)*12+MONTH($J$13))+1&gt;капитал!$J$105*12,0,IF(капитал!$J$105=0,0,капитал!$M$102/(капитал!$J$105*12)))))</f>
        <v>178.21874809523811</v>
      </c>
      <c r="W376" s="101">
        <f>IF(W$1="",0,IF(AND(W$1=0,$H376&lt;MONTH($J$13)),0,IF(((YEAR(W$8)-1)*12+$H376)-((YEAR($J$13)-1)*12+MONTH($J$13))+1&gt;капитал!$J$105*12,0,IF(капитал!$J$105=0,0,капитал!$M$102/(капитал!$J$105*12)))))</f>
        <v>0</v>
      </c>
      <c r="X376" s="101">
        <f>IF(X$1="",0,IF(AND(X$1=0,$H376&lt;MONTH($J$13)),0,IF(((YEAR(X$8)-1)*12+$H376)-((YEAR($J$13)-1)*12+MONTH($J$13))+1&gt;капитал!$J$105*12,0,IF(капитал!$J$105=0,0,капитал!$M$102/(капитал!$J$105*12)))))</f>
        <v>0</v>
      </c>
      <c r="Y376" s="101">
        <f>IF(Y$1="",0,IF(AND(Y$1=0,$H376&lt;MONTH($J$13)),0,IF(((YEAR(Y$8)-1)*12+$H376)-((YEAR($J$13)-1)*12+MONTH($J$13))+1&gt;капитал!$J$105*12,0,IF(капитал!$J$105=0,0,капитал!$M$102/(капитал!$J$105*12)))))</f>
        <v>0</v>
      </c>
      <c r="Z376" s="101">
        <f>IF(Z$1="",0,IF(AND(Z$1=0,$H376&lt;MONTH($J$13)),0,IF(((YEAR(Z$8)-1)*12+$H376)-((YEAR($J$13)-1)*12+MONTH($J$13))+1&gt;капитал!$J$105*12,0,IF(капитал!$J$105=0,0,капитал!$M$102/(капитал!$J$105*12)))))</f>
        <v>0</v>
      </c>
      <c r="AA376" s="101">
        <f>IF(AA$1="",0,IF(AND(AA$1=0,$H376&lt;MONTH($J$13)),0,IF(((YEAR(AA$8)-1)*12+$H376)-((YEAR($J$13)-1)*12+MONTH($J$13))+1&gt;капитал!$J$105*12,0,IF(капитал!$J$105=0,0,капитал!$M$102/(капитал!$J$105*12)))))</f>
        <v>0</v>
      </c>
      <c r="AB376" s="22"/>
    </row>
    <row r="377" spans="1:28" s="23" customFormat="1" ht="10.199999999999999" x14ac:dyDescent="0.2">
      <c r="A377" s="22"/>
      <c r="B377" s="22"/>
      <c r="C377" s="22"/>
      <c r="D377" s="22"/>
      <c r="E377" s="22" t="str">
        <f>E374</f>
        <v>амортизация кап/затрат</v>
      </c>
      <c r="F377" s="22"/>
      <c r="G377" s="22" t="str">
        <f>IF($E377="","",INDEX(KPI!$G:$G,SUMIFS(KPI!$B:$B,KPI!$E:$E,$E377)))</f>
        <v>тыс.руб.</v>
      </c>
      <c r="H377" s="100">
        <f>структура!$V$14</f>
        <v>3</v>
      </c>
      <c r="I377" s="31"/>
      <c r="J377" s="98" t="str">
        <f>структура!$X$14</f>
        <v>мар</v>
      </c>
      <c r="K377" s="99"/>
      <c r="L377" s="22"/>
      <c r="M377" s="58"/>
      <c r="N377" s="22"/>
      <c r="O377" s="22"/>
      <c r="P377" s="101">
        <f>IF(P$1="",0,IF(AND(P$1=0,$H377&lt;MONTH($J$13)),0,IF(((YEAR(P$8)-1)*12+$H377)-((YEAR($J$13)-1)*12+MONTH($J$13))+1&gt;капитал!$J$105*12,0,IF(капитал!$J$105=0,0,капитал!$M$102/(капитал!$J$105*12)))))</f>
        <v>178.21874809523811</v>
      </c>
      <c r="Q377" s="101">
        <f>IF(Q$1="",0,IF(AND(Q$1=0,$H377&lt;MONTH($J$13)),0,IF(((YEAR(Q$8)-1)*12+$H377)-((YEAR($J$13)-1)*12+MONTH($J$13))+1&gt;капитал!$J$105*12,0,IF(капитал!$J$105=0,0,капитал!$M$102/(капитал!$J$105*12)))))</f>
        <v>178.21874809523811</v>
      </c>
      <c r="R377" s="101">
        <f>IF(R$1="",0,IF(AND(R$1=0,$H377&lt;MONTH($J$13)),0,IF(((YEAR(R$8)-1)*12+$H377)-((YEAR($J$13)-1)*12+MONTH($J$13))+1&gt;капитал!$J$105*12,0,IF(капитал!$J$105=0,0,капитал!$M$102/(капитал!$J$105*12)))))</f>
        <v>178.21874809523811</v>
      </c>
      <c r="S377" s="101">
        <f>IF(S$1="",0,IF(AND(S$1=0,$H377&lt;MONTH($J$13)),0,IF(((YEAR(S$8)-1)*12+$H377)-((YEAR($J$13)-1)*12+MONTH($J$13))+1&gt;капитал!$J$105*12,0,IF(капитал!$J$105=0,0,капитал!$M$102/(капитал!$J$105*12)))))</f>
        <v>178.21874809523811</v>
      </c>
      <c r="T377" s="101">
        <f>IF(T$1="",0,IF(AND(T$1=0,$H377&lt;MONTH($J$13)),0,IF(((YEAR(T$8)-1)*12+$H377)-((YEAR($J$13)-1)*12+MONTH($J$13))+1&gt;капитал!$J$105*12,0,IF(капитал!$J$105=0,0,капитал!$M$102/(капитал!$J$105*12)))))</f>
        <v>178.21874809523811</v>
      </c>
      <c r="U377" s="101">
        <f>IF(U$1="",0,IF(AND(U$1=0,$H377&lt;MONTH($J$13)),0,IF(((YEAR(U$8)-1)*12+$H377)-((YEAR($J$13)-1)*12+MONTH($J$13))+1&gt;капитал!$J$105*12,0,IF(капитал!$J$105=0,0,капитал!$M$102/(капитал!$J$105*12)))))</f>
        <v>178.21874809523811</v>
      </c>
      <c r="V377" s="101">
        <f>IF(V$1="",0,IF(AND(V$1=0,$H377&lt;MONTH($J$13)),0,IF(((YEAR(V$8)-1)*12+$H377)-((YEAR($J$13)-1)*12+MONTH($J$13))+1&gt;капитал!$J$105*12,0,IF(капитал!$J$105=0,0,капитал!$M$102/(капитал!$J$105*12)))))</f>
        <v>178.21874809523811</v>
      </c>
      <c r="W377" s="101">
        <f>IF(W$1="",0,IF(AND(W$1=0,$H377&lt;MONTH($J$13)),0,IF(((YEAR(W$8)-1)*12+$H377)-((YEAR($J$13)-1)*12+MONTH($J$13))+1&gt;капитал!$J$105*12,0,IF(капитал!$J$105=0,0,капитал!$M$102/(капитал!$J$105*12)))))</f>
        <v>0</v>
      </c>
      <c r="X377" s="101">
        <f>IF(X$1="",0,IF(AND(X$1=0,$H377&lt;MONTH($J$13)),0,IF(((YEAR(X$8)-1)*12+$H377)-((YEAR($J$13)-1)*12+MONTH($J$13))+1&gt;капитал!$J$105*12,0,IF(капитал!$J$105=0,0,капитал!$M$102/(капитал!$J$105*12)))))</f>
        <v>0</v>
      </c>
      <c r="Y377" s="101">
        <f>IF(Y$1="",0,IF(AND(Y$1=0,$H377&lt;MONTH($J$13)),0,IF(((YEAR(Y$8)-1)*12+$H377)-((YEAR($J$13)-1)*12+MONTH($J$13))+1&gt;капитал!$J$105*12,0,IF(капитал!$J$105=0,0,капитал!$M$102/(капитал!$J$105*12)))))</f>
        <v>0</v>
      </c>
      <c r="Z377" s="101">
        <f>IF(Z$1="",0,IF(AND(Z$1=0,$H377&lt;MONTH($J$13)),0,IF(((YEAR(Z$8)-1)*12+$H377)-((YEAR($J$13)-1)*12+MONTH($J$13))+1&gt;капитал!$J$105*12,0,IF(капитал!$J$105=0,0,капитал!$M$102/(капитал!$J$105*12)))))</f>
        <v>0</v>
      </c>
      <c r="AA377" s="101">
        <f>IF(AA$1="",0,IF(AND(AA$1=0,$H377&lt;MONTH($J$13)),0,IF(((YEAR(AA$8)-1)*12+$H377)-((YEAR($J$13)-1)*12+MONTH($J$13))+1&gt;капитал!$J$105*12,0,IF(капитал!$J$105=0,0,капитал!$M$102/(капитал!$J$105*12)))))</f>
        <v>0</v>
      </c>
      <c r="AB377" s="22"/>
    </row>
    <row r="378" spans="1:28" s="23" customFormat="1" ht="10.199999999999999" x14ac:dyDescent="0.2">
      <c r="A378" s="22"/>
      <c r="B378" s="22"/>
      <c r="C378" s="22"/>
      <c r="D378" s="22"/>
      <c r="E378" s="22" t="str">
        <f>E374</f>
        <v>амортизация кап/затрат</v>
      </c>
      <c r="F378" s="22"/>
      <c r="G378" s="22" t="str">
        <f>IF($E378="","",INDEX(KPI!$G:$G,SUMIFS(KPI!$B:$B,KPI!$E:$E,$E378)))</f>
        <v>тыс.руб.</v>
      </c>
      <c r="H378" s="100">
        <f>структура!$V$15</f>
        <v>4</v>
      </c>
      <c r="I378" s="31"/>
      <c r="J378" s="98" t="str">
        <f>структура!$X$15</f>
        <v>апр</v>
      </c>
      <c r="K378" s="99"/>
      <c r="L378" s="22"/>
      <c r="M378" s="58"/>
      <c r="N378" s="22"/>
      <c r="O378" s="22"/>
      <c r="P378" s="101">
        <f>IF(P$1="",0,IF(AND(P$1=0,$H378&lt;MONTH($J$13)),0,IF(((YEAR(P$8)-1)*12+$H378)-((YEAR($J$13)-1)*12+MONTH($J$13))+1&gt;капитал!$J$105*12,0,IF(капитал!$J$105=0,0,капитал!$M$102/(капитал!$J$105*12)))))</f>
        <v>178.21874809523811</v>
      </c>
      <c r="Q378" s="101">
        <f>IF(Q$1="",0,IF(AND(Q$1=0,$H378&lt;MONTH($J$13)),0,IF(((YEAR(Q$8)-1)*12+$H378)-((YEAR($J$13)-1)*12+MONTH($J$13))+1&gt;капитал!$J$105*12,0,IF(капитал!$J$105=0,0,капитал!$M$102/(капитал!$J$105*12)))))</f>
        <v>178.21874809523811</v>
      </c>
      <c r="R378" s="101">
        <f>IF(R$1="",0,IF(AND(R$1=0,$H378&lt;MONTH($J$13)),0,IF(((YEAR(R$8)-1)*12+$H378)-((YEAR($J$13)-1)*12+MONTH($J$13))+1&gt;капитал!$J$105*12,0,IF(капитал!$J$105=0,0,капитал!$M$102/(капитал!$J$105*12)))))</f>
        <v>178.21874809523811</v>
      </c>
      <c r="S378" s="101">
        <f>IF(S$1="",0,IF(AND(S$1=0,$H378&lt;MONTH($J$13)),0,IF(((YEAR(S$8)-1)*12+$H378)-((YEAR($J$13)-1)*12+MONTH($J$13))+1&gt;капитал!$J$105*12,0,IF(капитал!$J$105=0,0,капитал!$M$102/(капитал!$J$105*12)))))</f>
        <v>178.21874809523811</v>
      </c>
      <c r="T378" s="101">
        <f>IF(T$1="",0,IF(AND(T$1=0,$H378&lt;MONTH($J$13)),0,IF(((YEAR(T$8)-1)*12+$H378)-((YEAR($J$13)-1)*12+MONTH($J$13))+1&gt;капитал!$J$105*12,0,IF(капитал!$J$105=0,0,капитал!$M$102/(капитал!$J$105*12)))))</f>
        <v>178.21874809523811</v>
      </c>
      <c r="U378" s="101">
        <f>IF(U$1="",0,IF(AND(U$1=0,$H378&lt;MONTH($J$13)),0,IF(((YEAR(U$8)-1)*12+$H378)-((YEAR($J$13)-1)*12+MONTH($J$13))+1&gt;капитал!$J$105*12,0,IF(капитал!$J$105=0,0,капитал!$M$102/(капитал!$J$105*12)))))</f>
        <v>178.21874809523811</v>
      </c>
      <c r="V378" s="101">
        <f>IF(V$1="",0,IF(AND(V$1=0,$H378&lt;MONTH($J$13)),0,IF(((YEAR(V$8)-1)*12+$H378)-((YEAR($J$13)-1)*12+MONTH($J$13))+1&gt;капитал!$J$105*12,0,IF(капитал!$J$105=0,0,капитал!$M$102/(капитал!$J$105*12)))))</f>
        <v>178.21874809523811</v>
      </c>
      <c r="W378" s="101">
        <f>IF(W$1="",0,IF(AND(W$1=0,$H378&lt;MONTH($J$13)),0,IF(((YEAR(W$8)-1)*12+$H378)-((YEAR($J$13)-1)*12+MONTH($J$13))+1&gt;капитал!$J$105*12,0,IF(капитал!$J$105=0,0,капитал!$M$102/(капитал!$J$105*12)))))</f>
        <v>0</v>
      </c>
      <c r="X378" s="101">
        <f>IF(X$1="",0,IF(AND(X$1=0,$H378&lt;MONTH($J$13)),0,IF(((YEAR(X$8)-1)*12+$H378)-((YEAR($J$13)-1)*12+MONTH($J$13))+1&gt;капитал!$J$105*12,0,IF(капитал!$J$105=0,0,капитал!$M$102/(капитал!$J$105*12)))))</f>
        <v>0</v>
      </c>
      <c r="Y378" s="101">
        <f>IF(Y$1="",0,IF(AND(Y$1=0,$H378&lt;MONTH($J$13)),0,IF(((YEAR(Y$8)-1)*12+$H378)-((YEAR($J$13)-1)*12+MONTH($J$13))+1&gt;капитал!$J$105*12,0,IF(капитал!$J$105=0,0,капитал!$M$102/(капитал!$J$105*12)))))</f>
        <v>0</v>
      </c>
      <c r="Z378" s="101">
        <f>IF(Z$1="",0,IF(AND(Z$1=0,$H378&lt;MONTH($J$13)),0,IF(((YEAR(Z$8)-1)*12+$H378)-((YEAR($J$13)-1)*12+MONTH($J$13))+1&gt;капитал!$J$105*12,0,IF(капитал!$J$105=0,0,капитал!$M$102/(капитал!$J$105*12)))))</f>
        <v>0</v>
      </c>
      <c r="AA378" s="101">
        <f>IF(AA$1="",0,IF(AND(AA$1=0,$H378&lt;MONTH($J$13)),0,IF(((YEAR(AA$8)-1)*12+$H378)-((YEAR($J$13)-1)*12+MONTH($J$13))+1&gt;капитал!$J$105*12,0,IF(капитал!$J$105=0,0,капитал!$M$102/(капитал!$J$105*12)))))</f>
        <v>0</v>
      </c>
      <c r="AB378" s="22"/>
    </row>
    <row r="379" spans="1:28" s="23" customFormat="1" ht="10.199999999999999" x14ac:dyDescent="0.2">
      <c r="A379" s="22"/>
      <c r="B379" s="22"/>
      <c r="C379" s="22"/>
      <c r="D379" s="22"/>
      <c r="E379" s="22" t="str">
        <f>E374</f>
        <v>амортизация кап/затрат</v>
      </c>
      <c r="F379" s="22"/>
      <c r="G379" s="22" t="str">
        <f>IF($E379="","",INDEX(KPI!$G:$G,SUMIFS(KPI!$B:$B,KPI!$E:$E,$E379)))</f>
        <v>тыс.руб.</v>
      </c>
      <c r="H379" s="100">
        <f>структура!$V$16</f>
        <v>5</v>
      </c>
      <c r="I379" s="31"/>
      <c r="J379" s="98" t="str">
        <f>структура!$X$16</f>
        <v>май</v>
      </c>
      <c r="K379" s="99"/>
      <c r="L379" s="22"/>
      <c r="M379" s="58"/>
      <c r="N379" s="22"/>
      <c r="O379" s="22"/>
      <c r="P379" s="101">
        <f>IF(P$1="",0,IF(AND(P$1=0,$H379&lt;MONTH($J$13)),0,IF(((YEAR(P$8)-1)*12+$H379)-((YEAR($J$13)-1)*12+MONTH($J$13))+1&gt;капитал!$J$105*12,0,IF(капитал!$J$105=0,0,капитал!$M$102/(капитал!$J$105*12)))))</f>
        <v>178.21874809523811</v>
      </c>
      <c r="Q379" s="101">
        <f>IF(Q$1="",0,IF(AND(Q$1=0,$H379&lt;MONTH($J$13)),0,IF(((YEAR(Q$8)-1)*12+$H379)-((YEAR($J$13)-1)*12+MONTH($J$13))+1&gt;капитал!$J$105*12,0,IF(капитал!$J$105=0,0,капитал!$M$102/(капитал!$J$105*12)))))</f>
        <v>178.21874809523811</v>
      </c>
      <c r="R379" s="101">
        <f>IF(R$1="",0,IF(AND(R$1=0,$H379&lt;MONTH($J$13)),0,IF(((YEAR(R$8)-1)*12+$H379)-((YEAR($J$13)-1)*12+MONTH($J$13))+1&gt;капитал!$J$105*12,0,IF(капитал!$J$105=0,0,капитал!$M$102/(капитал!$J$105*12)))))</f>
        <v>178.21874809523811</v>
      </c>
      <c r="S379" s="101">
        <f>IF(S$1="",0,IF(AND(S$1=0,$H379&lt;MONTH($J$13)),0,IF(((YEAR(S$8)-1)*12+$H379)-((YEAR($J$13)-1)*12+MONTH($J$13))+1&gt;капитал!$J$105*12,0,IF(капитал!$J$105=0,0,капитал!$M$102/(капитал!$J$105*12)))))</f>
        <v>178.21874809523811</v>
      </c>
      <c r="T379" s="101">
        <f>IF(T$1="",0,IF(AND(T$1=0,$H379&lt;MONTH($J$13)),0,IF(((YEAR(T$8)-1)*12+$H379)-((YEAR($J$13)-1)*12+MONTH($J$13))+1&gt;капитал!$J$105*12,0,IF(капитал!$J$105=0,0,капитал!$M$102/(капитал!$J$105*12)))))</f>
        <v>178.21874809523811</v>
      </c>
      <c r="U379" s="101">
        <f>IF(U$1="",0,IF(AND(U$1=0,$H379&lt;MONTH($J$13)),0,IF(((YEAR(U$8)-1)*12+$H379)-((YEAR($J$13)-1)*12+MONTH($J$13))+1&gt;капитал!$J$105*12,0,IF(капитал!$J$105=0,0,капитал!$M$102/(капитал!$J$105*12)))))</f>
        <v>178.21874809523811</v>
      </c>
      <c r="V379" s="101">
        <f>IF(V$1="",0,IF(AND(V$1=0,$H379&lt;MONTH($J$13)),0,IF(((YEAR(V$8)-1)*12+$H379)-((YEAR($J$13)-1)*12+MONTH($J$13))+1&gt;капитал!$J$105*12,0,IF(капитал!$J$105=0,0,капитал!$M$102/(капитал!$J$105*12)))))</f>
        <v>178.21874809523811</v>
      </c>
      <c r="W379" s="101">
        <f>IF(W$1="",0,IF(AND(W$1=0,$H379&lt;MONTH($J$13)),0,IF(((YEAR(W$8)-1)*12+$H379)-((YEAR($J$13)-1)*12+MONTH($J$13))+1&gt;капитал!$J$105*12,0,IF(капитал!$J$105=0,0,капитал!$M$102/(капитал!$J$105*12)))))</f>
        <v>0</v>
      </c>
      <c r="X379" s="101">
        <f>IF(X$1="",0,IF(AND(X$1=0,$H379&lt;MONTH($J$13)),0,IF(((YEAR(X$8)-1)*12+$H379)-((YEAR($J$13)-1)*12+MONTH($J$13))+1&gt;капитал!$J$105*12,0,IF(капитал!$J$105=0,0,капитал!$M$102/(капитал!$J$105*12)))))</f>
        <v>0</v>
      </c>
      <c r="Y379" s="101">
        <f>IF(Y$1="",0,IF(AND(Y$1=0,$H379&lt;MONTH($J$13)),0,IF(((YEAR(Y$8)-1)*12+$H379)-((YEAR($J$13)-1)*12+MONTH($J$13))+1&gt;капитал!$J$105*12,0,IF(капитал!$J$105=0,0,капитал!$M$102/(капитал!$J$105*12)))))</f>
        <v>0</v>
      </c>
      <c r="Z379" s="101">
        <f>IF(Z$1="",0,IF(AND(Z$1=0,$H379&lt;MONTH($J$13)),0,IF(((YEAR(Z$8)-1)*12+$H379)-((YEAR($J$13)-1)*12+MONTH($J$13))+1&gt;капитал!$J$105*12,0,IF(капитал!$J$105=0,0,капитал!$M$102/(капитал!$J$105*12)))))</f>
        <v>0</v>
      </c>
      <c r="AA379" s="101">
        <f>IF(AA$1="",0,IF(AND(AA$1=0,$H379&lt;MONTH($J$13)),0,IF(((YEAR(AA$8)-1)*12+$H379)-((YEAR($J$13)-1)*12+MONTH($J$13))+1&gt;капитал!$J$105*12,0,IF(капитал!$J$105=0,0,капитал!$M$102/(капитал!$J$105*12)))))</f>
        <v>0</v>
      </c>
      <c r="AB379" s="22"/>
    </row>
    <row r="380" spans="1:28" s="23" customFormat="1" ht="10.199999999999999" x14ac:dyDescent="0.2">
      <c r="A380" s="22"/>
      <c r="B380" s="22"/>
      <c r="C380" s="22"/>
      <c r="D380" s="22"/>
      <c r="E380" s="22" t="str">
        <f>E374</f>
        <v>амортизация кап/затрат</v>
      </c>
      <c r="F380" s="22"/>
      <c r="G380" s="22" t="str">
        <f>IF($E380="","",INDEX(KPI!$G:$G,SUMIFS(KPI!$B:$B,KPI!$E:$E,$E380)))</f>
        <v>тыс.руб.</v>
      </c>
      <c r="H380" s="100">
        <f>структура!$V$17</f>
        <v>6</v>
      </c>
      <c r="I380" s="31"/>
      <c r="J380" s="98" t="str">
        <f>структура!$X$17</f>
        <v>июн</v>
      </c>
      <c r="K380" s="99"/>
      <c r="L380" s="22"/>
      <c r="M380" s="58"/>
      <c r="N380" s="22"/>
      <c r="O380" s="22"/>
      <c r="P380" s="101">
        <f>IF(P$1="",0,IF(AND(P$1=0,$H380&lt;MONTH($J$13)),0,IF(((YEAR(P$8)-1)*12+$H380)-((YEAR($J$13)-1)*12+MONTH($J$13))+1&gt;капитал!$J$105*12,0,IF(капитал!$J$105=0,0,капитал!$M$102/(капитал!$J$105*12)))))</f>
        <v>178.21874809523811</v>
      </c>
      <c r="Q380" s="101">
        <f>IF(Q$1="",0,IF(AND(Q$1=0,$H380&lt;MONTH($J$13)),0,IF(((YEAR(Q$8)-1)*12+$H380)-((YEAR($J$13)-1)*12+MONTH($J$13))+1&gt;капитал!$J$105*12,0,IF(капитал!$J$105=0,0,капитал!$M$102/(капитал!$J$105*12)))))</f>
        <v>178.21874809523811</v>
      </c>
      <c r="R380" s="101">
        <f>IF(R$1="",0,IF(AND(R$1=0,$H380&lt;MONTH($J$13)),0,IF(((YEAR(R$8)-1)*12+$H380)-((YEAR($J$13)-1)*12+MONTH($J$13))+1&gt;капитал!$J$105*12,0,IF(капитал!$J$105=0,0,капитал!$M$102/(капитал!$J$105*12)))))</f>
        <v>178.21874809523811</v>
      </c>
      <c r="S380" s="101">
        <f>IF(S$1="",0,IF(AND(S$1=0,$H380&lt;MONTH($J$13)),0,IF(((YEAR(S$8)-1)*12+$H380)-((YEAR($J$13)-1)*12+MONTH($J$13))+1&gt;капитал!$J$105*12,0,IF(капитал!$J$105=0,0,капитал!$M$102/(капитал!$J$105*12)))))</f>
        <v>178.21874809523811</v>
      </c>
      <c r="T380" s="101">
        <f>IF(T$1="",0,IF(AND(T$1=0,$H380&lt;MONTH($J$13)),0,IF(((YEAR(T$8)-1)*12+$H380)-((YEAR($J$13)-1)*12+MONTH($J$13))+1&gt;капитал!$J$105*12,0,IF(капитал!$J$105=0,0,капитал!$M$102/(капитал!$J$105*12)))))</f>
        <v>178.21874809523811</v>
      </c>
      <c r="U380" s="101">
        <f>IF(U$1="",0,IF(AND(U$1=0,$H380&lt;MONTH($J$13)),0,IF(((YEAR(U$8)-1)*12+$H380)-((YEAR($J$13)-1)*12+MONTH($J$13))+1&gt;капитал!$J$105*12,0,IF(капитал!$J$105=0,0,капитал!$M$102/(капитал!$J$105*12)))))</f>
        <v>178.21874809523811</v>
      </c>
      <c r="V380" s="101">
        <f>IF(V$1="",0,IF(AND(V$1=0,$H380&lt;MONTH($J$13)),0,IF(((YEAR(V$8)-1)*12+$H380)-((YEAR($J$13)-1)*12+MONTH($J$13))+1&gt;капитал!$J$105*12,0,IF(капитал!$J$105=0,0,капитал!$M$102/(капитал!$J$105*12)))))</f>
        <v>178.21874809523811</v>
      </c>
      <c r="W380" s="101">
        <f>IF(W$1="",0,IF(AND(W$1=0,$H380&lt;MONTH($J$13)),0,IF(((YEAR(W$8)-1)*12+$H380)-((YEAR($J$13)-1)*12+MONTH($J$13))+1&gt;капитал!$J$105*12,0,IF(капитал!$J$105=0,0,капитал!$M$102/(капитал!$J$105*12)))))</f>
        <v>0</v>
      </c>
      <c r="X380" s="101">
        <f>IF(X$1="",0,IF(AND(X$1=0,$H380&lt;MONTH($J$13)),0,IF(((YEAR(X$8)-1)*12+$H380)-((YEAR($J$13)-1)*12+MONTH($J$13))+1&gt;капитал!$J$105*12,0,IF(капитал!$J$105=0,0,капитал!$M$102/(капитал!$J$105*12)))))</f>
        <v>0</v>
      </c>
      <c r="Y380" s="101">
        <f>IF(Y$1="",0,IF(AND(Y$1=0,$H380&lt;MONTH($J$13)),0,IF(((YEAR(Y$8)-1)*12+$H380)-((YEAR($J$13)-1)*12+MONTH($J$13))+1&gt;капитал!$J$105*12,0,IF(капитал!$J$105=0,0,капитал!$M$102/(капитал!$J$105*12)))))</f>
        <v>0</v>
      </c>
      <c r="Z380" s="101">
        <f>IF(Z$1="",0,IF(AND(Z$1=0,$H380&lt;MONTH($J$13)),0,IF(((YEAR(Z$8)-1)*12+$H380)-((YEAR($J$13)-1)*12+MONTH($J$13))+1&gt;капитал!$J$105*12,0,IF(капитал!$J$105=0,0,капитал!$M$102/(капитал!$J$105*12)))))</f>
        <v>0</v>
      </c>
      <c r="AA380" s="101">
        <f>IF(AA$1="",0,IF(AND(AA$1=0,$H380&lt;MONTH($J$13)),0,IF(((YEAR(AA$8)-1)*12+$H380)-((YEAR($J$13)-1)*12+MONTH($J$13))+1&gt;капитал!$J$105*12,0,IF(капитал!$J$105=0,0,капитал!$M$102/(капитал!$J$105*12)))))</f>
        <v>0</v>
      </c>
      <c r="AB380" s="22"/>
    </row>
    <row r="381" spans="1:28" s="23" customFormat="1" ht="10.199999999999999" x14ac:dyDescent="0.2">
      <c r="A381" s="22"/>
      <c r="B381" s="22"/>
      <c r="C381" s="22"/>
      <c r="D381" s="22"/>
      <c r="E381" s="22" t="str">
        <f>E374</f>
        <v>амортизация кап/затрат</v>
      </c>
      <c r="F381" s="22"/>
      <c r="G381" s="22" t="str">
        <f>IF($E381="","",INDEX(KPI!$G:$G,SUMIFS(KPI!$B:$B,KPI!$E:$E,$E381)))</f>
        <v>тыс.руб.</v>
      </c>
      <c r="H381" s="100">
        <f>структура!$V$18</f>
        <v>7</v>
      </c>
      <c r="I381" s="31"/>
      <c r="J381" s="98" t="str">
        <f>структура!$X$18</f>
        <v>июл</v>
      </c>
      <c r="K381" s="99"/>
      <c r="L381" s="22"/>
      <c r="M381" s="58"/>
      <c r="N381" s="22"/>
      <c r="O381" s="22"/>
      <c r="P381" s="101">
        <f>IF(P$1="",0,IF(AND(P$1=0,$H381&lt;MONTH($J$13)),0,IF(((YEAR(P$8)-1)*12+$H381)-((YEAR($J$13)-1)*12+MONTH($J$13))+1&gt;капитал!$J$105*12,0,IF(капитал!$J$105=0,0,капитал!$M$102/(капитал!$J$105*12)))))</f>
        <v>178.21874809523811</v>
      </c>
      <c r="Q381" s="101">
        <f>IF(Q$1="",0,IF(AND(Q$1=0,$H381&lt;MONTH($J$13)),0,IF(((YEAR(Q$8)-1)*12+$H381)-((YEAR($J$13)-1)*12+MONTH($J$13))+1&gt;капитал!$J$105*12,0,IF(капитал!$J$105=0,0,капитал!$M$102/(капитал!$J$105*12)))))</f>
        <v>178.21874809523811</v>
      </c>
      <c r="R381" s="101">
        <f>IF(R$1="",0,IF(AND(R$1=0,$H381&lt;MONTH($J$13)),0,IF(((YEAR(R$8)-1)*12+$H381)-((YEAR($J$13)-1)*12+MONTH($J$13))+1&gt;капитал!$J$105*12,0,IF(капитал!$J$105=0,0,капитал!$M$102/(капитал!$J$105*12)))))</f>
        <v>178.21874809523811</v>
      </c>
      <c r="S381" s="101">
        <f>IF(S$1="",0,IF(AND(S$1=0,$H381&lt;MONTH($J$13)),0,IF(((YEAR(S$8)-1)*12+$H381)-((YEAR($J$13)-1)*12+MONTH($J$13))+1&gt;капитал!$J$105*12,0,IF(капитал!$J$105=0,0,капитал!$M$102/(капитал!$J$105*12)))))</f>
        <v>178.21874809523811</v>
      </c>
      <c r="T381" s="101">
        <f>IF(T$1="",0,IF(AND(T$1=0,$H381&lt;MONTH($J$13)),0,IF(((YEAR(T$8)-1)*12+$H381)-((YEAR($J$13)-1)*12+MONTH($J$13))+1&gt;капитал!$J$105*12,0,IF(капитал!$J$105=0,0,капитал!$M$102/(капитал!$J$105*12)))))</f>
        <v>178.21874809523811</v>
      </c>
      <c r="U381" s="101">
        <f>IF(U$1="",0,IF(AND(U$1=0,$H381&lt;MONTH($J$13)),0,IF(((YEAR(U$8)-1)*12+$H381)-((YEAR($J$13)-1)*12+MONTH($J$13))+1&gt;капитал!$J$105*12,0,IF(капитал!$J$105=0,0,капитал!$M$102/(капитал!$J$105*12)))))</f>
        <v>178.21874809523811</v>
      </c>
      <c r="V381" s="101">
        <f>IF(V$1="",0,IF(AND(V$1=0,$H381&lt;MONTH($J$13)),0,IF(((YEAR(V$8)-1)*12+$H381)-((YEAR($J$13)-1)*12+MONTH($J$13))+1&gt;капитал!$J$105*12,0,IF(капитал!$J$105=0,0,капитал!$M$102/(капитал!$J$105*12)))))</f>
        <v>178.21874809523811</v>
      </c>
      <c r="W381" s="101">
        <f>IF(W$1="",0,IF(AND(W$1=0,$H381&lt;MONTH($J$13)),0,IF(((YEAR(W$8)-1)*12+$H381)-((YEAR($J$13)-1)*12+MONTH($J$13))+1&gt;капитал!$J$105*12,0,IF(капитал!$J$105=0,0,капитал!$M$102/(капитал!$J$105*12)))))</f>
        <v>0</v>
      </c>
      <c r="X381" s="101">
        <f>IF(X$1="",0,IF(AND(X$1=0,$H381&lt;MONTH($J$13)),0,IF(((YEAR(X$8)-1)*12+$H381)-((YEAR($J$13)-1)*12+MONTH($J$13))+1&gt;капитал!$J$105*12,0,IF(капитал!$J$105=0,0,капитал!$M$102/(капитал!$J$105*12)))))</f>
        <v>0</v>
      </c>
      <c r="Y381" s="101">
        <f>IF(Y$1="",0,IF(AND(Y$1=0,$H381&lt;MONTH($J$13)),0,IF(((YEAR(Y$8)-1)*12+$H381)-((YEAR($J$13)-1)*12+MONTH($J$13))+1&gt;капитал!$J$105*12,0,IF(капитал!$J$105=0,0,капитал!$M$102/(капитал!$J$105*12)))))</f>
        <v>0</v>
      </c>
      <c r="Z381" s="101">
        <f>IF(Z$1="",0,IF(AND(Z$1=0,$H381&lt;MONTH($J$13)),0,IF(((YEAR(Z$8)-1)*12+$H381)-((YEAR($J$13)-1)*12+MONTH($J$13))+1&gt;капитал!$J$105*12,0,IF(капитал!$J$105=0,0,капитал!$M$102/(капитал!$J$105*12)))))</f>
        <v>0</v>
      </c>
      <c r="AA381" s="101">
        <f>IF(AA$1="",0,IF(AND(AA$1=0,$H381&lt;MONTH($J$13)),0,IF(((YEAR(AA$8)-1)*12+$H381)-((YEAR($J$13)-1)*12+MONTH($J$13))+1&gt;капитал!$J$105*12,0,IF(капитал!$J$105=0,0,капитал!$M$102/(капитал!$J$105*12)))))</f>
        <v>0</v>
      </c>
      <c r="AB381" s="22"/>
    </row>
    <row r="382" spans="1:28" s="23" customFormat="1" ht="10.199999999999999" x14ac:dyDescent="0.2">
      <c r="A382" s="22"/>
      <c r="B382" s="22"/>
      <c r="C382" s="22"/>
      <c r="D382" s="22"/>
      <c r="E382" s="22" t="str">
        <f>E374</f>
        <v>амортизация кап/затрат</v>
      </c>
      <c r="F382" s="22"/>
      <c r="G382" s="22" t="str">
        <f>IF($E382="","",INDEX(KPI!$G:$G,SUMIFS(KPI!$B:$B,KPI!$E:$E,$E382)))</f>
        <v>тыс.руб.</v>
      </c>
      <c r="H382" s="100">
        <f>структура!$V$19</f>
        <v>8</v>
      </c>
      <c r="I382" s="31"/>
      <c r="J382" s="98" t="str">
        <f>структура!$X$19</f>
        <v>авг</v>
      </c>
      <c r="K382" s="99"/>
      <c r="L382" s="22"/>
      <c r="M382" s="58"/>
      <c r="N382" s="22"/>
      <c r="O382" s="22"/>
      <c r="P382" s="101">
        <f>IF(P$1="",0,IF(AND(P$1=0,$H382&lt;MONTH($J$13)),0,IF(((YEAR(P$8)-1)*12+$H382)-((YEAR($J$13)-1)*12+MONTH($J$13))+1&gt;капитал!$J$105*12,0,IF(капитал!$J$105=0,0,капитал!$M$102/(капитал!$J$105*12)))))</f>
        <v>178.21874809523811</v>
      </c>
      <c r="Q382" s="101">
        <f>IF(Q$1="",0,IF(AND(Q$1=0,$H382&lt;MONTH($J$13)),0,IF(((YEAR(Q$8)-1)*12+$H382)-((YEAR($J$13)-1)*12+MONTH($J$13))+1&gt;капитал!$J$105*12,0,IF(капитал!$J$105=0,0,капитал!$M$102/(капитал!$J$105*12)))))</f>
        <v>178.21874809523811</v>
      </c>
      <c r="R382" s="101">
        <f>IF(R$1="",0,IF(AND(R$1=0,$H382&lt;MONTH($J$13)),0,IF(((YEAR(R$8)-1)*12+$H382)-((YEAR($J$13)-1)*12+MONTH($J$13))+1&gt;капитал!$J$105*12,0,IF(капитал!$J$105=0,0,капитал!$M$102/(капитал!$J$105*12)))))</f>
        <v>178.21874809523811</v>
      </c>
      <c r="S382" s="101">
        <f>IF(S$1="",0,IF(AND(S$1=0,$H382&lt;MONTH($J$13)),0,IF(((YEAR(S$8)-1)*12+$H382)-((YEAR($J$13)-1)*12+MONTH($J$13))+1&gt;капитал!$J$105*12,0,IF(капитал!$J$105=0,0,капитал!$M$102/(капитал!$J$105*12)))))</f>
        <v>178.21874809523811</v>
      </c>
      <c r="T382" s="101">
        <f>IF(T$1="",0,IF(AND(T$1=0,$H382&lt;MONTH($J$13)),0,IF(((YEAR(T$8)-1)*12+$H382)-((YEAR($J$13)-1)*12+MONTH($J$13))+1&gt;капитал!$J$105*12,0,IF(капитал!$J$105=0,0,капитал!$M$102/(капитал!$J$105*12)))))</f>
        <v>178.21874809523811</v>
      </c>
      <c r="U382" s="101">
        <f>IF(U$1="",0,IF(AND(U$1=0,$H382&lt;MONTH($J$13)),0,IF(((YEAR(U$8)-1)*12+$H382)-((YEAR($J$13)-1)*12+MONTH($J$13))+1&gt;капитал!$J$105*12,0,IF(капитал!$J$105=0,0,капитал!$M$102/(капитал!$J$105*12)))))</f>
        <v>178.21874809523811</v>
      </c>
      <c r="V382" s="101">
        <f>IF(V$1="",0,IF(AND(V$1=0,$H382&lt;MONTH($J$13)),0,IF(((YEAR(V$8)-1)*12+$H382)-((YEAR($J$13)-1)*12+MONTH($J$13))+1&gt;капитал!$J$105*12,0,IF(капитал!$J$105=0,0,капитал!$M$102/(капитал!$J$105*12)))))</f>
        <v>178.21874809523811</v>
      </c>
      <c r="W382" s="101">
        <f>IF(W$1="",0,IF(AND(W$1=0,$H382&lt;MONTH($J$13)),0,IF(((YEAR(W$8)-1)*12+$H382)-((YEAR($J$13)-1)*12+MONTH($J$13))+1&gt;капитал!$J$105*12,0,IF(капитал!$J$105=0,0,капитал!$M$102/(капитал!$J$105*12)))))</f>
        <v>0</v>
      </c>
      <c r="X382" s="101">
        <f>IF(X$1="",0,IF(AND(X$1=0,$H382&lt;MONTH($J$13)),0,IF(((YEAR(X$8)-1)*12+$H382)-((YEAR($J$13)-1)*12+MONTH($J$13))+1&gt;капитал!$J$105*12,0,IF(капитал!$J$105=0,0,капитал!$M$102/(капитал!$J$105*12)))))</f>
        <v>0</v>
      </c>
      <c r="Y382" s="101">
        <f>IF(Y$1="",0,IF(AND(Y$1=0,$H382&lt;MONTH($J$13)),0,IF(((YEAR(Y$8)-1)*12+$H382)-((YEAR($J$13)-1)*12+MONTH($J$13))+1&gt;капитал!$J$105*12,0,IF(капитал!$J$105=0,0,капитал!$M$102/(капитал!$J$105*12)))))</f>
        <v>0</v>
      </c>
      <c r="Z382" s="101">
        <f>IF(Z$1="",0,IF(AND(Z$1=0,$H382&lt;MONTH($J$13)),0,IF(((YEAR(Z$8)-1)*12+$H382)-((YEAR($J$13)-1)*12+MONTH($J$13))+1&gt;капитал!$J$105*12,0,IF(капитал!$J$105=0,0,капитал!$M$102/(капитал!$J$105*12)))))</f>
        <v>0</v>
      </c>
      <c r="AA382" s="101">
        <f>IF(AA$1="",0,IF(AND(AA$1=0,$H382&lt;MONTH($J$13)),0,IF(((YEAR(AA$8)-1)*12+$H382)-((YEAR($J$13)-1)*12+MONTH($J$13))+1&gt;капитал!$J$105*12,0,IF(капитал!$J$105=0,0,капитал!$M$102/(капитал!$J$105*12)))))</f>
        <v>0</v>
      </c>
      <c r="AB382" s="22"/>
    </row>
    <row r="383" spans="1:28" s="23" customFormat="1" ht="10.199999999999999" x14ac:dyDescent="0.2">
      <c r="A383" s="22"/>
      <c r="B383" s="22"/>
      <c r="C383" s="22"/>
      <c r="D383" s="22"/>
      <c r="E383" s="22" t="str">
        <f>E374</f>
        <v>амортизация кап/затрат</v>
      </c>
      <c r="F383" s="22"/>
      <c r="G383" s="22" t="str">
        <f>IF($E383="","",INDEX(KPI!$G:$G,SUMIFS(KPI!$B:$B,KPI!$E:$E,$E383)))</f>
        <v>тыс.руб.</v>
      </c>
      <c r="H383" s="100">
        <f>структура!$V$20</f>
        <v>9</v>
      </c>
      <c r="I383" s="31"/>
      <c r="J383" s="98" t="str">
        <f>структура!$X$20</f>
        <v>сен</v>
      </c>
      <c r="K383" s="99"/>
      <c r="L383" s="22"/>
      <c r="M383" s="58"/>
      <c r="N383" s="22"/>
      <c r="O383" s="22"/>
      <c r="P383" s="101">
        <f>IF(P$1="",0,IF(AND(P$1=0,$H383&lt;MONTH($J$13)),0,IF(((YEAR(P$8)-1)*12+$H383)-((YEAR($J$13)-1)*12+MONTH($J$13))+1&gt;капитал!$J$105*12,0,IF(капитал!$J$105=0,0,капитал!$M$102/(капитал!$J$105*12)))))</f>
        <v>178.21874809523811</v>
      </c>
      <c r="Q383" s="101">
        <f>IF(Q$1="",0,IF(AND(Q$1=0,$H383&lt;MONTH($J$13)),0,IF(((YEAR(Q$8)-1)*12+$H383)-((YEAR($J$13)-1)*12+MONTH($J$13))+1&gt;капитал!$J$105*12,0,IF(капитал!$J$105=0,0,капитал!$M$102/(капитал!$J$105*12)))))</f>
        <v>178.21874809523811</v>
      </c>
      <c r="R383" s="101">
        <f>IF(R$1="",0,IF(AND(R$1=0,$H383&lt;MONTH($J$13)),0,IF(((YEAR(R$8)-1)*12+$H383)-((YEAR($J$13)-1)*12+MONTH($J$13))+1&gt;капитал!$J$105*12,0,IF(капитал!$J$105=0,0,капитал!$M$102/(капитал!$J$105*12)))))</f>
        <v>178.21874809523811</v>
      </c>
      <c r="S383" s="101">
        <f>IF(S$1="",0,IF(AND(S$1=0,$H383&lt;MONTH($J$13)),0,IF(((YEAR(S$8)-1)*12+$H383)-((YEAR($J$13)-1)*12+MONTH($J$13))+1&gt;капитал!$J$105*12,0,IF(капитал!$J$105=0,0,капитал!$M$102/(капитал!$J$105*12)))))</f>
        <v>178.21874809523811</v>
      </c>
      <c r="T383" s="101">
        <f>IF(T$1="",0,IF(AND(T$1=0,$H383&lt;MONTH($J$13)),0,IF(((YEAR(T$8)-1)*12+$H383)-((YEAR($J$13)-1)*12+MONTH($J$13))+1&gt;капитал!$J$105*12,0,IF(капитал!$J$105=0,0,капитал!$M$102/(капитал!$J$105*12)))))</f>
        <v>178.21874809523811</v>
      </c>
      <c r="U383" s="101">
        <f>IF(U$1="",0,IF(AND(U$1=0,$H383&lt;MONTH($J$13)),0,IF(((YEAR(U$8)-1)*12+$H383)-((YEAR($J$13)-1)*12+MONTH($J$13))+1&gt;капитал!$J$105*12,0,IF(капитал!$J$105=0,0,капитал!$M$102/(капитал!$J$105*12)))))</f>
        <v>178.21874809523811</v>
      </c>
      <c r="V383" s="101">
        <f>IF(V$1="",0,IF(AND(V$1=0,$H383&lt;MONTH($J$13)),0,IF(((YEAR(V$8)-1)*12+$H383)-((YEAR($J$13)-1)*12+MONTH($J$13))+1&gt;капитал!$J$105*12,0,IF(капитал!$J$105=0,0,капитал!$M$102/(капитал!$J$105*12)))))</f>
        <v>178.21874809523811</v>
      </c>
      <c r="W383" s="101">
        <f>IF(W$1="",0,IF(AND(W$1=0,$H383&lt;MONTH($J$13)),0,IF(((YEAR(W$8)-1)*12+$H383)-((YEAR($J$13)-1)*12+MONTH($J$13))+1&gt;капитал!$J$105*12,0,IF(капитал!$J$105=0,0,капитал!$M$102/(капитал!$J$105*12)))))</f>
        <v>0</v>
      </c>
      <c r="X383" s="101">
        <f>IF(X$1="",0,IF(AND(X$1=0,$H383&lt;MONTH($J$13)),0,IF(((YEAR(X$8)-1)*12+$H383)-((YEAR($J$13)-1)*12+MONTH($J$13))+1&gt;капитал!$J$105*12,0,IF(капитал!$J$105=0,0,капитал!$M$102/(капитал!$J$105*12)))))</f>
        <v>0</v>
      </c>
      <c r="Y383" s="101">
        <f>IF(Y$1="",0,IF(AND(Y$1=0,$H383&lt;MONTH($J$13)),0,IF(((YEAR(Y$8)-1)*12+$H383)-((YEAR($J$13)-1)*12+MONTH($J$13))+1&gt;капитал!$J$105*12,0,IF(капитал!$J$105=0,0,капитал!$M$102/(капитал!$J$105*12)))))</f>
        <v>0</v>
      </c>
      <c r="Z383" s="101">
        <f>IF(Z$1="",0,IF(AND(Z$1=0,$H383&lt;MONTH($J$13)),0,IF(((YEAR(Z$8)-1)*12+$H383)-((YEAR($J$13)-1)*12+MONTH($J$13))+1&gt;капитал!$J$105*12,0,IF(капитал!$J$105=0,0,капитал!$M$102/(капитал!$J$105*12)))))</f>
        <v>0</v>
      </c>
      <c r="AA383" s="101">
        <f>IF(AA$1="",0,IF(AND(AA$1=0,$H383&lt;MONTH($J$13)),0,IF(((YEAR(AA$8)-1)*12+$H383)-((YEAR($J$13)-1)*12+MONTH($J$13))+1&gt;капитал!$J$105*12,0,IF(капитал!$J$105=0,0,капитал!$M$102/(капитал!$J$105*12)))))</f>
        <v>0</v>
      </c>
      <c r="AB383" s="22"/>
    </row>
    <row r="384" spans="1:28" s="23" customFormat="1" ht="10.199999999999999" x14ac:dyDescent="0.2">
      <c r="A384" s="22"/>
      <c r="B384" s="22"/>
      <c r="C384" s="22"/>
      <c r="D384" s="22"/>
      <c r="E384" s="22" t="str">
        <f>E374</f>
        <v>амортизация кап/затрат</v>
      </c>
      <c r="F384" s="22"/>
      <c r="G384" s="22" t="str">
        <f>IF($E384="","",INDEX(KPI!$G:$G,SUMIFS(KPI!$B:$B,KPI!$E:$E,$E384)))</f>
        <v>тыс.руб.</v>
      </c>
      <c r="H384" s="100">
        <f>структура!$V$21</f>
        <v>10</v>
      </c>
      <c r="I384" s="31"/>
      <c r="J384" s="98" t="str">
        <f>структура!$X$21</f>
        <v>окт</v>
      </c>
      <c r="K384" s="99"/>
      <c r="L384" s="22"/>
      <c r="M384" s="58"/>
      <c r="N384" s="22"/>
      <c r="O384" s="22"/>
      <c r="P384" s="101">
        <f>IF(P$1="",0,IF(AND(P$1=0,$H384&lt;MONTH($J$13)),0,IF(((YEAR(P$8)-1)*12+$H384)-((YEAR($J$13)-1)*12+MONTH($J$13))+1&gt;капитал!$J$105*12,0,IF(капитал!$J$105=0,0,капитал!$M$102/(капитал!$J$105*12)))))</f>
        <v>178.21874809523811</v>
      </c>
      <c r="Q384" s="101">
        <f>IF(Q$1="",0,IF(AND(Q$1=0,$H384&lt;MONTH($J$13)),0,IF(((YEAR(Q$8)-1)*12+$H384)-((YEAR($J$13)-1)*12+MONTH($J$13))+1&gt;капитал!$J$105*12,0,IF(капитал!$J$105=0,0,капитал!$M$102/(капитал!$J$105*12)))))</f>
        <v>178.21874809523811</v>
      </c>
      <c r="R384" s="101">
        <f>IF(R$1="",0,IF(AND(R$1=0,$H384&lt;MONTH($J$13)),0,IF(((YEAR(R$8)-1)*12+$H384)-((YEAR($J$13)-1)*12+MONTH($J$13))+1&gt;капитал!$J$105*12,0,IF(капитал!$J$105=0,0,капитал!$M$102/(капитал!$J$105*12)))))</f>
        <v>178.21874809523811</v>
      </c>
      <c r="S384" s="101">
        <f>IF(S$1="",0,IF(AND(S$1=0,$H384&lt;MONTH($J$13)),0,IF(((YEAR(S$8)-1)*12+$H384)-((YEAR($J$13)-1)*12+MONTH($J$13))+1&gt;капитал!$J$105*12,0,IF(капитал!$J$105=0,0,капитал!$M$102/(капитал!$J$105*12)))))</f>
        <v>178.21874809523811</v>
      </c>
      <c r="T384" s="101">
        <f>IF(T$1="",0,IF(AND(T$1=0,$H384&lt;MONTH($J$13)),0,IF(((YEAR(T$8)-1)*12+$H384)-((YEAR($J$13)-1)*12+MONTH($J$13))+1&gt;капитал!$J$105*12,0,IF(капитал!$J$105=0,0,капитал!$M$102/(капитал!$J$105*12)))))</f>
        <v>178.21874809523811</v>
      </c>
      <c r="U384" s="101">
        <f>IF(U$1="",0,IF(AND(U$1=0,$H384&lt;MONTH($J$13)),0,IF(((YEAR(U$8)-1)*12+$H384)-((YEAR($J$13)-1)*12+MONTH($J$13))+1&gt;капитал!$J$105*12,0,IF(капитал!$J$105=0,0,капитал!$M$102/(капитал!$J$105*12)))))</f>
        <v>178.21874809523811</v>
      </c>
      <c r="V384" s="101">
        <f>IF(V$1="",0,IF(AND(V$1=0,$H384&lt;MONTH($J$13)),0,IF(((YEAR(V$8)-1)*12+$H384)-((YEAR($J$13)-1)*12+MONTH($J$13))+1&gt;капитал!$J$105*12,0,IF(капитал!$J$105=0,0,капитал!$M$102/(капитал!$J$105*12)))))</f>
        <v>178.21874809523811</v>
      </c>
      <c r="W384" s="101">
        <f>IF(W$1="",0,IF(AND(W$1=0,$H384&lt;MONTH($J$13)),0,IF(((YEAR(W$8)-1)*12+$H384)-((YEAR($J$13)-1)*12+MONTH($J$13))+1&gt;капитал!$J$105*12,0,IF(капитал!$J$105=0,0,капитал!$M$102/(капитал!$J$105*12)))))</f>
        <v>0</v>
      </c>
      <c r="X384" s="101">
        <f>IF(X$1="",0,IF(AND(X$1=0,$H384&lt;MONTH($J$13)),0,IF(((YEAR(X$8)-1)*12+$H384)-((YEAR($J$13)-1)*12+MONTH($J$13))+1&gt;капитал!$J$105*12,0,IF(капитал!$J$105=0,0,капитал!$M$102/(капитал!$J$105*12)))))</f>
        <v>0</v>
      </c>
      <c r="Y384" s="101">
        <f>IF(Y$1="",0,IF(AND(Y$1=0,$H384&lt;MONTH($J$13)),0,IF(((YEAR(Y$8)-1)*12+$H384)-((YEAR($J$13)-1)*12+MONTH($J$13))+1&gt;капитал!$J$105*12,0,IF(капитал!$J$105=0,0,капитал!$M$102/(капитал!$J$105*12)))))</f>
        <v>0</v>
      </c>
      <c r="Z384" s="101">
        <f>IF(Z$1="",0,IF(AND(Z$1=0,$H384&lt;MONTH($J$13)),0,IF(((YEAR(Z$8)-1)*12+$H384)-((YEAR($J$13)-1)*12+MONTH($J$13))+1&gt;капитал!$J$105*12,0,IF(капитал!$J$105=0,0,капитал!$M$102/(капитал!$J$105*12)))))</f>
        <v>0</v>
      </c>
      <c r="AA384" s="101">
        <f>IF(AA$1="",0,IF(AND(AA$1=0,$H384&lt;MONTH($J$13)),0,IF(((YEAR(AA$8)-1)*12+$H384)-((YEAR($J$13)-1)*12+MONTH($J$13))+1&gt;капитал!$J$105*12,0,IF(капитал!$J$105=0,0,капитал!$M$102/(капитал!$J$105*12)))))</f>
        <v>0</v>
      </c>
      <c r="AB384" s="22"/>
    </row>
    <row r="385" spans="1:28" s="23" customFormat="1" ht="10.199999999999999" x14ac:dyDescent="0.2">
      <c r="A385" s="22"/>
      <c r="B385" s="22"/>
      <c r="C385" s="22"/>
      <c r="D385" s="22"/>
      <c r="E385" s="22" t="str">
        <f>E374</f>
        <v>амортизация кап/затрат</v>
      </c>
      <c r="F385" s="22"/>
      <c r="G385" s="22" t="str">
        <f>IF($E385="","",INDEX(KPI!$G:$G,SUMIFS(KPI!$B:$B,KPI!$E:$E,$E385)))</f>
        <v>тыс.руб.</v>
      </c>
      <c r="H385" s="100">
        <f>структура!$V$22</f>
        <v>11</v>
      </c>
      <c r="I385" s="31"/>
      <c r="J385" s="98" t="str">
        <f>структура!$X$22</f>
        <v>ноя</v>
      </c>
      <c r="K385" s="99"/>
      <c r="L385" s="22"/>
      <c r="M385" s="58"/>
      <c r="N385" s="22"/>
      <c r="O385" s="22"/>
      <c r="P385" s="101">
        <f>IF(P$1="",0,IF(AND(P$1=0,$H385&lt;MONTH($J$13)),0,IF(((YEAR(P$8)-1)*12+$H385)-((YEAR($J$13)-1)*12+MONTH($J$13))+1&gt;капитал!$J$105*12,0,IF(капитал!$J$105=0,0,капитал!$M$102/(капитал!$J$105*12)))))</f>
        <v>178.21874809523811</v>
      </c>
      <c r="Q385" s="101">
        <f>IF(Q$1="",0,IF(AND(Q$1=0,$H385&lt;MONTH($J$13)),0,IF(((YEAR(Q$8)-1)*12+$H385)-((YEAR($J$13)-1)*12+MONTH($J$13))+1&gt;капитал!$J$105*12,0,IF(капитал!$J$105=0,0,капитал!$M$102/(капитал!$J$105*12)))))</f>
        <v>178.21874809523811</v>
      </c>
      <c r="R385" s="101">
        <f>IF(R$1="",0,IF(AND(R$1=0,$H385&lt;MONTH($J$13)),0,IF(((YEAR(R$8)-1)*12+$H385)-((YEAR($J$13)-1)*12+MONTH($J$13))+1&gt;капитал!$J$105*12,0,IF(капитал!$J$105=0,0,капитал!$M$102/(капитал!$J$105*12)))))</f>
        <v>178.21874809523811</v>
      </c>
      <c r="S385" s="101">
        <f>IF(S$1="",0,IF(AND(S$1=0,$H385&lt;MONTH($J$13)),0,IF(((YEAR(S$8)-1)*12+$H385)-((YEAR($J$13)-1)*12+MONTH($J$13))+1&gt;капитал!$J$105*12,0,IF(капитал!$J$105=0,0,капитал!$M$102/(капитал!$J$105*12)))))</f>
        <v>178.21874809523811</v>
      </c>
      <c r="T385" s="101">
        <f>IF(T$1="",0,IF(AND(T$1=0,$H385&lt;MONTH($J$13)),0,IF(((YEAR(T$8)-1)*12+$H385)-((YEAR($J$13)-1)*12+MONTH($J$13))+1&gt;капитал!$J$105*12,0,IF(капитал!$J$105=0,0,капитал!$M$102/(капитал!$J$105*12)))))</f>
        <v>178.21874809523811</v>
      </c>
      <c r="U385" s="101">
        <f>IF(U$1="",0,IF(AND(U$1=0,$H385&lt;MONTH($J$13)),0,IF(((YEAR(U$8)-1)*12+$H385)-((YEAR($J$13)-1)*12+MONTH($J$13))+1&gt;капитал!$J$105*12,0,IF(капитал!$J$105=0,0,капитал!$M$102/(капитал!$J$105*12)))))</f>
        <v>178.21874809523811</v>
      </c>
      <c r="V385" s="101">
        <f>IF(V$1="",0,IF(AND(V$1=0,$H385&lt;MONTH($J$13)),0,IF(((YEAR(V$8)-1)*12+$H385)-((YEAR($J$13)-1)*12+MONTH($J$13))+1&gt;капитал!$J$105*12,0,IF(капитал!$J$105=0,0,капитал!$M$102/(капитал!$J$105*12)))))</f>
        <v>178.21874809523811</v>
      </c>
      <c r="W385" s="101">
        <f>IF(W$1="",0,IF(AND(W$1=0,$H385&lt;MONTH($J$13)),0,IF(((YEAR(W$8)-1)*12+$H385)-((YEAR($J$13)-1)*12+MONTH($J$13))+1&gt;капитал!$J$105*12,0,IF(капитал!$J$105=0,0,капитал!$M$102/(капитал!$J$105*12)))))</f>
        <v>0</v>
      </c>
      <c r="X385" s="101">
        <f>IF(X$1="",0,IF(AND(X$1=0,$H385&lt;MONTH($J$13)),0,IF(((YEAR(X$8)-1)*12+$H385)-((YEAR($J$13)-1)*12+MONTH($J$13))+1&gt;капитал!$J$105*12,0,IF(капитал!$J$105=0,0,капитал!$M$102/(капитал!$J$105*12)))))</f>
        <v>0</v>
      </c>
      <c r="Y385" s="101">
        <f>IF(Y$1="",0,IF(AND(Y$1=0,$H385&lt;MONTH($J$13)),0,IF(((YEAR(Y$8)-1)*12+$H385)-((YEAR($J$13)-1)*12+MONTH($J$13))+1&gt;капитал!$J$105*12,0,IF(капитал!$J$105=0,0,капитал!$M$102/(капитал!$J$105*12)))))</f>
        <v>0</v>
      </c>
      <c r="Z385" s="101">
        <f>IF(Z$1="",0,IF(AND(Z$1=0,$H385&lt;MONTH($J$13)),0,IF(((YEAR(Z$8)-1)*12+$H385)-((YEAR($J$13)-1)*12+MONTH($J$13))+1&gt;капитал!$J$105*12,0,IF(капитал!$J$105=0,0,капитал!$M$102/(капитал!$J$105*12)))))</f>
        <v>0</v>
      </c>
      <c r="AA385" s="101">
        <f>IF(AA$1="",0,IF(AND(AA$1=0,$H385&lt;MONTH($J$13)),0,IF(((YEAR(AA$8)-1)*12+$H385)-((YEAR($J$13)-1)*12+MONTH($J$13))+1&gt;капитал!$J$105*12,0,IF(капитал!$J$105=0,0,капитал!$M$102/(капитал!$J$105*12)))))</f>
        <v>0</v>
      </c>
      <c r="AB385" s="22"/>
    </row>
    <row r="386" spans="1:28" s="23" customFormat="1" ht="10.199999999999999" x14ac:dyDescent="0.2">
      <c r="A386" s="22"/>
      <c r="B386" s="22"/>
      <c r="C386" s="22"/>
      <c r="D386" s="22"/>
      <c r="E386" s="22" t="str">
        <f>E374</f>
        <v>амортизация кап/затрат</v>
      </c>
      <c r="F386" s="22"/>
      <c r="G386" s="22" t="str">
        <f>IF($E386="","",INDEX(KPI!$G:$G,SUMIFS(KPI!$B:$B,KPI!$E:$E,$E386)))</f>
        <v>тыс.руб.</v>
      </c>
      <c r="H386" s="100">
        <f>структура!$V$23</f>
        <v>12</v>
      </c>
      <c r="I386" s="31"/>
      <c r="J386" s="98" t="str">
        <f>структура!$X$23</f>
        <v>дек</v>
      </c>
      <c r="K386" s="99"/>
      <c r="L386" s="22"/>
      <c r="M386" s="58"/>
      <c r="N386" s="22"/>
      <c r="O386" s="22"/>
      <c r="P386" s="101">
        <f>IF(P$1="",0,IF(AND(P$1=0,$H386&lt;MONTH($J$13)),0,IF(((YEAR(P$8)-1)*12+$H386)-((YEAR($J$13)-1)*12+MONTH($J$13))+1&gt;капитал!$J$105*12,0,IF(капитал!$J$105=0,0,капитал!$M$102/(капитал!$J$105*12)))))</f>
        <v>178.21874809523811</v>
      </c>
      <c r="Q386" s="101">
        <f>IF(Q$1="",0,IF(AND(Q$1=0,$H386&lt;MONTH($J$13)),0,IF(((YEAR(Q$8)-1)*12+$H386)-((YEAR($J$13)-1)*12+MONTH($J$13))+1&gt;капитал!$J$105*12,0,IF(капитал!$J$105=0,0,капитал!$M$102/(капитал!$J$105*12)))))</f>
        <v>178.21874809523811</v>
      </c>
      <c r="R386" s="101">
        <f>IF(R$1="",0,IF(AND(R$1=0,$H386&lt;MONTH($J$13)),0,IF(((YEAR(R$8)-1)*12+$H386)-((YEAR($J$13)-1)*12+MONTH($J$13))+1&gt;капитал!$J$105*12,0,IF(капитал!$J$105=0,0,капитал!$M$102/(капитал!$J$105*12)))))</f>
        <v>178.21874809523811</v>
      </c>
      <c r="S386" s="101">
        <f>IF(S$1="",0,IF(AND(S$1=0,$H386&lt;MONTH($J$13)),0,IF(((YEAR(S$8)-1)*12+$H386)-((YEAR($J$13)-1)*12+MONTH($J$13))+1&gt;капитал!$J$105*12,0,IF(капитал!$J$105=0,0,капитал!$M$102/(капитал!$J$105*12)))))</f>
        <v>178.21874809523811</v>
      </c>
      <c r="T386" s="101">
        <f>IF(T$1="",0,IF(AND(T$1=0,$H386&lt;MONTH($J$13)),0,IF(((YEAR(T$8)-1)*12+$H386)-((YEAR($J$13)-1)*12+MONTH($J$13))+1&gt;капитал!$J$105*12,0,IF(капитал!$J$105=0,0,капитал!$M$102/(капитал!$J$105*12)))))</f>
        <v>178.21874809523811</v>
      </c>
      <c r="U386" s="101">
        <f>IF(U$1="",0,IF(AND(U$1=0,$H386&lt;MONTH($J$13)),0,IF(((YEAR(U$8)-1)*12+$H386)-((YEAR($J$13)-1)*12+MONTH($J$13))+1&gt;капитал!$J$105*12,0,IF(капитал!$J$105=0,0,капитал!$M$102/(капитал!$J$105*12)))))</f>
        <v>178.21874809523811</v>
      </c>
      <c r="V386" s="101">
        <f>IF(V$1="",0,IF(AND(V$1=0,$H386&lt;MONTH($J$13)),0,IF(((YEAR(V$8)-1)*12+$H386)-((YEAR($J$13)-1)*12+MONTH($J$13))+1&gt;капитал!$J$105*12,0,IF(капитал!$J$105=0,0,капитал!$M$102/(капитал!$J$105*12)))))</f>
        <v>178.21874809523811</v>
      </c>
      <c r="W386" s="101">
        <f>IF(W$1="",0,IF(AND(W$1=0,$H386&lt;MONTH($J$13)),0,IF(((YEAR(W$8)-1)*12+$H386)-((YEAR($J$13)-1)*12+MONTH($J$13))+1&gt;капитал!$J$105*12,0,IF(капитал!$J$105=0,0,капитал!$M$102/(капитал!$J$105*12)))))</f>
        <v>0</v>
      </c>
      <c r="X386" s="101">
        <f>IF(X$1="",0,IF(AND(X$1=0,$H386&lt;MONTH($J$13)),0,IF(((YEAR(X$8)-1)*12+$H386)-((YEAR($J$13)-1)*12+MONTH($J$13))+1&gt;капитал!$J$105*12,0,IF(капитал!$J$105=0,0,капитал!$M$102/(капитал!$J$105*12)))))</f>
        <v>0</v>
      </c>
      <c r="Y386" s="101">
        <f>IF(Y$1="",0,IF(AND(Y$1=0,$H386&lt;MONTH($J$13)),0,IF(((YEAR(Y$8)-1)*12+$H386)-((YEAR($J$13)-1)*12+MONTH($J$13))+1&gt;капитал!$J$105*12,0,IF(капитал!$J$105=0,0,капитал!$M$102/(капитал!$J$105*12)))))</f>
        <v>0</v>
      </c>
      <c r="Z386" s="101">
        <f>IF(Z$1="",0,IF(AND(Z$1=0,$H386&lt;MONTH($J$13)),0,IF(((YEAR(Z$8)-1)*12+$H386)-((YEAR($J$13)-1)*12+MONTH($J$13))+1&gt;капитал!$J$105*12,0,IF(капитал!$J$105=0,0,капитал!$M$102/(капитал!$J$105*12)))))</f>
        <v>0</v>
      </c>
      <c r="AA386" s="101">
        <f>IF(AA$1="",0,IF(AND(AA$1=0,$H386&lt;MONTH($J$13)),0,IF(((YEAR(AA$8)-1)*12+$H386)-((YEAR($J$13)-1)*12+MONTH($J$13))+1&gt;капитал!$J$105*12,0,IF(капитал!$J$105=0,0,капитал!$M$102/(капитал!$J$105*12)))))</f>
        <v>0</v>
      </c>
      <c r="AB386" s="22"/>
    </row>
    <row r="387" spans="1:28" ht="3.9" customHeight="1" x14ac:dyDescent="0.25">
      <c r="A387" s="2"/>
      <c r="B387" s="2"/>
      <c r="C387" s="2"/>
      <c r="D387" s="143"/>
      <c r="E387" s="143"/>
      <c r="F387" s="2"/>
      <c r="G387" s="143"/>
      <c r="H387" s="2"/>
      <c r="I387" s="28"/>
      <c r="J387" s="143"/>
      <c r="K387" s="28"/>
      <c r="L387" s="2"/>
      <c r="M387" s="52"/>
      <c r="N387" s="2"/>
      <c r="O387" s="2"/>
      <c r="P387" s="36"/>
      <c r="Q387" s="36"/>
      <c r="R387" s="36"/>
      <c r="S387" s="36"/>
      <c r="T387" s="36"/>
      <c r="U387" s="36"/>
      <c r="V387" s="36"/>
      <c r="W387" s="36"/>
      <c r="X387" s="36"/>
      <c r="Y387" s="36"/>
      <c r="Z387" s="36"/>
      <c r="AA387" s="36"/>
      <c r="AB387" s="2"/>
    </row>
    <row r="388" spans="1:28" ht="8.1" customHeight="1" x14ac:dyDescent="0.25">
      <c r="A388" s="2"/>
      <c r="B388" s="2"/>
      <c r="C388" s="2"/>
      <c r="D388" s="2"/>
      <c r="E388" s="2"/>
      <c r="F388" s="2"/>
      <c r="G388" s="2"/>
      <c r="H388" s="2"/>
      <c r="I388" s="28"/>
      <c r="J388" s="2"/>
      <c r="K388" s="28"/>
      <c r="L388" s="2"/>
      <c r="M388" s="52"/>
      <c r="N388" s="2"/>
      <c r="O388" s="2"/>
      <c r="P388" s="36"/>
      <c r="Q388" s="36"/>
      <c r="R388" s="36"/>
      <c r="S388" s="36"/>
      <c r="T388" s="36"/>
      <c r="U388" s="36"/>
      <c r="V388" s="36"/>
      <c r="W388" s="36"/>
      <c r="X388" s="36"/>
      <c r="Y388" s="36"/>
      <c r="Z388" s="36"/>
      <c r="AA388" s="36"/>
      <c r="AB388" s="2"/>
    </row>
    <row r="389" spans="1:28" s="5" customFormat="1" x14ac:dyDescent="0.25">
      <c r="A389" s="3"/>
      <c r="B389" s="3"/>
      <c r="C389" s="3"/>
      <c r="D389" s="148"/>
      <c r="E389" s="3" t="str">
        <f>KPI!$E$85</f>
        <v>амортизация прокатного инвентаря</v>
      </c>
      <c r="F389" s="3"/>
      <c r="G389" s="3" t="str">
        <f>IF($E389="","",INDEX(KPI!$G:$G,SUMIFS(KPI!$B:$B,KPI!$E:$E,$E389)))</f>
        <v>тыс.руб.</v>
      </c>
      <c r="H389" s="103"/>
      <c r="I389" s="28"/>
      <c r="J389" s="44"/>
      <c r="K389" s="28"/>
      <c r="L389" s="3"/>
      <c r="M389" s="55">
        <f>SUM($O389:$AB389)</f>
        <v>879.99999999999989</v>
      </c>
      <c r="N389" s="3"/>
      <c r="O389" s="3"/>
      <c r="P389" s="46">
        <f>IF(P$1="",0,IF(P$1=0,SUMIFS(P390:P401,H390:H401,"&gt;="&amp;MONTH($J$13)),SUM(P390:P401)))</f>
        <v>175.99999999999997</v>
      </c>
      <c r="Q389" s="46">
        <f t="shared" ref="Q389" si="92">IF(Q$1="",0,SUM(Q390:Q401))</f>
        <v>175.99999999999997</v>
      </c>
      <c r="R389" s="46">
        <f t="shared" ref="R389:AA389" si="93">IF(R$1="",0,SUM(R390:R401))</f>
        <v>175.99999999999997</v>
      </c>
      <c r="S389" s="46">
        <f t="shared" si="93"/>
        <v>175.99999999999997</v>
      </c>
      <c r="T389" s="46">
        <f t="shared" si="93"/>
        <v>175.99999999999997</v>
      </c>
      <c r="U389" s="46">
        <f t="shared" si="93"/>
        <v>0</v>
      </c>
      <c r="V389" s="46">
        <f t="shared" si="93"/>
        <v>0</v>
      </c>
      <c r="W389" s="46">
        <f t="shared" si="93"/>
        <v>0</v>
      </c>
      <c r="X389" s="46">
        <f t="shared" si="93"/>
        <v>0</v>
      </c>
      <c r="Y389" s="46">
        <f t="shared" si="93"/>
        <v>0</v>
      </c>
      <c r="Z389" s="46">
        <f t="shared" si="93"/>
        <v>0</v>
      </c>
      <c r="AA389" s="46">
        <f t="shared" si="93"/>
        <v>0</v>
      </c>
      <c r="AB389" s="3"/>
    </row>
    <row r="390" spans="1:28" s="23" customFormat="1" ht="10.199999999999999" x14ac:dyDescent="0.2">
      <c r="A390" s="22"/>
      <c r="B390" s="22"/>
      <c r="C390" s="22"/>
      <c r="D390" s="22"/>
      <c r="E390" s="22" t="str">
        <f>E389</f>
        <v>амортизация прокатного инвентаря</v>
      </c>
      <c r="F390" s="22"/>
      <c r="G390" s="22" t="str">
        <f>IF($E390="","",INDEX(KPI!$G:$G,SUMIFS(KPI!$B:$B,KPI!$E:$E,$E390)))</f>
        <v>тыс.руб.</v>
      </c>
      <c r="H390" s="100">
        <f>структура!$V$12</f>
        <v>1</v>
      </c>
      <c r="I390" s="31"/>
      <c r="J390" s="98" t="str">
        <f>структура!$X$12</f>
        <v>янв</v>
      </c>
      <c r="K390" s="99"/>
      <c r="L390" s="22"/>
      <c r="M390" s="58"/>
      <c r="N390" s="22"/>
      <c r="O390" s="22"/>
      <c r="P390" s="101">
        <f>IF(P$1="",0,IF(AND(P$1=0,$H390&lt;MONTH($J$13)),0,IF(((YEAR(P$8)-1)*12+$H390)-((YEAR($J$13)-1)*12+MONTH($J$13))+1&gt;капитал!$J$130*12,0,IF(капитал!$J$130=0,0,капитал!$M$109/(капитал!$J$130*12)))))</f>
        <v>14.666666666666666</v>
      </c>
      <c r="Q390" s="101">
        <f>IF(Q$1="",0,IF(AND(Q$1=0,$H390&lt;MONTH($J$13)),0,IF(((YEAR(Q$8)-1)*12+$H390)-((YEAR($J$13)-1)*12+MONTH($J$13))+1&gt;капитал!$J$130*12,0,IF(капитал!$J$130=0,0,капитал!$M$109/(капитал!$J$130*12)))))</f>
        <v>14.666666666666666</v>
      </c>
      <c r="R390" s="101">
        <f>IF(R$1="",0,IF(AND(R$1=0,$H390&lt;MONTH($J$13)),0,IF(((YEAR(R$8)-1)*12+$H390)-((YEAR($J$13)-1)*12+MONTH($J$13))+1&gt;капитал!$J$130*12,0,IF(капитал!$J$130=0,0,капитал!$M$109/(капитал!$J$130*12)))))</f>
        <v>14.666666666666666</v>
      </c>
      <c r="S390" s="101">
        <f>IF(S$1="",0,IF(AND(S$1=0,$H390&lt;MONTH($J$13)),0,IF(((YEAR(S$8)-1)*12+$H390)-((YEAR($J$13)-1)*12+MONTH($J$13))+1&gt;капитал!$J$130*12,0,IF(капитал!$J$130=0,0,капитал!$M$109/(капитал!$J$130*12)))))</f>
        <v>14.666666666666666</v>
      </c>
      <c r="T390" s="101">
        <f>IF(T$1="",0,IF(AND(T$1=0,$H390&lt;MONTH($J$13)),0,IF(((YEAR(T$8)-1)*12+$H390)-((YEAR($J$13)-1)*12+MONTH($J$13))+1&gt;капитал!$J$130*12,0,IF(капитал!$J$130=0,0,капитал!$M$109/(капитал!$J$130*12)))))</f>
        <v>14.666666666666666</v>
      </c>
      <c r="U390" s="101">
        <f>IF(U$1="",0,IF(AND(U$1=0,$H390&lt;MONTH($J$13)),0,IF(((YEAR(U$8)-1)*12+$H390)-((YEAR($J$13)-1)*12+MONTH($J$13))+1&gt;капитал!$J$130*12,0,IF(капитал!$J$130=0,0,капитал!$M$109/(капитал!$J$130*12)))))</f>
        <v>0</v>
      </c>
      <c r="V390" s="101">
        <f>IF(V$1="",0,IF(AND(V$1=0,$H390&lt;MONTH($J$13)),0,IF(((YEAR(V$8)-1)*12+$H390)-((YEAR($J$13)-1)*12+MONTH($J$13))+1&gt;капитал!$J$130*12,0,IF(капитал!$J$130=0,0,капитал!$M$109/(капитал!$J$130*12)))))</f>
        <v>0</v>
      </c>
      <c r="W390" s="101">
        <f>IF(W$1="",0,IF(AND(W$1=0,$H390&lt;MONTH($J$13)),0,IF(((YEAR(W$8)-1)*12+$H390)-((YEAR($J$13)-1)*12+MONTH($J$13))+1&gt;капитал!$J$130*12,0,IF(капитал!$J$130=0,0,капитал!$M$109/(капитал!$J$130*12)))))</f>
        <v>0</v>
      </c>
      <c r="X390" s="101">
        <f>IF(X$1="",0,IF(AND(X$1=0,$H390&lt;MONTH($J$13)),0,IF(((YEAR(X$8)-1)*12+$H390)-((YEAR($J$13)-1)*12+MONTH($J$13))+1&gt;капитал!$J$130*12,0,IF(капитал!$J$130=0,0,капитал!$M$109/(капитал!$J$130*12)))))</f>
        <v>0</v>
      </c>
      <c r="Y390" s="101">
        <f>IF(Y$1="",0,IF(AND(Y$1=0,$H390&lt;MONTH($J$13)),0,IF(((YEAR(Y$8)-1)*12+$H390)-((YEAR($J$13)-1)*12+MONTH($J$13))+1&gt;капитал!$J$130*12,0,IF(капитал!$J$130=0,0,капитал!$M$109/(капитал!$J$130*12)))))</f>
        <v>0</v>
      </c>
      <c r="Z390" s="101">
        <f>IF(Z$1="",0,IF(AND(Z$1=0,$H390&lt;MONTH($J$13)),0,IF(((YEAR(Z$8)-1)*12+$H390)-((YEAR($J$13)-1)*12+MONTH($J$13))+1&gt;капитал!$J$130*12,0,IF(капитал!$J$130=0,0,капитал!$M$109/(капитал!$J$130*12)))))</f>
        <v>0</v>
      </c>
      <c r="AA390" s="101">
        <f>IF(AA$1="",0,IF(AND(AA$1=0,$H390&lt;MONTH($J$13)),0,IF(((YEAR(AA$8)-1)*12+$H390)-((YEAR($J$13)-1)*12+MONTH($J$13))+1&gt;капитал!$J$130*12,0,IF(капитал!$J$130=0,0,капитал!$M$109/(капитал!$J$130*12)))))</f>
        <v>0</v>
      </c>
      <c r="AB390" s="22"/>
    </row>
    <row r="391" spans="1:28" s="23" customFormat="1" ht="10.199999999999999" x14ac:dyDescent="0.2">
      <c r="A391" s="22"/>
      <c r="B391" s="22"/>
      <c r="C391" s="22"/>
      <c r="D391" s="22"/>
      <c r="E391" s="22" t="str">
        <f>E389</f>
        <v>амортизация прокатного инвентаря</v>
      </c>
      <c r="F391" s="22"/>
      <c r="G391" s="22" t="str">
        <f>IF($E391="","",INDEX(KPI!$G:$G,SUMIFS(KPI!$B:$B,KPI!$E:$E,$E391)))</f>
        <v>тыс.руб.</v>
      </c>
      <c r="H391" s="100">
        <f>структура!$V$13</f>
        <v>2</v>
      </c>
      <c r="I391" s="31"/>
      <c r="J391" s="98" t="str">
        <f>структура!$X$13</f>
        <v>фев</v>
      </c>
      <c r="K391" s="99"/>
      <c r="L391" s="22"/>
      <c r="M391" s="58"/>
      <c r="N391" s="22"/>
      <c r="O391" s="22"/>
      <c r="P391" s="101">
        <f>IF(P$1="",0,IF(AND(P$1=0,$H391&lt;MONTH($J$13)),0,IF(((YEAR(P$8)-1)*12+$H391)-((YEAR($J$13)-1)*12+MONTH($J$13))+1&gt;капитал!$J$130*12,0,IF(капитал!$J$130=0,0,капитал!$M$109/(капитал!$J$130*12)))))</f>
        <v>14.666666666666666</v>
      </c>
      <c r="Q391" s="101">
        <f>IF(Q$1="",0,IF(AND(Q$1=0,$H391&lt;MONTH($J$13)),0,IF(((YEAR(Q$8)-1)*12+$H391)-((YEAR($J$13)-1)*12+MONTH($J$13))+1&gt;капитал!$J$130*12,0,IF(капитал!$J$130=0,0,капитал!$M$109/(капитал!$J$130*12)))))</f>
        <v>14.666666666666666</v>
      </c>
      <c r="R391" s="101">
        <f>IF(R$1="",0,IF(AND(R$1=0,$H391&lt;MONTH($J$13)),0,IF(((YEAR(R$8)-1)*12+$H391)-((YEAR($J$13)-1)*12+MONTH($J$13))+1&gt;капитал!$J$130*12,0,IF(капитал!$J$130=0,0,капитал!$M$109/(капитал!$J$130*12)))))</f>
        <v>14.666666666666666</v>
      </c>
      <c r="S391" s="101">
        <f>IF(S$1="",0,IF(AND(S$1=0,$H391&lt;MONTH($J$13)),0,IF(((YEAR(S$8)-1)*12+$H391)-((YEAR($J$13)-1)*12+MONTH($J$13))+1&gt;капитал!$J$130*12,0,IF(капитал!$J$130=0,0,капитал!$M$109/(капитал!$J$130*12)))))</f>
        <v>14.666666666666666</v>
      </c>
      <c r="T391" s="101">
        <f>IF(T$1="",0,IF(AND(T$1=0,$H391&lt;MONTH($J$13)),0,IF(((YEAR(T$8)-1)*12+$H391)-((YEAR($J$13)-1)*12+MONTH($J$13))+1&gt;капитал!$J$130*12,0,IF(капитал!$J$130=0,0,капитал!$M$109/(капитал!$J$130*12)))))</f>
        <v>14.666666666666666</v>
      </c>
      <c r="U391" s="101">
        <f>IF(U$1="",0,IF(AND(U$1=0,$H391&lt;MONTH($J$13)),0,IF(((YEAR(U$8)-1)*12+$H391)-((YEAR($J$13)-1)*12+MONTH($J$13))+1&gt;капитал!$J$130*12,0,IF(капитал!$J$130=0,0,капитал!$M$109/(капитал!$J$130*12)))))</f>
        <v>0</v>
      </c>
      <c r="V391" s="101">
        <f>IF(V$1="",0,IF(AND(V$1=0,$H391&lt;MONTH($J$13)),0,IF(((YEAR(V$8)-1)*12+$H391)-((YEAR($J$13)-1)*12+MONTH($J$13))+1&gt;капитал!$J$130*12,0,IF(капитал!$J$130=0,0,капитал!$M$109/(капитал!$J$130*12)))))</f>
        <v>0</v>
      </c>
      <c r="W391" s="101">
        <f>IF(W$1="",0,IF(AND(W$1=0,$H391&lt;MONTH($J$13)),0,IF(((YEAR(W$8)-1)*12+$H391)-((YEAR($J$13)-1)*12+MONTH($J$13))+1&gt;капитал!$J$130*12,0,IF(капитал!$J$130=0,0,капитал!$M$109/(капитал!$J$130*12)))))</f>
        <v>0</v>
      </c>
      <c r="X391" s="101">
        <f>IF(X$1="",0,IF(AND(X$1=0,$H391&lt;MONTH($J$13)),0,IF(((YEAR(X$8)-1)*12+$H391)-((YEAR($J$13)-1)*12+MONTH($J$13))+1&gt;капитал!$J$130*12,0,IF(капитал!$J$130=0,0,капитал!$M$109/(капитал!$J$130*12)))))</f>
        <v>0</v>
      </c>
      <c r="Y391" s="101">
        <f>IF(Y$1="",0,IF(AND(Y$1=0,$H391&lt;MONTH($J$13)),0,IF(((YEAR(Y$8)-1)*12+$H391)-((YEAR($J$13)-1)*12+MONTH($J$13))+1&gt;капитал!$J$130*12,0,IF(капитал!$J$130=0,0,капитал!$M$109/(капитал!$J$130*12)))))</f>
        <v>0</v>
      </c>
      <c r="Z391" s="101">
        <f>IF(Z$1="",0,IF(AND(Z$1=0,$H391&lt;MONTH($J$13)),0,IF(((YEAR(Z$8)-1)*12+$H391)-((YEAR($J$13)-1)*12+MONTH($J$13))+1&gt;капитал!$J$130*12,0,IF(капитал!$J$130=0,0,капитал!$M$109/(капитал!$J$130*12)))))</f>
        <v>0</v>
      </c>
      <c r="AA391" s="101">
        <f>IF(AA$1="",0,IF(AND(AA$1=0,$H391&lt;MONTH($J$13)),0,IF(((YEAR(AA$8)-1)*12+$H391)-((YEAR($J$13)-1)*12+MONTH($J$13))+1&gt;капитал!$J$130*12,0,IF(капитал!$J$130=0,0,капитал!$M$109/(капитал!$J$130*12)))))</f>
        <v>0</v>
      </c>
      <c r="AB391" s="22"/>
    </row>
    <row r="392" spans="1:28" s="23" customFormat="1" ht="10.199999999999999" x14ac:dyDescent="0.2">
      <c r="A392" s="22"/>
      <c r="B392" s="22"/>
      <c r="C392" s="22"/>
      <c r="D392" s="22"/>
      <c r="E392" s="22" t="str">
        <f>E389</f>
        <v>амортизация прокатного инвентаря</v>
      </c>
      <c r="F392" s="22"/>
      <c r="G392" s="22" t="str">
        <f>IF($E392="","",INDEX(KPI!$G:$G,SUMIFS(KPI!$B:$B,KPI!$E:$E,$E392)))</f>
        <v>тыс.руб.</v>
      </c>
      <c r="H392" s="100">
        <f>структура!$V$14</f>
        <v>3</v>
      </c>
      <c r="I392" s="31"/>
      <c r="J392" s="98" t="str">
        <f>структура!$X$14</f>
        <v>мар</v>
      </c>
      <c r="K392" s="99"/>
      <c r="L392" s="22"/>
      <c r="M392" s="58"/>
      <c r="N392" s="22"/>
      <c r="O392" s="22"/>
      <c r="P392" s="101">
        <f>IF(P$1="",0,IF(AND(P$1=0,$H392&lt;MONTH($J$13)),0,IF(((YEAR(P$8)-1)*12+$H392)-((YEAR($J$13)-1)*12+MONTH($J$13))+1&gt;капитал!$J$130*12,0,IF(капитал!$J$130=0,0,капитал!$M$109/(капитал!$J$130*12)))))</f>
        <v>14.666666666666666</v>
      </c>
      <c r="Q392" s="101">
        <f>IF(Q$1="",0,IF(AND(Q$1=0,$H392&lt;MONTH($J$13)),0,IF(((YEAR(Q$8)-1)*12+$H392)-((YEAR($J$13)-1)*12+MONTH($J$13))+1&gt;капитал!$J$130*12,0,IF(капитал!$J$130=0,0,капитал!$M$109/(капитал!$J$130*12)))))</f>
        <v>14.666666666666666</v>
      </c>
      <c r="R392" s="101">
        <f>IF(R$1="",0,IF(AND(R$1=0,$H392&lt;MONTH($J$13)),0,IF(((YEAR(R$8)-1)*12+$H392)-((YEAR($J$13)-1)*12+MONTH($J$13))+1&gt;капитал!$J$130*12,0,IF(капитал!$J$130=0,0,капитал!$M$109/(капитал!$J$130*12)))))</f>
        <v>14.666666666666666</v>
      </c>
      <c r="S392" s="101">
        <f>IF(S$1="",0,IF(AND(S$1=0,$H392&lt;MONTH($J$13)),0,IF(((YEAR(S$8)-1)*12+$H392)-((YEAR($J$13)-1)*12+MONTH($J$13))+1&gt;капитал!$J$130*12,0,IF(капитал!$J$130=0,0,капитал!$M$109/(капитал!$J$130*12)))))</f>
        <v>14.666666666666666</v>
      </c>
      <c r="T392" s="101">
        <f>IF(T$1="",0,IF(AND(T$1=0,$H392&lt;MONTH($J$13)),0,IF(((YEAR(T$8)-1)*12+$H392)-((YEAR($J$13)-1)*12+MONTH($J$13))+1&gt;капитал!$J$130*12,0,IF(капитал!$J$130=0,0,капитал!$M$109/(капитал!$J$130*12)))))</f>
        <v>14.666666666666666</v>
      </c>
      <c r="U392" s="101">
        <f>IF(U$1="",0,IF(AND(U$1=0,$H392&lt;MONTH($J$13)),0,IF(((YEAR(U$8)-1)*12+$H392)-((YEAR($J$13)-1)*12+MONTH($J$13))+1&gt;капитал!$J$130*12,0,IF(капитал!$J$130=0,0,капитал!$M$109/(капитал!$J$130*12)))))</f>
        <v>0</v>
      </c>
      <c r="V392" s="101">
        <f>IF(V$1="",0,IF(AND(V$1=0,$H392&lt;MONTH($J$13)),0,IF(((YEAR(V$8)-1)*12+$H392)-((YEAR($J$13)-1)*12+MONTH($J$13))+1&gt;капитал!$J$130*12,0,IF(капитал!$J$130=0,0,капитал!$M$109/(капитал!$J$130*12)))))</f>
        <v>0</v>
      </c>
      <c r="W392" s="101">
        <f>IF(W$1="",0,IF(AND(W$1=0,$H392&lt;MONTH($J$13)),0,IF(((YEAR(W$8)-1)*12+$H392)-((YEAR($J$13)-1)*12+MONTH($J$13))+1&gt;капитал!$J$130*12,0,IF(капитал!$J$130=0,0,капитал!$M$109/(капитал!$J$130*12)))))</f>
        <v>0</v>
      </c>
      <c r="X392" s="101">
        <f>IF(X$1="",0,IF(AND(X$1=0,$H392&lt;MONTH($J$13)),0,IF(((YEAR(X$8)-1)*12+$H392)-((YEAR($J$13)-1)*12+MONTH($J$13))+1&gt;капитал!$J$130*12,0,IF(капитал!$J$130=0,0,капитал!$M$109/(капитал!$J$130*12)))))</f>
        <v>0</v>
      </c>
      <c r="Y392" s="101">
        <f>IF(Y$1="",0,IF(AND(Y$1=0,$H392&lt;MONTH($J$13)),0,IF(((YEAR(Y$8)-1)*12+$H392)-((YEAR($J$13)-1)*12+MONTH($J$13))+1&gt;капитал!$J$130*12,0,IF(капитал!$J$130=0,0,капитал!$M$109/(капитал!$J$130*12)))))</f>
        <v>0</v>
      </c>
      <c r="Z392" s="101">
        <f>IF(Z$1="",0,IF(AND(Z$1=0,$H392&lt;MONTH($J$13)),0,IF(((YEAR(Z$8)-1)*12+$H392)-((YEAR($J$13)-1)*12+MONTH($J$13))+1&gt;капитал!$J$130*12,0,IF(капитал!$J$130=0,0,капитал!$M$109/(капитал!$J$130*12)))))</f>
        <v>0</v>
      </c>
      <c r="AA392" s="101">
        <f>IF(AA$1="",0,IF(AND(AA$1=0,$H392&lt;MONTH($J$13)),0,IF(((YEAR(AA$8)-1)*12+$H392)-((YEAR($J$13)-1)*12+MONTH($J$13))+1&gt;капитал!$J$130*12,0,IF(капитал!$J$130=0,0,капитал!$M$109/(капитал!$J$130*12)))))</f>
        <v>0</v>
      </c>
      <c r="AB392" s="22"/>
    </row>
    <row r="393" spans="1:28" s="23" customFormat="1" ht="10.199999999999999" x14ac:dyDescent="0.2">
      <c r="A393" s="22"/>
      <c r="B393" s="22"/>
      <c r="C393" s="22"/>
      <c r="D393" s="22"/>
      <c r="E393" s="22" t="str">
        <f>E389</f>
        <v>амортизация прокатного инвентаря</v>
      </c>
      <c r="F393" s="22"/>
      <c r="G393" s="22" t="str">
        <f>IF($E393="","",INDEX(KPI!$G:$G,SUMIFS(KPI!$B:$B,KPI!$E:$E,$E393)))</f>
        <v>тыс.руб.</v>
      </c>
      <c r="H393" s="100">
        <f>структура!$V$15</f>
        <v>4</v>
      </c>
      <c r="I393" s="31"/>
      <c r="J393" s="98" t="str">
        <f>структура!$X$15</f>
        <v>апр</v>
      </c>
      <c r="K393" s="99"/>
      <c r="L393" s="22"/>
      <c r="M393" s="58"/>
      <c r="N393" s="22"/>
      <c r="O393" s="22"/>
      <c r="P393" s="101">
        <f>IF(P$1="",0,IF(AND(P$1=0,$H393&lt;MONTH($J$13)),0,IF(((YEAR(P$8)-1)*12+$H393)-((YEAR($J$13)-1)*12+MONTH($J$13))+1&gt;капитал!$J$130*12,0,IF(капитал!$J$130=0,0,капитал!$M$109/(капитал!$J$130*12)))))</f>
        <v>14.666666666666666</v>
      </c>
      <c r="Q393" s="101">
        <f>IF(Q$1="",0,IF(AND(Q$1=0,$H393&lt;MONTH($J$13)),0,IF(((YEAR(Q$8)-1)*12+$H393)-((YEAR($J$13)-1)*12+MONTH($J$13))+1&gt;капитал!$J$130*12,0,IF(капитал!$J$130=0,0,капитал!$M$109/(капитал!$J$130*12)))))</f>
        <v>14.666666666666666</v>
      </c>
      <c r="R393" s="101">
        <f>IF(R$1="",0,IF(AND(R$1=0,$H393&lt;MONTH($J$13)),0,IF(((YEAR(R$8)-1)*12+$H393)-((YEAR($J$13)-1)*12+MONTH($J$13))+1&gt;капитал!$J$130*12,0,IF(капитал!$J$130=0,0,капитал!$M$109/(капитал!$J$130*12)))))</f>
        <v>14.666666666666666</v>
      </c>
      <c r="S393" s="101">
        <f>IF(S$1="",0,IF(AND(S$1=0,$H393&lt;MONTH($J$13)),0,IF(((YEAR(S$8)-1)*12+$H393)-((YEAR($J$13)-1)*12+MONTH($J$13))+1&gt;капитал!$J$130*12,0,IF(капитал!$J$130=0,0,капитал!$M$109/(капитал!$J$130*12)))))</f>
        <v>14.666666666666666</v>
      </c>
      <c r="T393" s="101">
        <f>IF(T$1="",0,IF(AND(T$1=0,$H393&lt;MONTH($J$13)),0,IF(((YEAR(T$8)-1)*12+$H393)-((YEAR($J$13)-1)*12+MONTH($J$13))+1&gt;капитал!$J$130*12,0,IF(капитал!$J$130=0,0,капитал!$M$109/(капитал!$J$130*12)))))</f>
        <v>14.666666666666666</v>
      </c>
      <c r="U393" s="101">
        <f>IF(U$1="",0,IF(AND(U$1=0,$H393&lt;MONTH($J$13)),0,IF(((YEAR(U$8)-1)*12+$H393)-((YEAR($J$13)-1)*12+MONTH($J$13))+1&gt;капитал!$J$130*12,0,IF(капитал!$J$130=0,0,капитал!$M$109/(капитал!$J$130*12)))))</f>
        <v>0</v>
      </c>
      <c r="V393" s="101">
        <f>IF(V$1="",0,IF(AND(V$1=0,$H393&lt;MONTH($J$13)),0,IF(((YEAR(V$8)-1)*12+$H393)-((YEAR($J$13)-1)*12+MONTH($J$13))+1&gt;капитал!$J$130*12,0,IF(капитал!$J$130=0,0,капитал!$M$109/(капитал!$J$130*12)))))</f>
        <v>0</v>
      </c>
      <c r="W393" s="101">
        <f>IF(W$1="",0,IF(AND(W$1=0,$H393&lt;MONTH($J$13)),0,IF(((YEAR(W$8)-1)*12+$H393)-((YEAR($J$13)-1)*12+MONTH($J$13))+1&gt;капитал!$J$130*12,0,IF(капитал!$J$130=0,0,капитал!$M$109/(капитал!$J$130*12)))))</f>
        <v>0</v>
      </c>
      <c r="X393" s="101">
        <f>IF(X$1="",0,IF(AND(X$1=0,$H393&lt;MONTH($J$13)),0,IF(((YEAR(X$8)-1)*12+$H393)-((YEAR($J$13)-1)*12+MONTH($J$13))+1&gt;капитал!$J$130*12,0,IF(капитал!$J$130=0,0,капитал!$M$109/(капитал!$J$130*12)))))</f>
        <v>0</v>
      </c>
      <c r="Y393" s="101">
        <f>IF(Y$1="",0,IF(AND(Y$1=0,$H393&lt;MONTH($J$13)),0,IF(((YEAR(Y$8)-1)*12+$H393)-((YEAR($J$13)-1)*12+MONTH($J$13))+1&gt;капитал!$J$130*12,0,IF(капитал!$J$130=0,0,капитал!$M$109/(капитал!$J$130*12)))))</f>
        <v>0</v>
      </c>
      <c r="Z393" s="101">
        <f>IF(Z$1="",0,IF(AND(Z$1=0,$H393&lt;MONTH($J$13)),0,IF(((YEAR(Z$8)-1)*12+$H393)-((YEAR($J$13)-1)*12+MONTH($J$13))+1&gt;капитал!$J$130*12,0,IF(капитал!$J$130=0,0,капитал!$M$109/(капитал!$J$130*12)))))</f>
        <v>0</v>
      </c>
      <c r="AA393" s="101">
        <f>IF(AA$1="",0,IF(AND(AA$1=0,$H393&lt;MONTH($J$13)),0,IF(((YEAR(AA$8)-1)*12+$H393)-((YEAR($J$13)-1)*12+MONTH($J$13))+1&gt;капитал!$J$130*12,0,IF(капитал!$J$130=0,0,капитал!$M$109/(капитал!$J$130*12)))))</f>
        <v>0</v>
      </c>
      <c r="AB393" s="22"/>
    </row>
    <row r="394" spans="1:28" s="23" customFormat="1" ht="10.199999999999999" x14ac:dyDescent="0.2">
      <c r="A394" s="22"/>
      <c r="B394" s="22"/>
      <c r="C394" s="22"/>
      <c r="D394" s="22"/>
      <c r="E394" s="22" t="str">
        <f>E389</f>
        <v>амортизация прокатного инвентаря</v>
      </c>
      <c r="F394" s="22"/>
      <c r="G394" s="22" t="str">
        <f>IF($E394="","",INDEX(KPI!$G:$G,SUMIFS(KPI!$B:$B,KPI!$E:$E,$E394)))</f>
        <v>тыс.руб.</v>
      </c>
      <c r="H394" s="100">
        <f>структура!$V$16</f>
        <v>5</v>
      </c>
      <c r="I394" s="31"/>
      <c r="J394" s="98" t="str">
        <f>структура!$X$16</f>
        <v>май</v>
      </c>
      <c r="K394" s="99"/>
      <c r="L394" s="22"/>
      <c r="M394" s="58"/>
      <c r="N394" s="22"/>
      <c r="O394" s="22"/>
      <c r="P394" s="101">
        <f>IF(P$1="",0,IF(AND(P$1=0,$H394&lt;MONTH($J$13)),0,IF(((YEAR(P$8)-1)*12+$H394)-((YEAR($J$13)-1)*12+MONTH($J$13))+1&gt;капитал!$J$130*12,0,IF(капитал!$J$130=0,0,капитал!$M$109/(капитал!$J$130*12)))))</f>
        <v>14.666666666666666</v>
      </c>
      <c r="Q394" s="101">
        <f>IF(Q$1="",0,IF(AND(Q$1=0,$H394&lt;MONTH($J$13)),0,IF(((YEAR(Q$8)-1)*12+$H394)-((YEAR($J$13)-1)*12+MONTH($J$13))+1&gt;капитал!$J$130*12,0,IF(капитал!$J$130=0,0,капитал!$M$109/(капитал!$J$130*12)))))</f>
        <v>14.666666666666666</v>
      </c>
      <c r="R394" s="101">
        <f>IF(R$1="",0,IF(AND(R$1=0,$H394&lt;MONTH($J$13)),0,IF(((YEAR(R$8)-1)*12+$H394)-((YEAR($J$13)-1)*12+MONTH($J$13))+1&gt;капитал!$J$130*12,0,IF(капитал!$J$130=0,0,капитал!$M$109/(капитал!$J$130*12)))))</f>
        <v>14.666666666666666</v>
      </c>
      <c r="S394" s="101">
        <f>IF(S$1="",0,IF(AND(S$1=0,$H394&lt;MONTH($J$13)),0,IF(((YEAR(S$8)-1)*12+$H394)-((YEAR($J$13)-1)*12+MONTH($J$13))+1&gt;капитал!$J$130*12,0,IF(капитал!$J$130=0,0,капитал!$M$109/(капитал!$J$130*12)))))</f>
        <v>14.666666666666666</v>
      </c>
      <c r="T394" s="101">
        <f>IF(T$1="",0,IF(AND(T$1=0,$H394&lt;MONTH($J$13)),0,IF(((YEAR(T$8)-1)*12+$H394)-((YEAR($J$13)-1)*12+MONTH($J$13))+1&gt;капитал!$J$130*12,0,IF(капитал!$J$130=0,0,капитал!$M$109/(капитал!$J$130*12)))))</f>
        <v>14.666666666666666</v>
      </c>
      <c r="U394" s="101">
        <f>IF(U$1="",0,IF(AND(U$1=0,$H394&lt;MONTH($J$13)),0,IF(((YEAR(U$8)-1)*12+$H394)-((YEAR($J$13)-1)*12+MONTH($J$13))+1&gt;капитал!$J$130*12,0,IF(капитал!$J$130=0,0,капитал!$M$109/(капитал!$J$130*12)))))</f>
        <v>0</v>
      </c>
      <c r="V394" s="101">
        <f>IF(V$1="",0,IF(AND(V$1=0,$H394&lt;MONTH($J$13)),0,IF(((YEAR(V$8)-1)*12+$H394)-((YEAR($J$13)-1)*12+MONTH($J$13))+1&gt;капитал!$J$130*12,0,IF(капитал!$J$130=0,0,капитал!$M$109/(капитал!$J$130*12)))))</f>
        <v>0</v>
      </c>
      <c r="W394" s="101">
        <f>IF(W$1="",0,IF(AND(W$1=0,$H394&lt;MONTH($J$13)),0,IF(((YEAR(W$8)-1)*12+$H394)-((YEAR($J$13)-1)*12+MONTH($J$13))+1&gt;капитал!$J$130*12,0,IF(капитал!$J$130=0,0,капитал!$M$109/(капитал!$J$130*12)))))</f>
        <v>0</v>
      </c>
      <c r="X394" s="101">
        <f>IF(X$1="",0,IF(AND(X$1=0,$H394&lt;MONTH($J$13)),0,IF(((YEAR(X$8)-1)*12+$H394)-((YEAR($J$13)-1)*12+MONTH($J$13))+1&gt;капитал!$J$130*12,0,IF(капитал!$J$130=0,0,капитал!$M$109/(капитал!$J$130*12)))))</f>
        <v>0</v>
      </c>
      <c r="Y394" s="101">
        <f>IF(Y$1="",0,IF(AND(Y$1=0,$H394&lt;MONTH($J$13)),0,IF(((YEAR(Y$8)-1)*12+$H394)-((YEAR($J$13)-1)*12+MONTH($J$13))+1&gt;капитал!$J$130*12,0,IF(капитал!$J$130=0,0,капитал!$M$109/(капитал!$J$130*12)))))</f>
        <v>0</v>
      </c>
      <c r="Z394" s="101">
        <f>IF(Z$1="",0,IF(AND(Z$1=0,$H394&lt;MONTH($J$13)),0,IF(((YEAR(Z$8)-1)*12+$H394)-((YEAR($J$13)-1)*12+MONTH($J$13))+1&gt;капитал!$J$130*12,0,IF(капитал!$J$130=0,0,капитал!$M$109/(капитал!$J$130*12)))))</f>
        <v>0</v>
      </c>
      <c r="AA394" s="101">
        <f>IF(AA$1="",0,IF(AND(AA$1=0,$H394&lt;MONTH($J$13)),0,IF(((YEAR(AA$8)-1)*12+$H394)-((YEAR($J$13)-1)*12+MONTH($J$13))+1&gt;капитал!$J$130*12,0,IF(капитал!$J$130=0,0,капитал!$M$109/(капитал!$J$130*12)))))</f>
        <v>0</v>
      </c>
      <c r="AB394" s="22"/>
    </row>
    <row r="395" spans="1:28" s="23" customFormat="1" ht="10.199999999999999" x14ac:dyDescent="0.2">
      <c r="A395" s="22"/>
      <c r="B395" s="22"/>
      <c r="C395" s="22"/>
      <c r="D395" s="22"/>
      <c r="E395" s="22" t="str">
        <f>E389</f>
        <v>амортизация прокатного инвентаря</v>
      </c>
      <c r="F395" s="22"/>
      <c r="G395" s="22" t="str">
        <f>IF($E395="","",INDEX(KPI!$G:$G,SUMIFS(KPI!$B:$B,KPI!$E:$E,$E395)))</f>
        <v>тыс.руб.</v>
      </c>
      <c r="H395" s="100">
        <f>структура!$V$17</f>
        <v>6</v>
      </c>
      <c r="I395" s="31"/>
      <c r="J395" s="98" t="str">
        <f>структура!$X$17</f>
        <v>июн</v>
      </c>
      <c r="K395" s="99"/>
      <c r="L395" s="22"/>
      <c r="M395" s="58"/>
      <c r="N395" s="22"/>
      <c r="O395" s="22"/>
      <c r="P395" s="101">
        <f>IF(P$1="",0,IF(AND(P$1=0,$H395&lt;MONTH($J$13)),0,IF(((YEAR(P$8)-1)*12+$H395)-((YEAR($J$13)-1)*12+MONTH($J$13))+1&gt;капитал!$J$130*12,0,IF(капитал!$J$130=0,0,капитал!$M$109/(капитал!$J$130*12)))))</f>
        <v>14.666666666666666</v>
      </c>
      <c r="Q395" s="101">
        <f>IF(Q$1="",0,IF(AND(Q$1=0,$H395&lt;MONTH($J$13)),0,IF(((YEAR(Q$8)-1)*12+$H395)-((YEAR($J$13)-1)*12+MONTH($J$13))+1&gt;капитал!$J$130*12,0,IF(капитал!$J$130=0,0,капитал!$M$109/(капитал!$J$130*12)))))</f>
        <v>14.666666666666666</v>
      </c>
      <c r="R395" s="101">
        <f>IF(R$1="",0,IF(AND(R$1=0,$H395&lt;MONTH($J$13)),0,IF(((YEAR(R$8)-1)*12+$H395)-((YEAR($J$13)-1)*12+MONTH($J$13))+1&gt;капитал!$J$130*12,0,IF(капитал!$J$130=0,0,капитал!$M$109/(капитал!$J$130*12)))))</f>
        <v>14.666666666666666</v>
      </c>
      <c r="S395" s="101">
        <f>IF(S$1="",0,IF(AND(S$1=0,$H395&lt;MONTH($J$13)),0,IF(((YEAR(S$8)-1)*12+$H395)-((YEAR($J$13)-1)*12+MONTH($J$13))+1&gt;капитал!$J$130*12,0,IF(капитал!$J$130=0,0,капитал!$M$109/(капитал!$J$130*12)))))</f>
        <v>14.666666666666666</v>
      </c>
      <c r="T395" s="101">
        <f>IF(T$1="",0,IF(AND(T$1=0,$H395&lt;MONTH($J$13)),0,IF(((YEAR(T$8)-1)*12+$H395)-((YEAR($J$13)-1)*12+MONTH($J$13))+1&gt;капитал!$J$130*12,0,IF(капитал!$J$130=0,0,капитал!$M$109/(капитал!$J$130*12)))))</f>
        <v>14.666666666666666</v>
      </c>
      <c r="U395" s="101">
        <f>IF(U$1="",0,IF(AND(U$1=0,$H395&lt;MONTH($J$13)),0,IF(((YEAR(U$8)-1)*12+$H395)-((YEAR($J$13)-1)*12+MONTH($J$13))+1&gt;капитал!$J$130*12,0,IF(капитал!$J$130=0,0,капитал!$M$109/(капитал!$J$130*12)))))</f>
        <v>0</v>
      </c>
      <c r="V395" s="101">
        <f>IF(V$1="",0,IF(AND(V$1=0,$H395&lt;MONTH($J$13)),0,IF(((YEAR(V$8)-1)*12+$H395)-((YEAR($J$13)-1)*12+MONTH($J$13))+1&gt;капитал!$J$130*12,0,IF(капитал!$J$130=0,0,капитал!$M$109/(капитал!$J$130*12)))))</f>
        <v>0</v>
      </c>
      <c r="W395" s="101">
        <f>IF(W$1="",0,IF(AND(W$1=0,$H395&lt;MONTH($J$13)),0,IF(((YEAR(W$8)-1)*12+$H395)-((YEAR($J$13)-1)*12+MONTH($J$13))+1&gt;капитал!$J$130*12,0,IF(капитал!$J$130=0,0,капитал!$M$109/(капитал!$J$130*12)))))</f>
        <v>0</v>
      </c>
      <c r="X395" s="101">
        <f>IF(X$1="",0,IF(AND(X$1=0,$H395&lt;MONTH($J$13)),0,IF(((YEAR(X$8)-1)*12+$H395)-((YEAR($J$13)-1)*12+MONTH($J$13))+1&gt;капитал!$J$130*12,0,IF(капитал!$J$130=0,0,капитал!$M$109/(капитал!$J$130*12)))))</f>
        <v>0</v>
      </c>
      <c r="Y395" s="101">
        <f>IF(Y$1="",0,IF(AND(Y$1=0,$H395&lt;MONTH($J$13)),0,IF(((YEAR(Y$8)-1)*12+$H395)-((YEAR($J$13)-1)*12+MONTH($J$13))+1&gt;капитал!$J$130*12,0,IF(капитал!$J$130=0,0,капитал!$M$109/(капитал!$J$130*12)))))</f>
        <v>0</v>
      </c>
      <c r="Z395" s="101">
        <f>IF(Z$1="",0,IF(AND(Z$1=0,$H395&lt;MONTH($J$13)),0,IF(((YEAR(Z$8)-1)*12+$H395)-((YEAR($J$13)-1)*12+MONTH($J$13))+1&gt;капитал!$J$130*12,0,IF(капитал!$J$130=0,0,капитал!$M$109/(капитал!$J$130*12)))))</f>
        <v>0</v>
      </c>
      <c r="AA395" s="101">
        <f>IF(AA$1="",0,IF(AND(AA$1=0,$H395&lt;MONTH($J$13)),0,IF(((YEAR(AA$8)-1)*12+$H395)-((YEAR($J$13)-1)*12+MONTH($J$13))+1&gt;капитал!$J$130*12,0,IF(капитал!$J$130=0,0,капитал!$M$109/(капитал!$J$130*12)))))</f>
        <v>0</v>
      </c>
      <c r="AB395" s="22"/>
    </row>
    <row r="396" spans="1:28" s="23" customFormat="1" ht="10.199999999999999" x14ac:dyDescent="0.2">
      <c r="A396" s="22"/>
      <c r="B396" s="22"/>
      <c r="C396" s="22"/>
      <c r="D396" s="22"/>
      <c r="E396" s="22" t="str">
        <f>E389</f>
        <v>амортизация прокатного инвентаря</v>
      </c>
      <c r="F396" s="22"/>
      <c r="G396" s="22" t="str">
        <f>IF($E396="","",INDEX(KPI!$G:$G,SUMIFS(KPI!$B:$B,KPI!$E:$E,$E396)))</f>
        <v>тыс.руб.</v>
      </c>
      <c r="H396" s="100">
        <f>структура!$V$18</f>
        <v>7</v>
      </c>
      <c r="I396" s="31"/>
      <c r="J396" s="98" t="str">
        <f>структура!$X$18</f>
        <v>июл</v>
      </c>
      <c r="K396" s="99"/>
      <c r="L396" s="22"/>
      <c r="M396" s="58"/>
      <c r="N396" s="22"/>
      <c r="O396" s="22"/>
      <c r="P396" s="101">
        <f>IF(P$1="",0,IF(AND(P$1=0,$H396&lt;MONTH($J$13)),0,IF(((YEAR(P$8)-1)*12+$H396)-((YEAR($J$13)-1)*12+MONTH($J$13))+1&gt;капитал!$J$130*12,0,IF(капитал!$J$130=0,0,капитал!$M$109/(капитал!$J$130*12)))))</f>
        <v>14.666666666666666</v>
      </c>
      <c r="Q396" s="101">
        <f>IF(Q$1="",0,IF(AND(Q$1=0,$H396&lt;MONTH($J$13)),0,IF(((YEAR(Q$8)-1)*12+$H396)-((YEAR($J$13)-1)*12+MONTH($J$13))+1&gt;капитал!$J$130*12,0,IF(капитал!$J$130=0,0,капитал!$M$109/(капитал!$J$130*12)))))</f>
        <v>14.666666666666666</v>
      </c>
      <c r="R396" s="101">
        <f>IF(R$1="",0,IF(AND(R$1=0,$H396&lt;MONTH($J$13)),0,IF(((YEAR(R$8)-1)*12+$H396)-((YEAR($J$13)-1)*12+MONTH($J$13))+1&gt;капитал!$J$130*12,0,IF(капитал!$J$130=0,0,капитал!$M$109/(капитал!$J$130*12)))))</f>
        <v>14.666666666666666</v>
      </c>
      <c r="S396" s="101">
        <f>IF(S$1="",0,IF(AND(S$1=0,$H396&lt;MONTH($J$13)),0,IF(((YEAR(S$8)-1)*12+$H396)-((YEAR($J$13)-1)*12+MONTH($J$13))+1&gt;капитал!$J$130*12,0,IF(капитал!$J$130=0,0,капитал!$M$109/(капитал!$J$130*12)))))</f>
        <v>14.666666666666666</v>
      </c>
      <c r="T396" s="101">
        <f>IF(T$1="",0,IF(AND(T$1=0,$H396&lt;MONTH($J$13)),0,IF(((YEAR(T$8)-1)*12+$H396)-((YEAR($J$13)-1)*12+MONTH($J$13))+1&gt;капитал!$J$130*12,0,IF(капитал!$J$130=0,0,капитал!$M$109/(капитал!$J$130*12)))))</f>
        <v>14.666666666666666</v>
      </c>
      <c r="U396" s="101">
        <f>IF(U$1="",0,IF(AND(U$1=0,$H396&lt;MONTH($J$13)),0,IF(((YEAR(U$8)-1)*12+$H396)-((YEAR($J$13)-1)*12+MONTH($J$13))+1&gt;капитал!$J$130*12,0,IF(капитал!$J$130=0,0,капитал!$M$109/(капитал!$J$130*12)))))</f>
        <v>0</v>
      </c>
      <c r="V396" s="101">
        <f>IF(V$1="",0,IF(AND(V$1=0,$H396&lt;MONTH($J$13)),0,IF(((YEAR(V$8)-1)*12+$H396)-((YEAR($J$13)-1)*12+MONTH($J$13))+1&gt;капитал!$J$130*12,0,IF(капитал!$J$130=0,0,капитал!$M$109/(капитал!$J$130*12)))))</f>
        <v>0</v>
      </c>
      <c r="W396" s="101">
        <f>IF(W$1="",0,IF(AND(W$1=0,$H396&lt;MONTH($J$13)),0,IF(((YEAR(W$8)-1)*12+$H396)-((YEAR($J$13)-1)*12+MONTH($J$13))+1&gt;капитал!$J$130*12,0,IF(капитал!$J$130=0,0,капитал!$M$109/(капитал!$J$130*12)))))</f>
        <v>0</v>
      </c>
      <c r="X396" s="101">
        <f>IF(X$1="",0,IF(AND(X$1=0,$H396&lt;MONTH($J$13)),0,IF(((YEAR(X$8)-1)*12+$H396)-((YEAR($J$13)-1)*12+MONTH($J$13))+1&gt;капитал!$J$130*12,0,IF(капитал!$J$130=0,0,капитал!$M$109/(капитал!$J$130*12)))))</f>
        <v>0</v>
      </c>
      <c r="Y396" s="101">
        <f>IF(Y$1="",0,IF(AND(Y$1=0,$H396&lt;MONTH($J$13)),0,IF(((YEAR(Y$8)-1)*12+$H396)-((YEAR($J$13)-1)*12+MONTH($J$13))+1&gt;капитал!$J$130*12,0,IF(капитал!$J$130=0,0,капитал!$M$109/(капитал!$J$130*12)))))</f>
        <v>0</v>
      </c>
      <c r="Z396" s="101">
        <f>IF(Z$1="",0,IF(AND(Z$1=0,$H396&lt;MONTH($J$13)),0,IF(((YEAR(Z$8)-1)*12+$H396)-((YEAR($J$13)-1)*12+MONTH($J$13))+1&gt;капитал!$J$130*12,0,IF(капитал!$J$130=0,0,капитал!$M$109/(капитал!$J$130*12)))))</f>
        <v>0</v>
      </c>
      <c r="AA396" s="101">
        <f>IF(AA$1="",0,IF(AND(AA$1=0,$H396&lt;MONTH($J$13)),0,IF(((YEAR(AA$8)-1)*12+$H396)-((YEAR($J$13)-1)*12+MONTH($J$13))+1&gt;капитал!$J$130*12,0,IF(капитал!$J$130=0,0,капитал!$M$109/(капитал!$J$130*12)))))</f>
        <v>0</v>
      </c>
      <c r="AB396" s="22"/>
    </row>
    <row r="397" spans="1:28" s="23" customFormat="1" ht="10.199999999999999" x14ac:dyDescent="0.2">
      <c r="A397" s="22"/>
      <c r="B397" s="22"/>
      <c r="C397" s="22"/>
      <c r="D397" s="22"/>
      <c r="E397" s="22" t="str">
        <f>E389</f>
        <v>амортизация прокатного инвентаря</v>
      </c>
      <c r="F397" s="22"/>
      <c r="G397" s="22" t="str">
        <f>IF($E397="","",INDEX(KPI!$G:$G,SUMIFS(KPI!$B:$B,KPI!$E:$E,$E397)))</f>
        <v>тыс.руб.</v>
      </c>
      <c r="H397" s="100">
        <f>структура!$V$19</f>
        <v>8</v>
      </c>
      <c r="I397" s="31"/>
      <c r="J397" s="98" t="str">
        <f>структура!$X$19</f>
        <v>авг</v>
      </c>
      <c r="K397" s="99"/>
      <c r="L397" s="22"/>
      <c r="M397" s="58"/>
      <c r="N397" s="22"/>
      <c r="O397" s="22"/>
      <c r="P397" s="101">
        <f>IF(P$1="",0,IF(AND(P$1=0,$H397&lt;MONTH($J$13)),0,IF(((YEAR(P$8)-1)*12+$H397)-((YEAR($J$13)-1)*12+MONTH($J$13))+1&gt;капитал!$J$130*12,0,IF(капитал!$J$130=0,0,капитал!$M$109/(капитал!$J$130*12)))))</f>
        <v>14.666666666666666</v>
      </c>
      <c r="Q397" s="101">
        <f>IF(Q$1="",0,IF(AND(Q$1=0,$H397&lt;MONTH($J$13)),0,IF(((YEAR(Q$8)-1)*12+$H397)-((YEAR($J$13)-1)*12+MONTH($J$13))+1&gt;капитал!$J$130*12,0,IF(капитал!$J$130=0,0,капитал!$M$109/(капитал!$J$130*12)))))</f>
        <v>14.666666666666666</v>
      </c>
      <c r="R397" s="101">
        <f>IF(R$1="",0,IF(AND(R$1=0,$H397&lt;MONTH($J$13)),0,IF(((YEAR(R$8)-1)*12+$H397)-((YEAR($J$13)-1)*12+MONTH($J$13))+1&gt;капитал!$J$130*12,0,IF(капитал!$J$130=0,0,капитал!$M$109/(капитал!$J$130*12)))))</f>
        <v>14.666666666666666</v>
      </c>
      <c r="S397" s="101">
        <f>IF(S$1="",0,IF(AND(S$1=0,$H397&lt;MONTH($J$13)),0,IF(((YEAR(S$8)-1)*12+$H397)-((YEAR($J$13)-1)*12+MONTH($J$13))+1&gt;капитал!$J$130*12,0,IF(капитал!$J$130=0,0,капитал!$M$109/(капитал!$J$130*12)))))</f>
        <v>14.666666666666666</v>
      </c>
      <c r="T397" s="101">
        <f>IF(T$1="",0,IF(AND(T$1=0,$H397&lt;MONTH($J$13)),0,IF(((YEAR(T$8)-1)*12+$H397)-((YEAR($J$13)-1)*12+MONTH($J$13))+1&gt;капитал!$J$130*12,0,IF(капитал!$J$130=0,0,капитал!$M$109/(капитал!$J$130*12)))))</f>
        <v>14.666666666666666</v>
      </c>
      <c r="U397" s="101">
        <f>IF(U$1="",0,IF(AND(U$1=0,$H397&lt;MONTH($J$13)),0,IF(((YEAR(U$8)-1)*12+$H397)-((YEAR($J$13)-1)*12+MONTH($J$13))+1&gt;капитал!$J$130*12,0,IF(капитал!$J$130=0,0,капитал!$M$109/(капитал!$J$130*12)))))</f>
        <v>0</v>
      </c>
      <c r="V397" s="101">
        <f>IF(V$1="",0,IF(AND(V$1=0,$H397&lt;MONTH($J$13)),0,IF(((YEAR(V$8)-1)*12+$H397)-((YEAR($J$13)-1)*12+MONTH($J$13))+1&gt;капитал!$J$130*12,0,IF(капитал!$J$130=0,0,капитал!$M$109/(капитал!$J$130*12)))))</f>
        <v>0</v>
      </c>
      <c r="W397" s="101">
        <f>IF(W$1="",0,IF(AND(W$1=0,$H397&lt;MONTH($J$13)),0,IF(((YEAR(W$8)-1)*12+$H397)-((YEAR($J$13)-1)*12+MONTH($J$13))+1&gt;капитал!$J$130*12,0,IF(капитал!$J$130=0,0,капитал!$M$109/(капитал!$J$130*12)))))</f>
        <v>0</v>
      </c>
      <c r="X397" s="101">
        <f>IF(X$1="",0,IF(AND(X$1=0,$H397&lt;MONTH($J$13)),0,IF(((YEAR(X$8)-1)*12+$H397)-((YEAR($J$13)-1)*12+MONTH($J$13))+1&gt;капитал!$J$130*12,0,IF(капитал!$J$130=0,0,капитал!$M$109/(капитал!$J$130*12)))))</f>
        <v>0</v>
      </c>
      <c r="Y397" s="101">
        <f>IF(Y$1="",0,IF(AND(Y$1=0,$H397&lt;MONTH($J$13)),0,IF(((YEAR(Y$8)-1)*12+$H397)-((YEAR($J$13)-1)*12+MONTH($J$13))+1&gt;капитал!$J$130*12,0,IF(капитал!$J$130=0,0,капитал!$M$109/(капитал!$J$130*12)))))</f>
        <v>0</v>
      </c>
      <c r="Z397" s="101">
        <f>IF(Z$1="",0,IF(AND(Z$1=0,$H397&lt;MONTH($J$13)),0,IF(((YEAR(Z$8)-1)*12+$H397)-((YEAR($J$13)-1)*12+MONTH($J$13))+1&gt;капитал!$J$130*12,0,IF(капитал!$J$130=0,0,капитал!$M$109/(капитал!$J$130*12)))))</f>
        <v>0</v>
      </c>
      <c r="AA397" s="101">
        <f>IF(AA$1="",0,IF(AND(AA$1=0,$H397&lt;MONTH($J$13)),0,IF(((YEAR(AA$8)-1)*12+$H397)-((YEAR($J$13)-1)*12+MONTH($J$13))+1&gt;капитал!$J$130*12,0,IF(капитал!$J$130=0,0,капитал!$M$109/(капитал!$J$130*12)))))</f>
        <v>0</v>
      </c>
      <c r="AB397" s="22"/>
    </row>
    <row r="398" spans="1:28" s="23" customFormat="1" ht="10.199999999999999" x14ac:dyDescent="0.2">
      <c r="A398" s="22"/>
      <c r="B398" s="22"/>
      <c r="C398" s="22"/>
      <c r="D398" s="22"/>
      <c r="E398" s="22" t="str">
        <f>E389</f>
        <v>амортизация прокатного инвентаря</v>
      </c>
      <c r="F398" s="22"/>
      <c r="G398" s="22" t="str">
        <f>IF($E398="","",INDEX(KPI!$G:$G,SUMIFS(KPI!$B:$B,KPI!$E:$E,$E398)))</f>
        <v>тыс.руб.</v>
      </c>
      <c r="H398" s="100">
        <f>структура!$V$20</f>
        <v>9</v>
      </c>
      <c r="I398" s="31"/>
      <c r="J398" s="98" t="str">
        <f>структура!$X$20</f>
        <v>сен</v>
      </c>
      <c r="K398" s="99"/>
      <c r="L398" s="22"/>
      <c r="M398" s="58"/>
      <c r="N398" s="22"/>
      <c r="O398" s="22"/>
      <c r="P398" s="101">
        <f>IF(P$1="",0,IF(AND(P$1=0,$H398&lt;MONTH($J$13)),0,IF(((YEAR(P$8)-1)*12+$H398)-((YEAR($J$13)-1)*12+MONTH($J$13))+1&gt;капитал!$J$130*12,0,IF(капитал!$J$130=0,0,капитал!$M$109/(капитал!$J$130*12)))))</f>
        <v>14.666666666666666</v>
      </c>
      <c r="Q398" s="101">
        <f>IF(Q$1="",0,IF(AND(Q$1=0,$H398&lt;MONTH($J$13)),0,IF(((YEAR(Q$8)-1)*12+$H398)-((YEAR($J$13)-1)*12+MONTH($J$13))+1&gt;капитал!$J$130*12,0,IF(капитал!$J$130=0,0,капитал!$M$109/(капитал!$J$130*12)))))</f>
        <v>14.666666666666666</v>
      </c>
      <c r="R398" s="101">
        <f>IF(R$1="",0,IF(AND(R$1=0,$H398&lt;MONTH($J$13)),0,IF(((YEAR(R$8)-1)*12+$H398)-((YEAR($J$13)-1)*12+MONTH($J$13))+1&gt;капитал!$J$130*12,0,IF(капитал!$J$130=0,0,капитал!$M$109/(капитал!$J$130*12)))))</f>
        <v>14.666666666666666</v>
      </c>
      <c r="S398" s="101">
        <f>IF(S$1="",0,IF(AND(S$1=0,$H398&lt;MONTH($J$13)),0,IF(((YEAR(S$8)-1)*12+$H398)-((YEAR($J$13)-1)*12+MONTH($J$13))+1&gt;капитал!$J$130*12,0,IF(капитал!$J$130=0,0,капитал!$M$109/(капитал!$J$130*12)))))</f>
        <v>14.666666666666666</v>
      </c>
      <c r="T398" s="101">
        <f>IF(T$1="",0,IF(AND(T$1=0,$H398&lt;MONTH($J$13)),0,IF(((YEAR(T$8)-1)*12+$H398)-((YEAR($J$13)-1)*12+MONTH($J$13))+1&gt;капитал!$J$130*12,0,IF(капитал!$J$130=0,0,капитал!$M$109/(капитал!$J$130*12)))))</f>
        <v>14.666666666666666</v>
      </c>
      <c r="U398" s="101">
        <f>IF(U$1="",0,IF(AND(U$1=0,$H398&lt;MONTH($J$13)),0,IF(((YEAR(U$8)-1)*12+$H398)-((YEAR($J$13)-1)*12+MONTH($J$13))+1&gt;капитал!$J$130*12,0,IF(капитал!$J$130=0,0,капитал!$M$109/(капитал!$J$130*12)))))</f>
        <v>0</v>
      </c>
      <c r="V398" s="101">
        <f>IF(V$1="",0,IF(AND(V$1=0,$H398&lt;MONTH($J$13)),0,IF(((YEAR(V$8)-1)*12+$H398)-((YEAR($J$13)-1)*12+MONTH($J$13))+1&gt;капитал!$J$130*12,0,IF(капитал!$J$130=0,0,капитал!$M$109/(капитал!$J$130*12)))))</f>
        <v>0</v>
      </c>
      <c r="W398" s="101">
        <f>IF(W$1="",0,IF(AND(W$1=0,$H398&lt;MONTH($J$13)),0,IF(((YEAR(W$8)-1)*12+$H398)-((YEAR($J$13)-1)*12+MONTH($J$13))+1&gt;капитал!$J$130*12,0,IF(капитал!$J$130=0,0,капитал!$M$109/(капитал!$J$130*12)))))</f>
        <v>0</v>
      </c>
      <c r="X398" s="101">
        <f>IF(X$1="",0,IF(AND(X$1=0,$H398&lt;MONTH($J$13)),0,IF(((YEAR(X$8)-1)*12+$H398)-((YEAR($J$13)-1)*12+MONTH($J$13))+1&gt;капитал!$J$130*12,0,IF(капитал!$J$130=0,0,капитал!$M$109/(капитал!$J$130*12)))))</f>
        <v>0</v>
      </c>
      <c r="Y398" s="101">
        <f>IF(Y$1="",0,IF(AND(Y$1=0,$H398&lt;MONTH($J$13)),0,IF(((YEAR(Y$8)-1)*12+$H398)-((YEAR($J$13)-1)*12+MONTH($J$13))+1&gt;капитал!$J$130*12,0,IF(капитал!$J$130=0,0,капитал!$M$109/(капитал!$J$130*12)))))</f>
        <v>0</v>
      </c>
      <c r="Z398" s="101">
        <f>IF(Z$1="",0,IF(AND(Z$1=0,$H398&lt;MONTH($J$13)),0,IF(((YEAR(Z$8)-1)*12+$H398)-((YEAR($J$13)-1)*12+MONTH($J$13))+1&gt;капитал!$J$130*12,0,IF(капитал!$J$130=0,0,капитал!$M$109/(капитал!$J$130*12)))))</f>
        <v>0</v>
      </c>
      <c r="AA398" s="101">
        <f>IF(AA$1="",0,IF(AND(AA$1=0,$H398&lt;MONTH($J$13)),0,IF(((YEAR(AA$8)-1)*12+$H398)-((YEAR($J$13)-1)*12+MONTH($J$13))+1&gt;капитал!$J$130*12,0,IF(капитал!$J$130=0,0,капитал!$M$109/(капитал!$J$130*12)))))</f>
        <v>0</v>
      </c>
      <c r="AB398" s="22"/>
    </row>
    <row r="399" spans="1:28" s="23" customFormat="1" ht="10.199999999999999" x14ac:dyDescent="0.2">
      <c r="A399" s="22"/>
      <c r="B399" s="22"/>
      <c r="C399" s="22"/>
      <c r="D399" s="22"/>
      <c r="E399" s="22" t="str">
        <f>E389</f>
        <v>амортизация прокатного инвентаря</v>
      </c>
      <c r="F399" s="22"/>
      <c r="G399" s="22" t="str">
        <f>IF($E399="","",INDEX(KPI!$G:$G,SUMIFS(KPI!$B:$B,KPI!$E:$E,$E399)))</f>
        <v>тыс.руб.</v>
      </c>
      <c r="H399" s="100">
        <f>структура!$V$21</f>
        <v>10</v>
      </c>
      <c r="I399" s="31"/>
      <c r="J399" s="98" t="str">
        <f>структура!$X$21</f>
        <v>окт</v>
      </c>
      <c r="K399" s="99"/>
      <c r="L399" s="22"/>
      <c r="M399" s="58"/>
      <c r="N399" s="22"/>
      <c r="O399" s="22"/>
      <c r="P399" s="101">
        <f>IF(P$1="",0,IF(AND(P$1=0,$H399&lt;MONTH($J$13)),0,IF(((YEAR(P$8)-1)*12+$H399)-((YEAR($J$13)-1)*12+MONTH($J$13))+1&gt;капитал!$J$130*12,0,IF(капитал!$J$130=0,0,капитал!$M$109/(капитал!$J$130*12)))))</f>
        <v>14.666666666666666</v>
      </c>
      <c r="Q399" s="101">
        <f>IF(Q$1="",0,IF(AND(Q$1=0,$H399&lt;MONTH($J$13)),0,IF(((YEAR(Q$8)-1)*12+$H399)-((YEAR($J$13)-1)*12+MONTH($J$13))+1&gt;капитал!$J$130*12,0,IF(капитал!$J$130=0,0,капитал!$M$109/(капитал!$J$130*12)))))</f>
        <v>14.666666666666666</v>
      </c>
      <c r="R399" s="101">
        <f>IF(R$1="",0,IF(AND(R$1=0,$H399&lt;MONTH($J$13)),0,IF(((YEAR(R$8)-1)*12+$H399)-((YEAR($J$13)-1)*12+MONTH($J$13))+1&gt;капитал!$J$130*12,0,IF(капитал!$J$130=0,0,капитал!$M$109/(капитал!$J$130*12)))))</f>
        <v>14.666666666666666</v>
      </c>
      <c r="S399" s="101">
        <f>IF(S$1="",0,IF(AND(S$1=0,$H399&lt;MONTH($J$13)),0,IF(((YEAR(S$8)-1)*12+$H399)-((YEAR($J$13)-1)*12+MONTH($J$13))+1&gt;капитал!$J$130*12,0,IF(капитал!$J$130=0,0,капитал!$M$109/(капитал!$J$130*12)))))</f>
        <v>14.666666666666666</v>
      </c>
      <c r="T399" s="101">
        <f>IF(T$1="",0,IF(AND(T$1=0,$H399&lt;MONTH($J$13)),0,IF(((YEAR(T$8)-1)*12+$H399)-((YEAR($J$13)-1)*12+MONTH($J$13))+1&gt;капитал!$J$130*12,0,IF(капитал!$J$130=0,0,капитал!$M$109/(капитал!$J$130*12)))))</f>
        <v>14.666666666666666</v>
      </c>
      <c r="U399" s="101">
        <f>IF(U$1="",0,IF(AND(U$1=0,$H399&lt;MONTH($J$13)),0,IF(((YEAR(U$8)-1)*12+$H399)-((YEAR($J$13)-1)*12+MONTH($J$13))+1&gt;капитал!$J$130*12,0,IF(капитал!$J$130=0,0,капитал!$M$109/(капитал!$J$130*12)))))</f>
        <v>0</v>
      </c>
      <c r="V399" s="101">
        <f>IF(V$1="",0,IF(AND(V$1=0,$H399&lt;MONTH($J$13)),0,IF(((YEAR(V$8)-1)*12+$H399)-((YEAR($J$13)-1)*12+MONTH($J$13))+1&gt;капитал!$J$130*12,0,IF(капитал!$J$130=0,0,капитал!$M$109/(капитал!$J$130*12)))))</f>
        <v>0</v>
      </c>
      <c r="W399" s="101">
        <f>IF(W$1="",0,IF(AND(W$1=0,$H399&lt;MONTH($J$13)),0,IF(((YEAR(W$8)-1)*12+$H399)-((YEAR($J$13)-1)*12+MONTH($J$13))+1&gt;капитал!$J$130*12,0,IF(капитал!$J$130=0,0,капитал!$M$109/(капитал!$J$130*12)))))</f>
        <v>0</v>
      </c>
      <c r="X399" s="101">
        <f>IF(X$1="",0,IF(AND(X$1=0,$H399&lt;MONTH($J$13)),0,IF(((YEAR(X$8)-1)*12+$H399)-((YEAR($J$13)-1)*12+MONTH($J$13))+1&gt;капитал!$J$130*12,0,IF(капитал!$J$130=0,0,капитал!$M$109/(капитал!$J$130*12)))))</f>
        <v>0</v>
      </c>
      <c r="Y399" s="101">
        <f>IF(Y$1="",0,IF(AND(Y$1=0,$H399&lt;MONTH($J$13)),0,IF(((YEAR(Y$8)-1)*12+$H399)-((YEAR($J$13)-1)*12+MONTH($J$13))+1&gt;капитал!$J$130*12,0,IF(капитал!$J$130=0,0,капитал!$M$109/(капитал!$J$130*12)))))</f>
        <v>0</v>
      </c>
      <c r="Z399" s="101">
        <f>IF(Z$1="",0,IF(AND(Z$1=0,$H399&lt;MONTH($J$13)),0,IF(((YEAR(Z$8)-1)*12+$H399)-((YEAR($J$13)-1)*12+MONTH($J$13))+1&gt;капитал!$J$130*12,0,IF(капитал!$J$130=0,0,капитал!$M$109/(капитал!$J$130*12)))))</f>
        <v>0</v>
      </c>
      <c r="AA399" s="101">
        <f>IF(AA$1="",0,IF(AND(AA$1=0,$H399&lt;MONTH($J$13)),0,IF(((YEAR(AA$8)-1)*12+$H399)-((YEAR($J$13)-1)*12+MONTH($J$13))+1&gt;капитал!$J$130*12,0,IF(капитал!$J$130=0,0,капитал!$M$109/(капитал!$J$130*12)))))</f>
        <v>0</v>
      </c>
      <c r="AB399" s="22"/>
    </row>
    <row r="400" spans="1:28" s="23" customFormat="1" ht="10.199999999999999" x14ac:dyDescent="0.2">
      <c r="A400" s="22"/>
      <c r="B400" s="22"/>
      <c r="C400" s="22"/>
      <c r="D400" s="22"/>
      <c r="E400" s="22" t="str">
        <f>E389</f>
        <v>амортизация прокатного инвентаря</v>
      </c>
      <c r="F400" s="22"/>
      <c r="G400" s="22" t="str">
        <f>IF($E400="","",INDEX(KPI!$G:$G,SUMIFS(KPI!$B:$B,KPI!$E:$E,$E400)))</f>
        <v>тыс.руб.</v>
      </c>
      <c r="H400" s="100">
        <f>структура!$V$22</f>
        <v>11</v>
      </c>
      <c r="I400" s="31"/>
      <c r="J400" s="98" t="str">
        <f>структура!$X$22</f>
        <v>ноя</v>
      </c>
      <c r="K400" s="99"/>
      <c r="L400" s="22"/>
      <c r="M400" s="58"/>
      <c r="N400" s="22"/>
      <c r="O400" s="22"/>
      <c r="P400" s="101">
        <f>IF(P$1="",0,IF(AND(P$1=0,$H400&lt;MONTH($J$13)),0,IF(((YEAR(P$8)-1)*12+$H400)-((YEAR($J$13)-1)*12+MONTH($J$13))+1&gt;капитал!$J$130*12,0,IF(капитал!$J$130=0,0,капитал!$M$109/(капитал!$J$130*12)))))</f>
        <v>14.666666666666666</v>
      </c>
      <c r="Q400" s="101">
        <f>IF(Q$1="",0,IF(AND(Q$1=0,$H400&lt;MONTH($J$13)),0,IF(((YEAR(Q$8)-1)*12+$H400)-((YEAR($J$13)-1)*12+MONTH($J$13))+1&gt;капитал!$J$130*12,0,IF(капитал!$J$130=0,0,капитал!$M$109/(капитал!$J$130*12)))))</f>
        <v>14.666666666666666</v>
      </c>
      <c r="R400" s="101">
        <f>IF(R$1="",0,IF(AND(R$1=0,$H400&lt;MONTH($J$13)),0,IF(((YEAR(R$8)-1)*12+$H400)-((YEAR($J$13)-1)*12+MONTH($J$13))+1&gt;капитал!$J$130*12,0,IF(капитал!$J$130=0,0,капитал!$M$109/(капитал!$J$130*12)))))</f>
        <v>14.666666666666666</v>
      </c>
      <c r="S400" s="101">
        <f>IF(S$1="",0,IF(AND(S$1=0,$H400&lt;MONTH($J$13)),0,IF(((YEAR(S$8)-1)*12+$H400)-((YEAR($J$13)-1)*12+MONTH($J$13))+1&gt;капитал!$J$130*12,0,IF(капитал!$J$130=0,0,капитал!$M$109/(капитал!$J$130*12)))))</f>
        <v>14.666666666666666</v>
      </c>
      <c r="T400" s="101">
        <f>IF(T$1="",0,IF(AND(T$1=0,$H400&lt;MONTH($J$13)),0,IF(((YEAR(T$8)-1)*12+$H400)-((YEAR($J$13)-1)*12+MONTH($J$13))+1&gt;капитал!$J$130*12,0,IF(капитал!$J$130=0,0,капитал!$M$109/(капитал!$J$130*12)))))</f>
        <v>14.666666666666666</v>
      </c>
      <c r="U400" s="101">
        <f>IF(U$1="",0,IF(AND(U$1=0,$H400&lt;MONTH($J$13)),0,IF(((YEAR(U$8)-1)*12+$H400)-((YEAR($J$13)-1)*12+MONTH($J$13))+1&gt;капитал!$J$130*12,0,IF(капитал!$J$130=0,0,капитал!$M$109/(капитал!$J$130*12)))))</f>
        <v>0</v>
      </c>
      <c r="V400" s="101">
        <f>IF(V$1="",0,IF(AND(V$1=0,$H400&lt;MONTH($J$13)),0,IF(((YEAR(V$8)-1)*12+$H400)-((YEAR($J$13)-1)*12+MONTH($J$13))+1&gt;капитал!$J$130*12,0,IF(капитал!$J$130=0,0,капитал!$M$109/(капитал!$J$130*12)))))</f>
        <v>0</v>
      </c>
      <c r="W400" s="101">
        <f>IF(W$1="",0,IF(AND(W$1=0,$H400&lt;MONTH($J$13)),0,IF(((YEAR(W$8)-1)*12+$H400)-((YEAR($J$13)-1)*12+MONTH($J$13))+1&gt;капитал!$J$130*12,0,IF(капитал!$J$130=0,0,капитал!$M$109/(капитал!$J$130*12)))))</f>
        <v>0</v>
      </c>
      <c r="X400" s="101">
        <f>IF(X$1="",0,IF(AND(X$1=0,$H400&lt;MONTH($J$13)),0,IF(((YEAR(X$8)-1)*12+$H400)-((YEAR($J$13)-1)*12+MONTH($J$13))+1&gt;капитал!$J$130*12,0,IF(капитал!$J$130=0,0,капитал!$M$109/(капитал!$J$130*12)))))</f>
        <v>0</v>
      </c>
      <c r="Y400" s="101">
        <f>IF(Y$1="",0,IF(AND(Y$1=0,$H400&lt;MONTH($J$13)),0,IF(((YEAR(Y$8)-1)*12+$H400)-((YEAR($J$13)-1)*12+MONTH($J$13))+1&gt;капитал!$J$130*12,0,IF(капитал!$J$130=0,0,капитал!$M$109/(капитал!$J$130*12)))))</f>
        <v>0</v>
      </c>
      <c r="Z400" s="101">
        <f>IF(Z$1="",0,IF(AND(Z$1=0,$H400&lt;MONTH($J$13)),0,IF(((YEAR(Z$8)-1)*12+$H400)-((YEAR($J$13)-1)*12+MONTH($J$13))+1&gt;капитал!$J$130*12,0,IF(капитал!$J$130=0,0,капитал!$M$109/(капитал!$J$130*12)))))</f>
        <v>0</v>
      </c>
      <c r="AA400" s="101">
        <f>IF(AA$1="",0,IF(AND(AA$1=0,$H400&lt;MONTH($J$13)),0,IF(((YEAR(AA$8)-1)*12+$H400)-((YEAR($J$13)-1)*12+MONTH($J$13))+1&gt;капитал!$J$130*12,0,IF(капитал!$J$130=0,0,капитал!$M$109/(капитал!$J$130*12)))))</f>
        <v>0</v>
      </c>
      <c r="AB400" s="22"/>
    </row>
    <row r="401" spans="1:28" s="23" customFormat="1" ht="10.199999999999999" x14ac:dyDescent="0.2">
      <c r="A401" s="22"/>
      <c r="B401" s="22"/>
      <c r="C401" s="22"/>
      <c r="D401" s="22"/>
      <c r="E401" s="22" t="str">
        <f>E389</f>
        <v>амортизация прокатного инвентаря</v>
      </c>
      <c r="F401" s="22"/>
      <c r="G401" s="22" t="str">
        <f>IF($E401="","",INDEX(KPI!$G:$G,SUMIFS(KPI!$B:$B,KPI!$E:$E,$E401)))</f>
        <v>тыс.руб.</v>
      </c>
      <c r="H401" s="100">
        <f>структура!$V$23</f>
        <v>12</v>
      </c>
      <c r="I401" s="31"/>
      <c r="J401" s="98" t="str">
        <f>структура!$X$23</f>
        <v>дек</v>
      </c>
      <c r="K401" s="99"/>
      <c r="L401" s="22"/>
      <c r="M401" s="58"/>
      <c r="N401" s="22"/>
      <c r="O401" s="22"/>
      <c r="P401" s="101">
        <f>IF(P$1="",0,IF(AND(P$1=0,$H401&lt;MONTH($J$13)),0,IF(((YEAR(P$8)-1)*12+$H401)-((YEAR($J$13)-1)*12+MONTH($J$13))+1&gt;капитал!$J$130*12,0,IF(капитал!$J$130=0,0,капитал!$M$109/(капитал!$J$130*12)))))</f>
        <v>14.666666666666666</v>
      </c>
      <c r="Q401" s="101">
        <f>IF(Q$1="",0,IF(AND(Q$1=0,$H401&lt;MONTH($J$13)),0,IF(((YEAR(Q$8)-1)*12+$H401)-((YEAR($J$13)-1)*12+MONTH($J$13))+1&gt;капитал!$J$130*12,0,IF(капитал!$J$130=0,0,капитал!$M$109/(капитал!$J$130*12)))))</f>
        <v>14.666666666666666</v>
      </c>
      <c r="R401" s="101">
        <f>IF(R$1="",0,IF(AND(R$1=0,$H401&lt;MONTH($J$13)),0,IF(((YEAR(R$8)-1)*12+$H401)-((YEAR($J$13)-1)*12+MONTH($J$13))+1&gt;капитал!$J$130*12,0,IF(капитал!$J$130=0,0,капитал!$M$109/(капитал!$J$130*12)))))</f>
        <v>14.666666666666666</v>
      </c>
      <c r="S401" s="101">
        <f>IF(S$1="",0,IF(AND(S$1=0,$H401&lt;MONTH($J$13)),0,IF(((YEAR(S$8)-1)*12+$H401)-((YEAR($J$13)-1)*12+MONTH($J$13))+1&gt;капитал!$J$130*12,0,IF(капитал!$J$130=0,0,капитал!$M$109/(капитал!$J$130*12)))))</f>
        <v>14.666666666666666</v>
      </c>
      <c r="T401" s="101">
        <f>IF(T$1="",0,IF(AND(T$1=0,$H401&lt;MONTH($J$13)),0,IF(((YEAR(T$8)-1)*12+$H401)-((YEAR($J$13)-1)*12+MONTH($J$13))+1&gt;капитал!$J$130*12,0,IF(капитал!$J$130=0,0,капитал!$M$109/(капитал!$J$130*12)))))</f>
        <v>14.666666666666666</v>
      </c>
      <c r="U401" s="101">
        <f>IF(U$1="",0,IF(AND(U$1=0,$H401&lt;MONTH($J$13)),0,IF(((YEAR(U$8)-1)*12+$H401)-((YEAR($J$13)-1)*12+MONTH($J$13))+1&gt;капитал!$J$130*12,0,IF(капитал!$J$130=0,0,капитал!$M$109/(капитал!$J$130*12)))))</f>
        <v>0</v>
      </c>
      <c r="V401" s="101">
        <f>IF(V$1="",0,IF(AND(V$1=0,$H401&lt;MONTH($J$13)),0,IF(((YEAR(V$8)-1)*12+$H401)-((YEAR($J$13)-1)*12+MONTH($J$13))+1&gt;капитал!$J$130*12,0,IF(капитал!$J$130=0,0,капитал!$M$109/(капитал!$J$130*12)))))</f>
        <v>0</v>
      </c>
      <c r="W401" s="101">
        <f>IF(W$1="",0,IF(AND(W$1=0,$H401&lt;MONTH($J$13)),0,IF(((YEAR(W$8)-1)*12+$H401)-((YEAR($J$13)-1)*12+MONTH($J$13))+1&gt;капитал!$J$130*12,0,IF(капитал!$J$130=0,0,капитал!$M$109/(капитал!$J$130*12)))))</f>
        <v>0</v>
      </c>
      <c r="X401" s="101">
        <f>IF(X$1="",0,IF(AND(X$1=0,$H401&lt;MONTH($J$13)),0,IF(((YEAR(X$8)-1)*12+$H401)-((YEAR($J$13)-1)*12+MONTH($J$13))+1&gt;капитал!$J$130*12,0,IF(капитал!$J$130=0,0,капитал!$M$109/(капитал!$J$130*12)))))</f>
        <v>0</v>
      </c>
      <c r="Y401" s="101">
        <f>IF(Y$1="",0,IF(AND(Y$1=0,$H401&lt;MONTH($J$13)),0,IF(((YEAR(Y$8)-1)*12+$H401)-((YEAR($J$13)-1)*12+MONTH($J$13))+1&gt;капитал!$J$130*12,0,IF(капитал!$J$130=0,0,капитал!$M$109/(капитал!$J$130*12)))))</f>
        <v>0</v>
      </c>
      <c r="Z401" s="101">
        <f>IF(Z$1="",0,IF(AND(Z$1=0,$H401&lt;MONTH($J$13)),0,IF(((YEAR(Z$8)-1)*12+$H401)-((YEAR($J$13)-1)*12+MONTH($J$13))+1&gt;капитал!$J$130*12,0,IF(капитал!$J$130=0,0,капитал!$M$109/(капитал!$J$130*12)))))</f>
        <v>0</v>
      </c>
      <c r="AA401" s="101">
        <f>IF(AA$1="",0,IF(AND(AA$1=0,$H401&lt;MONTH($J$13)),0,IF(((YEAR(AA$8)-1)*12+$H401)-((YEAR($J$13)-1)*12+MONTH($J$13))+1&gt;капитал!$J$130*12,0,IF(капитал!$J$130=0,0,капитал!$M$109/(капитал!$J$130*12)))))</f>
        <v>0</v>
      </c>
      <c r="AB401" s="22"/>
    </row>
    <row r="402" spans="1:28" ht="3.9" customHeight="1" x14ac:dyDescent="0.25">
      <c r="A402" s="2"/>
      <c r="B402" s="2"/>
      <c r="C402" s="2"/>
      <c r="D402" s="143"/>
      <c r="E402" s="143"/>
      <c r="F402" s="2"/>
      <c r="G402" s="143"/>
      <c r="H402" s="2"/>
      <c r="I402" s="28"/>
      <c r="J402" s="143"/>
      <c r="K402" s="28"/>
      <c r="L402" s="2"/>
      <c r="M402" s="52"/>
      <c r="N402" s="2"/>
      <c r="O402" s="2"/>
      <c r="P402" s="36"/>
      <c r="Q402" s="36"/>
      <c r="R402" s="36"/>
      <c r="S402" s="36"/>
      <c r="T402" s="36"/>
      <c r="U402" s="36"/>
      <c r="V402" s="36"/>
      <c r="W402" s="36"/>
      <c r="X402" s="36"/>
      <c r="Y402" s="36"/>
      <c r="Z402" s="36"/>
      <c r="AA402" s="36"/>
      <c r="AB402" s="2"/>
    </row>
    <row r="403" spans="1:28" x14ac:dyDescent="0.25">
      <c r="A403" s="2"/>
      <c r="B403" s="2"/>
      <c r="C403" s="2"/>
      <c r="D403" s="2"/>
      <c r="E403" s="2"/>
      <c r="F403" s="2"/>
      <c r="G403" s="2"/>
      <c r="H403" s="2"/>
      <c r="I403" s="28"/>
      <c r="J403" s="2"/>
      <c r="K403" s="28"/>
      <c r="L403" s="2"/>
      <c r="M403" s="52"/>
      <c r="N403" s="2"/>
      <c r="O403" s="2"/>
      <c r="P403" s="36"/>
      <c r="Q403" s="36"/>
      <c r="R403" s="36"/>
      <c r="S403" s="36"/>
      <c r="T403" s="36"/>
      <c r="U403" s="36"/>
      <c r="V403" s="36"/>
      <c r="W403" s="36"/>
      <c r="X403" s="36"/>
      <c r="Y403" s="36"/>
      <c r="Z403" s="36"/>
      <c r="AA403" s="36"/>
      <c r="AB403" s="2"/>
    </row>
    <row r="404" spans="1:28" x14ac:dyDescent="0.25">
      <c r="A404" s="2"/>
      <c r="B404" s="2"/>
      <c r="C404" s="2"/>
      <c r="D404" s="2"/>
      <c r="E404" s="2"/>
      <c r="F404" s="2"/>
      <c r="G404" s="2"/>
      <c r="H404" s="2"/>
      <c r="I404" s="28"/>
      <c r="J404" s="2"/>
      <c r="K404" s="28"/>
      <c r="L404" s="2"/>
      <c r="M404" s="52"/>
      <c r="N404" s="2"/>
      <c r="O404" s="2"/>
      <c r="P404" s="36"/>
      <c r="Q404" s="36"/>
      <c r="R404" s="36"/>
      <c r="S404" s="36"/>
      <c r="T404" s="36"/>
      <c r="U404" s="36"/>
      <c r="V404" s="36"/>
      <c r="W404" s="36"/>
      <c r="X404" s="36"/>
      <c r="Y404" s="36"/>
      <c r="Z404" s="36"/>
      <c r="AA404" s="36"/>
      <c r="AB404" s="2"/>
    </row>
    <row r="405" spans="1:28" x14ac:dyDescent="0.25">
      <c r="A405" s="2"/>
      <c r="B405" s="2"/>
      <c r="C405" s="2"/>
      <c r="D405" s="2"/>
      <c r="E405" s="2"/>
      <c r="F405" s="2"/>
      <c r="G405" s="2"/>
      <c r="H405" s="2"/>
      <c r="I405" s="28"/>
      <c r="J405" s="2"/>
      <c r="K405" s="28"/>
      <c r="L405" s="2"/>
      <c r="M405" s="52"/>
      <c r="N405" s="2"/>
      <c r="O405" s="2"/>
      <c r="P405" s="36"/>
      <c r="Q405" s="36"/>
      <c r="R405" s="36"/>
      <c r="S405" s="36"/>
      <c r="T405" s="36"/>
      <c r="U405" s="36"/>
      <c r="V405" s="36"/>
      <c r="W405" s="36"/>
      <c r="X405" s="36"/>
      <c r="Y405" s="36"/>
      <c r="Z405" s="36"/>
      <c r="AA405" s="36"/>
      <c r="AB405" s="2"/>
    </row>
    <row r="406" spans="1:28" x14ac:dyDescent="0.25">
      <c r="A406" s="2"/>
      <c r="B406" s="2"/>
      <c r="C406" s="2"/>
      <c r="D406" s="2"/>
      <c r="E406" s="2"/>
      <c r="F406" s="2"/>
      <c r="G406" s="2"/>
      <c r="H406" s="2"/>
      <c r="I406" s="28"/>
      <c r="J406" s="2"/>
      <c r="K406" s="28"/>
      <c r="L406" s="2"/>
      <c r="M406" s="52"/>
      <c r="N406" s="2"/>
      <c r="O406" s="2"/>
      <c r="P406" s="36"/>
      <c r="Q406" s="36"/>
      <c r="R406" s="36"/>
      <c r="S406" s="36"/>
      <c r="T406" s="36"/>
      <c r="U406" s="36"/>
      <c r="V406" s="36"/>
      <c r="W406" s="36"/>
      <c r="X406" s="36"/>
      <c r="Y406" s="36"/>
      <c r="Z406" s="36"/>
      <c r="AA406" s="36"/>
      <c r="AB406" s="2"/>
    </row>
    <row r="407" spans="1:28" x14ac:dyDescent="0.25">
      <c r="A407" s="2"/>
      <c r="B407" s="2"/>
      <c r="C407" s="2"/>
      <c r="D407" s="2"/>
      <c r="E407" s="2"/>
      <c r="F407" s="2"/>
      <c r="G407" s="2"/>
      <c r="H407" s="2"/>
      <c r="I407" s="28"/>
      <c r="J407" s="2"/>
      <c r="K407" s="28"/>
      <c r="L407" s="2"/>
      <c r="M407" s="52"/>
      <c r="N407" s="2"/>
      <c r="O407" s="2"/>
      <c r="P407" s="36"/>
      <c r="Q407" s="36"/>
      <c r="R407" s="36"/>
      <c r="S407" s="36"/>
      <c r="T407" s="36"/>
      <c r="U407" s="36"/>
      <c r="V407" s="36"/>
      <c r="W407" s="36"/>
      <c r="X407" s="36"/>
      <c r="Y407" s="36"/>
      <c r="Z407" s="36"/>
      <c r="AA407" s="36"/>
      <c r="AB407" s="2"/>
    </row>
    <row r="408" spans="1:28" x14ac:dyDescent="0.25">
      <c r="A408" s="2"/>
      <c r="B408" s="2"/>
      <c r="C408" s="2"/>
      <c r="D408" s="2"/>
      <c r="E408" s="2"/>
      <c r="F408" s="2"/>
      <c r="G408" s="2"/>
      <c r="H408" s="2"/>
      <c r="I408" s="28"/>
      <c r="J408" s="2"/>
      <c r="K408" s="28"/>
      <c r="L408" s="2"/>
      <c r="M408" s="52"/>
      <c r="N408" s="2"/>
      <c r="O408" s="2"/>
      <c r="P408" s="36"/>
      <c r="Q408" s="36"/>
      <c r="R408" s="36"/>
      <c r="S408" s="36"/>
      <c r="T408" s="36"/>
      <c r="U408" s="36"/>
      <c r="V408" s="36"/>
      <c r="W408" s="36"/>
      <c r="X408" s="36"/>
      <c r="Y408" s="36"/>
      <c r="Z408" s="36"/>
      <c r="AA408" s="36"/>
      <c r="AB408" s="2"/>
    </row>
    <row r="409" spans="1:28" x14ac:dyDescent="0.25">
      <c r="P409" s="57"/>
      <c r="Q409" s="57"/>
      <c r="R409" s="57"/>
      <c r="S409" s="57"/>
      <c r="T409" s="57"/>
      <c r="U409" s="57"/>
      <c r="V409" s="57"/>
      <c r="W409" s="57"/>
      <c r="X409" s="57"/>
      <c r="Y409" s="57"/>
      <c r="Z409" s="57"/>
      <c r="AA409" s="57"/>
    </row>
    <row r="410" spans="1:28" x14ac:dyDescent="0.25">
      <c r="P410" s="57"/>
      <c r="Q410" s="57"/>
      <c r="R410" s="57"/>
      <c r="S410" s="57"/>
      <c r="T410" s="57"/>
      <c r="U410" s="57"/>
      <c r="V410" s="57"/>
      <c r="W410" s="57"/>
      <c r="X410" s="57"/>
      <c r="Y410" s="57"/>
      <c r="Z410" s="57"/>
      <c r="AA410" s="57"/>
    </row>
    <row r="411" spans="1:28" x14ac:dyDescent="0.25">
      <c r="P411" s="57"/>
      <c r="Q411" s="57"/>
      <c r="R411" s="57"/>
      <c r="S411" s="57"/>
      <c r="T411" s="57"/>
      <c r="U411" s="57"/>
      <c r="V411" s="57"/>
      <c r="W411" s="57"/>
      <c r="X411" s="57"/>
      <c r="Y411" s="57"/>
      <c r="Z411" s="57"/>
      <c r="AA411" s="57"/>
    </row>
    <row r="412" spans="1:28" x14ac:dyDescent="0.25">
      <c r="P412" s="57"/>
      <c r="Q412" s="57"/>
      <c r="R412" s="57"/>
      <c r="S412" s="57"/>
      <c r="T412" s="57"/>
      <c r="U412" s="57"/>
      <c r="V412" s="57"/>
      <c r="W412" s="57"/>
      <c r="X412" s="57"/>
      <c r="Y412" s="57"/>
      <c r="Z412" s="57"/>
      <c r="AA412" s="57"/>
    </row>
    <row r="413" spans="1:28" x14ac:dyDescent="0.25">
      <c r="P413" s="57"/>
      <c r="Q413" s="57"/>
      <c r="R413" s="57"/>
      <c r="S413" s="57"/>
      <c r="T413" s="57"/>
      <c r="U413" s="57"/>
      <c r="V413" s="57"/>
      <c r="W413" s="57"/>
      <c r="X413" s="57"/>
      <c r="Y413" s="57"/>
      <c r="Z413" s="57"/>
      <c r="AA413" s="57"/>
    </row>
    <row r="414" spans="1:28" x14ac:dyDescent="0.25">
      <c r="P414" s="57"/>
      <c r="Q414" s="57"/>
      <c r="R414" s="57"/>
      <c r="S414" s="57"/>
      <c r="T414" s="57"/>
      <c r="U414" s="57"/>
      <c r="V414" s="57"/>
      <c r="W414" s="57"/>
      <c r="X414" s="57"/>
      <c r="Y414" s="57"/>
      <c r="Z414" s="57"/>
      <c r="AA414" s="57"/>
    </row>
    <row r="415" spans="1:28" x14ac:dyDescent="0.25">
      <c r="P415" s="57"/>
      <c r="Q415" s="57"/>
      <c r="R415" s="57"/>
      <c r="S415" s="57"/>
      <c r="T415" s="57"/>
      <c r="U415" s="57"/>
      <c r="V415" s="57"/>
      <c r="W415" s="57"/>
      <c r="X415" s="57"/>
      <c r="Y415" s="57"/>
      <c r="Z415" s="57"/>
      <c r="AA415" s="57"/>
    </row>
    <row r="416" spans="1:28" x14ac:dyDescent="0.25">
      <c r="P416" s="57"/>
      <c r="Q416" s="57"/>
      <c r="R416" s="57"/>
      <c r="S416" s="57"/>
      <c r="T416" s="57"/>
      <c r="U416" s="57"/>
      <c r="V416" s="57"/>
      <c r="W416" s="57"/>
      <c r="X416" s="57"/>
      <c r="Y416" s="57"/>
      <c r="Z416" s="57"/>
      <c r="AA416" s="57"/>
    </row>
    <row r="417" spans="16:27" x14ac:dyDescent="0.25">
      <c r="P417" s="57"/>
      <c r="Q417" s="57"/>
      <c r="R417" s="57"/>
      <c r="S417" s="57"/>
      <c r="T417" s="57"/>
      <c r="U417" s="57"/>
      <c r="V417" s="57"/>
      <c r="W417" s="57"/>
      <c r="X417" s="57"/>
      <c r="Y417" s="57"/>
      <c r="Z417" s="57"/>
      <c r="AA417" s="57"/>
    </row>
    <row r="418" spans="16:27" x14ac:dyDescent="0.25">
      <c r="P418" s="57"/>
      <c r="Q418" s="57"/>
      <c r="R418" s="57"/>
      <c r="S418" s="57"/>
      <c r="T418" s="57"/>
      <c r="U418" s="57"/>
      <c r="V418" s="57"/>
      <c r="W418" s="57"/>
      <c r="X418" s="57"/>
      <c r="Y418" s="57"/>
      <c r="Z418" s="57"/>
      <c r="AA418" s="57"/>
    </row>
  </sheetData>
  <conditionalFormatting sqref="A16:H16 L16:XFD16 A2:XFD2 AB154:XFD154 A154:N154 A155:XFD170 A274:O274 A348:XFD348 A343:XFD345 A372:XFD372 A403:XFD1048576 A17:XFD35 A7:XFD15 A3:B6 F3:XFD6 A39:XFD74 A36:I38 K36:XFD38 A75:I77 K75:XFD77 A78:XFD107 A120:XFD137 A108:L119 N108:XFD119 E1:XFD1 A150:XFD153 A138:O149 AB138:XFD149 AB274:XFD274">
    <cfRule type="cellIs" dxfId="3620" priority="160" operator="equal">
      <formula>0</formula>
    </cfRule>
  </conditionalFormatting>
  <conditionalFormatting sqref="P41:AA71">
    <cfRule type="expression" dxfId="3619" priority="159">
      <formula>P$1=""</formula>
    </cfRule>
  </conditionalFormatting>
  <conditionalFormatting sqref="I16:K16">
    <cfRule type="cellIs" dxfId="3618" priority="157" operator="equal">
      <formula>0</formula>
    </cfRule>
  </conditionalFormatting>
  <conditionalFormatting sqref="J16">
    <cfRule type="containsBlanks" dxfId="3617" priority="158">
      <formula>LEN(TRIM(J16))=0</formula>
    </cfRule>
  </conditionalFormatting>
  <conditionalFormatting sqref="P20:P31 P44:P55 P59:P70 P158:P169 P176:P187 P191:P202 P226:P237 P241:P252 P312:P323 P330:P341">
    <cfRule type="expression" dxfId="3616" priority="156">
      <formula>AND($P$1=0,$H20&lt;MONTH($J$13))</formula>
    </cfRule>
  </conditionalFormatting>
  <conditionalFormatting sqref="Q20:AA31">
    <cfRule type="expression" dxfId="3615" priority="155">
      <formula>Q$1=""</formula>
    </cfRule>
  </conditionalFormatting>
  <conditionalFormatting sqref="Q44:AA55">
    <cfRule type="expression" dxfId="3614" priority="154">
      <formula>Q$1=""</formula>
    </cfRule>
  </conditionalFormatting>
  <conditionalFormatting sqref="Q59:AA70">
    <cfRule type="expression" dxfId="3613" priority="153">
      <formula>Q$1=""</formula>
    </cfRule>
  </conditionalFormatting>
  <conditionalFormatting sqref="P87:AA106">
    <cfRule type="expression" dxfId="3612" priority="152">
      <formula>P$1=""</formula>
    </cfRule>
  </conditionalFormatting>
  <conditionalFormatting sqref="P88:AA106">
    <cfRule type="expression" dxfId="3611" priority="151">
      <formula>P$1=""</formula>
    </cfRule>
  </conditionalFormatting>
  <conditionalFormatting sqref="P90:P101">
    <cfRule type="expression" dxfId="3610" priority="150">
      <formula>AND($P$1=0,$H90&lt;MONTH($J$13))</formula>
    </cfRule>
  </conditionalFormatting>
  <conditionalFormatting sqref="Q90:AA101">
    <cfRule type="expression" dxfId="3609" priority="149">
      <formula>Q$1=""</formula>
    </cfRule>
  </conditionalFormatting>
  <conditionalFormatting sqref="P120:AA137 P150:AA151">
    <cfRule type="expression" dxfId="3608" priority="148">
      <formula>P$1=""</formula>
    </cfRule>
  </conditionalFormatting>
  <conditionalFormatting sqref="P120:AA137 P150:AA151">
    <cfRule type="expression" dxfId="3607" priority="147">
      <formula>P$1=""</formula>
    </cfRule>
  </conditionalFormatting>
  <conditionalFormatting sqref="P123:P134">
    <cfRule type="expression" dxfId="3606" priority="146">
      <formula>AND($P$1=0,$H123&lt;MONTH($J$13))</formula>
    </cfRule>
  </conditionalFormatting>
  <conditionalFormatting sqref="Q123:AA134">
    <cfRule type="expression" dxfId="3605" priority="145">
      <formula>Q$1=""</formula>
    </cfRule>
  </conditionalFormatting>
  <conditionalFormatting sqref="P136:AA137 P150:AA150">
    <cfRule type="expression" dxfId="3604" priority="144">
      <formula>P$1=""</formula>
    </cfRule>
  </conditionalFormatting>
  <conditionalFormatting sqref="P136:AA137 P150:AA150">
    <cfRule type="expression" dxfId="3603" priority="143">
      <formula>P$1=""</formula>
    </cfRule>
  </conditionalFormatting>
  <conditionalFormatting sqref="Q241:AA252">
    <cfRule type="expression" dxfId="3602" priority="125">
      <formula>Q$1=""</formula>
    </cfRule>
  </conditionalFormatting>
  <conditionalFormatting sqref="P155:AA170 P343:AA343">
    <cfRule type="expression" dxfId="3601" priority="140">
      <formula>P$1=""</formula>
    </cfRule>
  </conditionalFormatting>
  <conditionalFormatting sqref="P155:AA170 P343:AA343">
    <cfRule type="expression" dxfId="3600" priority="139">
      <formula>P$1=""</formula>
    </cfRule>
  </conditionalFormatting>
  <conditionalFormatting sqref="O154:AA154">
    <cfRule type="cellIs" dxfId="3599" priority="138" operator="equal">
      <formula>0</formula>
    </cfRule>
  </conditionalFormatting>
  <conditionalFormatting sqref="P154:AA154">
    <cfRule type="containsBlanks" dxfId="3598" priority="137">
      <formula>LEN(TRIM(P154))=0</formula>
    </cfRule>
  </conditionalFormatting>
  <conditionalFormatting sqref="P154:AA154">
    <cfRule type="expression" dxfId="3597" priority="136">
      <formula>P$1=""</formula>
    </cfRule>
  </conditionalFormatting>
  <conditionalFormatting sqref="P156:AA170">
    <cfRule type="expression" dxfId="3596" priority="135">
      <formula>P$1=""</formula>
    </cfRule>
  </conditionalFormatting>
  <conditionalFormatting sqref="P156:AA170">
    <cfRule type="expression" dxfId="3595" priority="134">
      <formula>P$1=""</formula>
    </cfRule>
  </conditionalFormatting>
  <conditionalFormatting sqref="Q158:AA169">
    <cfRule type="expression" dxfId="3594" priority="133">
      <formula>Q$1=""</formula>
    </cfRule>
  </conditionalFormatting>
  <conditionalFormatting sqref="A172:H172 A171:XFD171 K172:N172 A173:N173 O172:XFD173 A174:XFD203">
    <cfRule type="cellIs" dxfId="3593" priority="132" operator="equal">
      <formula>0</formula>
    </cfRule>
  </conditionalFormatting>
  <conditionalFormatting sqref="Q176:AA187">
    <cfRule type="expression" dxfId="3592" priority="131">
      <formula>Q$1=""</formula>
    </cfRule>
  </conditionalFormatting>
  <conditionalFormatting sqref="I172">
    <cfRule type="cellIs" dxfId="3591" priority="130" operator="equal">
      <formula>0</formula>
    </cfRule>
  </conditionalFormatting>
  <conditionalFormatting sqref="Q191:AA202">
    <cfRule type="expression" dxfId="3590" priority="129">
      <formula>Q$1=""</formula>
    </cfRule>
  </conditionalFormatting>
  <conditionalFormatting sqref="A205:H205 A204:XFD204 K205:XFD205 A208:XFD208 A224:XFD239 A241:XFD253 A240:G240 I240:XFD240">
    <cfRule type="cellIs" dxfId="3589" priority="128" operator="equal">
      <formula>0</formula>
    </cfRule>
  </conditionalFormatting>
  <conditionalFormatting sqref="Q226:AA237">
    <cfRule type="expression" dxfId="3588" priority="127">
      <formula>Q$1=""</formula>
    </cfRule>
  </conditionalFormatting>
  <conditionalFormatting sqref="I205">
    <cfRule type="cellIs" dxfId="3587" priority="126" operator="equal">
      <formula>0</formula>
    </cfRule>
  </conditionalFormatting>
  <conditionalFormatting sqref="A206:H206 K206:XFD206">
    <cfRule type="cellIs" dxfId="3586" priority="124" operator="equal">
      <formula>0</formula>
    </cfRule>
  </conditionalFormatting>
  <conditionalFormatting sqref="I206">
    <cfRule type="cellIs" dxfId="3585" priority="123" operator="equal">
      <formula>0</formula>
    </cfRule>
  </conditionalFormatting>
  <conditionalFormatting sqref="A207:H207 K207:XFD207">
    <cfRule type="cellIs" dxfId="3584" priority="122" operator="equal">
      <formula>0</formula>
    </cfRule>
  </conditionalFormatting>
  <conditionalFormatting sqref="I207:J207">
    <cfRule type="cellIs" dxfId="3583" priority="121" operator="equal">
      <formula>0</formula>
    </cfRule>
  </conditionalFormatting>
  <conditionalFormatting sqref="A209:XFD210 A223:XFD223 A211:L222 N211:XFD222">
    <cfRule type="cellIs" dxfId="3582" priority="120" operator="equal">
      <formula>0</formula>
    </cfRule>
  </conditionalFormatting>
  <conditionalFormatting sqref="P209:AA209">
    <cfRule type="expression" dxfId="3581" priority="119">
      <formula>P$1=""</formula>
    </cfRule>
  </conditionalFormatting>
  <conditionalFormatting sqref="P209:AA209">
    <cfRule type="expression" dxfId="3580" priority="118">
      <formula>P$1=""</formula>
    </cfRule>
  </conditionalFormatting>
  <conditionalFormatting sqref="P223:AA223">
    <cfRule type="expression" dxfId="3579" priority="117">
      <formula>P$1=""</formula>
    </cfRule>
  </conditionalFormatting>
  <conditionalFormatting sqref="P223:AA223">
    <cfRule type="expression" dxfId="3578" priority="116">
      <formula>P$1=""</formula>
    </cfRule>
  </conditionalFormatting>
  <conditionalFormatting sqref="A255:H255 A254:XFD254 K255:XFD255 A258:XFD259 A260:O273 AB260:XFD273">
    <cfRule type="cellIs" dxfId="3577" priority="115" operator="equal">
      <formula>0</formula>
    </cfRule>
  </conditionalFormatting>
  <conditionalFormatting sqref="I255">
    <cfRule type="cellIs" dxfId="3576" priority="113" operator="equal">
      <formula>0</formula>
    </cfRule>
  </conditionalFormatting>
  <conditionalFormatting sqref="A256:H256 K256:XFD256">
    <cfRule type="cellIs" dxfId="3575" priority="112" operator="equal">
      <formula>0</formula>
    </cfRule>
  </conditionalFormatting>
  <conditionalFormatting sqref="I256">
    <cfRule type="cellIs" dxfId="3574" priority="111" operator="equal">
      <formula>0</formula>
    </cfRule>
  </conditionalFormatting>
  <conditionalFormatting sqref="A257:H257 K257:XFD257">
    <cfRule type="cellIs" dxfId="3573" priority="110" operator="equal">
      <formula>0</formula>
    </cfRule>
  </conditionalFormatting>
  <conditionalFormatting sqref="I257:J257">
    <cfRule type="cellIs" dxfId="3572" priority="109" operator="equal">
      <formula>0</formula>
    </cfRule>
  </conditionalFormatting>
  <conditionalFormatting sqref="A276:O292 A306:XFD306 A293:G293 I293:O293 A294:O305 AB276:XFD305">
    <cfRule type="cellIs" dxfId="3571" priority="108" operator="equal">
      <formula>0</formula>
    </cfRule>
  </conditionalFormatting>
  <conditionalFormatting sqref="P346:AA346">
    <cfRule type="expression" dxfId="3570" priority="91">
      <formula>P$1=""</formula>
    </cfRule>
  </conditionalFormatting>
  <conditionalFormatting sqref="A275:H275 K275:O275 AB275:XFD275">
    <cfRule type="cellIs" dxfId="3569" priority="106" operator="equal">
      <formula>0</formula>
    </cfRule>
  </conditionalFormatting>
  <conditionalFormatting sqref="I275">
    <cfRule type="cellIs" dxfId="3568" priority="105" operator="equal">
      <formula>0</formula>
    </cfRule>
  </conditionalFormatting>
  <conditionalFormatting sqref="Q312:AA323">
    <cfRule type="expression" dxfId="3567" priority="99">
      <formula>Q$1=""</formula>
    </cfRule>
  </conditionalFormatting>
  <conditionalFormatting sqref="H240">
    <cfRule type="cellIs" dxfId="3566" priority="104" operator="equal">
      <formula>0</formula>
    </cfRule>
  </conditionalFormatting>
  <conditionalFormatting sqref="H293">
    <cfRule type="cellIs" dxfId="3565" priority="103" operator="equal">
      <formula>0</formula>
    </cfRule>
  </conditionalFormatting>
  <conditionalFormatting sqref="AB349:XFD349 A349:N349 A350:XFD350">
    <cfRule type="cellIs" dxfId="3564" priority="86" operator="equal">
      <formula>0</formula>
    </cfRule>
  </conditionalFormatting>
  <conditionalFormatting sqref="A308:H308 A307:XFD307 K308:N308 A309:N309 O308:XFD309 A310:XFD324">
    <cfRule type="cellIs" dxfId="3563" priority="100" operator="equal">
      <formula>0</formula>
    </cfRule>
  </conditionalFormatting>
  <conditionalFormatting sqref="Q330:AA341">
    <cfRule type="expression" dxfId="3562" priority="97">
      <formula>Q$1=""</formula>
    </cfRule>
  </conditionalFormatting>
  <conditionalFormatting sqref="A326:H326 A325:XFD325 K326:N326 A327:N327 O326:XFD327 A328:XFD342">
    <cfRule type="cellIs" dxfId="3561" priority="98" operator="equal">
      <formula>0</formula>
    </cfRule>
  </conditionalFormatting>
  <conditionalFormatting sqref="AB346:XFD346 A346:N346 A347:XFD347">
    <cfRule type="cellIs" dxfId="3560" priority="96" operator="equal">
      <formula>0</formula>
    </cfRule>
  </conditionalFormatting>
  <conditionalFormatting sqref="P347:AA347">
    <cfRule type="expression" dxfId="3559" priority="95">
      <formula>P$1=""</formula>
    </cfRule>
  </conditionalFormatting>
  <conditionalFormatting sqref="P347:AA347">
    <cfRule type="expression" dxfId="3558" priority="94">
      <formula>P$1=""</formula>
    </cfRule>
  </conditionalFormatting>
  <conditionalFormatting sqref="O346:AA346">
    <cfRule type="cellIs" dxfId="3557" priority="93" operator="equal">
      <formula>0</formula>
    </cfRule>
  </conditionalFormatting>
  <conditionalFormatting sqref="P346:AA346">
    <cfRule type="containsBlanks" dxfId="3556" priority="92">
      <formula>LEN(TRIM(P346))=0</formula>
    </cfRule>
  </conditionalFormatting>
  <conditionalFormatting sqref="P345:AA345">
    <cfRule type="expression" dxfId="3555" priority="90">
      <formula>P$1=""</formula>
    </cfRule>
  </conditionalFormatting>
  <conditionalFormatting sqref="P345:AA345">
    <cfRule type="expression" dxfId="3554" priority="89">
      <formula>P$1=""</formula>
    </cfRule>
  </conditionalFormatting>
  <conditionalFormatting sqref="P153:AA153">
    <cfRule type="expression" dxfId="3553" priority="88">
      <formula>P$1=""</formula>
    </cfRule>
  </conditionalFormatting>
  <conditionalFormatting sqref="P153:AA153">
    <cfRule type="expression" dxfId="3552" priority="87">
      <formula>P$1=""</formula>
    </cfRule>
  </conditionalFormatting>
  <conditionalFormatting sqref="A351:XFD351">
    <cfRule type="cellIs" dxfId="3551" priority="83" operator="equal">
      <formula>0</formula>
    </cfRule>
  </conditionalFormatting>
  <conditionalFormatting sqref="P350:AA350">
    <cfRule type="expression" dxfId="3550" priority="85">
      <formula>P$1=""</formula>
    </cfRule>
  </conditionalFormatting>
  <conditionalFormatting sqref="P350:AA350">
    <cfRule type="expression" dxfId="3549" priority="84">
      <formula>P$1=""</formula>
    </cfRule>
  </conditionalFormatting>
  <conditionalFormatting sqref="A354:XFD354">
    <cfRule type="cellIs" dxfId="3548" priority="79" operator="equal">
      <formula>0</formula>
    </cfRule>
  </conditionalFormatting>
  <conditionalFormatting sqref="AB352:XFD352 A352:N352 A353:XFD353">
    <cfRule type="cellIs" dxfId="3547" priority="82" operator="equal">
      <formula>0</formula>
    </cfRule>
  </conditionalFormatting>
  <conditionalFormatting sqref="P353:AA353">
    <cfRule type="expression" dxfId="3546" priority="81">
      <formula>P$1=""</formula>
    </cfRule>
  </conditionalFormatting>
  <conditionalFormatting sqref="P353:AA353">
    <cfRule type="expression" dxfId="3545" priority="80">
      <formula>P$1=""</formula>
    </cfRule>
  </conditionalFormatting>
  <conditionalFormatting sqref="A357:XFD357">
    <cfRule type="cellIs" dxfId="3544" priority="75" operator="equal">
      <formula>0</formula>
    </cfRule>
  </conditionalFormatting>
  <conditionalFormatting sqref="AB355:XFD355 A355:N355 A356:XFD356">
    <cfRule type="cellIs" dxfId="3543" priority="78" operator="equal">
      <formula>0</formula>
    </cfRule>
  </conditionalFormatting>
  <conditionalFormatting sqref="P356:AA356">
    <cfRule type="expression" dxfId="3542" priority="77">
      <formula>P$1=""</formula>
    </cfRule>
  </conditionalFormatting>
  <conditionalFormatting sqref="P356:AA356">
    <cfRule type="expression" dxfId="3541" priority="76">
      <formula>P$1=""</formula>
    </cfRule>
  </conditionalFormatting>
  <conditionalFormatting sqref="A360:XFD360">
    <cfRule type="cellIs" dxfId="3540" priority="71" operator="equal">
      <formula>0</formula>
    </cfRule>
  </conditionalFormatting>
  <conditionalFormatting sqref="AB358:XFD358 A358:N358 A359:XFD359">
    <cfRule type="cellIs" dxfId="3539" priority="74" operator="equal">
      <formula>0</formula>
    </cfRule>
  </conditionalFormatting>
  <conditionalFormatting sqref="P359:AA359">
    <cfRule type="expression" dxfId="3538" priority="73">
      <formula>P$1=""</formula>
    </cfRule>
  </conditionalFormatting>
  <conditionalFormatting sqref="P359:AA359">
    <cfRule type="expression" dxfId="3537" priority="72">
      <formula>P$1=""</formula>
    </cfRule>
  </conditionalFormatting>
  <conditionalFormatting sqref="A363:XFD363">
    <cfRule type="cellIs" dxfId="3536" priority="67" operator="equal">
      <formula>0</formula>
    </cfRule>
  </conditionalFormatting>
  <conditionalFormatting sqref="AB361:XFD361 A361:N361 A362:XFD362">
    <cfRule type="cellIs" dxfId="3535" priority="70" operator="equal">
      <formula>0</formula>
    </cfRule>
  </conditionalFormatting>
  <conditionalFormatting sqref="P362:AA362">
    <cfRule type="expression" dxfId="3534" priority="69">
      <formula>P$1=""</formula>
    </cfRule>
  </conditionalFormatting>
  <conditionalFormatting sqref="P362:AA362">
    <cfRule type="expression" dxfId="3533" priority="68">
      <formula>P$1=""</formula>
    </cfRule>
  </conditionalFormatting>
  <conditionalFormatting sqref="A366:XFD366">
    <cfRule type="cellIs" dxfId="3532" priority="63" operator="equal">
      <formula>0</formula>
    </cfRule>
  </conditionalFormatting>
  <conditionalFormatting sqref="AB364:XFD364 A364:N364 A365:XFD365">
    <cfRule type="cellIs" dxfId="3531" priority="66" operator="equal">
      <formula>0</formula>
    </cfRule>
  </conditionalFormatting>
  <conditionalFormatting sqref="P365:AA365">
    <cfRule type="expression" dxfId="3530" priority="65">
      <formula>P$1=""</formula>
    </cfRule>
  </conditionalFormatting>
  <conditionalFormatting sqref="P365:AA365">
    <cfRule type="expression" dxfId="3529" priority="64">
      <formula>P$1=""</formula>
    </cfRule>
  </conditionalFormatting>
  <conditionalFormatting sqref="AB367:XFD367 A367:N367 A368:XFD368">
    <cfRule type="cellIs" dxfId="3528" priority="62" operator="equal">
      <formula>0</formula>
    </cfRule>
  </conditionalFormatting>
  <conditionalFormatting sqref="P368:AA368">
    <cfRule type="expression" dxfId="3527" priority="61">
      <formula>P$1=""</formula>
    </cfRule>
  </conditionalFormatting>
  <conditionalFormatting sqref="P368:AA368">
    <cfRule type="expression" dxfId="3526" priority="60">
      <formula>P$1=""</formula>
    </cfRule>
  </conditionalFormatting>
  <conditionalFormatting sqref="A369:XFD369">
    <cfRule type="cellIs" dxfId="3525" priority="59" operator="equal">
      <formula>0</formula>
    </cfRule>
  </conditionalFormatting>
  <conditionalFormatting sqref="AB370:XFD370 A370:N370 A371:XFD371">
    <cfRule type="cellIs" dxfId="3524" priority="58" operator="equal">
      <formula>0</formula>
    </cfRule>
  </conditionalFormatting>
  <conditionalFormatting sqref="P371:AA371">
    <cfRule type="expression" dxfId="3523" priority="57">
      <formula>P$1=""</formula>
    </cfRule>
  </conditionalFormatting>
  <conditionalFormatting sqref="P371:AA371">
    <cfRule type="expression" dxfId="3522" priority="56">
      <formula>P$1=""</formula>
    </cfRule>
  </conditionalFormatting>
  <conditionalFormatting sqref="P375:P386">
    <cfRule type="expression" dxfId="3521" priority="55">
      <formula>AND($P$1=0,$H375&lt;MONTH($J$13))</formula>
    </cfRule>
  </conditionalFormatting>
  <conditionalFormatting sqref="Q375:AA386">
    <cfRule type="expression" dxfId="3520" priority="53">
      <formula>Q$1=""</formula>
    </cfRule>
  </conditionalFormatting>
  <conditionalFormatting sqref="A373:XFD402">
    <cfRule type="cellIs" dxfId="3519" priority="54" operator="equal">
      <formula>0</formula>
    </cfRule>
  </conditionalFormatting>
  <conditionalFormatting sqref="P390:P401">
    <cfRule type="expression" dxfId="3518" priority="52">
      <formula>AND($P$1=0,$H390&lt;MONTH($J$13))</formula>
    </cfRule>
  </conditionalFormatting>
  <conditionalFormatting sqref="Q390:AA401">
    <cfRule type="expression" dxfId="3517" priority="51">
      <formula>Q$1=""</formula>
    </cfRule>
  </conditionalFormatting>
  <conditionalFormatting sqref="P123">
    <cfRule type="expression" dxfId="3516" priority="50">
      <formula>AND($P$1=0,$H123&lt;MONTH($J$13))</formula>
    </cfRule>
  </conditionalFormatting>
  <conditionalFormatting sqref="C3:E6">
    <cfRule type="cellIs" dxfId="3515" priority="49" operator="equal">
      <formula>0</formula>
    </cfRule>
  </conditionalFormatting>
  <conditionalFormatting sqref="J36:J38">
    <cfRule type="cellIs" dxfId="3514" priority="47" operator="equal">
      <formula>0</formula>
    </cfRule>
  </conditionalFormatting>
  <conditionalFormatting sqref="J36:J38">
    <cfRule type="containsBlanks" dxfId="3513" priority="48">
      <formula>LEN(TRIM(J36))=0</formula>
    </cfRule>
  </conditionalFormatting>
  <conditionalFormatting sqref="J75:J77">
    <cfRule type="cellIs" dxfId="3512" priority="45" operator="equal">
      <formula>0</formula>
    </cfRule>
  </conditionalFormatting>
  <conditionalFormatting sqref="J75:J77">
    <cfRule type="containsBlanks" dxfId="3511" priority="46">
      <formula>LEN(TRIM(J75))=0</formula>
    </cfRule>
  </conditionalFormatting>
  <conditionalFormatting sqref="M108:M119">
    <cfRule type="cellIs" dxfId="3510" priority="43" operator="equal">
      <formula>0</formula>
    </cfRule>
  </conditionalFormatting>
  <conditionalFormatting sqref="M108:M119">
    <cfRule type="containsBlanks" dxfId="3509" priority="44">
      <formula>LEN(TRIM(M108))=0</formula>
    </cfRule>
  </conditionalFormatting>
  <conditionalFormatting sqref="J172">
    <cfRule type="cellIs" dxfId="3508" priority="41" operator="equal">
      <formula>0</formula>
    </cfRule>
  </conditionalFormatting>
  <conditionalFormatting sqref="J172">
    <cfRule type="containsBlanks" dxfId="3507" priority="42">
      <formula>LEN(TRIM(J172))=0</formula>
    </cfRule>
  </conditionalFormatting>
  <conditionalFormatting sqref="J205:J206">
    <cfRule type="cellIs" dxfId="3506" priority="39" operator="equal">
      <formula>0</formula>
    </cfRule>
  </conditionalFormatting>
  <conditionalFormatting sqref="J205:J206">
    <cfRule type="containsBlanks" dxfId="3505" priority="40">
      <formula>LEN(TRIM(J205))=0</formula>
    </cfRule>
  </conditionalFormatting>
  <conditionalFormatting sqref="M211:M222">
    <cfRule type="cellIs" dxfId="3504" priority="37" operator="equal">
      <formula>0</formula>
    </cfRule>
  </conditionalFormatting>
  <conditionalFormatting sqref="M211:M222">
    <cfRule type="containsBlanks" dxfId="3503" priority="38">
      <formula>LEN(TRIM(M211))=0</formula>
    </cfRule>
  </conditionalFormatting>
  <conditionalFormatting sqref="J255:J256">
    <cfRule type="cellIs" dxfId="3502" priority="35" operator="equal">
      <formula>0</formula>
    </cfRule>
  </conditionalFormatting>
  <conditionalFormatting sqref="J255:J256">
    <cfRule type="containsBlanks" dxfId="3501" priority="36">
      <formula>LEN(TRIM(J255))=0</formula>
    </cfRule>
  </conditionalFormatting>
  <conditionalFormatting sqref="J275">
    <cfRule type="cellIs" dxfId="3500" priority="33" operator="equal">
      <formula>0</formula>
    </cfRule>
  </conditionalFormatting>
  <conditionalFormatting sqref="J275">
    <cfRule type="containsBlanks" dxfId="3499" priority="34">
      <formula>LEN(TRIM(J275))=0</formula>
    </cfRule>
  </conditionalFormatting>
  <conditionalFormatting sqref="I308">
    <cfRule type="cellIs" dxfId="3498" priority="32" operator="equal">
      <formula>0</formula>
    </cfRule>
  </conditionalFormatting>
  <conditionalFormatting sqref="J308">
    <cfRule type="cellIs" dxfId="3497" priority="30" operator="equal">
      <formula>0</formula>
    </cfRule>
  </conditionalFormatting>
  <conditionalFormatting sqref="J308">
    <cfRule type="containsBlanks" dxfId="3496" priority="31">
      <formula>LEN(TRIM(J308))=0</formula>
    </cfRule>
  </conditionalFormatting>
  <conditionalFormatting sqref="I326">
    <cfRule type="cellIs" dxfId="3495" priority="29" operator="equal">
      <formula>0</formula>
    </cfRule>
  </conditionalFormatting>
  <conditionalFormatting sqref="J326">
    <cfRule type="cellIs" dxfId="3494" priority="27" operator="equal">
      <formula>0</formula>
    </cfRule>
  </conditionalFormatting>
  <conditionalFormatting sqref="J326">
    <cfRule type="containsBlanks" dxfId="3493" priority="28">
      <formula>LEN(TRIM(J326))=0</formula>
    </cfRule>
  </conditionalFormatting>
  <conditionalFormatting sqref="O370:AA370 O367:AA367 O364:AA364 O361:AA361 O358:AA358 O355:AA355 O352:AA352 O349:AA349">
    <cfRule type="cellIs" dxfId="3492" priority="26" operator="equal">
      <formula>0</formula>
    </cfRule>
  </conditionalFormatting>
  <conditionalFormatting sqref="P370:AA370 P367:AA367 P364:AA364 P361:AA361 P358:AA358 P355:AA355 P352:AA352 P349:AA349">
    <cfRule type="containsBlanks" dxfId="3491" priority="25">
      <formula>LEN(TRIM(P349))=0</formula>
    </cfRule>
  </conditionalFormatting>
  <conditionalFormatting sqref="P370:AA370 P367:AA367 P364:AA364 P361:AA361 P358:AA358 P355:AA355 P352:AA352 P349:AA349">
    <cfRule type="expression" dxfId="3490" priority="24">
      <formula>P$1=""</formula>
    </cfRule>
  </conditionalFormatting>
  <conditionalFormatting sqref="A1:D1">
    <cfRule type="cellIs" dxfId="3489" priority="23" operator="equal">
      <formula>0</formula>
    </cfRule>
  </conditionalFormatting>
  <conditionalFormatting sqref="P138:AA149">
    <cfRule type="cellIs" dxfId="3488" priority="22" operator="equal">
      <formula>0</formula>
    </cfRule>
  </conditionalFormatting>
  <conditionalFormatting sqref="P138:AA149">
    <cfRule type="expression" dxfId="3487" priority="21">
      <formula>P$1=""</formula>
    </cfRule>
  </conditionalFormatting>
  <conditionalFormatting sqref="P138:AA149">
    <cfRule type="expression" dxfId="3486" priority="20">
      <formula>P$1=""</formula>
    </cfRule>
  </conditionalFormatting>
  <conditionalFormatting sqref="P138:AA149">
    <cfRule type="expression" dxfId="3485" priority="19">
      <formula>P$1=""</formula>
    </cfRule>
  </conditionalFormatting>
  <conditionalFormatting sqref="P138:AA149">
    <cfRule type="expression" dxfId="3484" priority="18">
      <formula>P$1=""</formula>
    </cfRule>
  </conditionalFormatting>
  <conditionalFormatting sqref="P138:AA149">
    <cfRule type="expression" dxfId="3483" priority="17">
      <formula>AND($P$1=0,$H138&lt;MONTH($J$13))</formula>
    </cfRule>
  </conditionalFormatting>
  <conditionalFormatting sqref="P274:AA274">
    <cfRule type="cellIs" dxfId="3482" priority="16" operator="equal">
      <formula>0</formula>
    </cfRule>
  </conditionalFormatting>
  <conditionalFormatting sqref="P261:AA272 P279:AA290 P294:AA305">
    <cfRule type="expression" dxfId="3481" priority="15">
      <formula>AND($P$1=0,$H261&lt;MONTH($J$13))</formula>
    </cfRule>
  </conditionalFormatting>
  <conditionalFormatting sqref="P274:AA274">
    <cfRule type="expression" dxfId="3480" priority="14">
      <formula>P$1=""</formula>
    </cfRule>
  </conditionalFormatting>
  <conditionalFormatting sqref="P274:AA274">
    <cfRule type="expression" dxfId="3479" priority="13">
      <formula>P$1=""</formula>
    </cfRule>
  </conditionalFormatting>
  <conditionalFormatting sqref="P274:AA274">
    <cfRule type="expression" dxfId="3478" priority="12">
      <formula>P$1=""</formula>
    </cfRule>
  </conditionalFormatting>
  <conditionalFormatting sqref="P274:AA274">
    <cfRule type="expression" dxfId="3477" priority="11">
      <formula>P$1=""</formula>
    </cfRule>
  </conditionalFormatting>
  <conditionalFormatting sqref="P260:AA273">
    <cfRule type="cellIs" dxfId="3476" priority="10" operator="equal">
      <formula>0</formula>
    </cfRule>
  </conditionalFormatting>
  <conditionalFormatting sqref="Q261:AA272">
    <cfRule type="expression" dxfId="3475" priority="9">
      <formula>Q$1=""</formula>
    </cfRule>
  </conditionalFormatting>
  <conditionalFormatting sqref="P276:AA293">
    <cfRule type="cellIs" dxfId="3474" priority="8" operator="equal">
      <formula>0</formula>
    </cfRule>
  </conditionalFormatting>
  <conditionalFormatting sqref="Q279:AA290">
    <cfRule type="expression" dxfId="3473" priority="7">
      <formula>Q$1=""</formula>
    </cfRule>
  </conditionalFormatting>
  <conditionalFormatting sqref="P275:AA275">
    <cfRule type="cellIs" dxfId="3472" priority="6" operator="equal">
      <formula>0</formula>
    </cfRule>
  </conditionalFormatting>
  <conditionalFormatting sqref="P294:AA305">
    <cfRule type="cellIs" dxfId="3471" priority="5" operator="equal">
      <formula>0</formula>
    </cfRule>
  </conditionalFormatting>
  <conditionalFormatting sqref="Q294:AA305">
    <cfRule type="expression" dxfId="3470" priority="4">
      <formula>Q$1=""</formula>
    </cfRule>
  </conditionalFormatting>
  <conditionalFormatting sqref="P279:AA290">
    <cfRule type="cellIs" dxfId="3469" priority="3" operator="equal">
      <formula>0</formula>
    </cfRule>
  </conditionalFormatting>
  <conditionalFormatting sqref="P294:AA305">
    <cfRule type="cellIs" dxfId="3468" priority="2" operator="equal">
      <formula>0</formula>
    </cfRule>
  </conditionalFormatting>
  <conditionalFormatting sqref="P294:AA305">
    <cfRule type="cellIs" dxfId="3467" priority="1" operator="equal">
      <formula>0</formula>
    </cfRule>
  </conditionalFormatting>
  <hyperlinks>
    <hyperlink ref="A1:D1" location="оглавление!A1" tooltip="оглавление" display="оглавление"/>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B331"/>
  <sheetViews>
    <sheetView workbookViewId="0">
      <pane xSplit="14" ySplit="10" topLeftCell="O11" activePane="bottomRight" state="frozen"/>
      <selection pane="topRight" activeCell="O1" sqref="O1"/>
      <selection pane="bottomLeft" activeCell="A11" sqref="A11"/>
      <selection pane="bottomRight" activeCell="B12" sqref="B12"/>
    </sheetView>
  </sheetViews>
  <sheetFormatPr defaultColWidth="9.109375" defaultRowHeight="12" x14ac:dyDescent="0.25"/>
  <cols>
    <col min="1" max="1" width="2.6640625" style="151" customWidth="1"/>
    <col min="2" max="2" width="2.6640625" style="133" customWidth="1"/>
    <col min="3" max="3" width="2.6640625" style="1" customWidth="1"/>
    <col min="4" max="4" width="4"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tr">
        <f>опер2!$M$1</f>
        <v>№года</v>
      </c>
      <c r="N1" s="42"/>
      <c r="O1" s="42"/>
      <c r="P1" s="43">
        <f>опер2!P1</f>
        <v>1</v>
      </c>
      <c r="Q1" s="43">
        <f>опер2!Q1</f>
        <v>2</v>
      </c>
      <c r="R1" s="43">
        <f>опер2!R1</f>
        <v>3</v>
      </c>
      <c r="S1" s="43">
        <f>опер2!S1</f>
        <v>4</v>
      </c>
      <c r="T1" s="43">
        <f>опер2!T1</f>
        <v>5</v>
      </c>
      <c r="U1" s="43">
        <f>опер2!U1</f>
        <v>6</v>
      </c>
      <c r="V1" s="43">
        <f>опер2!V1</f>
        <v>7</v>
      </c>
      <c r="W1" s="43" t="str">
        <f>опер2!W1</f>
        <v/>
      </c>
      <c r="X1" s="43" t="str">
        <f>опер2!X1</f>
        <v/>
      </c>
      <c r="Y1" s="43" t="str">
        <f>опер2!Y1</f>
        <v/>
      </c>
      <c r="Z1" s="43" t="str">
        <f>опер2!Z1</f>
        <v/>
      </c>
      <c r="AA1" s="43" t="str">
        <f>опер2!AA1</f>
        <v/>
      </c>
      <c r="AB1" s="2"/>
    </row>
    <row r="2" spans="1:28" x14ac:dyDescent="0.25">
      <c r="A2" s="149"/>
      <c r="B2" s="131"/>
      <c r="C2" s="2"/>
      <c r="D2" s="2"/>
      <c r="E2" s="2"/>
      <c r="F2" s="2"/>
      <c r="G2" s="2"/>
      <c r="H2" s="2"/>
      <c r="I2" s="28"/>
      <c r="J2" s="2"/>
      <c r="K2" s="28"/>
      <c r="L2" s="2"/>
      <c r="M2" s="52"/>
      <c r="N2" s="2"/>
      <c r="O2" s="2"/>
      <c r="P2" s="194">
        <v>1</v>
      </c>
      <c r="Q2" s="195">
        <f>P2+1</f>
        <v>2</v>
      </c>
      <c r="R2" s="195">
        <f t="shared" ref="R2:AA2" si="0">Q2+1</f>
        <v>3</v>
      </c>
      <c r="S2" s="195">
        <f t="shared" si="0"/>
        <v>4</v>
      </c>
      <c r="T2" s="195">
        <f t="shared" si="0"/>
        <v>5</v>
      </c>
      <c r="U2" s="195">
        <f t="shared" si="0"/>
        <v>6</v>
      </c>
      <c r="V2" s="195">
        <f t="shared" si="0"/>
        <v>7</v>
      </c>
      <c r="W2" s="195">
        <f t="shared" si="0"/>
        <v>8</v>
      </c>
      <c r="X2" s="195">
        <f t="shared" si="0"/>
        <v>9</v>
      </c>
      <c r="Y2" s="195">
        <f t="shared" si="0"/>
        <v>10</v>
      </c>
      <c r="Z2" s="195">
        <f t="shared" si="0"/>
        <v>11</v>
      </c>
      <c r="AA2" s="195">
        <f t="shared" si="0"/>
        <v>12</v>
      </c>
      <c r="AB2" s="2"/>
    </row>
    <row r="3" spans="1:28" x14ac:dyDescent="0.25">
      <c r="A3" s="149"/>
      <c r="B3" s="131"/>
      <c r="C3" s="89" t="str">
        <f>методология!$E$4</f>
        <v>Инвестмодель базы отдыха - Беседки &amp; Веревочный парк</v>
      </c>
      <c r="D3" s="20"/>
      <c r="E3" s="20"/>
      <c r="F3" s="2"/>
      <c r="G3" s="2"/>
      <c r="H3" s="2"/>
      <c r="I3" s="28"/>
      <c r="J3" s="2"/>
      <c r="K3" s="28"/>
      <c r="L3" s="2"/>
      <c r="M3" s="52"/>
      <c r="N3" s="2"/>
      <c r="O3" s="2"/>
      <c r="P3" s="2"/>
      <c r="Q3" s="2"/>
      <c r="R3" s="2"/>
      <c r="S3" s="2"/>
      <c r="T3" s="2"/>
      <c r="U3" s="2"/>
      <c r="V3" s="2"/>
      <c r="W3" s="2"/>
      <c r="X3" s="2"/>
      <c r="Y3" s="2"/>
      <c r="Z3" s="2"/>
      <c r="AA3" s="2"/>
      <c r="AB3" s="2"/>
    </row>
    <row r="4" spans="1:28" x14ac:dyDescent="0.25">
      <c r="A4" s="149"/>
      <c r="B4" s="131"/>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149"/>
      <c r="B5" s="131"/>
      <c r="C5" s="2"/>
      <c r="D5" s="2"/>
      <c r="E5" s="2"/>
      <c r="F5" s="2"/>
      <c r="G5" s="2"/>
      <c r="H5" s="2"/>
      <c r="I5" s="28"/>
      <c r="J5" s="2"/>
      <c r="K5" s="28"/>
      <c r="L5" s="2"/>
      <c r="M5" s="52"/>
      <c r="N5" s="2"/>
      <c r="O5" s="2"/>
      <c r="P5" s="2"/>
      <c r="Q5" s="2"/>
      <c r="R5" s="2"/>
      <c r="S5" s="2"/>
      <c r="T5" s="2"/>
      <c r="U5" s="2"/>
      <c r="V5" s="2"/>
      <c r="W5" s="2"/>
      <c r="X5" s="2"/>
      <c r="Y5" s="2"/>
      <c r="Z5" s="2"/>
      <c r="AA5" s="2"/>
      <c r="AB5" s="2"/>
    </row>
    <row r="6" spans="1:28" x14ac:dyDescent="0.25">
      <c r="A6" s="149"/>
      <c r="B6" s="131"/>
      <c r="C6" s="225" t="s">
        <v>306</v>
      </c>
      <c r="D6" s="210"/>
      <c r="E6" s="226"/>
      <c r="F6" s="2"/>
      <c r="G6" s="104" t="str">
        <f>сценарии!$J$5</f>
        <v>сценарий-2</v>
      </c>
      <c r="H6" s="2"/>
      <c r="I6" s="28"/>
      <c r="J6" s="2"/>
      <c r="K6" s="28"/>
      <c r="L6" s="2"/>
      <c r="M6" s="52"/>
      <c r="N6" s="2"/>
      <c r="O6" s="2"/>
      <c r="P6" s="96" t="str">
        <f>опер2!P6</f>
        <v>2022г.</v>
      </c>
      <c r="Q6" s="96" t="str">
        <f>опер2!Q6</f>
        <v>2023г.</v>
      </c>
      <c r="R6" s="96" t="str">
        <f>опер2!R6</f>
        <v>2024г.</v>
      </c>
      <c r="S6" s="96" t="str">
        <f>опер2!S6</f>
        <v>2025г.</v>
      </c>
      <c r="T6" s="96" t="str">
        <f>опер2!T6</f>
        <v>2026г.</v>
      </c>
      <c r="U6" s="96" t="str">
        <f>опер2!U6</f>
        <v>2027г.</v>
      </c>
      <c r="V6" s="96" t="str">
        <f>опер2!V6</f>
        <v>2028г.</v>
      </c>
      <c r="W6" s="96" t="str">
        <f>опер2!W6</f>
        <v/>
      </c>
      <c r="X6" s="96" t="str">
        <f>опер2!X6</f>
        <v/>
      </c>
      <c r="Y6" s="96" t="str">
        <f>опер2!Y6</f>
        <v/>
      </c>
      <c r="Z6" s="96" t="str">
        <f>опер2!Z6</f>
        <v/>
      </c>
      <c r="AA6" s="96" t="str">
        <f>опер2!AA6</f>
        <v/>
      </c>
      <c r="AB6" s="2"/>
    </row>
    <row r="7" spans="1:28" ht="12.6" thickBot="1" x14ac:dyDescent="0.3">
      <c r="A7" s="149"/>
      <c r="B7" s="182" t="s">
        <v>285</v>
      </c>
      <c r="C7" s="2"/>
      <c r="D7" s="2"/>
      <c r="E7" s="2"/>
      <c r="F7" s="2"/>
      <c r="G7" s="2"/>
      <c r="H7" s="2"/>
      <c r="I7" s="28"/>
      <c r="J7" s="2"/>
      <c r="K7" s="28"/>
      <c r="L7" s="2"/>
      <c r="M7" s="52"/>
      <c r="N7" s="2"/>
      <c r="O7" s="2"/>
      <c r="P7" s="94">
        <f>опер2!P7</f>
        <v>44562</v>
      </c>
      <c r="Q7" s="94">
        <f>опер2!Q7</f>
        <v>44927</v>
      </c>
      <c r="R7" s="94">
        <f>опер2!R7</f>
        <v>45292</v>
      </c>
      <c r="S7" s="94">
        <f>опер2!S7</f>
        <v>45658</v>
      </c>
      <c r="T7" s="94">
        <f>опер2!T7</f>
        <v>46023</v>
      </c>
      <c r="U7" s="94">
        <f>опер2!U7</f>
        <v>46388</v>
      </c>
      <c r="V7" s="94">
        <f>опер2!V7</f>
        <v>46753</v>
      </c>
      <c r="W7" s="94" t="str">
        <f>опер2!W7</f>
        <v/>
      </c>
      <c r="X7" s="94" t="str">
        <f>опер2!X7</f>
        <v/>
      </c>
      <c r="Y7" s="94" t="str">
        <f>опер2!Y7</f>
        <v/>
      </c>
      <c r="Z7" s="94" t="str">
        <f>опер2!Z7</f>
        <v/>
      </c>
      <c r="AA7" s="94" t="str">
        <f>опер2!AA7</f>
        <v/>
      </c>
      <c r="AB7" s="2"/>
    </row>
    <row r="8" spans="1:28" s="5" customFormat="1" ht="12.6" thickBot="1" x14ac:dyDescent="0.3">
      <c r="A8" s="150">
        <f>1</f>
        <v>1</v>
      </c>
      <c r="B8" s="152"/>
      <c r="C8" s="3"/>
      <c r="D8" s="3"/>
      <c r="E8" s="3" t="str">
        <f>KPI!$E$8</f>
        <v>KPI</v>
      </c>
      <c r="F8" s="3"/>
      <c r="G8" s="28" t="str">
        <f>KPI!$G$8</f>
        <v>ед.изм.</v>
      </c>
      <c r="H8" s="3"/>
      <c r="I8" s="28"/>
      <c r="J8" s="3"/>
      <c r="K8" s="28"/>
      <c r="L8" s="3"/>
      <c r="M8" s="53" t="str">
        <f>опер2!M8</f>
        <v>итого</v>
      </c>
      <c r="N8" s="3"/>
      <c r="O8" s="3"/>
      <c r="P8" s="95">
        <f>опер2!P8</f>
        <v>44926</v>
      </c>
      <c r="Q8" s="95">
        <f>опер2!Q8</f>
        <v>45291</v>
      </c>
      <c r="R8" s="95">
        <f>опер2!R8</f>
        <v>45657</v>
      </c>
      <c r="S8" s="95">
        <f>опер2!S8</f>
        <v>46022</v>
      </c>
      <c r="T8" s="95">
        <f>опер2!T8</f>
        <v>46387</v>
      </c>
      <c r="U8" s="95">
        <f>опер2!U8</f>
        <v>46752</v>
      </c>
      <c r="V8" s="95">
        <f>опер2!V8</f>
        <v>47118</v>
      </c>
      <c r="W8" s="95" t="str">
        <f>опер2!W8</f>
        <v/>
      </c>
      <c r="X8" s="95" t="str">
        <f>опер2!X8</f>
        <v/>
      </c>
      <c r="Y8" s="95" t="str">
        <f>опер2!Y8</f>
        <v/>
      </c>
      <c r="Z8" s="95" t="str">
        <f>опер2!Z8</f>
        <v/>
      </c>
      <c r="AA8" s="95" t="str">
        <f>опер2!AA8</f>
        <v/>
      </c>
      <c r="AB8" s="3"/>
    </row>
    <row r="9" spans="1:28" ht="3.9" customHeight="1" x14ac:dyDescent="0.25">
      <c r="A9" s="149">
        <f>1</f>
        <v>1</v>
      </c>
      <c r="B9" s="131"/>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customHeight="1" x14ac:dyDescent="0.25">
      <c r="A10" s="149">
        <f>1</f>
        <v>1</v>
      </c>
      <c r="B10" s="131"/>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x14ac:dyDescent="0.25">
      <c r="A11" s="150">
        <f>1</f>
        <v>1</v>
      </c>
      <c r="B11" s="131"/>
      <c r="C11" s="3"/>
      <c r="D11" s="3"/>
      <c r="E11" s="3"/>
      <c r="F11" s="3"/>
      <c r="G11" s="3"/>
      <c r="H11" s="3"/>
      <c r="I11" s="28"/>
      <c r="J11" s="3"/>
      <c r="K11" s="28"/>
      <c r="L11" s="3"/>
      <c r="M11" s="55"/>
      <c r="N11" s="3"/>
      <c r="O11" s="3"/>
      <c r="P11" s="46"/>
      <c r="Q11" s="46"/>
      <c r="R11" s="46"/>
      <c r="S11" s="46"/>
      <c r="T11" s="46"/>
      <c r="U11" s="46"/>
      <c r="V11" s="46"/>
      <c r="W11" s="46"/>
      <c r="X11" s="46"/>
      <c r="Y11" s="46"/>
      <c r="Z11" s="46"/>
      <c r="AA11" s="46"/>
      <c r="AB11" s="3"/>
    </row>
    <row r="12" spans="1:28" ht="3.9" customHeight="1" x14ac:dyDescent="0.25">
      <c r="A12" s="149">
        <f>1</f>
        <v>1</v>
      </c>
      <c r="B12" s="131"/>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x14ac:dyDescent="0.25">
      <c r="A13" s="150">
        <f>1</f>
        <v>1</v>
      </c>
      <c r="B13" s="131"/>
      <c r="C13" s="3"/>
      <c r="D13" s="3"/>
      <c r="E13" s="181" t="s">
        <v>274</v>
      </c>
      <c r="F13" s="3"/>
      <c r="G13" s="3"/>
      <c r="H13" s="3"/>
      <c r="I13" s="28"/>
      <c r="J13" s="3"/>
      <c r="K13" s="28"/>
      <c r="L13" s="3"/>
      <c r="M13" s="55"/>
      <c r="N13" s="3"/>
      <c r="O13" s="3"/>
      <c r="P13" s="46"/>
      <c r="Q13" s="46"/>
      <c r="R13" s="46"/>
      <c r="S13" s="46"/>
      <c r="T13" s="46"/>
      <c r="U13" s="46"/>
      <c r="V13" s="46"/>
      <c r="W13" s="46"/>
      <c r="X13" s="46"/>
      <c r="Y13" s="46"/>
      <c r="Z13" s="46"/>
      <c r="AA13" s="46"/>
      <c r="AB13" s="3"/>
    </row>
    <row r="14" spans="1:28" ht="8.1" customHeight="1" x14ac:dyDescent="0.25">
      <c r="A14" s="149">
        <f>1</f>
        <v>1</v>
      </c>
      <c r="B14" s="131"/>
      <c r="C14" s="2"/>
      <c r="D14" s="2"/>
      <c r="E14" s="2"/>
      <c r="F14" s="2"/>
      <c r="G14" s="2"/>
      <c r="H14" s="2"/>
      <c r="I14" s="28"/>
      <c r="J14" s="2"/>
      <c r="K14" s="28"/>
      <c r="L14" s="2"/>
      <c r="M14" s="52"/>
      <c r="N14" s="2"/>
      <c r="O14" s="2"/>
      <c r="P14" s="36"/>
      <c r="Q14" s="36"/>
      <c r="R14" s="36"/>
      <c r="S14" s="36"/>
      <c r="T14" s="36"/>
      <c r="U14" s="36"/>
      <c r="V14" s="36"/>
      <c r="W14" s="36"/>
      <c r="X14" s="36"/>
      <c r="Y14" s="36"/>
      <c r="Z14" s="36"/>
      <c r="AA14" s="36"/>
      <c r="AB14" s="2"/>
    </row>
    <row r="15" spans="1:28" ht="3.9" customHeight="1" x14ac:dyDescent="0.25">
      <c r="A15" s="149">
        <f>1</f>
        <v>1</v>
      </c>
      <c r="B15" s="131"/>
      <c r="C15" s="2"/>
      <c r="D15" s="2"/>
      <c r="E15" s="2"/>
      <c r="F15" s="2"/>
      <c r="G15" s="2"/>
      <c r="H15" s="2"/>
      <c r="I15" s="28"/>
      <c r="J15" s="2"/>
      <c r="K15" s="28"/>
      <c r="L15" s="2"/>
      <c r="M15" s="52"/>
      <c r="N15" s="2"/>
      <c r="O15" s="2"/>
      <c r="P15" s="36"/>
      <c r="Q15" s="36"/>
      <c r="R15" s="36"/>
      <c r="S15" s="36"/>
      <c r="T15" s="36"/>
      <c r="U15" s="36"/>
      <c r="V15" s="36"/>
      <c r="W15" s="36"/>
      <c r="X15" s="36"/>
      <c r="Y15" s="36"/>
      <c r="Z15" s="36"/>
      <c r="AA15" s="36"/>
      <c r="AB15" s="2"/>
    </row>
    <row r="16" spans="1:28" s="5" customFormat="1" x14ac:dyDescent="0.25">
      <c r="A16" s="150">
        <f>1</f>
        <v>1</v>
      </c>
      <c r="B16" s="132" t="str">
        <f>структура!$J$12</f>
        <v>ОСНО</v>
      </c>
      <c r="C16" s="3"/>
      <c r="D16" s="3"/>
      <c r="E16" s="89" t="str">
        <f>KPI!$E$74</f>
        <v>ВЫРУЧКА</v>
      </c>
      <c r="F16" s="89"/>
      <c r="G16" s="89" t="str">
        <f>IF($E16="","",INDEX(KPI!$G:$G,SUMIFS(KPI!$B:$B,KPI!$E:$E,$E16)))</f>
        <v>тыс.руб.</v>
      </c>
      <c r="H16" s="89"/>
      <c r="I16" s="90"/>
      <c r="J16" s="130" t="str">
        <f>структура!$AL$21</f>
        <v>Без НДС</v>
      </c>
      <c r="K16" s="90"/>
      <c r="L16" s="89"/>
      <c r="M16" s="92">
        <f>SUM($O16:$AB16)</f>
        <v>115190.80448717946</v>
      </c>
      <c r="N16" s="3"/>
      <c r="O16" s="3"/>
      <c r="P16" s="93">
        <f>IF(P$1="",0,IF(1+опер2!P$346=0,0,(опер2!P$58+опер2!P$137)/(1+опер2!P$346)))</f>
        <v>14148.785576923074</v>
      </c>
      <c r="Q16" s="93">
        <f>IF(Q$1="",0,IF(1+опер2!Q$346=0,0,(опер2!Q$58+опер2!Q$137)/(1+опер2!Q$346)))</f>
        <v>14676.660576923075</v>
      </c>
      <c r="R16" s="93">
        <f>IF(R$1="",0,IF(1+опер2!R$346=0,0,(опер2!R$58+опер2!R$137)/(1+опер2!R$346)))</f>
        <v>15493.032051282051</v>
      </c>
      <c r="S16" s="93">
        <f>IF(S$1="",0,IF(1+опер2!S$346=0,0,(опер2!S$58+опер2!S$137)/(1+опер2!S$346)))</f>
        <v>15996.348076923075</v>
      </c>
      <c r="T16" s="93">
        <f>IF(T$1="",0,IF(1+опер2!T$346=0,0,(опер2!T$58+опер2!T$137)/(1+опер2!T$346)))</f>
        <v>16788.160576923074</v>
      </c>
      <c r="U16" s="93">
        <f>IF(U$1="",0,IF(1+опер2!U$346=0,0,(опер2!U$58+опер2!U$137)/(1+опер2!U$346)))</f>
        <v>18107.848076923074</v>
      </c>
      <c r="V16" s="93">
        <f>IF(V$1="",0,IF(1+опер2!V$346=0,0,(опер2!V$58+опер2!V$137)/(1+опер2!V$346)))</f>
        <v>19979.969551282047</v>
      </c>
      <c r="W16" s="93">
        <f>IF(W$1="",0,IF(1+опер2!W$346=0,0,(опер2!W$58+опер2!W$137)/(1+опер2!W$346)))</f>
        <v>0</v>
      </c>
      <c r="X16" s="93">
        <f>IF(X$1="",0,IF(1+опер2!X$346=0,0,(опер2!X$58+опер2!X$137)/(1+опер2!X$346)))</f>
        <v>0</v>
      </c>
      <c r="Y16" s="93">
        <f>IF(Y$1="",0,IF(1+опер2!Y$346=0,0,(опер2!Y$58+опер2!Y$137)/(1+опер2!Y$346)))</f>
        <v>0</v>
      </c>
      <c r="Z16" s="93">
        <f>IF(Z$1="",0,IF(1+опер2!Z$346=0,0,(опер2!Z$58+опер2!Z$137)/(1+опер2!Z$346)))</f>
        <v>0</v>
      </c>
      <c r="AA16" s="93">
        <f>IF(AA$1="",0,IF(1+опер2!AA$346=0,0,(опер2!AA$58+опер2!AA$137)/(1+опер2!AA$346)))</f>
        <v>0</v>
      </c>
      <c r="AB16" s="3"/>
    </row>
    <row r="17" spans="1:28" ht="3.9" customHeight="1" x14ac:dyDescent="0.25">
      <c r="A17" s="149">
        <f>1</f>
        <v>1</v>
      </c>
      <c r="B17" s="131"/>
      <c r="C17" s="2"/>
      <c r="D17" s="2"/>
      <c r="E17" s="2"/>
      <c r="F17" s="2"/>
      <c r="G17" s="2"/>
      <c r="H17" s="2"/>
      <c r="I17" s="28"/>
      <c r="J17" s="2"/>
      <c r="K17" s="28"/>
      <c r="L17" s="2"/>
      <c r="M17" s="52"/>
      <c r="N17" s="2"/>
      <c r="O17" s="2"/>
      <c r="P17" s="36"/>
      <c r="Q17" s="36"/>
      <c r="R17" s="36"/>
      <c r="S17" s="36"/>
      <c r="T17" s="36"/>
      <c r="U17" s="36"/>
      <c r="V17" s="36"/>
      <c r="W17" s="36"/>
      <c r="X17" s="36"/>
      <c r="Y17" s="36"/>
      <c r="Z17" s="36"/>
      <c r="AA17" s="36"/>
      <c r="AB17" s="2"/>
    </row>
    <row r="18" spans="1:28" s="5" customFormat="1" x14ac:dyDescent="0.25">
      <c r="A18" s="150">
        <f>1</f>
        <v>1</v>
      </c>
      <c r="B18" s="132" t="str">
        <f>структура!$J$13</f>
        <v>УСН(6%)</v>
      </c>
      <c r="C18" s="3"/>
      <c r="D18" s="3"/>
      <c r="E18" s="89" t="str">
        <f>E16</f>
        <v>ВЫРУЧКА</v>
      </c>
      <c r="F18" s="89"/>
      <c r="G18" s="89" t="str">
        <f>IF($E18="","",INDEX(KPI!$G:$G,SUMIFS(KPI!$B:$B,KPI!$E:$E,$E18)))</f>
        <v>тыс.руб.</v>
      </c>
      <c r="H18" s="89"/>
      <c r="I18" s="90"/>
      <c r="J18" s="130"/>
      <c r="K18" s="90"/>
      <c r="L18" s="89"/>
      <c r="M18" s="92">
        <f>SUM($O18:$AB18)</f>
        <v>138228.96538461535</v>
      </c>
      <c r="N18" s="3"/>
      <c r="O18" s="3"/>
      <c r="P18" s="93">
        <f>IF(P$1="",0,опер2!P$58+опер2!P$137)</f>
        <v>16978.542692307688</v>
      </c>
      <c r="Q18" s="93">
        <f>IF(Q$1="",0,опер2!Q$58+опер2!Q$137)</f>
        <v>17611.992692307689</v>
      </c>
      <c r="R18" s="93">
        <f>IF(R$1="",0,опер2!R$58+опер2!R$137)</f>
        <v>18591.63846153846</v>
      </c>
      <c r="S18" s="93">
        <f>IF(S$1="",0,опер2!S$58+опер2!S$137)</f>
        <v>19195.617692307689</v>
      </c>
      <c r="T18" s="93">
        <f>IF(T$1="",0,опер2!T$58+опер2!T$137)</f>
        <v>20145.792692307688</v>
      </c>
      <c r="U18" s="93">
        <f>IF(U$1="",0,опер2!U$58+опер2!U$137)</f>
        <v>21729.417692307688</v>
      </c>
      <c r="V18" s="93">
        <f>IF(V$1="",0,опер2!V$58+опер2!V$137)</f>
        <v>23975.963461538457</v>
      </c>
      <c r="W18" s="93">
        <f>IF(W$1="",0,опер2!W$58+опер2!W$137)</f>
        <v>0</v>
      </c>
      <c r="X18" s="93">
        <f>IF(X$1="",0,опер2!X$58+опер2!X$137)</f>
        <v>0</v>
      </c>
      <c r="Y18" s="93">
        <f>IF(Y$1="",0,опер2!Y$58+опер2!Y$137)</f>
        <v>0</v>
      </c>
      <c r="Z18" s="93">
        <f>IF(Z$1="",0,опер2!Z$58+опер2!Z$137)</f>
        <v>0</v>
      </c>
      <c r="AA18" s="93">
        <f>IF(AA$1="",0,опер2!AA$58+опер2!AA$137)</f>
        <v>0</v>
      </c>
      <c r="AB18" s="3"/>
    </row>
    <row r="19" spans="1:28" ht="3.9" customHeight="1" x14ac:dyDescent="0.25">
      <c r="A19" s="149">
        <f>1</f>
        <v>1</v>
      </c>
      <c r="B19" s="131"/>
      <c r="C19" s="2"/>
      <c r="D19" s="2"/>
      <c r="E19" s="2"/>
      <c r="F19" s="2"/>
      <c r="G19" s="2"/>
      <c r="H19" s="2"/>
      <c r="I19" s="28"/>
      <c r="J19" s="2"/>
      <c r="K19" s="28"/>
      <c r="L19" s="2"/>
      <c r="M19" s="52"/>
      <c r="N19" s="2"/>
      <c r="O19" s="2"/>
      <c r="P19" s="36"/>
      <c r="Q19" s="36"/>
      <c r="R19" s="36"/>
      <c r="S19" s="36"/>
      <c r="T19" s="36"/>
      <c r="U19" s="36"/>
      <c r="V19" s="36"/>
      <c r="W19" s="36"/>
      <c r="X19" s="36"/>
      <c r="Y19" s="36"/>
      <c r="Z19" s="36"/>
      <c r="AA19" s="36"/>
      <c r="AB19" s="2"/>
    </row>
    <row r="20" spans="1:28" s="5" customFormat="1" x14ac:dyDescent="0.25">
      <c r="A20" s="150">
        <f>1</f>
        <v>1</v>
      </c>
      <c r="B20" s="132" t="str">
        <f>структура!$J$14</f>
        <v>УСН(15%)</v>
      </c>
      <c r="C20" s="3"/>
      <c r="D20" s="3"/>
      <c r="E20" s="89" t="str">
        <f>E16</f>
        <v>ВЫРУЧКА</v>
      </c>
      <c r="F20" s="89"/>
      <c r="G20" s="89" t="str">
        <f>IF($E20="","",INDEX(KPI!$G:$G,SUMIFS(KPI!$B:$B,KPI!$E:$E,$E20)))</f>
        <v>тыс.руб.</v>
      </c>
      <c r="H20" s="89"/>
      <c r="I20" s="90"/>
      <c r="J20" s="130"/>
      <c r="K20" s="90"/>
      <c r="L20" s="89"/>
      <c r="M20" s="92">
        <f>SUM($O20:$AB20)</f>
        <v>138228.96538461535</v>
      </c>
      <c r="N20" s="3"/>
      <c r="O20" s="3"/>
      <c r="P20" s="93">
        <f>IF(P$1="",0,опер2!P$58+опер2!P$137)</f>
        <v>16978.542692307688</v>
      </c>
      <c r="Q20" s="93">
        <f>IF(Q$1="",0,опер2!Q$58+опер2!Q$137)</f>
        <v>17611.992692307689</v>
      </c>
      <c r="R20" s="93">
        <f>IF(R$1="",0,опер2!R$58+опер2!R$137)</f>
        <v>18591.63846153846</v>
      </c>
      <c r="S20" s="93">
        <f>IF(S$1="",0,опер2!S$58+опер2!S$137)</f>
        <v>19195.617692307689</v>
      </c>
      <c r="T20" s="93">
        <f>IF(T$1="",0,опер2!T$58+опер2!T$137)</f>
        <v>20145.792692307688</v>
      </c>
      <c r="U20" s="93">
        <f>IF(U$1="",0,опер2!U$58+опер2!U$137)</f>
        <v>21729.417692307688</v>
      </c>
      <c r="V20" s="93">
        <f>IF(V$1="",0,опер2!V$58+опер2!V$137)</f>
        <v>23975.963461538457</v>
      </c>
      <c r="W20" s="93">
        <f>IF(W$1="",0,опер2!W$58+опер2!W$137)</f>
        <v>0</v>
      </c>
      <c r="X20" s="93">
        <f>IF(X$1="",0,опер2!X$58+опер2!X$137)</f>
        <v>0</v>
      </c>
      <c r="Y20" s="93">
        <f>IF(Y$1="",0,опер2!Y$58+опер2!Y$137)</f>
        <v>0</v>
      </c>
      <c r="Z20" s="93">
        <f>IF(Z$1="",0,опер2!Z$58+опер2!Z$137)</f>
        <v>0</v>
      </c>
      <c r="AA20" s="93">
        <f>IF(AA$1="",0,опер2!AA$58+опер2!AA$137)</f>
        <v>0</v>
      </c>
      <c r="AB20" s="3"/>
    </row>
    <row r="21" spans="1:28" ht="3.9" customHeight="1" x14ac:dyDescent="0.25">
      <c r="A21" s="149">
        <f>1</f>
        <v>1</v>
      </c>
      <c r="B21" s="131"/>
      <c r="C21" s="2"/>
      <c r="D21" s="2"/>
      <c r="E21" s="2"/>
      <c r="F21" s="2"/>
      <c r="G21" s="2"/>
      <c r="H21" s="2"/>
      <c r="I21" s="28"/>
      <c r="J21" s="2"/>
      <c r="K21" s="28"/>
      <c r="L21" s="2"/>
      <c r="M21" s="52"/>
      <c r="N21" s="2"/>
      <c r="O21" s="2"/>
      <c r="P21" s="36"/>
      <c r="Q21" s="36"/>
      <c r="R21" s="36"/>
      <c r="S21" s="36"/>
      <c r="T21" s="36"/>
      <c r="U21" s="36"/>
      <c r="V21" s="36"/>
      <c r="W21" s="36"/>
      <c r="X21" s="36"/>
      <c r="Y21" s="36"/>
      <c r="Z21" s="36"/>
      <c r="AA21" s="36"/>
      <c r="AB21" s="2"/>
    </row>
    <row r="22" spans="1:28" s="5" customFormat="1" x14ac:dyDescent="0.25">
      <c r="A22" s="150">
        <f>1</f>
        <v>1</v>
      </c>
      <c r="B22" s="132" t="str">
        <f>структура!$J$15</f>
        <v>УСН(6%)-ИП</v>
      </c>
      <c r="C22" s="3"/>
      <c r="D22" s="3"/>
      <c r="E22" s="89" t="str">
        <f>E16</f>
        <v>ВЫРУЧКА</v>
      </c>
      <c r="F22" s="89"/>
      <c r="G22" s="89" t="str">
        <f>IF($E22="","",INDEX(KPI!$G:$G,SUMIFS(KPI!$B:$B,KPI!$E:$E,$E22)))</f>
        <v>тыс.руб.</v>
      </c>
      <c r="H22" s="89"/>
      <c r="I22" s="90"/>
      <c r="J22" s="130"/>
      <c r="K22" s="90"/>
      <c r="L22" s="89"/>
      <c r="M22" s="92">
        <f>SUM($O22:$AB22)</f>
        <v>138228.96538461535</v>
      </c>
      <c r="N22" s="3"/>
      <c r="O22" s="3"/>
      <c r="P22" s="93">
        <f>IF(P$1="",0,опер2!P$58+опер2!P$137)</f>
        <v>16978.542692307688</v>
      </c>
      <c r="Q22" s="93">
        <f>IF(Q$1="",0,опер2!Q$58+опер2!Q$137)</f>
        <v>17611.992692307689</v>
      </c>
      <c r="R22" s="93">
        <f>IF(R$1="",0,опер2!R$58+опер2!R$137)</f>
        <v>18591.63846153846</v>
      </c>
      <c r="S22" s="93">
        <f>IF(S$1="",0,опер2!S$58+опер2!S$137)</f>
        <v>19195.617692307689</v>
      </c>
      <c r="T22" s="93">
        <f>IF(T$1="",0,опер2!T$58+опер2!T$137)</f>
        <v>20145.792692307688</v>
      </c>
      <c r="U22" s="93">
        <f>IF(U$1="",0,опер2!U$58+опер2!U$137)</f>
        <v>21729.417692307688</v>
      </c>
      <c r="V22" s="93">
        <f>IF(V$1="",0,опер2!V$58+опер2!V$137)</f>
        <v>23975.963461538457</v>
      </c>
      <c r="W22" s="93">
        <f>IF(W$1="",0,опер2!W$58+опер2!W$137)</f>
        <v>0</v>
      </c>
      <c r="X22" s="93">
        <f>IF(X$1="",0,опер2!X$58+опер2!X$137)</f>
        <v>0</v>
      </c>
      <c r="Y22" s="93">
        <f>IF(Y$1="",0,опер2!Y$58+опер2!Y$137)</f>
        <v>0</v>
      </c>
      <c r="Z22" s="93">
        <f>IF(Z$1="",0,опер2!Z$58+опер2!Z$137)</f>
        <v>0</v>
      </c>
      <c r="AA22" s="93">
        <f>IF(AA$1="",0,опер2!AA$58+опер2!AA$137)</f>
        <v>0</v>
      </c>
      <c r="AB22" s="3"/>
    </row>
    <row r="23" spans="1:28" ht="3.9" customHeight="1" x14ac:dyDescent="0.25">
      <c r="A23" s="149">
        <f>1</f>
        <v>1</v>
      </c>
      <c r="B23" s="131"/>
      <c r="C23" s="2"/>
      <c r="D23" s="2"/>
      <c r="E23" s="117"/>
      <c r="F23" s="2"/>
      <c r="G23" s="117"/>
      <c r="H23" s="2"/>
      <c r="I23" s="28"/>
      <c r="J23" s="2"/>
      <c r="K23" s="28"/>
      <c r="L23" s="2"/>
      <c r="M23" s="138"/>
      <c r="N23" s="2"/>
      <c r="O23" s="2"/>
      <c r="P23" s="36"/>
      <c r="Q23" s="36"/>
      <c r="R23" s="36"/>
      <c r="S23" s="36"/>
      <c r="T23" s="36"/>
      <c r="U23" s="36"/>
      <c r="V23" s="36"/>
      <c r="W23" s="36"/>
      <c r="X23" s="36"/>
      <c r="Y23" s="36"/>
      <c r="Z23" s="36"/>
      <c r="AA23" s="36"/>
      <c r="AB23" s="2"/>
    </row>
    <row r="24" spans="1:28" ht="8.1" customHeight="1" x14ac:dyDescent="0.25">
      <c r="A24" s="149">
        <f>1</f>
        <v>1</v>
      </c>
      <c r="B24" s="131"/>
      <c r="C24" s="2"/>
      <c r="D24" s="2"/>
      <c r="E24" s="2"/>
      <c r="F24" s="2"/>
      <c r="G24" s="2"/>
      <c r="H24" s="2"/>
      <c r="I24" s="28"/>
      <c r="J24" s="2"/>
      <c r="K24" s="28"/>
      <c r="L24" s="2"/>
      <c r="M24" s="52"/>
      <c r="N24" s="2"/>
      <c r="O24" s="2"/>
      <c r="P24" s="36"/>
      <c r="Q24" s="36"/>
      <c r="R24" s="36"/>
      <c r="S24" s="36"/>
      <c r="T24" s="36"/>
      <c r="U24" s="36"/>
      <c r="V24" s="36"/>
      <c r="W24" s="36"/>
      <c r="X24" s="36"/>
      <c r="Y24" s="36"/>
      <c r="Z24" s="36"/>
      <c r="AA24" s="36"/>
      <c r="AB24" s="2"/>
    </row>
    <row r="25" spans="1:28" ht="3.9" customHeight="1" x14ac:dyDescent="0.25">
      <c r="A25" s="149">
        <f>1</f>
        <v>1</v>
      </c>
      <c r="B25" s="131"/>
      <c r="C25" s="2"/>
      <c r="D25" s="2"/>
      <c r="E25" s="2"/>
      <c r="F25" s="2"/>
      <c r="G25" s="2"/>
      <c r="H25" s="2"/>
      <c r="I25" s="28"/>
      <c r="J25" s="2"/>
      <c r="K25" s="28"/>
      <c r="L25" s="2"/>
      <c r="M25" s="52"/>
      <c r="N25" s="2"/>
      <c r="O25" s="2"/>
      <c r="P25" s="36"/>
      <c r="Q25" s="36"/>
      <c r="R25" s="36"/>
      <c r="S25" s="36"/>
      <c r="T25" s="36"/>
      <c r="U25" s="36"/>
      <c r="V25" s="36"/>
      <c r="W25" s="36"/>
      <c r="X25" s="36"/>
      <c r="Y25" s="36"/>
      <c r="Z25" s="36"/>
      <c r="AA25" s="36"/>
      <c r="AB25" s="2"/>
    </row>
    <row r="26" spans="1:28" s="5" customFormat="1" x14ac:dyDescent="0.25">
      <c r="A26" s="150">
        <f>1</f>
        <v>1</v>
      </c>
      <c r="B26" s="132" t="str">
        <f>структура!$J$12</f>
        <v>ОСНО</v>
      </c>
      <c r="C26" s="3"/>
      <c r="D26" s="3"/>
      <c r="E26" s="89" t="str">
        <f>KPI!$E$75</f>
        <v>ОПЕРАЦИОННЫЕ РАСХОДЫ</v>
      </c>
      <c r="F26" s="89"/>
      <c r="G26" s="89" t="str">
        <f>IF($E26="","",INDEX(KPI!$G:$G,SUMIFS(KPI!$B:$B,KPI!$E:$E,$E26)))</f>
        <v>тыс.руб.</v>
      </c>
      <c r="H26" s="89"/>
      <c r="I26" s="90"/>
      <c r="J26" s="130" t="str">
        <f>структура!$AL$21</f>
        <v>Без НДС</v>
      </c>
      <c r="K26" s="90"/>
      <c r="L26" s="89"/>
      <c r="M26" s="92">
        <f>SUM($O26:$AB26)</f>
        <v>52554.232687755022</v>
      </c>
      <c r="N26" s="3"/>
      <c r="O26" s="3"/>
      <c r="P26" s="93">
        <f>IF(P$1="",0,SUMIFS(P33:P$113,$B33:$B$113,$B26))</f>
        <v>7408.141358369764</v>
      </c>
      <c r="Q26" s="93">
        <f>IF(Q$1="",0,SUMIFS(Q33:Q$113,$B33:$B$113,$B26))</f>
        <v>7487.3226083697646</v>
      </c>
      <c r="R26" s="93">
        <f>IF(R$1="",0,SUMIFS(R33:R$113,$B33:$B$113,$B26))</f>
        <v>7455.5718090107903</v>
      </c>
      <c r="S26" s="93">
        <f>IF(S$1="",0,SUMIFS(S33:S$113,$B33:$B$113,$B26))</f>
        <v>7365.3487718313036</v>
      </c>
      <c r="T26" s="93">
        <f>IF(T$1="",0,SUMIFS(T33:T$113,$B33:$B$113,$B26))</f>
        <v>7468.2843968313036</v>
      </c>
      <c r="U26" s="93">
        <f>IF(U$1="",0,SUMIFS(U33:U$113,$B33:$B$113,$B26))</f>
        <v>7585.5202276005348</v>
      </c>
      <c r="V26" s="93">
        <f>IF(V$1="",0,SUMIFS(V33:V$113,$B33:$B$113,$B26))</f>
        <v>7784.0435157415586</v>
      </c>
      <c r="W26" s="93">
        <f>IF(W$1="",0,SUMIFS(W33:W$113,$B33:$B$113,$B26))</f>
        <v>0</v>
      </c>
      <c r="X26" s="93">
        <f>IF(X$1="",0,SUMIFS(X33:X$113,$B33:$B$113,$B26))</f>
        <v>0</v>
      </c>
      <c r="Y26" s="93">
        <f>IF(Y$1="",0,SUMIFS(Y33:Y$113,$B33:$B$113,$B26))</f>
        <v>0</v>
      </c>
      <c r="Z26" s="93">
        <f>IF(Z$1="",0,SUMIFS(Z33:Z$113,$B33:$B$113,$B26))</f>
        <v>0</v>
      </c>
      <c r="AA26" s="93">
        <f>IF(AA$1="",0,SUMIFS(AA33:AA$113,$B33:$B$113,$B26))</f>
        <v>0</v>
      </c>
      <c r="AB26" s="3"/>
    </row>
    <row r="27" spans="1:28" ht="3.9" customHeight="1" x14ac:dyDescent="0.25">
      <c r="A27" s="149">
        <f>1</f>
        <v>1</v>
      </c>
      <c r="B27" s="131"/>
      <c r="C27" s="2"/>
      <c r="D27" s="2"/>
      <c r="E27" s="2"/>
      <c r="F27" s="2"/>
      <c r="G27" s="2"/>
      <c r="H27" s="2"/>
      <c r="I27" s="28"/>
      <c r="J27" s="2"/>
      <c r="K27" s="28"/>
      <c r="L27" s="2"/>
      <c r="M27" s="52"/>
      <c r="N27" s="2"/>
      <c r="O27" s="2"/>
      <c r="P27" s="36"/>
      <c r="Q27" s="36"/>
      <c r="R27" s="36"/>
      <c r="S27" s="36"/>
      <c r="T27" s="36"/>
      <c r="U27" s="36"/>
      <c r="V27" s="36"/>
      <c r="W27" s="36"/>
      <c r="X27" s="36"/>
      <c r="Y27" s="36"/>
      <c r="Z27" s="36"/>
      <c r="AA27" s="36"/>
      <c r="AB27" s="2"/>
    </row>
    <row r="28" spans="1:28" s="5" customFormat="1" x14ac:dyDescent="0.25">
      <c r="A28" s="150">
        <f>1</f>
        <v>1</v>
      </c>
      <c r="B28" s="132" t="str">
        <f>структура!$J$13</f>
        <v>УСН(6%)</v>
      </c>
      <c r="C28" s="3"/>
      <c r="D28" s="3"/>
      <c r="E28" s="89" t="str">
        <f>E26</f>
        <v>ОПЕРАЦИОННЫЕ РАСХОДЫ</v>
      </c>
      <c r="F28" s="89"/>
      <c r="G28" s="89" t="str">
        <f>IF($E28="","",INDEX(KPI!$G:$G,SUMIFS(KPI!$B:$B,KPI!$E:$E,$E28)))</f>
        <v>тыс.руб.</v>
      </c>
      <c r="H28" s="89"/>
      <c r="I28" s="90"/>
      <c r="J28" s="130" t="str">
        <f>структура!$AL$21</f>
        <v>Без НДС</v>
      </c>
      <c r="K28" s="90"/>
      <c r="L28" s="89"/>
      <c r="M28" s="92">
        <f>SUM($O28:$AB28)</f>
        <v>59018.463225306019</v>
      </c>
      <c r="N28" s="3"/>
      <c r="O28" s="3"/>
      <c r="P28" s="93">
        <f>IF(P$1="",0,SUMIFS(P35:P$113,$B35:$B$113,$B28))</f>
        <v>8311.6816300437167</v>
      </c>
      <c r="Q28" s="93">
        <f>IF(Q$1="",0,SUMIFS(Q35:Q$113,$B35:$B$113,$B28))</f>
        <v>8406.6991300437185</v>
      </c>
      <c r="R28" s="93">
        <f>IF(R$1="",0,SUMIFS(R35:R$113,$B35:$B$113,$B28))</f>
        <v>8368.5981708129475</v>
      </c>
      <c r="S28" s="93">
        <f>IF(S$1="",0,SUMIFS(S35:S$113,$B35:$B$113,$B28))</f>
        <v>8260.3305261975638</v>
      </c>
      <c r="T28" s="93">
        <f>IF(T$1="",0,SUMIFS(T35:T$113,$B35:$B$113,$B28))</f>
        <v>8383.8532761975639</v>
      </c>
      <c r="U28" s="93">
        <f>IF(U$1="",0,SUMIFS(U35:U$113,$B35:$B$113,$B28))</f>
        <v>8524.5362731206424</v>
      </c>
      <c r="V28" s="93">
        <f>IF(V$1="",0,SUMIFS(V35:V$113,$B35:$B$113,$B28))</f>
        <v>8762.7642188898699</v>
      </c>
      <c r="W28" s="93">
        <f>IF(W$1="",0,SUMIFS(W35:W$113,$B35:$B$113,$B28))</f>
        <v>0</v>
      </c>
      <c r="X28" s="93">
        <f>IF(X$1="",0,SUMIFS(X35:X$113,$B35:$B$113,$B28))</f>
        <v>0</v>
      </c>
      <c r="Y28" s="93">
        <f>IF(Y$1="",0,SUMIFS(Y35:Y$113,$B35:$B$113,$B28))</f>
        <v>0</v>
      </c>
      <c r="Z28" s="93">
        <f>IF(Z$1="",0,SUMIFS(Z35:Z$113,$B35:$B$113,$B28))</f>
        <v>0</v>
      </c>
      <c r="AA28" s="93">
        <f>IF(AA$1="",0,SUMIFS(AA35:AA$113,$B35:$B$113,$B28))</f>
        <v>0</v>
      </c>
      <c r="AB28" s="3"/>
    </row>
    <row r="29" spans="1:28" ht="3.9" customHeight="1" x14ac:dyDescent="0.25">
      <c r="A29" s="149">
        <f>1</f>
        <v>1</v>
      </c>
      <c r="B29" s="131"/>
      <c r="C29" s="2"/>
      <c r="D29" s="2"/>
      <c r="E29" s="2"/>
      <c r="F29" s="2"/>
      <c r="G29" s="2"/>
      <c r="H29" s="2"/>
      <c r="I29" s="28"/>
      <c r="J29" s="2"/>
      <c r="K29" s="28"/>
      <c r="L29" s="2"/>
      <c r="M29" s="52"/>
      <c r="N29" s="2"/>
      <c r="O29" s="2"/>
      <c r="P29" s="36"/>
      <c r="Q29" s="36"/>
      <c r="R29" s="36"/>
      <c r="S29" s="36"/>
      <c r="T29" s="36"/>
      <c r="U29" s="36"/>
      <c r="V29" s="36"/>
      <c r="W29" s="36"/>
      <c r="X29" s="36"/>
      <c r="Y29" s="36"/>
      <c r="Z29" s="36"/>
      <c r="AA29" s="36"/>
      <c r="AB29" s="2"/>
    </row>
    <row r="30" spans="1:28" s="5" customFormat="1" x14ac:dyDescent="0.25">
      <c r="A30" s="150">
        <f>1</f>
        <v>1</v>
      </c>
      <c r="B30" s="132" t="str">
        <f>структура!$J$14</f>
        <v>УСН(15%)</v>
      </c>
      <c r="C30" s="3"/>
      <c r="D30" s="3"/>
      <c r="E30" s="89" t="str">
        <f>E26</f>
        <v>ОПЕРАЦИОННЫЕ РАСХОДЫ</v>
      </c>
      <c r="F30" s="89"/>
      <c r="G30" s="89" t="str">
        <f>IF($E30="","",INDEX(KPI!$G:$G,SUMIFS(KPI!$B:$B,KPI!$E:$E,$E30)))</f>
        <v>тыс.руб.</v>
      </c>
      <c r="H30" s="89"/>
      <c r="I30" s="90"/>
      <c r="J30" s="130" t="str">
        <f>структура!$AL$21</f>
        <v>Без НДС</v>
      </c>
      <c r="K30" s="90"/>
      <c r="L30" s="89"/>
      <c r="M30" s="92">
        <f>SUM($O30:$AB30)</f>
        <v>59018.463225306019</v>
      </c>
      <c r="N30" s="3"/>
      <c r="O30" s="3"/>
      <c r="P30" s="93">
        <f>IF(P$1="",0,SUMIFS(P37:P$113,$B37:$B$113,$B30))</f>
        <v>8311.6816300437167</v>
      </c>
      <c r="Q30" s="93">
        <f>IF(Q$1="",0,SUMIFS(Q37:Q$113,$B37:$B$113,$B30))</f>
        <v>8406.6991300437185</v>
      </c>
      <c r="R30" s="93">
        <f>IF(R$1="",0,SUMIFS(R37:R$113,$B37:$B$113,$B30))</f>
        <v>8368.5981708129475</v>
      </c>
      <c r="S30" s="93">
        <f>IF(S$1="",0,SUMIFS(S37:S$113,$B37:$B$113,$B30))</f>
        <v>8260.3305261975638</v>
      </c>
      <c r="T30" s="93">
        <f>IF(T$1="",0,SUMIFS(T37:T$113,$B37:$B$113,$B30))</f>
        <v>8383.8532761975639</v>
      </c>
      <c r="U30" s="93">
        <f>IF(U$1="",0,SUMIFS(U37:U$113,$B37:$B$113,$B30))</f>
        <v>8524.5362731206424</v>
      </c>
      <c r="V30" s="93">
        <f>IF(V$1="",0,SUMIFS(V37:V$113,$B37:$B$113,$B30))</f>
        <v>8762.7642188898699</v>
      </c>
      <c r="W30" s="93">
        <f>IF(W$1="",0,SUMIFS(W37:W$113,$B37:$B$113,$B30))</f>
        <v>0</v>
      </c>
      <c r="X30" s="93">
        <f>IF(X$1="",0,SUMIFS(X37:X$113,$B37:$B$113,$B30))</f>
        <v>0</v>
      </c>
      <c r="Y30" s="93">
        <f>IF(Y$1="",0,SUMIFS(Y37:Y$113,$B37:$B$113,$B30))</f>
        <v>0</v>
      </c>
      <c r="Z30" s="93">
        <f>IF(Z$1="",0,SUMIFS(Z37:Z$113,$B37:$B$113,$B30))</f>
        <v>0</v>
      </c>
      <c r="AA30" s="93">
        <f>IF(AA$1="",0,SUMIFS(AA37:AA$113,$B37:$B$113,$B30))</f>
        <v>0</v>
      </c>
      <c r="AB30" s="3"/>
    </row>
    <row r="31" spans="1:28" ht="3.9" customHeight="1" x14ac:dyDescent="0.25">
      <c r="A31" s="149">
        <f>1</f>
        <v>1</v>
      </c>
      <c r="B31" s="131"/>
      <c r="C31" s="2"/>
      <c r="D31" s="2"/>
      <c r="E31" s="2"/>
      <c r="F31" s="2"/>
      <c r="G31" s="2"/>
      <c r="H31" s="2"/>
      <c r="I31" s="28"/>
      <c r="J31" s="2"/>
      <c r="K31" s="28"/>
      <c r="L31" s="2"/>
      <c r="M31" s="52"/>
      <c r="N31" s="2"/>
      <c r="O31" s="2"/>
      <c r="P31" s="36"/>
      <c r="Q31" s="36"/>
      <c r="R31" s="36"/>
      <c r="S31" s="36"/>
      <c r="T31" s="36"/>
      <c r="U31" s="36"/>
      <c r="V31" s="36"/>
      <c r="W31" s="36"/>
      <c r="X31" s="36"/>
      <c r="Y31" s="36"/>
      <c r="Z31" s="36"/>
      <c r="AA31" s="36"/>
      <c r="AB31" s="2"/>
    </row>
    <row r="32" spans="1:28" s="5" customFormat="1" x14ac:dyDescent="0.25">
      <c r="A32" s="150">
        <f>1</f>
        <v>1</v>
      </c>
      <c r="B32" s="132" t="str">
        <f>структура!$J$15</f>
        <v>УСН(6%)-ИП</v>
      </c>
      <c r="C32" s="3"/>
      <c r="D32" s="3"/>
      <c r="E32" s="89" t="str">
        <f>E26</f>
        <v>ОПЕРАЦИОННЫЕ РАСХОДЫ</v>
      </c>
      <c r="F32" s="89"/>
      <c r="G32" s="89" t="str">
        <f>IF($E32="","",INDEX(KPI!$G:$G,SUMIFS(KPI!$B:$B,KPI!$E:$E,$E32)))</f>
        <v>тыс.руб.</v>
      </c>
      <c r="H32" s="89"/>
      <c r="I32" s="90"/>
      <c r="J32" s="130" t="str">
        <f>структура!$AL$21</f>
        <v>Без НДС</v>
      </c>
      <c r="K32" s="90"/>
      <c r="L32" s="89"/>
      <c r="M32" s="92">
        <f>SUM($O32:$AB32)</f>
        <v>59018.463225306019</v>
      </c>
      <c r="N32" s="3"/>
      <c r="O32" s="3"/>
      <c r="P32" s="93">
        <f>IF(P$1="",0,SUMIFS(P39:P$113,$B39:$B$113,$B32))</f>
        <v>8311.6816300437167</v>
      </c>
      <c r="Q32" s="93">
        <f>IF(Q$1="",0,SUMIFS(Q39:Q$113,$B39:$B$113,$B32))</f>
        <v>8406.6991300437185</v>
      </c>
      <c r="R32" s="93">
        <f>IF(R$1="",0,SUMIFS(R39:R$113,$B39:$B$113,$B32))</f>
        <v>8368.5981708129475</v>
      </c>
      <c r="S32" s="93">
        <f>IF(S$1="",0,SUMIFS(S39:S$113,$B39:$B$113,$B32))</f>
        <v>8260.3305261975638</v>
      </c>
      <c r="T32" s="93">
        <f>IF(T$1="",0,SUMIFS(T39:T$113,$B39:$B$113,$B32))</f>
        <v>8383.8532761975639</v>
      </c>
      <c r="U32" s="93">
        <f>IF(U$1="",0,SUMIFS(U39:U$113,$B39:$B$113,$B32))</f>
        <v>8524.5362731206424</v>
      </c>
      <c r="V32" s="93">
        <f>IF(V$1="",0,SUMIFS(V39:V$113,$B39:$B$113,$B32))</f>
        <v>8762.7642188898699</v>
      </c>
      <c r="W32" s="93">
        <f>IF(W$1="",0,SUMIFS(W39:W$113,$B39:$B$113,$B32))</f>
        <v>0</v>
      </c>
      <c r="X32" s="93">
        <f>IF(X$1="",0,SUMIFS(X39:X$113,$B39:$B$113,$B32))</f>
        <v>0</v>
      </c>
      <c r="Y32" s="93">
        <f>IF(Y$1="",0,SUMIFS(Y39:Y$113,$B39:$B$113,$B32))</f>
        <v>0</v>
      </c>
      <c r="Z32" s="93">
        <f>IF(Z$1="",0,SUMIFS(Z39:Z$113,$B39:$B$113,$B32))</f>
        <v>0</v>
      </c>
      <c r="AA32" s="93">
        <f>IF(AA$1="",0,SUMIFS(AA39:AA$113,$B39:$B$113,$B32))</f>
        <v>0</v>
      </c>
      <c r="AB32" s="3"/>
    </row>
    <row r="33" spans="1:28" ht="3.9" customHeight="1" x14ac:dyDescent="0.25">
      <c r="A33" s="149">
        <f>1</f>
        <v>1</v>
      </c>
      <c r="B33" s="131"/>
      <c r="C33" s="2"/>
      <c r="D33" s="2"/>
      <c r="E33" s="2"/>
      <c r="F33" s="2"/>
      <c r="G33" s="2"/>
      <c r="H33" s="2"/>
      <c r="I33" s="28"/>
      <c r="J33" s="2"/>
      <c r="K33" s="28"/>
      <c r="L33" s="2"/>
      <c r="M33" s="52"/>
      <c r="N33" s="2"/>
      <c r="O33" s="2"/>
      <c r="P33" s="36"/>
      <c r="Q33" s="36"/>
      <c r="R33" s="36"/>
      <c r="S33" s="36"/>
      <c r="T33" s="36"/>
      <c r="U33" s="36"/>
      <c r="V33" s="36"/>
      <c r="W33" s="36"/>
      <c r="X33" s="36"/>
      <c r="Y33" s="36"/>
      <c r="Z33" s="36"/>
      <c r="AA33" s="36"/>
      <c r="AB33" s="2"/>
    </row>
    <row r="34" spans="1:28" ht="8.1" customHeight="1" x14ac:dyDescent="0.25">
      <c r="A34" s="149">
        <f>1</f>
        <v>1</v>
      </c>
      <c r="B34" s="131"/>
      <c r="C34" s="2"/>
      <c r="D34" s="2"/>
      <c r="E34" s="2"/>
      <c r="F34" s="2"/>
      <c r="G34" s="2"/>
      <c r="H34" s="2"/>
      <c r="I34" s="28"/>
      <c r="J34" s="2"/>
      <c r="K34" s="28"/>
      <c r="L34" s="2"/>
      <c r="M34" s="52"/>
      <c r="N34" s="2"/>
      <c r="O34" s="2"/>
      <c r="P34" s="36"/>
      <c r="Q34" s="36"/>
      <c r="R34" s="36"/>
      <c r="S34" s="36"/>
      <c r="T34" s="36"/>
      <c r="U34" s="36"/>
      <c r="V34" s="36"/>
      <c r="W34" s="36"/>
      <c r="X34" s="36"/>
      <c r="Y34" s="36"/>
      <c r="Z34" s="36"/>
      <c r="AA34" s="36"/>
      <c r="AB34" s="2"/>
    </row>
    <row r="35" spans="1:28" ht="3.9" customHeight="1" x14ac:dyDescent="0.25">
      <c r="A35" s="149">
        <f>1</f>
        <v>1</v>
      </c>
      <c r="B35" s="131"/>
      <c r="C35" s="2"/>
      <c r="D35" s="2"/>
      <c r="E35" s="2"/>
      <c r="F35" s="2"/>
      <c r="G35" s="2"/>
      <c r="H35" s="2"/>
      <c r="I35" s="28"/>
      <c r="J35" s="2"/>
      <c r="K35" s="28"/>
      <c r="L35" s="2"/>
      <c r="M35" s="52"/>
      <c r="N35" s="2"/>
      <c r="O35" s="2"/>
      <c r="P35" s="36"/>
      <c r="Q35" s="36"/>
      <c r="R35" s="36"/>
      <c r="S35" s="36"/>
      <c r="T35" s="36"/>
      <c r="U35" s="36"/>
      <c r="V35" s="36"/>
      <c r="W35" s="36"/>
      <c r="X35" s="36"/>
      <c r="Y35" s="36"/>
      <c r="Z35" s="36"/>
      <c r="AA35" s="36"/>
      <c r="AB35" s="2"/>
    </row>
    <row r="36" spans="1:28" s="126" customFormat="1" x14ac:dyDescent="0.25">
      <c r="A36" s="149">
        <f>1</f>
        <v>1</v>
      </c>
      <c r="B36" s="132" t="str">
        <f>структура!$J$12</f>
        <v>ОСНО</v>
      </c>
      <c r="C36" s="123"/>
      <c r="D36" s="123"/>
      <c r="E36" s="130" t="str">
        <f>KPI!$E$76</f>
        <v>маркетинговые расходы</v>
      </c>
      <c r="F36" s="130"/>
      <c r="G36" s="130" t="str">
        <f>IF($E36="","",INDEX(KPI!$G:$G,SUMIFS(KPI!$B:$B,KPI!$E:$E,$E36)))</f>
        <v>тыс.руб.</v>
      </c>
      <c r="H36" s="130"/>
      <c r="I36" s="134"/>
      <c r="J36" s="130" t="str">
        <f>структура!$AL$21</f>
        <v>Без НДС</v>
      </c>
      <c r="K36" s="134"/>
      <c r="L36" s="130"/>
      <c r="M36" s="135">
        <f>SUM($O36:$AB36)</f>
        <v>4032.9399862179489</v>
      </c>
      <c r="N36" s="123"/>
      <c r="O36" s="123"/>
      <c r="P36" s="136">
        <f>IF(P$1="",0,IF(1+опер2!P$346=0,0,(опер2!P$157)/(1+опер2!P$346)))</f>
        <v>707.43927884615391</v>
      </c>
      <c r="Q36" s="136">
        <f>IF(Q$1="",0,IF(1+опер2!Q$346=0,0,(опер2!Q$157)/(1+опер2!Q$346)))</f>
        <v>733.83302884615375</v>
      </c>
      <c r="R36" s="136">
        <f>IF(R$1="",0,IF(1+опер2!R$346=0,0,(опер2!R$157)/(1+опер2!R$346)))</f>
        <v>619.72128205128217</v>
      </c>
      <c r="S36" s="136">
        <f>IF(S$1="",0,IF(1+опер2!S$346=0,0,(опер2!S$157)/(1+опер2!S$346)))</f>
        <v>479.89044230769224</v>
      </c>
      <c r="T36" s="136">
        <f>IF(T$1="",0,IF(1+опер2!T$346=0,0,(опер2!T$157)/(1+опер2!T$346)))</f>
        <v>503.64481730769228</v>
      </c>
      <c r="U36" s="136">
        <f>IF(U$1="",0,IF(1+опер2!U$346=0,0,(опер2!U$157)/(1+опер2!U$346)))</f>
        <v>488.91189807692297</v>
      </c>
      <c r="V36" s="136">
        <f>IF(V$1="",0,IF(1+опер2!V$346=0,0,(опер2!V$157)/(1+опер2!V$346)))</f>
        <v>499.49923878205135</v>
      </c>
      <c r="W36" s="136">
        <f>IF(W$1="",0,IF(1+опер2!W$346=0,0,(опер2!W$157)/(1+опер2!W$346)))</f>
        <v>0</v>
      </c>
      <c r="X36" s="136">
        <f>IF(X$1="",0,IF(1+опер2!X$346=0,0,(опер2!X$157)/(1+опер2!X$346)))</f>
        <v>0</v>
      </c>
      <c r="Y36" s="136">
        <f>IF(Y$1="",0,IF(1+опер2!Y$346=0,0,(опер2!Y$157)/(1+опер2!Y$346)))</f>
        <v>0</v>
      </c>
      <c r="Z36" s="136">
        <f>IF(Z$1="",0,IF(1+опер2!Z$346=0,0,(опер2!Z$157)/(1+опер2!Z$346)))</f>
        <v>0</v>
      </c>
      <c r="AA36" s="136">
        <f>IF(AA$1="",0,IF(1+опер2!AA$346=0,0,(опер2!AA$157)/(1+опер2!AA$346)))</f>
        <v>0</v>
      </c>
      <c r="AB36" s="123"/>
    </row>
    <row r="37" spans="1:28" s="126" customFormat="1" ht="3.9" customHeight="1" x14ac:dyDescent="0.25">
      <c r="A37" s="149">
        <f>1</f>
        <v>1</v>
      </c>
      <c r="B37" s="131"/>
      <c r="C37" s="123"/>
      <c r="D37" s="123"/>
      <c r="E37" s="123"/>
      <c r="F37" s="123"/>
      <c r="G37" s="123"/>
      <c r="H37" s="123"/>
      <c r="I37" s="124"/>
      <c r="J37" s="123"/>
      <c r="K37" s="124"/>
      <c r="L37" s="123"/>
      <c r="M37" s="125"/>
      <c r="N37" s="123"/>
      <c r="O37" s="123"/>
      <c r="P37" s="137"/>
      <c r="Q37" s="137"/>
      <c r="R37" s="137"/>
      <c r="S37" s="137"/>
      <c r="T37" s="137"/>
      <c r="U37" s="137"/>
      <c r="V37" s="137"/>
      <c r="W37" s="137"/>
      <c r="X37" s="137"/>
      <c r="Y37" s="137"/>
      <c r="Z37" s="137"/>
      <c r="AA37" s="137"/>
      <c r="AB37" s="123"/>
    </row>
    <row r="38" spans="1:28" s="126" customFormat="1" x14ac:dyDescent="0.25">
      <c r="A38" s="149">
        <f>1</f>
        <v>1</v>
      </c>
      <c r="B38" s="132" t="str">
        <f>структура!$J$13</f>
        <v>УСН(6%)</v>
      </c>
      <c r="C38" s="123"/>
      <c r="D38" s="123"/>
      <c r="E38" s="130" t="str">
        <f>E36</f>
        <v>маркетинговые расходы</v>
      </c>
      <c r="F38" s="130"/>
      <c r="G38" s="130" t="str">
        <f>IF($E38="","",INDEX(KPI!$G:$G,SUMIFS(KPI!$B:$B,KPI!$E:$E,$E38)))</f>
        <v>тыс.руб.</v>
      </c>
      <c r="H38" s="130"/>
      <c r="I38" s="134"/>
      <c r="J38" s="130" t="str">
        <f>структура!$AL$21</f>
        <v>Без НДС</v>
      </c>
      <c r="K38" s="134"/>
      <c r="L38" s="130"/>
      <c r="M38" s="135">
        <f>SUM($O38:$AB38)</f>
        <v>4032.9399862179489</v>
      </c>
      <c r="N38" s="123"/>
      <c r="O38" s="123"/>
      <c r="P38" s="136">
        <f>IF(P$1="",0,IF(1+опер2!P$346=0,0,(опер2!P$157)/(1+опер2!P$346)))</f>
        <v>707.43927884615391</v>
      </c>
      <c r="Q38" s="136">
        <f>IF(Q$1="",0,IF(1+опер2!Q$346=0,0,(опер2!Q$157)/(1+опер2!Q$346)))</f>
        <v>733.83302884615375</v>
      </c>
      <c r="R38" s="136">
        <f>IF(R$1="",0,IF(1+опер2!R$346=0,0,(опер2!R$157)/(1+опер2!R$346)))</f>
        <v>619.72128205128217</v>
      </c>
      <c r="S38" s="136">
        <f>IF(S$1="",0,IF(1+опер2!S$346=0,0,(опер2!S$157)/(1+опер2!S$346)))</f>
        <v>479.89044230769224</v>
      </c>
      <c r="T38" s="136">
        <f>IF(T$1="",0,IF(1+опер2!T$346=0,0,(опер2!T$157)/(1+опер2!T$346)))</f>
        <v>503.64481730769228</v>
      </c>
      <c r="U38" s="136">
        <f>IF(U$1="",0,IF(1+опер2!U$346=0,0,(опер2!U$157)/(1+опер2!U$346)))</f>
        <v>488.91189807692297</v>
      </c>
      <c r="V38" s="136">
        <f>IF(V$1="",0,IF(1+опер2!V$346=0,0,(опер2!V$157)/(1+опер2!V$346)))</f>
        <v>499.49923878205135</v>
      </c>
      <c r="W38" s="136">
        <f>IF(W$1="",0,IF(1+опер2!W$346=0,0,(опер2!W$157)/(1+опер2!W$346)))</f>
        <v>0</v>
      </c>
      <c r="X38" s="136">
        <f>IF(X$1="",0,IF(1+опер2!X$346=0,0,(опер2!X$157)/(1+опер2!X$346)))</f>
        <v>0</v>
      </c>
      <c r="Y38" s="136">
        <f>IF(Y$1="",0,IF(1+опер2!Y$346=0,0,(опер2!Y$157)/(1+опер2!Y$346)))</f>
        <v>0</v>
      </c>
      <c r="Z38" s="136">
        <f>IF(Z$1="",0,IF(1+опер2!Z$346=0,0,(опер2!Z$157)/(1+опер2!Z$346)))</f>
        <v>0</v>
      </c>
      <c r="AA38" s="136">
        <f>IF(AA$1="",0,IF(1+опер2!AA$346=0,0,(опер2!AA$157)/(1+опер2!AA$346)))</f>
        <v>0</v>
      </c>
      <c r="AB38" s="123"/>
    </row>
    <row r="39" spans="1:28" s="126" customFormat="1" ht="3.9" customHeight="1" x14ac:dyDescent="0.25">
      <c r="A39" s="149">
        <f>1</f>
        <v>1</v>
      </c>
      <c r="B39" s="131"/>
      <c r="C39" s="123"/>
      <c r="D39" s="123"/>
      <c r="E39" s="123"/>
      <c r="F39" s="123"/>
      <c r="G39" s="123"/>
      <c r="H39" s="123"/>
      <c r="I39" s="124"/>
      <c r="J39" s="123"/>
      <c r="K39" s="124"/>
      <c r="L39" s="123"/>
      <c r="M39" s="125"/>
      <c r="N39" s="123"/>
      <c r="O39" s="123"/>
      <c r="P39" s="137"/>
      <c r="Q39" s="137"/>
      <c r="R39" s="137"/>
      <c r="S39" s="137"/>
      <c r="T39" s="137"/>
      <c r="U39" s="137"/>
      <c r="V39" s="137"/>
      <c r="W39" s="137"/>
      <c r="X39" s="137"/>
      <c r="Y39" s="137"/>
      <c r="Z39" s="137"/>
      <c r="AA39" s="137"/>
      <c r="AB39" s="123"/>
    </row>
    <row r="40" spans="1:28" s="126" customFormat="1" x14ac:dyDescent="0.25">
      <c r="A40" s="149">
        <f>1</f>
        <v>1</v>
      </c>
      <c r="B40" s="132" t="str">
        <f>структура!$J$14</f>
        <v>УСН(15%)</v>
      </c>
      <c r="C40" s="123"/>
      <c r="D40" s="123"/>
      <c r="E40" s="130" t="str">
        <f>E36</f>
        <v>маркетинговые расходы</v>
      </c>
      <c r="F40" s="130"/>
      <c r="G40" s="130" t="str">
        <f>IF($E40="","",INDEX(KPI!$G:$G,SUMIFS(KPI!$B:$B,KPI!$E:$E,$E40)))</f>
        <v>тыс.руб.</v>
      </c>
      <c r="H40" s="130"/>
      <c r="I40" s="134"/>
      <c r="J40" s="130" t="str">
        <f>структура!$AL$21</f>
        <v>Без НДС</v>
      </c>
      <c r="K40" s="134"/>
      <c r="L40" s="130"/>
      <c r="M40" s="135">
        <f>SUM($O40:$AB40)</f>
        <v>4032.9399862179489</v>
      </c>
      <c r="N40" s="123"/>
      <c r="O40" s="123"/>
      <c r="P40" s="136">
        <f>IF(P$1="",0,IF(1+опер2!P$346=0,0,(опер2!P$157)/(1+опер2!P$346)))</f>
        <v>707.43927884615391</v>
      </c>
      <c r="Q40" s="136">
        <f>IF(Q$1="",0,IF(1+опер2!Q$346=0,0,(опер2!Q$157)/(1+опер2!Q$346)))</f>
        <v>733.83302884615375</v>
      </c>
      <c r="R40" s="136">
        <f>IF(R$1="",0,IF(1+опер2!R$346=0,0,(опер2!R$157)/(1+опер2!R$346)))</f>
        <v>619.72128205128217</v>
      </c>
      <c r="S40" s="136">
        <f>IF(S$1="",0,IF(1+опер2!S$346=0,0,(опер2!S$157)/(1+опер2!S$346)))</f>
        <v>479.89044230769224</v>
      </c>
      <c r="T40" s="136">
        <f>IF(T$1="",0,IF(1+опер2!T$346=0,0,(опер2!T$157)/(1+опер2!T$346)))</f>
        <v>503.64481730769228</v>
      </c>
      <c r="U40" s="136">
        <f>IF(U$1="",0,IF(1+опер2!U$346=0,0,(опер2!U$157)/(1+опер2!U$346)))</f>
        <v>488.91189807692297</v>
      </c>
      <c r="V40" s="136">
        <f>IF(V$1="",0,IF(1+опер2!V$346=0,0,(опер2!V$157)/(1+опер2!V$346)))</f>
        <v>499.49923878205135</v>
      </c>
      <c r="W40" s="136">
        <f>IF(W$1="",0,IF(1+опер2!W$346=0,0,(опер2!W$157)/(1+опер2!W$346)))</f>
        <v>0</v>
      </c>
      <c r="X40" s="136">
        <f>IF(X$1="",0,IF(1+опер2!X$346=0,0,(опер2!X$157)/(1+опер2!X$346)))</f>
        <v>0</v>
      </c>
      <c r="Y40" s="136">
        <f>IF(Y$1="",0,IF(1+опер2!Y$346=0,0,(опер2!Y$157)/(1+опер2!Y$346)))</f>
        <v>0</v>
      </c>
      <c r="Z40" s="136">
        <f>IF(Z$1="",0,IF(1+опер2!Z$346=0,0,(опер2!Z$157)/(1+опер2!Z$346)))</f>
        <v>0</v>
      </c>
      <c r="AA40" s="136">
        <f>IF(AA$1="",0,IF(1+опер2!AA$346=0,0,(опер2!AA$157)/(1+опер2!AA$346)))</f>
        <v>0</v>
      </c>
      <c r="AB40" s="123"/>
    </row>
    <row r="41" spans="1:28" s="126" customFormat="1" ht="3.9" customHeight="1" x14ac:dyDescent="0.25">
      <c r="A41" s="149">
        <f>1</f>
        <v>1</v>
      </c>
      <c r="B41" s="131"/>
      <c r="C41" s="123"/>
      <c r="D41" s="123"/>
      <c r="E41" s="123"/>
      <c r="F41" s="123"/>
      <c r="G41" s="123"/>
      <c r="H41" s="123"/>
      <c r="I41" s="124"/>
      <c r="J41" s="123"/>
      <c r="K41" s="124"/>
      <c r="L41" s="123"/>
      <c r="M41" s="125"/>
      <c r="N41" s="123"/>
      <c r="O41" s="123"/>
      <c r="P41" s="137"/>
      <c r="Q41" s="137"/>
      <c r="R41" s="137"/>
      <c r="S41" s="137"/>
      <c r="T41" s="137"/>
      <c r="U41" s="137"/>
      <c r="V41" s="137"/>
      <c r="W41" s="137"/>
      <c r="X41" s="137"/>
      <c r="Y41" s="137"/>
      <c r="Z41" s="137"/>
      <c r="AA41" s="137"/>
      <c r="AB41" s="123"/>
    </row>
    <row r="42" spans="1:28" s="126" customFormat="1" x14ac:dyDescent="0.25">
      <c r="A42" s="149">
        <f>1</f>
        <v>1</v>
      </c>
      <c r="B42" s="132" t="str">
        <f>структура!$J$15</f>
        <v>УСН(6%)-ИП</v>
      </c>
      <c r="C42" s="123"/>
      <c r="D42" s="123"/>
      <c r="E42" s="130" t="str">
        <f>E36</f>
        <v>маркетинговые расходы</v>
      </c>
      <c r="F42" s="130"/>
      <c r="G42" s="130" t="str">
        <f>IF($E42="","",INDEX(KPI!$G:$G,SUMIFS(KPI!$B:$B,KPI!$E:$E,$E42)))</f>
        <v>тыс.руб.</v>
      </c>
      <c r="H42" s="130"/>
      <c r="I42" s="134"/>
      <c r="J42" s="130" t="str">
        <f>структура!$AL$21</f>
        <v>Без НДС</v>
      </c>
      <c r="K42" s="134"/>
      <c r="L42" s="130"/>
      <c r="M42" s="135">
        <f>SUM($O42:$AB42)</f>
        <v>4032.9399862179489</v>
      </c>
      <c r="N42" s="123"/>
      <c r="O42" s="123"/>
      <c r="P42" s="136">
        <f>IF(P$1="",0,IF(1+опер2!P$346=0,0,(опер2!P$157)/(1+опер2!P$346)))</f>
        <v>707.43927884615391</v>
      </c>
      <c r="Q42" s="136">
        <f>IF(Q$1="",0,IF(1+опер2!Q$346=0,0,(опер2!Q$157)/(1+опер2!Q$346)))</f>
        <v>733.83302884615375</v>
      </c>
      <c r="R42" s="136">
        <f>IF(R$1="",0,IF(1+опер2!R$346=0,0,(опер2!R$157)/(1+опер2!R$346)))</f>
        <v>619.72128205128217</v>
      </c>
      <c r="S42" s="136">
        <f>IF(S$1="",0,IF(1+опер2!S$346=0,0,(опер2!S$157)/(1+опер2!S$346)))</f>
        <v>479.89044230769224</v>
      </c>
      <c r="T42" s="136">
        <f>IF(T$1="",0,IF(1+опер2!T$346=0,0,(опер2!T$157)/(1+опер2!T$346)))</f>
        <v>503.64481730769228</v>
      </c>
      <c r="U42" s="136">
        <f>IF(U$1="",0,IF(1+опер2!U$346=0,0,(опер2!U$157)/(1+опер2!U$346)))</f>
        <v>488.91189807692297</v>
      </c>
      <c r="V42" s="136">
        <f>IF(V$1="",0,IF(1+опер2!V$346=0,0,(опер2!V$157)/(1+опер2!V$346)))</f>
        <v>499.49923878205135</v>
      </c>
      <c r="W42" s="136">
        <f>IF(W$1="",0,IF(1+опер2!W$346=0,0,(опер2!W$157)/(1+опер2!W$346)))</f>
        <v>0</v>
      </c>
      <c r="X42" s="136">
        <f>IF(X$1="",0,IF(1+опер2!X$346=0,0,(опер2!X$157)/(1+опер2!X$346)))</f>
        <v>0</v>
      </c>
      <c r="Y42" s="136">
        <f>IF(Y$1="",0,IF(1+опер2!Y$346=0,0,(опер2!Y$157)/(1+опер2!Y$346)))</f>
        <v>0</v>
      </c>
      <c r="Z42" s="136">
        <f>IF(Z$1="",0,IF(1+опер2!Z$346=0,0,(опер2!Z$157)/(1+опер2!Z$346)))</f>
        <v>0</v>
      </c>
      <c r="AA42" s="136">
        <f>IF(AA$1="",0,IF(1+опер2!AA$346=0,0,(опер2!AA$157)/(1+опер2!AA$346)))</f>
        <v>0</v>
      </c>
      <c r="AB42" s="123"/>
    </row>
    <row r="43" spans="1:28" ht="3.9" customHeight="1" x14ac:dyDescent="0.25">
      <c r="A43" s="149">
        <f>1</f>
        <v>1</v>
      </c>
      <c r="B43" s="131"/>
      <c r="C43" s="2"/>
      <c r="D43" s="2"/>
      <c r="E43" s="2"/>
      <c r="F43" s="2"/>
      <c r="G43" s="2"/>
      <c r="H43" s="2"/>
      <c r="I43" s="28"/>
      <c r="J43" s="2"/>
      <c r="K43" s="28"/>
      <c r="L43" s="2"/>
      <c r="M43" s="52"/>
      <c r="N43" s="2"/>
      <c r="O43" s="2"/>
      <c r="P43" s="36"/>
      <c r="Q43" s="36"/>
      <c r="R43" s="36"/>
      <c r="S43" s="36"/>
      <c r="T43" s="36"/>
      <c r="U43" s="36"/>
      <c r="V43" s="36"/>
      <c r="W43" s="36"/>
      <c r="X43" s="36"/>
      <c r="Y43" s="36"/>
      <c r="Z43" s="36"/>
      <c r="AA43" s="36"/>
      <c r="AB43" s="2"/>
    </row>
    <row r="44" spans="1:28" ht="8.1" customHeight="1" x14ac:dyDescent="0.25">
      <c r="A44" s="149">
        <f>1</f>
        <v>1</v>
      </c>
      <c r="B44" s="131"/>
      <c r="C44" s="2"/>
      <c r="D44" s="2"/>
      <c r="E44" s="2"/>
      <c r="F44" s="2"/>
      <c r="G44" s="2"/>
      <c r="H44" s="2"/>
      <c r="I44" s="28"/>
      <c r="J44" s="2"/>
      <c r="K44" s="28"/>
      <c r="L44" s="2"/>
      <c r="M44" s="52"/>
      <c r="N44" s="2"/>
      <c r="O44" s="2"/>
      <c r="P44" s="36"/>
      <c r="Q44" s="36"/>
      <c r="R44" s="36"/>
      <c r="S44" s="36"/>
      <c r="T44" s="36"/>
      <c r="U44" s="36"/>
      <c r="V44" s="36"/>
      <c r="W44" s="36"/>
      <c r="X44" s="36"/>
      <c r="Y44" s="36"/>
      <c r="Z44" s="36"/>
      <c r="AA44" s="36"/>
      <c r="AB44" s="2"/>
    </row>
    <row r="45" spans="1:28" ht="3.9" customHeight="1" x14ac:dyDescent="0.25">
      <c r="A45" s="149">
        <f>1</f>
        <v>1</v>
      </c>
      <c r="B45" s="131"/>
      <c r="C45" s="2"/>
      <c r="D45" s="2"/>
      <c r="E45" s="2"/>
      <c r="F45" s="2"/>
      <c r="G45" s="2"/>
      <c r="H45" s="2"/>
      <c r="I45" s="28"/>
      <c r="J45" s="2"/>
      <c r="K45" s="28"/>
      <c r="L45" s="2"/>
      <c r="M45" s="52"/>
      <c r="N45" s="2"/>
      <c r="O45" s="2"/>
      <c r="P45" s="36"/>
      <c r="Q45" s="36"/>
      <c r="R45" s="36"/>
      <c r="S45" s="36"/>
      <c r="T45" s="36"/>
      <c r="U45" s="36"/>
      <c r="V45" s="36"/>
      <c r="W45" s="36"/>
      <c r="X45" s="36"/>
      <c r="Y45" s="36"/>
      <c r="Z45" s="36"/>
      <c r="AA45" s="36"/>
      <c r="AB45" s="2"/>
    </row>
    <row r="46" spans="1:28" s="126" customFormat="1" x14ac:dyDescent="0.25">
      <c r="A46" s="149">
        <f>1</f>
        <v>1</v>
      </c>
      <c r="B46" s="132" t="str">
        <f>структура!$J$12</f>
        <v>ОСНО</v>
      </c>
      <c r="C46" s="123"/>
      <c r="D46" s="123"/>
      <c r="E46" s="130" t="str">
        <f>KPI!$E$77</f>
        <v>расходы на аренду земли</v>
      </c>
      <c r="F46" s="130"/>
      <c r="G46" s="130" t="str">
        <f>IF($E46="","",INDEX(KPI!$G:$G,SUMIFS(KPI!$B:$B,KPI!$E:$E,$E46)))</f>
        <v>тыс.руб.</v>
      </c>
      <c r="H46" s="130"/>
      <c r="I46" s="134"/>
      <c r="J46" s="130" t="str">
        <f>структура!$AL$21</f>
        <v>Без НДС</v>
      </c>
      <c r="K46" s="134"/>
      <c r="L46" s="130"/>
      <c r="M46" s="135">
        <f>SUM($O46:$AB46)</f>
        <v>15217.124102819123</v>
      </c>
      <c r="N46" s="123"/>
      <c r="O46" s="123"/>
      <c r="P46" s="136">
        <f>IF(P$1="",0,IF(1+опер2!P$346=0,0,(опер2!P$175)/(1+опер2!P$346)))</f>
        <v>2173.8748718313032</v>
      </c>
      <c r="Q46" s="136">
        <f>IF(Q$1="",0,IF(1+опер2!Q$346=0,0,(опер2!Q$175)/(1+опер2!Q$346)))</f>
        <v>2173.8748718313032</v>
      </c>
      <c r="R46" s="136">
        <f>IF(R$1="",0,IF(1+опер2!R$346=0,0,(опер2!R$175)/(1+опер2!R$346)))</f>
        <v>2173.8748718313032</v>
      </c>
      <c r="S46" s="136">
        <f>IF(S$1="",0,IF(1+опер2!S$346=0,0,(опер2!S$175)/(1+опер2!S$346)))</f>
        <v>2173.8748718313032</v>
      </c>
      <c r="T46" s="136">
        <f>IF(T$1="",0,IF(1+опер2!T$346=0,0,(опер2!T$175)/(1+опер2!T$346)))</f>
        <v>2173.8748718313032</v>
      </c>
      <c r="U46" s="136">
        <f>IF(U$1="",0,IF(1+опер2!U$346=0,0,(опер2!U$175)/(1+опер2!U$346)))</f>
        <v>2173.8748718313032</v>
      </c>
      <c r="V46" s="136">
        <f>IF(V$1="",0,IF(1+опер2!V$346=0,0,(опер2!V$175)/(1+опер2!V$346)))</f>
        <v>2173.8748718313032</v>
      </c>
      <c r="W46" s="136">
        <f>IF(W$1="",0,IF(1+опер2!W$346=0,0,(опер2!W$175)/(1+опер2!W$346)))</f>
        <v>0</v>
      </c>
      <c r="X46" s="136">
        <f>IF(X$1="",0,IF(1+опер2!X$346=0,0,(опер2!X$175)/(1+опер2!X$346)))</f>
        <v>0</v>
      </c>
      <c r="Y46" s="136">
        <f>IF(Y$1="",0,IF(1+опер2!Y$346=0,0,(опер2!Y$175)/(1+опер2!Y$346)))</f>
        <v>0</v>
      </c>
      <c r="Z46" s="136">
        <f>IF(Z$1="",0,IF(1+опер2!Z$346=0,0,(опер2!Z$175)/(1+опер2!Z$346)))</f>
        <v>0</v>
      </c>
      <c r="AA46" s="136">
        <f>IF(AA$1="",0,IF(1+опер2!AA$346=0,0,(опер2!AA$175)/(1+опер2!AA$346)))</f>
        <v>0</v>
      </c>
      <c r="AB46" s="123"/>
    </row>
    <row r="47" spans="1:28" s="126" customFormat="1" ht="3.9" customHeight="1" x14ac:dyDescent="0.25">
      <c r="A47" s="149">
        <f>1</f>
        <v>1</v>
      </c>
      <c r="B47" s="131"/>
      <c r="C47" s="123"/>
      <c r="D47" s="123"/>
      <c r="E47" s="123"/>
      <c r="F47" s="123"/>
      <c r="G47" s="123"/>
      <c r="H47" s="123"/>
      <c r="I47" s="124"/>
      <c r="J47" s="123"/>
      <c r="K47" s="124"/>
      <c r="L47" s="123"/>
      <c r="M47" s="125"/>
      <c r="N47" s="123"/>
      <c r="O47" s="123"/>
      <c r="P47" s="137"/>
      <c r="Q47" s="137"/>
      <c r="R47" s="137"/>
      <c r="S47" s="137"/>
      <c r="T47" s="137"/>
      <c r="U47" s="137"/>
      <c r="V47" s="137"/>
      <c r="W47" s="137"/>
      <c r="X47" s="137"/>
      <c r="Y47" s="137"/>
      <c r="Z47" s="137"/>
      <c r="AA47" s="137"/>
      <c r="AB47" s="123"/>
    </row>
    <row r="48" spans="1:28" s="126" customFormat="1" x14ac:dyDescent="0.25">
      <c r="A48" s="149">
        <f>1</f>
        <v>1</v>
      </c>
      <c r="B48" s="132" t="str">
        <f>структура!$J$13</f>
        <v>УСН(6%)</v>
      </c>
      <c r="C48" s="123"/>
      <c r="D48" s="123"/>
      <c r="E48" s="130" t="str">
        <f>E46</f>
        <v>расходы на аренду земли</v>
      </c>
      <c r="F48" s="130"/>
      <c r="G48" s="130" t="str">
        <f>IF($E48="","",INDEX(KPI!$G:$G,SUMIFS(KPI!$B:$B,KPI!$E:$E,$E48)))</f>
        <v>тыс.руб.</v>
      </c>
      <c r="H48" s="130"/>
      <c r="I48" s="134"/>
      <c r="J48" s="130" t="str">
        <f>структура!$AL$21</f>
        <v>Без НДС</v>
      </c>
      <c r="K48" s="134"/>
      <c r="L48" s="130"/>
      <c r="M48" s="135">
        <f>SUM($O48:$AB48)</f>
        <v>15217.124102819123</v>
      </c>
      <c r="N48" s="123"/>
      <c r="O48" s="123"/>
      <c r="P48" s="136">
        <f>IF(P$1="",0,IF(1+опер2!P$346=0,0,(опер2!P$175)/(1+опер2!P$346)))</f>
        <v>2173.8748718313032</v>
      </c>
      <c r="Q48" s="136">
        <f>IF(Q$1="",0,IF(1+опер2!Q$346=0,0,(опер2!Q$175)/(1+опер2!Q$346)))</f>
        <v>2173.8748718313032</v>
      </c>
      <c r="R48" s="136">
        <f>IF(R$1="",0,IF(1+опер2!R$346=0,0,(опер2!R$175)/(1+опер2!R$346)))</f>
        <v>2173.8748718313032</v>
      </c>
      <c r="S48" s="136">
        <f>IF(S$1="",0,IF(1+опер2!S$346=0,0,(опер2!S$175)/(1+опер2!S$346)))</f>
        <v>2173.8748718313032</v>
      </c>
      <c r="T48" s="136">
        <f>IF(T$1="",0,IF(1+опер2!T$346=0,0,(опер2!T$175)/(1+опер2!T$346)))</f>
        <v>2173.8748718313032</v>
      </c>
      <c r="U48" s="136">
        <f>IF(U$1="",0,IF(1+опер2!U$346=0,0,(опер2!U$175)/(1+опер2!U$346)))</f>
        <v>2173.8748718313032</v>
      </c>
      <c r="V48" s="136">
        <f>IF(V$1="",0,IF(1+опер2!V$346=0,0,(опер2!V$175)/(1+опер2!V$346)))</f>
        <v>2173.8748718313032</v>
      </c>
      <c r="W48" s="136">
        <f>IF(W$1="",0,IF(1+опер2!W$346=0,0,(опер2!W$175)/(1+опер2!W$346)))</f>
        <v>0</v>
      </c>
      <c r="X48" s="136">
        <f>IF(X$1="",0,IF(1+опер2!X$346=0,0,(опер2!X$175)/(1+опер2!X$346)))</f>
        <v>0</v>
      </c>
      <c r="Y48" s="136">
        <f>IF(Y$1="",0,IF(1+опер2!Y$346=0,0,(опер2!Y$175)/(1+опер2!Y$346)))</f>
        <v>0</v>
      </c>
      <c r="Z48" s="136">
        <f>IF(Z$1="",0,IF(1+опер2!Z$346=0,0,(опер2!Z$175)/(1+опер2!Z$346)))</f>
        <v>0</v>
      </c>
      <c r="AA48" s="136">
        <f>IF(AA$1="",0,IF(1+опер2!AA$346=0,0,(опер2!AA$175)/(1+опер2!AA$346)))</f>
        <v>0</v>
      </c>
      <c r="AB48" s="123"/>
    </row>
    <row r="49" spans="1:28" s="126" customFormat="1" ht="3.9" customHeight="1" x14ac:dyDescent="0.25">
      <c r="A49" s="149">
        <f>1</f>
        <v>1</v>
      </c>
      <c r="B49" s="131"/>
      <c r="C49" s="123"/>
      <c r="D49" s="123"/>
      <c r="E49" s="123"/>
      <c r="F49" s="123"/>
      <c r="G49" s="123"/>
      <c r="H49" s="123"/>
      <c r="I49" s="124"/>
      <c r="J49" s="123"/>
      <c r="K49" s="124"/>
      <c r="L49" s="123"/>
      <c r="M49" s="125"/>
      <c r="N49" s="123"/>
      <c r="O49" s="123"/>
      <c r="P49" s="137"/>
      <c r="Q49" s="137"/>
      <c r="R49" s="137"/>
      <c r="S49" s="137"/>
      <c r="T49" s="137"/>
      <c r="U49" s="137"/>
      <c r="V49" s="137"/>
      <c r="W49" s="137"/>
      <c r="X49" s="137"/>
      <c r="Y49" s="137"/>
      <c r="Z49" s="137"/>
      <c r="AA49" s="137"/>
      <c r="AB49" s="123"/>
    </row>
    <row r="50" spans="1:28" s="126" customFormat="1" x14ac:dyDescent="0.25">
      <c r="A50" s="149">
        <f>1</f>
        <v>1</v>
      </c>
      <c r="B50" s="132" t="str">
        <f>структура!$J$14</f>
        <v>УСН(15%)</v>
      </c>
      <c r="C50" s="123"/>
      <c r="D50" s="123"/>
      <c r="E50" s="130" t="str">
        <f>E46</f>
        <v>расходы на аренду земли</v>
      </c>
      <c r="F50" s="130"/>
      <c r="G50" s="130" t="str">
        <f>IF($E50="","",INDEX(KPI!$G:$G,SUMIFS(KPI!$B:$B,KPI!$E:$E,$E50)))</f>
        <v>тыс.руб.</v>
      </c>
      <c r="H50" s="130"/>
      <c r="I50" s="134"/>
      <c r="J50" s="130" t="str">
        <f>структура!$AL$21</f>
        <v>Без НДС</v>
      </c>
      <c r="K50" s="134"/>
      <c r="L50" s="130"/>
      <c r="M50" s="135">
        <f>SUM($O50:$AB50)</f>
        <v>15217.124102819123</v>
      </c>
      <c r="N50" s="123"/>
      <c r="O50" s="123"/>
      <c r="P50" s="136">
        <f>IF(P$1="",0,IF(1+опер2!P$346=0,0,(опер2!P$175)/(1+опер2!P$346)))</f>
        <v>2173.8748718313032</v>
      </c>
      <c r="Q50" s="136">
        <f>IF(Q$1="",0,IF(1+опер2!Q$346=0,0,(опер2!Q$175)/(1+опер2!Q$346)))</f>
        <v>2173.8748718313032</v>
      </c>
      <c r="R50" s="136">
        <f>IF(R$1="",0,IF(1+опер2!R$346=0,0,(опер2!R$175)/(1+опер2!R$346)))</f>
        <v>2173.8748718313032</v>
      </c>
      <c r="S50" s="136">
        <f>IF(S$1="",0,IF(1+опер2!S$346=0,0,(опер2!S$175)/(1+опер2!S$346)))</f>
        <v>2173.8748718313032</v>
      </c>
      <c r="T50" s="136">
        <f>IF(T$1="",0,IF(1+опер2!T$346=0,0,(опер2!T$175)/(1+опер2!T$346)))</f>
        <v>2173.8748718313032</v>
      </c>
      <c r="U50" s="136">
        <f>IF(U$1="",0,IF(1+опер2!U$346=0,0,(опер2!U$175)/(1+опер2!U$346)))</f>
        <v>2173.8748718313032</v>
      </c>
      <c r="V50" s="136">
        <f>IF(V$1="",0,IF(1+опер2!V$346=0,0,(опер2!V$175)/(1+опер2!V$346)))</f>
        <v>2173.8748718313032</v>
      </c>
      <c r="W50" s="136">
        <f>IF(W$1="",0,IF(1+опер2!W$346=0,0,(опер2!W$175)/(1+опер2!W$346)))</f>
        <v>0</v>
      </c>
      <c r="X50" s="136">
        <f>IF(X$1="",0,IF(1+опер2!X$346=0,0,(опер2!X$175)/(1+опер2!X$346)))</f>
        <v>0</v>
      </c>
      <c r="Y50" s="136">
        <f>IF(Y$1="",0,IF(1+опер2!Y$346=0,0,(опер2!Y$175)/(1+опер2!Y$346)))</f>
        <v>0</v>
      </c>
      <c r="Z50" s="136">
        <f>IF(Z$1="",0,IF(1+опер2!Z$346=0,0,(опер2!Z$175)/(1+опер2!Z$346)))</f>
        <v>0</v>
      </c>
      <c r="AA50" s="136">
        <f>IF(AA$1="",0,IF(1+опер2!AA$346=0,0,(опер2!AA$175)/(1+опер2!AA$346)))</f>
        <v>0</v>
      </c>
      <c r="AB50" s="123"/>
    </row>
    <row r="51" spans="1:28" s="126" customFormat="1" ht="3.9" customHeight="1" x14ac:dyDescent="0.25">
      <c r="A51" s="149">
        <f>1</f>
        <v>1</v>
      </c>
      <c r="B51" s="131"/>
      <c r="C51" s="123"/>
      <c r="D51" s="123"/>
      <c r="E51" s="123"/>
      <c r="F51" s="123"/>
      <c r="G51" s="123"/>
      <c r="H51" s="123"/>
      <c r="I51" s="124"/>
      <c r="J51" s="123"/>
      <c r="K51" s="124"/>
      <c r="L51" s="123"/>
      <c r="M51" s="125"/>
      <c r="N51" s="123"/>
      <c r="O51" s="123"/>
      <c r="P51" s="137"/>
      <c r="Q51" s="137"/>
      <c r="R51" s="137"/>
      <c r="S51" s="137"/>
      <c r="T51" s="137"/>
      <c r="U51" s="137"/>
      <c r="V51" s="137"/>
      <c r="W51" s="137"/>
      <c r="X51" s="137"/>
      <c r="Y51" s="137"/>
      <c r="Z51" s="137"/>
      <c r="AA51" s="137"/>
      <c r="AB51" s="123"/>
    </row>
    <row r="52" spans="1:28" s="126" customFormat="1" x14ac:dyDescent="0.25">
      <c r="A52" s="149">
        <f>1</f>
        <v>1</v>
      </c>
      <c r="B52" s="132" t="str">
        <f>структура!$J$15</f>
        <v>УСН(6%)-ИП</v>
      </c>
      <c r="C52" s="123"/>
      <c r="D52" s="123"/>
      <c r="E52" s="130" t="str">
        <f>E46</f>
        <v>расходы на аренду земли</v>
      </c>
      <c r="F52" s="130"/>
      <c r="G52" s="130" t="str">
        <f>IF($E52="","",INDEX(KPI!$G:$G,SUMIFS(KPI!$B:$B,KPI!$E:$E,$E52)))</f>
        <v>тыс.руб.</v>
      </c>
      <c r="H52" s="130"/>
      <c r="I52" s="134"/>
      <c r="J52" s="130" t="str">
        <f>структура!$AL$21</f>
        <v>Без НДС</v>
      </c>
      <c r="K52" s="134"/>
      <c r="L52" s="130"/>
      <c r="M52" s="135">
        <f>SUM($O52:$AB52)</f>
        <v>15217.124102819123</v>
      </c>
      <c r="N52" s="123"/>
      <c r="O52" s="123"/>
      <c r="P52" s="136">
        <f>IF(P$1="",0,IF(1+опер2!P$346=0,0,(опер2!P$175)/(1+опер2!P$346)))</f>
        <v>2173.8748718313032</v>
      </c>
      <c r="Q52" s="136">
        <f>IF(Q$1="",0,IF(1+опер2!Q$346=0,0,(опер2!Q$175)/(1+опер2!Q$346)))</f>
        <v>2173.8748718313032</v>
      </c>
      <c r="R52" s="136">
        <f>IF(R$1="",0,IF(1+опер2!R$346=0,0,(опер2!R$175)/(1+опер2!R$346)))</f>
        <v>2173.8748718313032</v>
      </c>
      <c r="S52" s="136">
        <f>IF(S$1="",0,IF(1+опер2!S$346=0,0,(опер2!S$175)/(1+опер2!S$346)))</f>
        <v>2173.8748718313032</v>
      </c>
      <c r="T52" s="136">
        <f>IF(T$1="",0,IF(1+опер2!T$346=0,0,(опер2!T$175)/(1+опер2!T$346)))</f>
        <v>2173.8748718313032</v>
      </c>
      <c r="U52" s="136">
        <f>IF(U$1="",0,IF(1+опер2!U$346=0,0,(опер2!U$175)/(1+опер2!U$346)))</f>
        <v>2173.8748718313032</v>
      </c>
      <c r="V52" s="136">
        <f>IF(V$1="",0,IF(1+опер2!V$346=0,0,(опер2!V$175)/(1+опер2!V$346)))</f>
        <v>2173.8748718313032</v>
      </c>
      <c r="W52" s="136">
        <f>IF(W$1="",0,IF(1+опер2!W$346=0,0,(опер2!W$175)/(1+опер2!W$346)))</f>
        <v>0</v>
      </c>
      <c r="X52" s="136">
        <f>IF(X$1="",0,IF(1+опер2!X$346=0,0,(опер2!X$175)/(1+опер2!X$346)))</f>
        <v>0</v>
      </c>
      <c r="Y52" s="136">
        <f>IF(Y$1="",0,IF(1+опер2!Y$346=0,0,(опер2!Y$175)/(1+опер2!Y$346)))</f>
        <v>0</v>
      </c>
      <c r="Z52" s="136">
        <f>IF(Z$1="",0,IF(1+опер2!Z$346=0,0,(опер2!Z$175)/(1+опер2!Z$346)))</f>
        <v>0</v>
      </c>
      <c r="AA52" s="136">
        <f>IF(AA$1="",0,IF(1+опер2!AA$346=0,0,(опер2!AA$175)/(1+опер2!AA$346)))</f>
        <v>0</v>
      </c>
      <c r="AB52" s="123"/>
    </row>
    <row r="53" spans="1:28" ht="3.9" customHeight="1" x14ac:dyDescent="0.25">
      <c r="A53" s="149">
        <f>1</f>
        <v>1</v>
      </c>
      <c r="B53" s="131"/>
      <c r="C53" s="2"/>
      <c r="D53" s="2"/>
      <c r="E53" s="2"/>
      <c r="F53" s="2"/>
      <c r="G53" s="2"/>
      <c r="H53" s="2"/>
      <c r="I53" s="28"/>
      <c r="J53" s="2"/>
      <c r="K53" s="28"/>
      <c r="L53" s="2"/>
      <c r="M53" s="52"/>
      <c r="N53" s="2"/>
      <c r="O53" s="2"/>
      <c r="P53" s="36"/>
      <c r="Q53" s="36"/>
      <c r="R53" s="36"/>
      <c r="S53" s="36"/>
      <c r="T53" s="36"/>
      <c r="U53" s="36"/>
      <c r="V53" s="36"/>
      <c r="W53" s="36"/>
      <c r="X53" s="36"/>
      <c r="Y53" s="36"/>
      <c r="Z53" s="36"/>
      <c r="AA53" s="36"/>
      <c r="AB53" s="2"/>
    </row>
    <row r="54" spans="1:28" ht="8.1" customHeight="1" x14ac:dyDescent="0.25">
      <c r="A54" s="149">
        <f>1</f>
        <v>1</v>
      </c>
      <c r="B54" s="131"/>
      <c r="C54" s="2"/>
      <c r="D54" s="2"/>
      <c r="E54" s="2"/>
      <c r="F54" s="2"/>
      <c r="G54" s="2"/>
      <c r="H54" s="2"/>
      <c r="I54" s="28"/>
      <c r="J54" s="2"/>
      <c r="K54" s="28"/>
      <c r="L54" s="2"/>
      <c r="M54" s="52"/>
      <c r="N54" s="2"/>
      <c r="O54" s="2"/>
      <c r="P54" s="36"/>
      <c r="Q54" s="36"/>
      <c r="R54" s="36"/>
      <c r="S54" s="36"/>
      <c r="T54" s="36"/>
      <c r="U54" s="36"/>
      <c r="V54" s="36"/>
      <c r="W54" s="36"/>
      <c r="X54" s="36"/>
      <c r="Y54" s="36"/>
      <c r="Z54" s="36"/>
      <c r="AA54" s="36"/>
      <c r="AB54" s="2"/>
    </row>
    <row r="55" spans="1:28" ht="3.9" customHeight="1" x14ac:dyDescent="0.25">
      <c r="A55" s="149">
        <f>1</f>
        <v>1</v>
      </c>
      <c r="B55" s="131"/>
      <c r="C55" s="2"/>
      <c r="D55" s="2"/>
      <c r="E55" s="2"/>
      <c r="F55" s="2"/>
      <c r="G55" s="2"/>
      <c r="H55" s="2"/>
      <c r="I55" s="28"/>
      <c r="J55" s="2"/>
      <c r="K55" s="28"/>
      <c r="L55" s="2"/>
      <c r="M55" s="52"/>
      <c r="N55" s="2"/>
      <c r="O55" s="2"/>
      <c r="P55" s="36"/>
      <c r="Q55" s="36"/>
      <c r="R55" s="36"/>
      <c r="S55" s="36"/>
      <c r="T55" s="36"/>
      <c r="U55" s="36"/>
      <c r="V55" s="36"/>
      <c r="W55" s="36"/>
      <c r="X55" s="36"/>
      <c r="Y55" s="36"/>
      <c r="Z55" s="36"/>
      <c r="AA55" s="36"/>
      <c r="AB55" s="2"/>
    </row>
    <row r="56" spans="1:28" s="126" customFormat="1" x14ac:dyDescent="0.25">
      <c r="A56" s="149">
        <f>1</f>
        <v>1</v>
      </c>
      <c r="B56" s="132" t="str">
        <f>структура!$J$12</f>
        <v>ОСНО</v>
      </c>
      <c r="C56" s="123"/>
      <c r="D56" s="123"/>
      <c r="E56" s="130" t="str">
        <f>KPI!$E$78</f>
        <v>коммунальные расходы</v>
      </c>
      <c r="F56" s="130"/>
      <c r="G56" s="130" t="str">
        <f>IF($E56="","",INDEX(KPI!$G:$G,SUMIFS(KPI!$B:$B,KPI!$E:$E,$E56)))</f>
        <v>тыс.руб.</v>
      </c>
      <c r="H56" s="130"/>
      <c r="I56" s="134"/>
      <c r="J56" s="130" t="str">
        <f>структура!$AL$21</f>
        <v>Без НДС</v>
      </c>
      <c r="K56" s="134"/>
      <c r="L56" s="130"/>
      <c r="M56" s="135">
        <f>SUM($O56:$AB56)</f>
        <v>1552.0081500000003</v>
      </c>
      <c r="N56" s="123"/>
      <c r="O56" s="123"/>
      <c r="P56" s="136">
        <f>IF(P$1="",0,IF(1+опер2!P$346=0,0,(опер2!P$225)/(1+опер2!P$346)))</f>
        <v>221.50865000000007</v>
      </c>
      <c r="Q56" s="136">
        <f>IF(Q$1="",0,IF(1+опер2!Q$346=0,0,(опер2!Q$225)/(1+опер2!Q$346)))</f>
        <v>221.50865000000007</v>
      </c>
      <c r="R56" s="136">
        <f>IF(R$1="",0,IF(1+опер2!R$346=0,0,(опер2!R$225)/(1+опер2!R$346)))</f>
        <v>222.23245000000006</v>
      </c>
      <c r="S56" s="136">
        <f>IF(S$1="",0,IF(1+опер2!S$346=0,0,(опер2!S$225)/(1+опер2!S$346)))</f>
        <v>221.50865000000007</v>
      </c>
      <c r="T56" s="136">
        <f>IF(T$1="",0,IF(1+опер2!T$346=0,0,(опер2!T$225)/(1+опер2!T$346)))</f>
        <v>221.50865000000007</v>
      </c>
      <c r="U56" s="136">
        <f>IF(U$1="",0,IF(1+опер2!U$346=0,0,(опер2!U$225)/(1+опер2!U$346)))</f>
        <v>221.50865000000007</v>
      </c>
      <c r="V56" s="136">
        <f>IF(V$1="",0,IF(1+опер2!V$346=0,0,(опер2!V$225)/(1+опер2!V$346)))</f>
        <v>222.23245000000006</v>
      </c>
      <c r="W56" s="136">
        <f>IF(W$1="",0,IF(1+опер2!W$346=0,0,(опер2!W$225)/(1+опер2!W$346)))</f>
        <v>0</v>
      </c>
      <c r="X56" s="136">
        <f>IF(X$1="",0,IF(1+опер2!X$346=0,0,(опер2!X$225)/(1+опер2!X$346)))</f>
        <v>0</v>
      </c>
      <c r="Y56" s="136">
        <f>IF(Y$1="",0,IF(1+опер2!Y$346=0,0,(опер2!Y$225)/(1+опер2!Y$346)))</f>
        <v>0</v>
      </c>
      <c r="Z56" s="136">
        <f>IF(Z$1="",0,IF(1+опер2!Z$346=0,0,(опер2!Z$225)/(1+опер2!Z$346)))</f>
        <v>0</v>
      </c>
      <c r="AA56" s="136">
        <f>IF(AA$1="",0,IF(1+опер2!AA$346=0,0,(опер2!AA$225)/(1+опер2!AA$346)))</f>
        <v>0</v>
      </c>
      <c r="AB56" s="123"/>
    </row>
    <row r="57" spans="1:28" s="126" customFormat="1" ht="3.9" customHeight="1" x14ac:dyDescent="0.25">
      <c r="A57" s="149">
        <f>1</f>
        <v>1</v>
      </c>
      <c r="B57" s="131"/>
      <c r="C57" s="123"/>
      <c r="D57" s="123"/>
      <c r="E57" s="123"/>
      <c r="F57" s="123"/>
      <c r="G57" s="123"/>
      <c r="H57" s="123"/>
      <c r="I57" s="124"/>
      <c r="J57" s="123"/>
      <c r="K57" s="124"/>
      <c r="L57" s="123"/>
      <c r="M57" s="125"/>
      <c r="N57" s="123"/>
      <c r="O57" s="123"/>
      <c r="P57" s="137"/>
      <c r="Q57" s="137"/>
      <c r="R57" s="137"/>
      <c r="S57" s="137"/>
      <c r="T57" s="137"/>
      <c r="U57" s="137"/>
      <c r="V57" s="137"/>
      <c r="W57" s="137"/>
      <c r="X57" s="137"/>
      <c r="Y57" s="137"/>
      <c r="Z57" s="137"/>
      <c r="AA57" s="137"/>
      <c r="AB57" s="123"/>
    </row>
    <row r="58" spans="1:28" s="126" customFormat="1" x14ac:dyDescent="0.25">
      <c r="A58" s="149">
        <f>1</f>
        <v>1</v>
      </c>
      <c r="B58" s="132" t="str">
        <f>структура!$J$13</f>
        <v>УСН(6%)</v>
      </c>
      <c r="C58" s="123"/>
      <c r="D58" s="123"/>
      <c r="E58" s="130" t="str">
        <f>E56</f>
        <v>коммунальные расходы</v>
      </c>
      <c r="F58" s="130"/>
      <c r="G58" s="130" t="str">
        <f>IF($E58="","",INDEX(KPI!$G:$G,SUMIFS(KPI!$B:$B,KPI!$E:$E,$E58)))</f>
        <v>тыс.руб.</v>
      </c>
      <c r="H58" s="130"/>
      <c r="I58" s="134"/>
      <c r="J58" s="130" t="str">
        <f>структура!$AL$21</f>
        <v>Без НДС</v>
      </c>
      <c r="K58" s="134"/>
      <c r="L58" s="130"/>
      <c r="M58" s="135">
        <f>SUM($O58:$AB58)</f>
        <v>1552.0081500000003</v>
      </c>
      <c r="N58" s="123"/>
      <c r="O58" s="123"/>
      <c r="P58" s="136">
        <f>IF(P$1="",0,IF(1+опер2!P$346=0,0,(опер2!P$225)/(1+опер2!P$346)))</f>
        <v>221.50865000000007</v>
      </c>
      <c r="Q58" s="136">
        <f>IF(Q$1="",0,IF(1+опер2!Q$346=0,0,(опер2!Q$225)/(1+опер2!Q$346)))</f>
        <v>221.50865000000007</v>
      </c>
      <c r="R58" s="136">
        <f>IF(R$1="",0,IF(1+опер2!R$346=0,0,(опер2!R$225)/(1+опер2!R$346)))</f>
        <v>222.23245000000006</v>
      </c>
      <c r="S58" s="136">
        <f>IF(S$1="",0,IF(1+опер2!S$346=0,0,(опер2!S$225)/(1+опер2!S$346)))</f>
        <v>221.50865000000007</v>
      </c>
      <c r="T58" s="136">
        <f>IF(T$1="",0,IF(1+опер2!T$346=0,0,(опер2!T$225)/(1+опер2!T$346)))</f>
        <v>221.50865000000007</v>
      </c>
      <c r="U58" s="136">
        <f>IF(U$1="",0,IF(1+опер2!U$346=0,0,(опер2!U$225)/(1+опер2!U$346)))</f>
        <v>221.50865000000007</v>
      </c>
      <c r="V58" s="136">
        <f>IF(V$1="",0,IF(1+опер2!V$346=0,0,(опер2!V$225)/(1+опер2!V$346)))</f>
        <v>222.23245000000006</v>
      </c>
      <c r="W58" s="136">
        <f>IF(W$1="",0,IF(1+опер2!W$346=0,0,(опер2!W$225)/(1+опер2!W$346)))</f>
        <v>0</v>
      </c>
      <c r="X58" s="136">
        <f>IF(X$1="",0,IF(1+опер2!X$346=0,0,(опер2!X$225)/(1+опер2!X$346)))</f>
        <v>0</v>
      </c>
      <c r="Y58" s="136">
        <f>IF(Y$1="",0,IF(1+опер2!Y$346=0,0,(опер2!Y$225)/(1+опер2!Y$346)))</f>
        <v>0</v>
      </c>
      <c r="Z58" s="136">
        <f>IF(Z$1="",0,IF(1+опер2!Z$346=0,0,(опер2!Z$225)/(1+опер2!Z$346)))</f>
        <v>0</v>
      </c>
      <c r="AA58" s="136">
        <f>IF(AA$1="",0,IF(1+опер2!AA$346=0,0,(опер2!AA$225)/(1+опер2!AA$346)))</f>
        <v>0</v>
      </c>
      <c r="AB58" s="123"/>
    </row>
    <row r="59" spans="1:28" s="126" customFormat="1" ht="3.9" customHeight="1" x14ac:dyDescent="0.25">
      <c r="A59" s="149">
        <f>1</f>
        <v>1</v>
      </c>
      <c r="B59" s="131"/>
      <c r="C59" s="123"/>
      <c r="D59" s="123"/>
      <c r="E59" s="123"/>
      <c r="F59" s="123"/>
      <c r="G59" s="123"/>
      <c r="H59" s="123"/>
      <c r="I59" s="124"/>
      <c r="J59" s="123"/>
      <c r="K59" s="124"/>
      <c r="L59" s="123"/>
      <c r="M59" s="125"/>
      <c r="N59" s="123"/>
      <c r="O59" s="123"/>
      <c r="P59" s="137"/>
      <c r="Q59" s="137"/>
      <c r="R59" s="137"/>
      <c r="S59" s="137"/>
      <c r="T59" s="137"/>
      <c r="U59" s="137"/>
      <c r="V59" s="137"/>
      <c r="W59" s="137"/>
      <c r="X59" s="137"/>
      <c r="Y59" s="137"/>
      <c r="Z59" s="137"/>
      <c r="AA59" s="137"/>
      <c r="AB59" s="123"/>
    </row>
    <row r="60" spans="1:28" s="126" customFormat="1" x14ac:dyDescent="0.25">
      <c r="A60" s="149">
        <f>1</f>
        <v>1</v>
      </c>
      <c r="B60" s="132" t="str">
        <f>структура!$J$14</f>
        <v>УСН(15%)</v>
      </c>
      <c r="C60" s="123"/>
      <c r="D60" s="123"/>
      <c r="E60" s="130" t="str">
        <f>E56</f>
        <v>коммунальные расходы</v>
      </c>
      <c r="F60" s="130"/>
      <c r="G60" s="130" t="str">
        <f>IF($E60="","",INDEX(KPI!$G:$G,SUMIFS(KPI!$B:$B,KPI!$E:$E,$E60)))</f>
        <v>тыс.руб.</v>
      </c>
      <c r="H60" s="130"/>
      <c r="I60" s="134"/>
      <c r="J60" s="130" t="str">
        <f>структура!$AL$21</f>
        <v>Без НДС</v>
      </c>
      <c r="K60" s="134"/>
      <c r="L60" s="130"/>
      <c r="M60" s="135">
        <f>SUM($O60:$AB60)</f>
        <v>1552.0081500000003</v>
      </c>
      <c r="N60" s="123"/>
      <c r="O60" s="123"/>
      <c r="P60" s="136">
        <f>IF(P$1="",0,IF(1+опер2!P$346=0,0,(опер2!P$225)/(1+опер2!P$346)))</f>
        <v>221.50865000000007</v>
      </c>
      <c r="Q60" s="136">
        <f>IF(Q$1="",0,IF(1+опер2!Q$346=0,0,(опер2!Q$225)/(1+опер2!Q$346)))</f>
        <v>221.50865000000007</v>
      </c>
      <c r="R60" s="136">
        <f>IF(R$1="",0,IF(1+опер2!R$346=0,0,(опер2!R$225)/(1+опер2!R$346)))</f>
        <v>222.23245000000006</v>
      </c>
      <c r="S60" s="136">
        <f>IF(S$1="",0,IF(1+опер2!S$346=0,0,(опер2!S$225)/(1+опер2!S$346)))</f>
        <v>221.50865000000007</v>
      </c>
      <c r="T60" s="136">
        <f>IF(T$1="",0,IF(1+опер2!T$346=0,0,(опер2!T$225)/(1+опер2!T$346)))</f>
        <v>221.50865000000007</v>
      </c>
      <c r="U60" s="136">
        <f>IF(U$1="",0,IF(1+опер2!U$346=0,0,(опер2!U$225)/(1+опер2!U$346)))</f>
        <v>221.50865000000007</v>
      </c>
      <c r="V60" s="136">
        <f>IF(V$1="",0,IF(1+опер2!V$346=0,0,(опер2!V$225)/(1+опер2!V$346)))</f>
        <v>222.23245000000006</v>
      </c>
      <c r="W60" s="136">
        <f>IF(W$1="",0,IF(1+опер2!W$346=0,0,(опер2!W$225)/(1+опер2!W$346)))</f>
        <v>0</v>
      </c>
      <c r="X60" s="136">
        <f>IF(X$1="",0,IF(1+опер2!X$346=0,0,(опер2!X$225)/(1+опер2!X$346)))</f>
        <v>0</v>
      </c>
      <c r="Y60" s="136">
        <f>IF(Y$1="",0,IF(1+опер2!Y$346=0,0,(опер2!Y$225)/(1+опер2!Y$346)))</f>
        <v>0</v>
      </c>
      <c r="Z60" s="136">
        <f>IF(Z$1="",0,IF(1+опер2!Z$346=0,0,(опер2!Z$225)/(1+опер2!Z$346)))</f>
        <v>0</v>
      </c>
      <c r="AA60" s="136">
        <f>IF(AA$1="",0,IF(1+опер2!AA$346=0,0,(опер2!AA$225)/(1+опер2!AA$346)))</f>
        <v>0</v>
      </c>
      <c r="AB60" s="123"/>
    </row>
    <row r="61" spans="1:28" s="126" customFormat="1" ht="3.9" customHeight="1" x14ac:dyDescent="0.25">
      <c r="A61" s="149">
        <f>1</f>
        <v>1</v>
      </c>
      <c r="B61" s="131"/>
      <c r="C61" s="123"/>
      <c r="D61" s="123"/>
      <c r="E61" s="123"/>
      <c r="F61" s="123"/>
      <c r="G61" s="123"/>
      <c r="H61" s="123"/>
      <c r="I61" s="124"/>
      <c r="J61" s="123"/>
      <c r="K61" s="124"/>
      <c r="L61" s="123"/>
      <c r="M61" s="125"/>
      <c r="N61" s="123"/>
      <c r="O61" s="123"/>
      <c r="P61" s="137"/>
      <c r="Q61" s="137"/>
      <c r="R61" s="137"/>
      <c r="S61" s="137"/>
      <c r="T61" s="137"/>
      <c r="U61" s="137"/>
      <c r="V61" s="137"/>
      <c r="W61" s="137"/>
      <c r="X61" s="137"/>
      <c r="Y61" s="137"/>
      <c r="Z61" s="137"/>
      <c r="AA61" s="137"/>
      <c r="AB61" s="123"/>
    </row>
    <row r="62" spans="1:28" s="126" customFormat="1" x14ac:dyDescent="0.25">
      <c r="A62" s="149">
        <f>1</f>
        <v>1</v>
      </c>
      <c r="B62" s="132" t="str">
        <f>структура!$J$15</f>
        <v>УСН(6%)-ИП</v>
      </c>
      <c r="C62" s="123"/>
      <c r="D62" s="123"/>
      <c r="E62" s="130" t="str">
        <f>E56</f>
        <v>коммунальные расходы</v>
      </c>
      <c r="F62" s="130"/>
      <c r="G62" s="130" t="str">
        <f>IF($E62="","",INDEX(KPI!$G:$G,SUMIFS(KPI!$B:$B,KPI!$E:$E,$E62)))</f>
        <v>тыс.руб.</v>
      </c>
      <c r="H62" s="130"/>
      <c r="I62" s="134"/>
      <c r="J62" s="130" t="str">
        <f>структура!$AL$21</f>
        <v>Без НДС</v>
      </c>
      <c r="K62" s="134"/>
      <c r="L62" s="130"/>
      <c r="M62" s="135">
        <f>SUM($O62:$AB62)</f>
        <v>1552.0081500000003</v>
      </c>
      <c r="N62" s="123"/>
      <c r="O62" s="123"/>
      <c r="P62" s="136">
        <f>IF(P$1="",0,IF(1+опер2!P$346=0,0,(опер2!P$225)/(1+опер2!P$346)))</f>
        <v>221.50865000000007</v>
      </c>
      <c r="Q62" s="136">
        <f>IF(Q$1="",0,IF(1+опер2!Q$346=0,0,(опер2!Q$225)/(1+опер2!Q$346)))</f>
        <v>221.50865000000007</v>
      </c>
      <c r="R62" s="136">
        <f>IF(R$1="",0,IF(1+опер2!R$346=0,0,(опер2!R$225)/(1+опер2!R$346)))</f>
        <v>222.23245000000006</v>
      </c>
      <c r="S62" s="136">
        <f>IF(S$1="",0,IF(1+опер2!S$346=0,0,(опер2!S$225)/(1+опер2!S$346)))</f>
        <v>221.50865000000007</v>
      </c>
      <c r="T62" s="136">
        <f>IF(T$1="",0,IF(1+опер2!T$346=0,0,(опер2!T$225)/(1+опер2!T$346)))</f>
        <v>221.50865000000007</v>
      </c>
      <c r="U62" s="136">
        <f>IF(U$1="",0,IF(1+опер2!U$346=0,0,(опер2!U$225)/(1+опер2!U$346)))</f>
        <v>221.50865000000007</v>
      </c>
      <c r="V62" s="136">
        <f>IF(V$1="",0,IF(1+опер2!V$346=0,0,(опер2!V$225)/(1+опер2!V$346)))</f>
        <v>222.23245000000006</v>
      </c>
      <c r="W62" s="136">
        <f>IF(W$1="",0,IF(1+опер2!W$346=0,0,(опер2!W$225)/(1+опер2!W$346)))</f>
        <v>0</v>
      </c>
      <c r="X62" s="136">
        <f>IF(X$1="",0,IF(1+опер2!X$346=0,0,(опер2!X$225)/(1+опер2!X$346)))</f>
        <v>0</v>
      </c>
      <c r="Y62" s="136">
        <f>IF(Y$1="",0,IF(1+опер2!Y$346=0,0,(опер2!Y$225)/(1+опер2!Y$346)))</f>
        <v>0</v>
      </c>
      <c r="Z62" s="136">
        <f>IF(Z$1="",0,IF(1+опер2!Z$346=0,0,(опер2!Z$225)/(1+опер2!Z$346)))</f>
        <v>0</v>
      </c>
      <c r="AA62" s="136">
        <f>IF(AA$1="",0,IF(1+опер2!AA$346=0,0,(опер2!AA$225)/(1+опер2!AA$346)))</f>
        <v>0</v>
      </c>
      <c r="AB62" s="123"/>
    </row>
    <row r="63" spans="1:28" ht="3.9" customHeight="1" x14ac:dyDescent="0.25">
      <c r="A63" s="149">
        <f>1</f>
        <v>1</v>
      </c>
      <c r="B63" s="131"/>
      <c r="C63" s="2"/>
      <c r="D63" s="2"/>
      <c r="E63" s="2"/>
      <c r="F63" s="2"/>
      <c r="G63" s="2"/>
      <c r="H63" s="2"/>
      <c r="I63" s="28"/>
      <c r="J63" s="2"/>
      <c r="K63" s="28"/>
      <c r="L63" s="2"/>
      <c r="M63" s="52"/>
      <c r="N63" s="2"/>
      <c r="O63" s="2"/>
      <c r="P63" s="36"/>
      <c r="Q63" s="36"/>
      <c r="R63" s="36"/>
      <c r="S63" s="36"/>
      <c r="T63" s="36"/>
      <c r="U63" s="36"/>
      <c r="V63" s="36"/>
      <c r="W63" s="36"/>
      <c r="X63" s="36"/>
      <c r="Y63" s="36"/>
      <c r="Z63" s="36"/>
      <c r="AA63" s="36"/>
      <c r="AB63" s="2"/>
    </row>
    <row r="64" spans="1:28" ht="8.1" customHeight="1" x14ac:dyDescent="0.25">
      <c r="A64" s="149">
        <f>1</f>
        <v>1</v>
      </c>
      <c r="B64" s="131"/>
      <c r="C64" s="2"/>
      <c r="D64" s="2"/>
      <c r="E64" s="2"/>
      <c r="F64" s="2"/>
      <c r="G64" s="2"/>
      <c r="H64" s="2"/>
      <c r="I64" s="28"/>
      <c r="J64" s="2"/>
      <c r="K64" s="28"/>
      <c r="L64" s="2"/>
      <c r="M64" s="52"/>
      <c r="N64" s="2"/>
      <c r="O64" s="2"/>
      <c r="P64" s="36"/>
      <c r="Q64" s="36"/>
      <c r="R64" s="36"/>
      <c r="S64" s="36"/>
      <c r="T64" s="36"/>
      <c r="U64" s="36"/>
      <c r="V64" s="36"/>
      <c r="W64" s="36"/>
      <c r="X64" s="36"/>
      <c r="Y64" s="36"/>
      <c r="Z64" s="36"/>
      <c r="AA64" s="36"/>
      <c r="AB64" s="2"/>
    </row>
    <row r="65" spans="1:28" ht="3.9" customHeight="1" x14ac:dyDescent="0.25">
      <c r="A65" s="149">
        <f>1</f>
        <v>1</v>
      </c>
      <c r="B65" s="131"/>
      <c r="C65" s="2"/>
      <c r="D65" s="2"/>
      <c r="E65" s="2"/>
      <c r="F65" s="2"/>
      <c r="G65" s="2"/>
      <c r="H65" s="2"/>
      <c r="I65" s="28"/>
      <c r="J65" s="2"/>
      <c r="K65" s="28"/>
      <c r="L65" s="2"/>
      <c r="M65" s="52"/>
      <c r="N65" s="2"/>
      <c r="O65" s="2"/>
      <c r="P65" s="36"/>
      <c r="Q65" s="36"/>
      <c r="R65" s="36"/>
      <c r="S65" s="36"/>
      <c r="T65" s="36"/>
      <c r="U65" s="36"/>
      <c r="V65" s="36"/>
      <c r="W65" s="36"/>
      <c r="X65" s="36"/>
      <c r="Y65" s="36"/>
      <c r="Z65" s="36"/>
      <c r="AA65" s="36"/>
      <c r="AB65" s="2"/>
    </row>
    <row r="66" spans="1:28" s="126" customFormat="1" x14ac:dyDescent="0.25">
      <c r="A66" s="149">
        <f>1</f>
        <v>1</v>
      </c>
      <c r="B66" s="132" t="str">
        <f>структура!$J$12</f>
        <v>ОСНО</v>
      </c>
      <c r="C66" s="123"/>
      <c r="D66" s="123"/>
      <c r="E66" s="130" t="str">
        <f>KPI!$E$79</f>
        <v>начисление ФОТ</v>
      </c>
      <c r="F66" s="130"/>
      <c r="G66" s="130" t="str">
        <f>IF($E66="","",INDEX(KPI!$G:$G,SUMIFS(KPI!$B:$B,KPI!$E:$E,$E66)))</f>
        <v>тыс.руб.</v>
      </c>
      <c r="H66" s="130"/>
      <c r="I66" s="134"/>
      <c r="J66" s="130"/>
      <c r="K66" s="134"/>
      <c r="L66" s="130"/>
      <c r="M66" s="135">
        <f>SUM($O66:$AB66)</f>
        <v>15540</v>
      </c>
      <c r="N66" s="123"/>
      <c r="O66" s="123"/>
      <c r="P66" s="136">
        <f>IF(P$1="",0,опер2!P$260)</f>
        <v>2220</v>
      </c>
      <c r="Q66" s="136">
        <f>IF(Q$1="",0,опер2!Q$260)</f>
        <v>2220</v>
      </c>
      <c r="R66" s="136">
        <f>IF(R$1="",0,опер2!R$260)</f>
        <v>2220</v>
      </c>
      <c r="S66" s="136">
        <f>IF(S$1="",0,опер2!S$260)</f>
        <v>2220</v>
      </c>
      <c r="T66" s="136">
        <f>IF(T$1="",0,опер2!T$260)</f>
        <v>2220</v>
      </c>
      <c r="U66" s="136">
        <f>IF(U$1="",0,опер2!U$260)</f>
        <v>2220</v>
      </c>
      <c r="V66" s="136">
        <f>IF(V$1="",0,опер2!V$260)</f>
        <v>2220</v>
      </c>
      <c r="W66" s="136">
        <f>IF(W$1="",0,опер2!W$260)</f>
        <v>0</v>
      </c>
      <c r="X66" s="136">
        <f>IF(X$1="",0,опер2!X$260)</f>
        <v>0</v>
      </c>
      <c r="Y66" s="136">
        <f>IF(Y$1="",0,опер2!Y$260)</f>
        <v>0</v>
      </c>
      <c r="Z66" s="136">
        <f>IF(Z$1="",0,опер2!Z$260)</f>
        <v>0</v>
      </c>
      <c r="AA66" s="136">
        <f>IF(AA$1="",0,опер2!AA$260)</f>
        <v>0</v>
      </c>
      <c r="AB66" s="123"/>
    </row>
    <row r="67" spans="1:28" s="126" customFormat="1" ht="3.9" customHeight="1" x14ac:dyDescent="0.25">
      <c r="A67" s="149">
        <f>1</f>
        <v>1</v>
      </c>
      <c r="B67" s="131"/>
      <c r="C67" s="123"/>
      <c r="D67" s="123"/>
      <c r="E67" s="123"/>
      <c r="F67" s="123"/>
      <c r="G67" s="123"/>
      <c r="H67" s="123"/>
      <c r="I67" s="124"/>
      <c r="J67" s="123"/>
      <c r="K67" s="124"/>
      <c r="L67" s="123"/>
      <c r="M67" s="125"/>
      <c r="N67" s="123"/>
      <c r="O67" s="123"/>
      <c r="P67" s="137"/>
      <c r="Q67" s="137"/>
      <c r="R67" s="137"/>
      <c r="S67" s="137"/>
      <c r="T67" s="137"/>
      <c r="U67" s="137"/>
      <c r="V67" s="137"/>
      <c r="W67" s="137"/>
      <c r="X67" s="137"/>
      <c r="Y67" s="137"/>
      <c r="Z67" s="137"/>
      <c r="AA67" s="137"/>
      <c r="AB67" s="123"/>
    </row>
    <row r="68" spans="1:28" s="126" customFormat="1" x14ac:dyDescent="0.25">
      <c r="A68" s="149">
        <f>1</f>
        <v>1</v>
      </c>
      <c r="B68" s="132" t="str">
        <f>структура!$J$13</f>
        <v>УСН(6%)</v>
      </c>
      <c r="C68" s="123"/>
      <c r="D68" s="123"/>
      <c r="E68" s="130" t="str">
        <f>E66</f>
        <v>начисление ФОТ</v>
      </c>
      <c r="F68" s="130"/>
      <c r="G68" s="130" t="str">
        <f>IF($E68="","",INDEX(KPI!$G:$G,SUMIFS(KPI!$B:$B,KPI!$E:$E,$E68)))</f>
        <v>тыс.руб.</v>
      </c>
      <c r="H68" s="130"/>
      <c r="I68" s="134"/>
      <c r="J68" s="130"/>
      <c r="K68" s="134"/>
      <c r="L68" s="130"/>
      <c r="M68" s="135">
        <f>SUM($O68:$AB68)</f>
        <v>15540</v>
      </c>
      <c r="N68" s="123"/>
      <c r="O68" s="123"/>
      <c r="P68" s="136">
        <f>IF(P$1="",0,опер2!P$260)</f>
        <v>2220</v>
      </c>
      <c r="Q68" s="136">
        <f>IF(Q$1="",0,опер2!Q$260)</f>
        <v>2220</v>
      </c>
      <c r="R68" s="136">
        <f>IF(R$1="",0,опер2!R$260)</f>
        <v>2220</v>
      </c>
      <c r="S68" s="136">
        <f>IF(S$1="",0,опер2!S$260)</f>
        <v>2220</v>
      </c>
      <c r="T68" s="136">
        <f>IF(T$1="",0,опер2!T$260)</f>
        <v>2220</v>
      </c>
      <c r="U68" s="136">
        <f>IF(U$1="",0,опер2!U$260)</f>
        <v>2220</v>
      </c>
      <c r="V68" s="136">
        <f>IF(V$1="",0,опер2!V$260)</f>
        <v>2220</v>
      </c>
      <c r="W68" s="136">
        <f>IF(W$1="",0,опер2!W$260)</f>
        <v>0</v>
      </c>
      <c r="X68" s="136">
        <f>IF(X$1="",0,опер2!X$260)</f>
        <v>0</v>
      </c>
      <c r="Y68" s="136">
        <f>IF(Y$1="",0,опер2!Y$260)</f>
        <v>0</v>
      </c>
      <c r="Z68" s="136">
        <f>IF(Z$1="",0,опер2!Z$260)</f>
        <v>0</v>
      </c>
      <c r="AA68" s="136">
        <f>IF(AA$1="",0,опер2!AA$260)</f>
        <v>0</v>
      </c>
      <c r="AB68" s="123"/>
    </row>
    <row r="69" spans="1:28" s="126" customFormat="1" ht="3.9" customHeight="1" x14ac:dyDescent="0.25">
      <c r="A69" s="149">
        <f>1</f>
        <v>1</v>
      </c>
      <c r="B69" s="131"/>
      <c r="C69" s="123"/>
      <c r="D69" s="123"/>
      <c r="E69" s="123"/>
      <c r="F69" s="123"/>
      <c r="G69" s="123"/>
      <c r="H69" s="123"/>
      <c r="I69" s="124"/>
      <c r="J69" s="123"/>
      <c r="K69" s="124"/>
      <c r="L69" s="123"/>
      <c r="M69" s="125"/>
      <c r="N69" s="123"/>
      <c r="O69" s="123"/>
      <c r="P69" s="137"/>
      <c r="Q69" s="137"/>
      <c r="R69" s="137"/>
      <c r="S69" s="137"/>
      <c r="T69" s="137"/>
      <c r="U69" s="137"/>
      <c r="V69" s="137"/>
      <c r="W69" s="137"/>
      <c r="X69" s="137"/>
      <c r="Y69" s="137"/>
      <c r="Z69" s="137"/>
      <c r="AA69" s="137"/>
      <c r="AB69" s="123"/>
    </row>
    <row r="70" spans="1:28" s="126" customFormat="1" x14ac:dyDescent="0.25">
      <c r="A70" s="149">
        <f>1</f>
        <v>1</v>
      </c>
      <c r="B70" s="132" t="str">
        <f>структура!$J$14</f>
        <v>УСН(15%)</v>
      </c>
      <c r="C70" s="123"/>
      <c r="D70" s="123"/>
      <c r="E70" s="130" t="str">
        <f>E66</f>
        <v>начисление ФОТ</v>
      </c>
      <c r="F70" s="130"/>
      <c r="G70" s="130" t="str">
        <f>IF($E70="","",INDEX(KPI!$G:$G,SUMIFS(KPI!$B:$B,KPI!$E:$E,$E70)))</f>
        <v>тыс.руб.</v>
      </c>
      <c r="H70" s="130"/>
      <c r="I70" s="134"/>
      <c r="J70" s="130"/>
      <c r="K70" s="134"/>
      <c r="L70" s="130"/>
      <c r="M70" s="135">
        <f>SUM($O70:$AB70)</f>
        <v>15540</v>
      </c>
      <c r="N70" s="123"/>
      <c r="O70" s="123"/>
      <c r="P70" s="136">
        <f>IF(P$1="",0,опер2!P$260)</f>
        <v>2220</v>
      </c>
      <c r="Q70" s="136">
        <f>IF(Q$1="",0,опер2!Q$260)</f>
        <v>2220</v>
      </c>
      <c r="R70" s="136">
        <f>IF(R$1="",0,опер2!R$260)</f>
        <v>2220</v>
      </c>
      <c r="S70" s="136">
        <f>IF(S$1="",0,опер2!S$260)</f>
        <v>2220</v>
      </c>
      <c r="T70" s="136">
        <f>IF(T$1="",0,опер2!T$260)</f>
        <v>2220</v>
      </c>
      <c r="U70" s="136">
        <f>IF(U$1="",0,опер2!U$260)</f>
        <v>2220</v>
      </c>
      <c r="V70" s="136">
        <f>IF(V$1="",0,опер2!V$260)</f>
        <v>2220</v>
      </c>
      <c r="W70" s="136">
        <f>IF(W$1="",0,опер2!W$260)</f>
        <v>0</v>
      </c>
      <c r="X70" s="136">
        <f>IF(X$1="",0,опер2!X$260)</f>
        <v>0</v>
      </c>
      <c r="Y70" s="136">
        <f>IF(Y$1="",0,опер2!Y$260)</f>
        <v>0</v>
      </c>
      <c r="Z70" s="136">
        <f>IF(Z$1="",0,опер2!Z$260)</f>
        <v>0</v>
      </c>
      <c r="AA70" s="136">
        <f>IF(AA$1="",0,опер2!AA$260)</f>
        <v>0</v>
      </c>
      <c r="AB70" s="123"/>
    </row>
    <row r="71" spans="1:28" s="126" customFormat="1" ht="3.9" customHeight="1" x14ac:dyDescent="0.25">
      <c r="A71" s="149">
        <f>1</f>
        <v>1</v>
      </c>
      <c r="B71" s="131"/>
      <c r="C71" s="123"/>
      <c r="D71" s="123"/>
      <c r="E71" s="123"/>
      <c r="F71" s="123"/>
      <c r="G71" s="123"/>
      <c r="H71" s="123"/>
      <c r="I71" s="124"/>
      <c r="J71" s="123"/>
      <c r="K71" s="124"/>
      <c r="L71" s="123"/>
      <c r="M71" s="125"/>
      <c r="N71" s="123"/>
      <c r="O71" s="123"/>
      <c r="P71" s="137"/>
      <c r="Q71" s="137"/>
      <c r="R71" s="137"/>
      <c r="S71" s="137"/>
      <c r="T71" s="137"/>
      <c r="U71" s="137"/>
      <c r="V71" s="137"/>
      <c r="W71" s="137"/>
      <c r="X71" s="137"/>
      <c r="Y71" s="137"/>
      <c r="Z71" s="137"/>
      <c r="AA71" s="137"/>
      <c r="AB71" s="123"/>
    </row>
    <row r="72" spans="1:28" s="126" customFormat="1" x14ac:dyDescent="0.25">
      <c r="A72" s="149">
        <f>1</f>
        <v>1</v>
      </c>
      <c r="B72" s="132" t="str">
        <f>структура!$J$15</f>
        <v>УСН(6%)-ИП</v>
      </c>
      <c r="C72" s="123"/>
      <c r="D72" s="123"/>
      <c r="E72" s="130" t="str">
        <f>E66</f>
        <v>начисление ФОТ</v>
      </c>
      <c r="F72" s="130"/>
      <c r="G72" s="130" t="str">
        <f>IF($E72="","",INDEX(KPI!$G:$G,SUMIFS(KPI!$B:$B,KPI!$E:$E,$E72)))</f>
        <v>тыс.руб.</v>
      </c>
      <c r="H72" s="130"/>
      <c r="I72" s="134"/>
      <c r="J72" s="130"/>
      <c r="K72" s="134"/>
      <c r="L72" s="130"/>
      <c r="M72" s="135">
        <f>SUM($O72:$AB72)</f>
        <v>15540</v>
      </c>
      <c r="N72" s="123"/>
      <c r="O72" s="123"/>
      <c r="P72" s="136">
        <f>IF(P$1="",0,опер2!P$260)</f>
        <v>2220</v>
      </c>
      <c r="Q72" s="136">
        <f>IF(Q$1="",0,опер2!Q$260)</f>
        <v>2220</v>
      </c>
      <c r="R72" s="136">
        <f>IF(R$1="",0,опер2!R$260)</f>
        <v>2220</v>
      </c>
      <c r="S72" s="136">
        <f>IF(S$1="",0,опер2!S$260)</f>
        <v>2220</v>
      </c>
      <c r="T72" s="136">
        <f>IF(T$1="",0,опер2!T$260)</f>
        <v>2220</v>
      </c>
      <c r="U72" s="136">
        <f>IF(U$1="",0,опер2!U$260)</f>
        <v>2220</v>
      </c>
      <c r="V72" s="136">
        <f>IF(V$1="",0,опер2!V$260)</f>
        <v>2220</v>
      </c>
      <c r="W72" s="136">
        <f>IF(W$1="",0,опер2!W$260)</f>
        <v>0</v>
      </c>
      <c r="X72" s="136">
        <f>IF(X$1="",0,опер2!X$260)</f>
        <v>0</v>
      </c>
      <c r="Y72" s="136">
        <f>IF(Y$1="",0,опер2!Y$260)</f>
        <v>0</v>
      </c>
      <c r="Z72" s="136">
        <f>IF(Z$1="",0,опер2!Z$260)</f>
        <v>0</v>
      </c>
      <c r="AA72" s="136">
        <f>IF(AA$1="",0,опер2!AA$260)</f>
        <v>0</v>
      </c>
      <c r="AB72" s="123"/>
    </row>
    <row r="73" spans="1:28" ht="3.9" customHeight="1" x14ac:dyDescent="0.25">
      <c r="A73" s="149">
        <f>1</f>
        <v>1</v>
      </c>
      <c r="B73" s="131"/>
      <c r="C73" s="2"/>
      <c r="D73" s="2"/>
      <c r="E73" s="2"/>
      <c r="F73" s="2"/>
      <c r="G73" s="2"/>
      <c r="H73" s="2"/>
      <c r="I73" s="28"/>
      <c r="J73" s="2"/>
      <c r="K73" s="28"/>
      <c r="L73" s="2"/>
      <c r="M73" s="52"/>
      <c r="N73" s="2"/>
      <c r="O73" s="2"/>
      <c r="P73" s="36"/>
      <c r="Q73" s="36"/>
      <c r="R73" s="36"/>
      <c r="S73" s="36"/>
      <c r="T73" s="36"/>
      <c r="U73" s="36"/>
      <c r="V73" s="36"/>
      <c r="W73" s="36"/>
      <c r="X73" s="36"/>
      <c r="Y73" s="36"/>
      <c r="Z73" s="36"/>
      <c r="AA73" s="36"/>
      <c r="AB73" s="2"/>
    </row>
    <row r="74" spans="1:28" ht="8.1" customHeight="1" x14ac:dyDescent="0.25">
      <c r="A74" s="149">
        <f>1</f>
        <v>1</v>
      </c>
      <c r="B74" s="131"/>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ht="3.9" customHeight="1" x14ac:dyDescent="0.25">
      <c r="A75" s="149">
        <f>1</f>
        <v>1</v>
      </c>
      <c r="B75" s="131"/>
      <c r="C75" s="2"/>
      <c r="D75" s="2"/>
      <c r="E75" s="2"/>
      <c r="F75" s="2"/>
      <c r="G75" s="2"/>
      <c r="H75" s="2"/>
      <c r="I75" s="28"/>
      <c r="J75" s="2"/>
      <c r="K75" s="28"/>
      <c r="L75" s="2"/>
      <c r="M75" s="52"/>
      <c r="N75" s="2"/>
      <c r="O75" s="2"/>
      <c r="P75" s="36"/>
      <c r="Q75" s="36"/>
      <c r="R75" s="36"/>
      <c r="S75" s="36"/>
      <c r="T75" s="36"/>
      <c r="U75" s="36"/>
      <c r="V75" s="36"/>
      <c r="W75" s="36"/>
      <c r="X75" s="36"/>
      <c r="Y75" s="36"/>
      <c r="Z75" s="36"/>
      <c r="AA75" s="36"/>
      <c r="AB75" s="2"/>
    </row>
    <row r="76" spans="1:28" s="126" customFormat="1" x14ac:dyDescent="0.25">
      <c r="A76" s="149">
        <f>1</f>
        <v>1</v>
      </c>
      <c r="B76" s="132" t="str">
        <f>структура!$J$12</f>
        <v>ОСНО</v>
      </c>
      <c r="C76" s="123"/>
      <c r="D76" s="123"/>
      <c r="E76" s="130" t="str">
        <f>KPI!$E$80</f>
        <v>начисления в соцфонды и НС</v>
      </c>
      <c r="F76" s="130"/>
      <c r="G76" s="130" t="str">
        <f>IF($E76="","",INDEX(KPI!$G:$G,SUMIFS(KPI!$B:$B,KPI!$E:$E,$E76)))</f>
        <v>тыс.руб.</v>
      </c>
      <c r="H76" s="130"/>
      <c r="I76" s="134"/>
      <c r="J76" s="130"/>
      <c r="K76" s="134"/>
      <c r="L76" s="130"/>
      <c r="M76" s="135">
        <f>SUM($O76:$AB76)</f>
        <v>4693.08</v>
      </c>
      <c r="N76" s="123"/>
      <c r="O76" s="123"/>
      <c r="P76" s="136">
        <f>IF(P$1="",0,опер2!P$278)</f>
        <v>670.43999999999994</v>
      </c>
      <c r="Q76" s="136">
        <f>IF(Q$1="",0,опер2!Q$278)</f>
        <v>670.43999999999994</v>
      </c>
      <c r="R76" s="136">
        <f>IF(R$1="",0,опер2!R$278)</f>
        <v>670.43999999999994</v>
      </c>
      <c r="S76" s="136">
        <f>IF(S$1="",0,опер2!S$278)</f>
        <v>670.43999999999994</v>
      </c>
      <c r="T76" s="136">
        <f>IF(T$1="",0,опер2!T$278)</f>
        <v>670.43999999999994</v>
      </c>
      <c r="U76" s="136">
        <f>IF(U$1="",0,опер2!U$278)</f>
        <v>670.43999999999994</v>
      </c>
      <c r="V76" s="136">
        <f>IF(V$1="",0,опер2!V$278)</f>
        <v>670.43999999999994</v>
      </c>
      <c r="W76" s="136">
        <f>IF(W$1="",0,опер2!W$278)</f>
        <v>0</v>
      </c>
      <c r="X76" s="136">
        <f>IF(X$1="",0,опер2!X$278)</f>
        <v>0</v>
      </c>
      <c r="Y76" s="136">
        <f>IF(Y$1="",0,опер2!Y$278)</f>
        <v>0</v>
      </c>
      <c r="Z76" s="136">
        <f>IF(Z$1="",0,опер2!Z$278)</f>
        <v>0</v>
      </c>
      <c r="AA76" s="136">
        <f>IF(AA$1="",0,опер2!AA$278)</f>
        <v>0</v>
      </c>
      <c r="AB76" s="123"/>
    </row>
    <row r="77" spans="1:28" s="126" customFormat="1" ht="3.9" customHeight="1" x14ac:dyDescent="0.25">
      <c r="A77" s="149">
        <f>1</f>
        <v>1</v>
      </c>
      <c r="B77" s="131"/>
      <c r="C77" s="123"/>
      <c r="D77" s="123"/>
      <c r="E77" s="123"/>
      <c r="F77" s="123"/>
      <c r="G77" s="123"/>
      <c r="H77" s="123"/>
      <c r="I77" s="124"/>
      <c r="J77" s="123"/>
      <c r="K77" s="124"/>
      <c r="L77" s="123"/>
      <c r="M77" s="125"/>
      <c r="N77" s="123"/>
      <c r="O77" s="123"/>
      <c r="P77" s="137"/>
      <c r="Q77" s="137"/>
      <c r="R77" s="137"/>
      <c r="S77" s="137"/>
      <c r="T77" s="137"/>
      <c r="U77" s="137"/>
      <c r="V77" s="137"/>
      <c r="W77" s="137"/>
      <c r="X77" s="137"/>
      <c r="Y77" s="137"/>
      <c r="Z77" s="137"/>
      <c r="AA77" s="137"/>
      <c r="AB77" s="123"/>
    </row>
    <row r="78" spans="1:28" s="126" customFormat="1" x14ac:dyDescent="0.25">
      <c r="A78" s="149">
        <f>1</f>
        <v>1</v>
      </c>
      <c r="B78" s="132" t="str">
        <f>структура!$J$13</f>
        <v>УСН(6%)</v>
      </c>
      <c r="C78" s="123"/>
      <c r="D78" s="123"/>
      <c r="E78" s="130" t="str">
        <f>E76</f>
        <v>начисления в соцфонды и НС</v>
      </c>
      <c r="F78" s="130"/>
      <c r="G78" s="130" t="str">
        <f>IF($E78="","",INDEX(KPI!$G:$G,SUMIFS(KPI!$B:$B,KPI!$E:$E,$E78)))</f>
        <v>тыс.руб.</v>
      </c>
      <c r="H78" s="130"/>
      <c r="I78" s="134"/>
      <c r="J78" s="130"/>
      <c r="K78" s="134"/>
      <c r="L78" s="130"/>
      <c r="M78" s="135">
        <f>SUM($O78:$AB78)</f>
        <v>4693.08</v>
      </c>
      <c r="N78" s="123"/>
      <c r="O78" s="123"/>
      <c r="P78" s="136">
        <f>IF(P$1="",0,опер2!P$278)</f>
        <v>670.43999999999994</v>
      </c>
      <c r="Q78" s="136">
        <f>IF(Q$1="",0,опер2!Q$278)</f>
        <v>670.43999999999994</v>
      </c>
      <c r="R78" s="136">
        <f>IF(R$1="",0,опер2!R$278)</f>
        <v>670.43999999999994</v>
      </c>
      <c r="S78" s="136">
        <f>IF(S$1="",0,опер2!S$278)</f>
        <v>670.43999999999994</v>
      </c>
      <c r="T78" s="136">
        <f>IF(T$1="",0,опер2!T$278)</f>
        <v>670.43999999999994</v>
      </c>
      <c r="U78" s="136">
        <f>IF(U$1="",0,опер2!U$278)</f>
        <v>670.43999999999994</v>
      </c>
      <c r="V78" s="136">
        <f>IF(V$1="",0,опер2!V$278)</f>
        <v>670.43999999999994</v>
      </c>
      <c r="W78" s="136">
        <f>IF(W$1="",0,опер2!W$278)</f>
        <v>0</v>
      </c>
      <c r="X78" s="136">
        <f>IF(X$1="",0,опер2!X$278)</f>
        <v>0</v>
      </c>
      <c r="Y78" s="136">
        <f>IF(Y$1="",0,опер2!Y$278)</f>
        <v>0</v>
      </c>
      <c r="Z78" s="136">
        <f>IF(Z$1="",0,опер2!Z$278)</f>
        <v>0</v>
      </c>
      <c r="AA78" s="136">
        <f>IF(AA$1="",0,опер2!AA$278)</f>
        <v>0</v>
      </c>
      <c r="AB78" s="123"/>
    </row>
    <row r="79" spans="1:28" s="126" customFormat="1" ht="3.9" customHeight="1" x14ac:dyDescent="0.25">
      <c r="A79" s="149">
        <f>1</f>
        <v>1</v>
      </c>
      <c r="B79" s="131"/>
      <c r="C79" s="123"/>
      <c r="D79" s="123"/>
      <c r="E79" s="123"/>
      <c r="F79" s="123"/>
      <c r="G79" s="123"/>
      <c r="H79" s="123"/>
      <c r="I79" s="124"/>
      <c r="J79" s="123"/>
      <c r="K79" s="124"/>
      <c r="L79" s="123"/>
      <c r="M79" s="125"/>
      <c r="N79" s="123"/>
      <c r="O79" s="123"/>
      <c r="P79" s="137"/>
      <c r="Q79" s="137"/>
      <c r="R79" s="137"/>
      <c r="S79" s="137"/>
      <c r="T79" s="137"/>
      <c r="U79" s="137"/>
      <c r="V79" s="137"/>
      <c r="W79" s="137"/>
      <c r="X79" s="137"/>
      <c r="Y79" s="137"/>
      <c r="Z79" s="137"/>
      <c r="AA79" s="137"/>
      <c r="AB79" s="123"/>
    </row>
    <row r="80" spans="1:28" s="126" customFormat="1" x14ac:dyDescent="0.25">
      <c r="A80" s="149">
        <f>1</f>
        <v>1</v>
      </c>
      <c r="B80" s="132" t="str">
        <f>структура!$J$14</f>
        <v>УСН(15%)</v>
      </c>
      <c r="C80" s="123"/>
      <c r="D80" s="123"/>
      <c r="E80" s="130" t="str">
        <f>E76</f>
        <v>начисления в соцфонды и НС</v>
      </c>
      <c r="F80" s="130"/>
      <c r="G80" s="130" t="str">
        <f>IF($E80="","",INDEX(KPI!$G:$G,SUMIFS(KPI!$B:$B,KPI!$E:$E,$E80)))</f>
        <v>тыс.руб.</v>
      </c>
      <c r="H80" s="130"/>
      <c r="I80" s="134"/>
      <c r="J80" s="130"/>
      <c r="K80" s="134"/>
      <c r="L80" s="130"/>
      <c r="M80" s="135">
        <f>SUM($O80:$AB80)</f>
        <v>4693.08</v>
      </c>
      <c r="N80" s="123"/>
      <c r="O80" s="123"/>
      <c r="P80" s="136">
        <f>IF(P$1="",0,опер2!P$278)</f>
        <v>670.43999999999994</v>
      </c>
      <c r="Q80" s="136">
        <f>IF(Q$1="",0,опер2!Q$278)</f>
        <v>670.43999999999994</v>
      </c>
      <c r="R80" s="136">
        <f>IF(R$1="",0,опер2!R$278)</f>
        <v>670.43999999999994</v>
      </c>
      <c r="S80" s="136">
        <f>IF(S$1="",0,опер2!S$278)</f>
        <v>670.43999999999994</v>
      </c>
      <c r="T80" s="136">
        <f>IF(T$1="",0,опер2!T$278)</f>
        <v>670.43999999999994</v>
      </c>
      <c r="U80" s="136">
        <f>IF(U$1="",0,опер2!U$278)</f>
        <v>670.43999999999994</v>
      </c>
      <c r="V80" s="136">
        <f>IF(V$1="",0,опер2!V$278)</f>
        <v>670.43999999999994</v>
      </c>
      <c r="W80" s="136">
        <f>IF(W$1="",0,опер2!W$278)</f>
        <v>0</v>
      </c>
      <c r="X80" s="136">
        <f>IF(X$1="",0,опер2!X$278)</f>
        <v>0</v>
      </c>
      <c r="Y80" s="136">
        <f>IF(Y$1="",0,опер2!Y$278)</f>
        <v>0</v>
      </c>
      <c r="Z80" s="136">
        <f>IF(Z$1="",0,опер2!Z$278)</f>
        <v>0</v>
      </c>
      <c r="AA80" s="136">
        <f>IF(AA$1="",0,опер2!AA$278)</f>
        <v>0</v>
      </c>
      <c r="AB80" s="123"/>
    </row>
    <row r="81" spans="1:28" s="126" customFormat="1" ht="3.9" customHeight="1" x14ac:dyDescent="0.25">
      <c r="A81" s="149">
        <f>1</f>
        <v>1</v>
      </c>
      <c r="B81" s="131"/>
      <c r="C81" s="123"/>
      <c r="D81" s="123"/>
      <c r="E81" s="123"/>
      <c r="F81" s="123"/>
      <c r="G81" s="123"/>
      <c r="H81" s="123"/>
      <c r="I81" s="124"/>
      <c r="J81" s="123"/>
      <c r="K81" s="124"/>
      <c r="L81" s="123"/>
      <c r="M81" s="125"/>
      <c r="N81" s="123"/>
      <c r="O81" s="123"/>
      <c r="P81" s="137"/>
      <c r="Q81" s="137"/>
      <c r="R81" s="137"/>
      <c r="S81" s="137"/>
      <c r="T81" s="137"/>
      <c r="U81" s="137"/>
      <c r="V81" s="137"/>
      <c r="W81" s="137"/>
      <c r="X81" s="137"/>
      <c r="Y81" s="137"/>
      <c r="Z81" s="137"/>
      <c r="AA81" s="137"/>
      <c r="AB81" s="123"/>
    </row>
    <row r="82" spans="1:28" s="126" customFormat="1" x14ac:dyDescent="0.25">
      <c r="A82" s="149">
        <f>1</f>
        <v>1</v>
      </c>
      <c r="B82" s="132" t="str">
        <f>структура!$J$15</f>
        <v>УСН(6%)-ИП</v>
      </c>
      <c r="C82" s="123"/>
      <c r="D82" s="123"/>
      <c r="E82" s="130" t="str">
        <f>E76</f>
        <v>начисления в соцфонды и НС</v>
      </c>
      <c r="F82" s="130"/>
      <c r="G82" s="130" t="str">
        <f>IF($E82="","",INDEX(KPI!$G:$G,SUMIFS(KPI!$B:$B,KPI!$E:$E,$E82)))</f>
        <v>тыс.руб.</v>
      </c>
      <c r="H82" s="130"/>
      <c r="I82" s="134"/>
      <c r="J82" s="130"/>
      <c r="K82" s="134"/>
      <c r="L82" s="130"/>
      <c r="M82" s="135">
        <f>SUM($O82:$AB82)</f>
        <v>4693.08</v>
      </c>
      <c r="N82" s="123"/>
      <c r="O82" s="123"/>
      <c r="P82" s="136">
        <f>IF(P$1="",0,опер2!P$278)</f>
        <v>670.43999999999994</v>
      </c>
      <c r="Q82" s="136">
        <f>IF(Q$1="",0,опер2!Q$278)</f>
        <v>670.43999999999994</v>
      </c>
      <c r="R82" s="136">
        <f>IF(R$1="",0,опер2!R$278)</f>
        <v>670.43999999999994</v>
      </c>
      <c r="S82" s="136">
        <f>IF(S$1="",0,опер2!S$278)</f>
        <v>670.43999999999994</v>
      </c>
      <c r="T82" s="136">
        <f>IF(T$1="",0,опер2!T$278)</f>
        <v>670.43999999999994</v>
      </c>
      <c r="U82" s="136">
        <f>IF(U$1="",0,опер2!U$278)</f>
        <v>670.43999999999994</v>
      </c>
      <c r="V82" s="136">
        <f>IF(V$1="",0,опер2!V$278)</f>
        <v>670.43999999999994</v>
      </c>
      <c r="W82" s="136">
        <f>IF(W$1="",0,опер2!W$278)</f>
        <v>0</v>
      </c>
      <c r="X82" s="136">
        <f>IF(X$1="",0,опер2!X$278)</f>
        <v>0</v>
      </c>
      <c r="Y82" s="136">
        <f>IF(Y$1="",0,опер2!Y$278)</f>
        <v>0</v>
      </c>
      <c r="Z82" s="136">
        <f>IF(Z$1="",0,опер2!Z$278)</f>
        <v>0</v>
      </c>
      <c r="AA82" s="136">
        <f>IF(AA$1="",0,опер2!AA$278)</f>
        <v>0</v>
      </c>
      <c r="AB82" s="123"/>
    </row>
    <row r="83" spans="1:28" ht="3.9" customHeight="1" x14ac:dyDescent="0.25">
      <c r="A83" s="149">
        <f>1</f>
        <v>1</v>
      </c>
      <c r="B83" s="131"/>
      <c r="C83" s="2"/>
      <c r="D83" s="2"/>
      <c r="E83" s="2"/>
      <c r="F83" s="2"/>
      <c r="G83" s="2"/>
      <c r="H83" s="2"/>
      <c r="I83" s="28"/>
      <c r="J83" s="2"/>
      <c r="K83" s="28"/>
      <c r="L83" s="2"/>
      <c r="M83" s="52"/>
      <c r="N83" s="2"/>
      <c r="O83" s="2"/>
      <c r="P83" s="36"/>
      <c r="Q83" s="36"/>
      <c r="R83" s="36"/>
      <c r="S83" s="36"/>
      <c r="T83" s="36"/>
      <c r="U83" s="36"/>
      <c r="V83" s="36"/>
      <c r="W83" s="36"/>
      <c r="X83" s="36"/>
      <c r="Y83" s="36"/>
      <c r="Z83" s="36"/>
      <c r="AA83" s="36"/>
      <c r="AB83" s="2"/>
    </row>
    <row r="84" spans="1:28" ht="8.1" customHeight="1" x14ac:dyDescent="0.25">
      <c r="A84" s="149">
        <f>1</f>
        <v>1</v>
      </c>
      <c r="B84" s="131"/>
      <c r="C84" s="2"/>
      <c r="D84" s="2"/>
      <c r="E84" s="2"/>
      <c r="F84" s="2"/>
      <c r="G84" s="2"/>
      <c r="H84" s="2"/>
      <c r="I84" s="28"/>
      <c r="J84" s="2"/>
      <c r="K84" s="28"/>
      <c r="L84" s="2"/>
      <c r="M84" s="52"/>
      <c r="N84" s="2"/>
      <c r="O84" s="2"/>
      <c r="P84" s="36"/>
      <c r="Q84" s="36"/>
      <c r="R84" s="36"/>
      <c r="S84" s="36"/>
      <c r="T84" s="36"/>
      <c r="U84" s="36"/>
      <c r="V84" s="36"/>
      <c r="W84" s="36"/>
      <c r="X84" s="36"/>
      <c r="Y84" s="36"/>
      <c r="Z84" s="36"/>
      <c r="AA84" s="36"/>
      <c r="AB84" s="2"/>
    </row>
    <row r="85" spans="1:28" s="126" customFormat="1" x14ac:dyDescent="0.25">
      <c r="A85" s="149">
        <f>1</f>
        <v>1</v>
      </c>
      <c r="B85" s="132" t="str">
        <f>структура!$J$12</f>
        <v>ОСНО</v>
      </c>
      <c r="C85" s="123"/>
      <c r="D85" s="123"/>
      <c r="E85" s="130" t="str">
        <f>KPI!$E$81</f>
        <v>общехозяйственные расходы</v>
      </c>
      <c r="F85" s="130"/>
      <c r="G85" s="130" t="str">
        <f>IF($E85="","",INDEX(KPI!$G:$G,SUMIFS(KPI!$B:$B,KPI!$E:$E,$E85)))</f>
        <v>тыс.руб.</v>
      </c>
      <c r="H85" s="130"/>
      <c r="I85" s="134"/>
      <c r="J85" s="130" t="str">
        <f>структура!$AL$21</f>
        <v>Без НДС</v>
      </c>
      <c r="K85" s="134"/>
      <c r="L85" s="130"/>
      <c r="M85" s="135">
        <f>SUM($O85:$AB85)</f>
        <v>8063.3563141025652</v>
      </c>
      <c r="N85" s="123"/>
      <c r="O85" s="123"/>
      <c r="P85" s="136">
        <f>IF(P$1="",0,IF(1+опер2!P$346=0,0,(опер2!P$311)/(1+опер2!P$346)))</f>
        <v>990.41499038461541</v>
      </c>
      <c r="Q85" s="136">
        <f>IF(Q$1="",0,IF(1+опер2!Q$346=0,0,(опер2!Q$311)/(1+опер2!Q$346)))</f>
        <v>1027.3662403846154</v>
      </c>
      <c r="R85" s="136">
        <f>IF(R$1="",0,IF(1+опер2!R$346=0,0,(опер2!R$311)/(1+опер2!R$346)))</f>
        <v>1084.5122435897438</v>
      </c>
      <c r="S85" s="136">
        <f>IF(S$1="",0,IF(1+опер2!S$346=0,0,(опер2!S$311)/(1+опер2!S$346)))</f>
        <v>1119.7443653846153</v>
      </c>
      <c r="T85" s="136">
        <f>IF(T$1="",0,IF(1+опер2!T$346=0,0,(опер2!T$311)/(1+опер2!T$346)))</f>
        <v>1175.1712403846157</v>
      </c>
      <c r="U85" s="136">
        <f>IF(U$1="",0,IF(1+опер2!U$346=0,0,(опер2!U$311)/(1+опер2!U$346)))</f>
        <v>1267.5493653846156</v>
      </c>
      <c r="V85" s="136">
        <f>IF(V$1="",0,IF(1+опер2!V$346=0,0,(опер2!V$311)/(1+опер2!V$346)))</f>
        <v>1398.5978685897437</v>
      </c>
      <c r="W85" s="136">
        <f>IF(W$1="",0,IF(1+опер2!W$346=0,0,(опер2!W$311)/(1+опер2!W$346)))</f>
        <v>0</v>
      </c>
      <c r="X85" s="136">
        <f>IF(X$1="",0,IF(1+опер2!X$346=0,0,(опер2!X$311)/(1+опер2!X$346)))</f>
        <v>0</v>
      </c>
      <c r="Y85" s="136">
        <f>IF(Y$1="",0,IF(1+опер2!Y$346=0,0,(опер2!Y$311)/(1+опер2!Y$346)))</f>
        <v>0</v>
      </c>
      <c r="Z85" s="136">
        <f>IF(Z$1="",0,IF(1+опер2!Z$346=0,0,(опер2!Z$311)/(1+опер2!Z$346)))</f>
        <v>0</v>
      </c>
      <c r="AA85" s="136">
        <f>IF(AA$1="",0,IF(1+опер2!AA$346=0,0,(опер2!AA$311)/(1+опер2!AA$346)))</f>
        <v>0</v>
      </c>
      <c r="AB85" s="123"/>
    </row>
    <row r="86" spans="1:28" s="126" customFormat="1" ht="3.9" customHeight="1" x14ac:dyDescent="0.25">
      <c r="A86" s="149">
        <f>1</f>
        <v>1</v>
      </c>
      <c r="B86" s="131"/>
      <c r="C86" s="123"/>
      <c r="D86" s="123"/>
      <c r="E86" s="123"/>
      <c r="F86" s="123"/>
      <c r="G86" s="123"/>
      <c r="H86" s="123"/>
      <c r="I86" s="124"/>
      <c r="J86" s="123"/>
      <c r="K86" s="124"/>
      <c r="L86" s="123"/>
      <c r="M86" s="125"/>
      <c r="N86" s="123"/>
      <c r="O86" s="123"/>
      <c r="P86" s="137"/>
      <c r="Q86" s="137"/>
      <c r="R86" s="137"/>
      <c r="S86" s="137"/>
      <c r="T86" s="137"/>
      <c r="U86" s="137"/>
      <c r="V86" s="137"/>
      <c r="W86" s="137"/>
      <c r="X86" s="137"/>
      <c r="Y86" s="137"/>
      <c r="Z86" s="137"/>
      <c r="AA86" s="137"/>
      <c r="AB86" s="123"/>
    </row>
    <row r="87" spans="1:28" s="126" customFormat="1" x14ac:dyDescent="0.25">
      <c r="A87" s="149">
        <f>1</f>
        <v>1</v>
      </c>
      <c r="B87" s="132" t="str">
        <f>структура!$J$13</f>
        <v>УСН(6%)</v>
      </c>
      <c r="C87" s="123"/>
      <c r="D87" s="123"/>
      <c r="E87" s="130" t="str">
        <f>E85</f>
        <v>общехозяйственные расходы</v>
      </c>
      <c r="F87" s="130"/>
      <c r="G87" s="130" t="str">
        <f>IF($E87="","",INDEX(KPI!$G:$G,SUMIFS(KPI!$B:$B,KPI!$E:$E,$E87)))</f>
        <v>тыс.руб.</v>
      </c>
      <c r="H87" s="130"/>
      <c r="I87" s="134"/>
      <c r="J87" s="130" t="str">
        <f>структура!$AL$21</f>
        <v>Без НДС</v>
      </c>
      <c r="K87" s="134"/>
      <c r="L87" s="130"/>
      <c r="M87" s="135">
        <f>SUM($O87:$AB87)</f>
        <v>8063.3563141025652</v>
      </c>
      <c r="N87" s="123"/>
      <c r="O87" s="123"/>
      <c r="P87" s="136">
        <f>IF(P$1="",0,IF(1+опер2!P$346=0,0,(опер2!P$311)/(1+опер2!P$346)))</f>
        <v>990.41499038461541</v>
      </c>
      <c r="Q87" s="136">
        <f>IF(Q$1="",0,IF(1+опер2!Q$346=0,0,(опер2!Q$311)/(1+опер2!Q$346)))</f>
        <v>1027.3662403846154</v>
      </c>
      <c r="R87" s="136">
        <f>IF(R$1="",0,IF(1+опер2!R$346=0,0,(опер2!R$311)/(1+опер2!R$346)))</f>
        <v>1084.5122435897438</v>
      </c>
      <c r="S87" s="136">
        <f>IF(S$1="",0,IF(1+опер2!S$346=0,0,(опер2!S$311)/(1+опер2!S$346)))</f>
        <v>1119.7443653846153</v>
      </c>
      <c r="T87" s="136">
        <f>IF(T$1="",0,IF(1+опер2!T$346=0,0,(опер2!T$311)/(1+опер2!T$346)))</f>
        <v>1175.1712403846157</v>
      </c>
      <c r="U87" s="136">
        <f>IF(U$1="",0,IF(1+опер2!U$346=0,0,(опер2!U$311)/(1+опер2!U$346)))</f>
        <v>1267.5493653846156</v>
      </c>
      <c r="V87" s="136">
        <f>IF(V$1="",0,IF(1+опер2!V$346=0,0,(опер2!V$311)/(1+опер2!V$346)))</f>
        <v>1398.5978685897437</v>
      </c>
      <c r="W87" s="136">
        <f>IF(W$1="",0,IF(1+опер2!W$346=0,0,(опер2!W$311)/(1+опер2!W$346)))</f>
        <v>0</v>
      </c>
      <c r="X87" s="136">
        <f>IF(X$1="",0,IF(1+опер2!X$346=0,0,(опер2!X$311)/(1+опер2!X$346)))</f>
        <v>0</v>
      </c>
      <c r="Y87" s="136">
        <f>IF(Y$1="",0,IF(1+опер2!Y$346=0,0,(опер2!Y$311)/(1+опер2!Y$346)))</f>
        <v>0</v>
      </c>
      <c r="Z87" s="136">
        <f>IF(Z$1="",0,IF(1+опер2!Z$346=0,0,(опер2!Z$311)/(1+опер2!Z$346)))</f>
        <v>0</v>
      </c>
      <c r="AA87" s="136">
        <f>IF(AA$1="",0,IF(1+опер2!AA$346=0,0,(опер2!AA$311)/(1+опер2!AA$346)))</f>
        <v>0</v>
      </c>
      <c r="AB87" s="123"/>
    </row>
    <row r="88" spans="1:28" s="126" customFormat="1" ht="3.9" customHeight="1" x14ac:dyDescent="0.25">
      <c r="A88" s="149">
        <f>1</f>
        <v>1</v>
      </c>
      <c r="B88" s="131"/>
      <c r="C88" s="123"/>
      <c r="D88" s="123"/>
      <c r="E88" s="123"/>
      <c r="F88" s="123"/>
      <c r="G88" s="123"/>
      <c r="H88" s="123"/>
      <c r="I88" s="124"/>
      <c r="J88" s="123"/>
      <c r="K88" s="124"/>
      <c r="L88" s="123"/>
      <c r="M88" s="125"/>
      <c r="N88" s="123"/>
      <c r="O88" s="123"/>
      <c r="P88" s="137"/>
      <c r="Q88" s="137"/>
      <c r="R88" s="137"/>
      <c r="S88" s="137"/>
      <c r="T88" s="137"/>
      <c r="U88" s="137"/>
      <c r="V88" s="137"/>
      <c r="W88" s="137"/>
      <c r="X88" s="137"/>
      <c r="Y88" s="137"/>
      <c r="Z88" s="137"/>
      <c r="AA88" s="137"/>
      <c r="AB88" s="123"/>
    </row>
    <row r="89" spans="1:28" s="126" customFormat="1" x14ac:dyDescent="0.25">
      <c r="A89" s="149">
        <f>1</f>
        <v>1</v>
      </c>
      <c r="B89" s="132" t="str">
        <f>структура!$J$14</f>
        <v>УСН(15%)</v>
      </c>
      <c r="C89" s="123"/>
      <c r="D89" s="123"/>
      <c r="E89" s="130" t="str">
        <f>E85</f>
        <v>общехозяйственные расходы</v>
      </c>
      <c r="F89" s="130"/>
      <c r="G89" s="130" t="str">
        <f>IF($E89="","",INDEX(KPI!$G:$G,SUMIFS(KPI!$B:$B,KPI!$E:$E,$E89)))</f>
        <v>тыс.руб.</v>
      </c>
      <c r="H89" s="130"/>
      <c r="I89" s="134"/>
      <c r="J89" s="130" t="str">
        <f>структура!$AL$21</f>
        <v>Без НДС</v>
      </c>
      <c r="K89" s="134"/>
      <c r="L89" s="130"/>
      <c r="M89" s="135">
        <f>SUM($O89:$AB89)</f>
        <v>8063.3563141025652</v>
      </c>
      <c r="N89" s="123"/>
      <c r="O89" s="123"/>
      <c r="P89" s="136">
        <f>IF(P$1="",0,IF(1+опер2!P$346=0,0,(опер2!P$311)/(1+опер2!P$346)))</f>
        <v>990.41499038461541</v>
      </c>
      <c r="Q89" s="136">
        <f>IF(Q$1="",0,IF(1+опер2!Q$346=0,0,(опер2!Q$311)/(1+опер2!Q$346)))</f>
        <v>1027.3662403846154</v>
      </c>
      <c r="R89" s="136">
        <f>IF(R$1="",0,IF(1+опер2!R$346=0,0,(опер2!R$311)/(1+опер2!R$346)))</f>
        <v>1084.5122435897438</v>
      </c>
      <c r="S89" s="136">
        <f>IF(S$1="",0,IF(1+опер2!S$346=0,0,(опер2!S$311)/(1+опер2!S$346)))</f>
        <v>1119.7443653846153</v>
      </c>
      <c r="T89" s="136">
        <f>IF(T$1="",0,IF(1+опер2!T$346=0,0,(опер2!T$311)/(1+опер2!T$346)))</f>
        <v>1175.1712403846157</v>
      </c>
      <c r="U89" s="136">
        <f>IF(U$1="",0,IF(1+опер2!U$346=0,0,(опер2!U$311)/(1+опер2!U$346)))</f>
        <v>1267.5493653846156</v>
      </c>
      <c r="V89" s="136">
        <f>IF(V$1="",0,IF(1+опер2!V$346=0,0,(опер2!V$311)/(1+опер2!V$346)))</f>
        <v>1398.5978685897437</v>
      </c>
      <c r="W89" s="136">
        <f>IF(W$1="",0,IF(1+опер2!W$346=0,0,(опер2!W$311)/(1+опер2!W$346)))</f>
        <v>0</v>
      </c>
      <c r="X89" s="136">
        <f>IF(X$1="",0,IF(1+опер2!X$346=0,0,(опер2!X$311)/(1+опер2!X$346)))</f>
        <v>0</v>
      </c>
      <c r="Y89" s="136">
        <f>IF(Y$1="",0,IF(1+опер2!Y$346=0,0,(опер2!Y$311)/(1+опер2!Y$346)))</f>
        <v>0</v>
      </c>
      <c r="Z89" s="136">
        <f>IF(Z$1="",0,IF(1+опер2!Z$346=0,0,(опер2!Z$311)/(1+опер2!Z$346)))</f>
        <v>0</v>
      </c>
      <c r="AA89" s="136">
        <f>IF(AA$1="",0,IF(1+опер2!AA$346=0,0,(опер2!AA$311)/(1+опер2!AA$346)))</f>
        <v>0</v>
      </c>
      <c r="AB89" s="123"/>
    </row>
    <row r="90" spans="1:28" s="126" customFormat="1" ht="3.9" customHeight="1" x14ac:dyDescent="0.25">
      <c r="A90" s="149">
        <f>1</f>
        <v>1</v>
      </c>
      <c r="B90" s="131"/>
      <c r="C90" s="123"/>
      <c r="D90" s="123"/>
      <c r="E90" s="123"/>
      <c r="F90" s="123"/>
      <c r="G90" s="123"/>
      <c r="H90" s="123"/>
      <c r="I90" s="124"/>
      <c r="J90" s="123"/>
      <c r="K90" s="124"/>
      <c r="L90" s="123"/>
      <c r="M90" s="125"/>
      <c r="N90" s="123"/>
      <c r="O90" s="123"/>
      <c r="P90" s="137"/>
      <c r="Q90" s="137"/>
      <c r="R90" s="137"/>
      <c r="S90" s="137"/>
      <c r="T90" s="137"/>
      <c r="U90" s="137"/>
      <c r="V90" s="137"/>
      <c r="W90" s="137"/>
      <c r="X90" s="137"/>
      <c r="Y90" s="137"/>
      <c r="Z90" s="137"/>
      <c r="AA90" s="137"/>
      <c r="AB90" s="123"/>
    </row>
    <row r="91" spans="1:28" s="126" customFormat="1" x14ac:dyDescent="0.25">
      <c r="A91" s="149">
        <f>1</f>
        <v>1</v>
      </c>
      <c r="B91" s="132" t="str">
        <f>структура!$J$15</f>
        <v>УСН(6%)-ИП</v>
      </c>
      <c r="C91" s="123"/>
      <c r="D91" s="123"/>
      <c r="E91" s="130" t="str">
        <f>E85</f>
        <v>общехозяйственные расходы</v>
      </c>
      <c r="F91" s="130"/>
      <c r="G91" s="130" t="str">
        <f>IF($E91="","",INDEX(KPI!$G:$G,SUMIFS(KPI!$B:$B,KPI!$E:$E,$E91)))</f>
        <v>тыс.руб.</v>
      </c>
      <c r="H91" s="130"/>
      <c r="I91" s="134"/>
      <c r="J91" s="130" t="str">
        <f>структура!$AL$21</f>
        <v>Без НДС</v>
      </c>
      <c r="K91" s="134"/>
      <c r="L91" s="130"/>
      <c r="M91" s="135">
        <f>SUM($O91:$AB91)</f>
        <v>8063.3563141025652</v>
      </c>
      <c r="N91" s="123"/>
      <c r="O91" s="123"/>
      <c r="P91" s="136">
        <f>IF(P$1="",0,IF(1+опер2!P$346=0,0,(опер2!P$311)/(1+опер2!P$346)))</f>
        <v>990.41499038461541</v>
      </c>
      <c r="Q91" s="136">
        <f>IF(Q$1="",0,IF(1+опер2!Q$346=0,0,(опер2!Q$311)/(1+опер2!Q$346)))</f>
        <v>1027.3662403846154</v>
      </c>
      <c r="R91" s="136">
        <f>IF(R$1="",0,IF(1+опер2!R$346=0,0,(опер2!R$311)/(1+опер2!R$346)))</f>
        <v>1084.5122435897438</v>
      </c>
      <c r="S91" s="136">
        <f>IF(S$1="",0,IF(1+опер2!S$346=0,0,(опер2!S$311)/(1+опер2!S$346)))</f>
        <v>1119.7443653846153</v>
      </c>
      <c r="T91" s="136">
        <f>IF(T$1="",0,IF(1+опер2!T$346=0,0,(опер2!T$311)/(1+опер2!T$346)))</f>
        <v>1175.1712403846157</v>
      </c>
      <c r="U91" s="136">
        <f>IF(U$1="",0,IF(1+опер2!U$346=0,0,(опер2!U$311)/(1+опер2!U$346)))</f>
        <v>1267.5493653846156</v>
      </c>
      <c r="V91" s="136">
        <f>IF(V$1="",0,IF(1+опер2!V$346=0,0,(опер2!V$311)/(1+опер2!V$346)))</f>
        <v>1398.5978685897437</v>
      </c>
      <c r="W91" s="136">
        <f>IF(W$1="",0,IF(1+опер2!W$346=0,0,(опер2!W$311)/(1+опер2!W$346)))</f>
        <v>0</v>
      </c>
      <c r="X91" s="136">
        <f>IF(X$1="",0,IF(1+опер2!X$346=0,0,(опер2!X$311)/(1+опер2!X$346)))</f>
        <v>0</v>
      </c>
      <c r="Y91" s="136">
        <f>IF(Y$1="",0,IF(1+опер2!Y$346=0,0,(опер2!Y$311)/(1+опер2!Y$346)))</f>
        <v>0</v>
      </c>
      <c r="Z91" s="136">
        <f>IF(Z$1="",0,IF(1+опер2!Z$346=0,0,(опер2!Z$311)/(1+опер2!Z$346)))</f>
        <v>0</v>
      </c>
      <c r="AA91" s="136">
        <f>IF(AA$1="",0,IF(1+опер2!AA$346=0,0,(опер2!AA$311)/(1+опер2!AA$346)))</f>
        <v>0</v>
      </c>
      <c r="AB91" s="123"/>
    </row>
    <row r="92" spans="1:28" ht="3.9" customHeight="1" x14ac:dyDescent="0.25">
      <c r="A92" s="149">
        <f>1</f>
        <v>1</v>
      </c>
      <c r="B92" s="131"/>
      <c r="C92" s="2"/>
      <c r="D92" s="2"/>
      <c r="E92" s="2"/>
      <c r="F92" s="2"/>
      <c r="G92" s="2"/>
      <c r="H92" s="2"/>
      <c r="I92" s="28"/>
      <c r="J92" s="2"/>
      <c r="K92" s="28"/>
      <c r="L92" s="2"/>
      <c r="M92" s="52"/>
      <c r="N92" s="2"/>
      <c r="O92" s="2"/>
      <c r="P92" s="36"/>
      <c r="Q92" s="36"/>
      <c r="R92" s="36"/>
      <c r="S92" s="36"/>
      <c r="T92" s="36"/>
      <c r="U92" s="36"/>
      <c r="V92" s="36"/>
      <c r="W92" s="36"/>
      <c r="X92" s="36"/>
      <c r="Y92" s="36"/>
      <c r="Z92" s="36"/>
      <c r="AA92" s="36"/>
      <c r="AB92" s="2"/>
    </row>
    <row r="93" spans="1:28" ht="8.1" customHeight="1" x14ac:dyDescent="0.25">
      <c r="A93" s="149">
        <f>1</f>
        <v>1</v>
      </c>
      <c r="B93" s="131"/>
      <c r="C93" s="2"/>
      <c r="D93" s="2"/>
      <c r="E93" s="2"/>
      <c r="F93" s="2"/>
      <c r="G93" s="2"/>
      <c r="H93" s="2"/>
      <c r="I93" s="28"/>
      <c r="J93" s="2"/>
      <c r="K93" s="28"/>
      <c r="L93" s="2"/>
      <c r="M93" s="52"/>
      <c r="N93" s="2"/>
      <c r="O93" s="2"/>
      <c r="P93" s="36"/>
      <c r="Q93" s="36"/>
      <c r="R93" s="36"/>
      <c r="S93" s="36"/>
      <c r="T93" s="36"/>
      <c r="U93" s="36"/>
      <c r="V93" s="36"/>
      <c r="W93" s="36"/>
      <c r="X93" s="36"/>
      <c r="Y93" s="36"/>
      <c r="Z93" s="36"/>
      <c r="AA93" s="36"/>
      <c r="AB93" s="2"/>
    </row>
    <row r="94" spans="1:28" ht="3.9" customHeight="1" x14ac:dyDescent="0.25">
      <c r="A94" s="149">
        <f>1</f>
        <v>1</v>
      </c>
      <c r="B94" s="131"/>
      <c r="C94" s="2"/>
      <c r="D94" s="2"/>
      <c r="E94" s="2"/>
      <c r="F94" s="2"/>
      <c r="G94" s="2"/>
      <c r="H94" s="2"/>
      <c r="I94" s="28"/>
      <c r="J94" s="2"/>
      <c r="K94" s="28"/>
      <c r="L94" s="2"/>
      <c r="M94" s="52"/>
      <c r="N94" s="2"/>
      <c r="O94" s="2"/>
      <c r="P94" s="36"/>
      <c r="Q94" s="36"/>
      <c r="R94" s="36"/>
      <c r="S94" s="36"/>
      <c r="T94" s="36"/>
      <c r="U94" s="36"/>
      <c r="V94" s="36"/>
      <c r="W94" s="36"/>
      <c r="X94" s="36"/>
      <c r="Y94" s="36"/>
      <c r="Z94" s="36"/>
      <c r="AA94" s="36"/>
      <c r="AB94" s="2"/>
    </row>
    <row r="95" spans="1:28" s="126" customFormat="1" x14ac:dyDescent="0.25">
      <c r="A95" s="149">
        <f>1</f>
        <v>1</v>
      </c>
      <c r="B95" s="132" t="str">
        <f>структура!$J$12</f>
        <v>ОСНО</v>
      </c>
      <c r="C95" s="123"/>
      <c r="D95" s="123"/>
      <c r="E95" s="130" t="str">
        <f>KPI!$E$82</f>
        <v>непредвиденные расходы</v>
      </c>
      <c r="F95" s="130"/>
      <c r="G95" s="130" t="str">
        <f>IF($E95="","",INDEX(KPI!$G:$G,SUMIFS(KPI!$B:$B,KPI!$E:$E,$E95)))</f>
        <v>тыс.руб.</v>
      </c>
      <c r="H95" s="130"/>
      <c r="I95" s="134"/>
      <c r="J95" s="130" t="str">
        <f>структура!$AL$21</f>
        <v>Без НДС</v>
      </c>
      <c r="K95" s="134"/>
      <c r="L95" s="130"/>
      <c r="M95" s="135">
        <f>SUM($O95:$AB95)</f>
        <v>3455.7241346153842</v>
      </c>
      <c r="N95" s="123"/>
      <c r="O95" s="123"/>
      <c r="P95" s="136">
        <f>IF(P$1="",0,IF(1+опер2!P$346=0,0,(опер2!P$329)/(1+опер2!P$346)))</f>
        <v>424.46356730769224</v>
      </c>
      <c r="Q95" s="136">
        <f>IF(Q$1="",0,IF(1+опер2!Q$346=0,0,(опер2!Q$329)/(1+опер2!Q$346)))</f>
        <v>440.29981730769236</v>
      </c>
      <c r="R95" s="136">
        <f>IF(R$1="",0,IF(1+опер2!R$346=0,0,(опер2!R$329)/(1+опер2!R$346)))</f>
        <v>464.79096153846143</v>
      </c>
      <c r="S95" s="136">
        <f>IF(S$1="",0,IF(1+опер2!S$346=0,0,(опер2!S$329)/(1+опер2!S$346)))</f>
        <v>479.89044230769224</v>
      </c>
      <c r="T95" s="136">
        <f>IF(T$1="",0,IF(1+опер2!T$346=0,0,(опер2!T$329)/(1+опер2!T$346)))</f>
        <v>503.64481730769228</v>
      </c>
      <c r="U95" s="136">
        <f>IF(U$1="",0,IF(1+опер2!U$346=0,0,(опер2!U$329)/(1+опер2!U$346)))</f>
        <v>543.23544230769232</v>
      </c>
      <c r="V95" s="136">
        <f>IF(V$1="",0,IF(1+опер2!V$346=0,0,(опер2!V$329)/(1+опер2!V$346)))</f>
        <v>599.39908653846135</v>
      </c>
      <c r="W95" s="136">
        <f>IF(W$1="",0,IF(1+опер2!W$346=0,0,(опер2!W$329)/(1+опер2!W$346)))</f>
        <v>0</v>
      </c>
      <c r="X95" s="136">
        <f>IF(X$1="",0,IF(1+опер2!X$346=0,0,(опер2!X$329)/(1+опер2!X$346)))</f>
        <v>0</v>
      </c>
      <c r="Y95" s="136">
        <f>IF(Y$1="",0,IF(1+опер2!Y$346=0,0,(опер2!Y$329)/(1+опер2!Y$346)))</f>
        <v>0</v>
      </c>
      <c r="Z95" s="136">
        <f>IF(Z$1="",0,IF(1+опер2!Z$346=0,0,(опер2!Z$329)/(1+опер2!Z$346)))</f>
        <v>0</v>
      </c>
      <c r="AA95" s="136">
        <f>IF(AA$1="",0,IF(1+опер2!AA$346=0,0,(опер2!AA$329)/(1+опер2!AA$346)))</f>
        <v>0</v>
      </c>
      <c r="AB95" s="123"/>
    </row>
    <row r="96" spans="1:28" s="126" customFormat="1" ht="3.9" customHeight="1" x14ac:dyDescent="0.25">
      <c r="A96" s="149">
        <f>1</f>
        <v>1</v>
      </c>
      <c r="B96" s="131"/>
      <c r="C96" s="123"/>
      <c r="D96" s="123"/>
      <c r="E96" s="123"/>
      <c r="F96" s="123"/>
      <c r="G96" s="123"/>
      <c r="H96" s="123"/>
      <c r="I96" s="124"/>
      <c r="J96" s="123"/>
      <c r="K96" s="124"/>
      <c r="L96" s="123"/>
      <c r="M96" s="125"/>
      <c r="N96" s="123"/>
      <c r="O96" s="123"/>
      <c r="P96" s="137"/>
      <c r="Q96" s="137"/>
      <c r="R96" s="137"/>
      <c r="S96" s="137"/>
      <c r="T96" s="137"/>
      <c r="U96" s="137"/>
      <c r="V96" s="137"/>
      <c r="W96" s="137"/>
      <c r="X96" s="137"/>
      <c r="Y96" s="137"/>
      <c r="Z96" s="137"/>
      <c r="AA96" s="137"/>
      <c r="AB96" s="123"/>
    </row>
    <row r="97" spans="1:28" s="126" customFormat="1" x14ac:dyDescent="0.25">
      <c r="A97" s="149">
        <f>1</f>
        <v>1</v>
      </c>
      <c r="B97" s="132" t="str">
        <f>структура!$J$13</f>
        <v>УСН(6%)</v>
      </c>
      <c r="C97" s="123"/>
      <c r="D97" s="123"/>
      <c r="E97" s="130" t="str">
        <f>E95</f>
        <v>непредвиденные расходы</v>
      </c>
      <c r="F97" s="130"/>
      <c r="G97" s="130" t="str">
        <f>IF($E97="","",INDEX(KPI!$G:$G,SUMIFS(KPI!$B:$B,KPI!$E:$E,$E97)))</f>
        <v>тыс.руб.</v>
      </c>
      <c r="H97" s="130"/>
      <c r="I97" s="134"/>
      <c r="J97" s="130" t="str">
        <f>структура!$AL$21</f>
        <v>Без НДС</v>
      </c>
      <c r="K97" s="134"/>
      <c r="L97" s="130"/>
      <c r="M97" s="135">
        <f>SUM($O97:$AB97)</f>
        <v>3455.7241346153842</v>
      </c>
      <c r="N97" s="123"/>
      <c r="O97" s="123"/>
      <c r="P97" s="136">
        <f>IF(P$1="",0,IF(1+опер2!P$346=0,0,(опер2!P$329)/(1+опер2!P$346)))</f>
        <v>424.46356730769224</v>
      </c>
      <c r="Q97" s="136">
        <f>IF(Q$1="",0,IF(1+опер2!Q$346=0,0,(опер2!Q$329)/(1+опер2!Q$346)))</f>
        <v>440.29981730769236</v>
      </c>
      <c r="R97" s="136">
        <f>IF(R$1="",0,IF(1+опер2!R$346=0,0,(опер2!R$329)/(1+опер2!R$346)))</f>
        <v>464.79096153846143</v>
      </c>
      <c r="S97" s="136">
        <f>IF(S$1="",0,IF(1+опер2!S$346=0,0,(опер2!S$329)/(1+опер2!S$346)))</f>
        <v>479.89044230769224</v>
      </c>
      <c r="T97" s="136">
        <f>IF(T$1="",0,IF(1+опер2!T$346=0,0,(опер2!T$329)/(1+опер2!T$346)))</f>
        <v>503.64481730769228</v>
      </c>
      <c r="U97" s="136">
        <f>IF(U$1="",0,IF(1+опер2!U$346=0,0,(опер2!U$329)/(1+опер2!U$346)))</f>
        <v>543.23544230769232</v>
      </c>
      <c r="V97" s="136">
        <f>IF(V$1="",0,IF(1+опер2!V$346=0,0,(опер2!V$329)/(1+опер2!V$346)))</f>
        <v>599.39908653846135</v>
      </c>
      <c r="W97" s="136">
        <f>IF(W$1="",0,IF(1+опер2!W$346=0,0,(опер2!W$329)/(1+опер2!W$346)))</f>
        <v>0</v>
      </c>
      <c r="X97" s="136">
        <f>IF(X$1="",0,IF(1+опер2!X$346=0,0,(опер2!X$329)/(1+опер2!X$346)))</f>
        <v>0</v>
      </c>
      <c r="Y97" s="136">
        <f>IF(Y$1="",0,IF(1+опер2!Y$346=0,0,(опер2!Y$329)/(1+опер2!Y$346)))</f>
        <v>0</v>
      </c>
      <c r="Z97" s="136">
        <f>IF(Z$1="",0,IF(1+опер2!Z$346=0,0,(опер2!Z$329)/(1+опер2!Z$346)))</f>
        <v>0</v>
      </c>
      <c r="AA97" s="136">
        <f>IF(AA$1="",0,IF(1+опер2!AA$346=0,0,(опер2!AA$329)/(1+опер2!AA$346)))</f>
        <v>0</v>
      </c>
      <c r="AB97" s="123"/>
    </row>
    <row r="98" spans="1:28" s="126" customFormat="1" ht="3.9" customHeight="1" x14ac:dyDescent="0.25">
      <c r="A98" s="149">
        <f>1</f>
        <v>1</v>
      </c>
      <c r="B98" s="131"/>
      <c r="C98" s="123"/>
      <c r="D98" s="123"/>
      <c r="E98" s="123"/>
      <c r="F98" s="123"/>
      <c r="G98" s="123"/>
      <c r="H98" s="123"/>
      <c r="I98" s="124"/>
      <c r="J98" s="123"/>
      <c r="K98" s="124"/>
      <c r="L98" s="123"/>
      <c r="M98" s="125"/>
      <c r="N98" s="123"/>
      <c r="O98" s="123"/>
      <c r="P98" s="137"/>
      <c r="Q98" s="137"/>
      <c r="R98" s="137"/>
      <c r="S98" s="137"/>
      <c r="T98" s="137"/>
      <c r="U98" s="137"/>
      <c r="V98" s="137"/>
      <c r="W98" s="137"/>
      <c r="X98" s="137"/>
      <c r="Y98" s="137"/>
      <c r="Z98" s="137"/>
      <c r="AA98" s="137"/>
      <c r="AB98" s="123"/>
    </row>
    <row r="99" spans="1:28" s="126" customFormat="1" x14ac:dyDescent="0.25">
      <c r="A99" s="149">
        <f>1</f>
        <v>1</v>
      </c>
      <c r="B99" s="132" t="str">
        <f>структура!$J$14</f>
        <v>УСН(15%)</v>
      </c>
      <c r="C99" s="123"/>
      <c r="D99" s="123"/>
      <c r="E99" s="130" t="str">
        <f>E95</f>
        <v>непредвиденные расходы</v>
      </c>
      <c r="F99" s="130"/>
      <c r="G99" s="130" t="str">
        <f>IF($E99="","",INDEX(KPI!$G:$G,SUMIFS(KPI!$B:$B,KPI!$E:$E,$E99)))</f>
        <v>тыс.руб.</v>
      </c>
      <c r="H99" s="130"/>
      <c r="I99" s="134"/>
      <c r="J99" s="130" t="str">
        <f>структура!$AL$21</f>
        <v>Без НДС</v>
      </c>
      <c r="K99" s="134"/>
      <c r="L99" s="130"/>
      <c r="M99" s="135">
        <f>SUM($O99:$AB99)</f>
        <v>3455.7241346153842</v>
      </c>
      <c r="N99" s="123"/>
      <c r="O99" s="123"/>
      <c r="P99" s="136">
        <f>IF(P$1="",0,IF(1+опер2!P$346=0,0,(опер2!P$329)/(1+опер2!P$346)))</f>
        <v>424.46356730769224</v>
      </c>
      <c r="Q99" s="136">
        <f>IF(Q$1="",0,IF(1+опер2!Q$346=0,0,(опер2!Q$329)/(1+опер2!Q$346)))</f>
        <v>440.29981730769236</v>
      </c>
      <c r="R99" s="136">
        <f>IF(R$1="",0,IF(1+опер2!R$346=0,0,(опер2!R$329)/(1+опер2!R$346)))</f>
        <v>464.79096153846143</v>
      </c>
      <c r="S99" s="136">
        <f>IF(S$1="",0,IF(1+опер2!S$346=0,0,(опер2!S$329)/(1+опер2!S$346)))</f>
        <v>479.89044230769224</v>
      </c>
      <c r="T99" s="136">
        <f>IF(T$1="",0,IF(1+опер2!T$346=0,0,(опер2!T$329)/(1+опер2!T$346)))</f>
        <v>503.64481730769228</v>
      </c>
      <c r="U99" s="136">
        <f>IF(U$1="",0,IF(1+опер2!U$346=0,0,(опер2!U$329)/(1+опер2!U$346)))</f>
        <v>543.23544230769232</v>
      </c>
      <c r="V99" s="136">
        <f>IF(V$1="",0,IF(1+опер2!V$346=0,0,(опер2!V$329)/(1+опер2!V$346)))</f>
        <v>599.39908653846135</v>
      </c>
      <c r="W99" s="136">
        <f>IF(W$1="",0,IF(1+опер2!W$346=0,0,(опер2!W$329)/(1+опер2!W$346)))</f>
        <v>0</v>
      </c>
      <c r="X99" s="136">
        <f>IF(X$1="",0,IF(1+опер2!X$346=0,0,(опер2!X$329)/(1+опер2!X$346)))</f>
        <v>0</v>
      </c>
      <c r="Y99" s="136">
        <f>IF(Y$1="",0,IF(1+опер2!Y$346=0,0,(опер2!Y$329)/(1+опер2!Y$346)))</f>
        <v>0</v>
      </c>
      <c r="Z99" s="136">
        <f>IF(Z$1="",0,IF(1+опер2!Z$346=0,0,(опер2!Z$329)/(1+опер2!Z$346)))</f>
        <v>0</v>
      </c>
      <c r="AA99" s="136">
        <f>IF(AA$1="",0,IF(1+опер2!AA$346=0,0,(опер2!AA$329)/(1+опер2!AA$346)))</f>
        <v>0</v>
      </c>
      <c r="AB99" s="123"/>
    </row>
    <row r="100" spans="1:28" s="126" customFormat="1" ht="3.9" customHeight="1" x14ac:dyDescent="0.25">
      <c r="A100" s="149">
        <f>1</f>
        <v>1</v>
      </c>
      <c r="B100" s="131"/>
      <c r="C100" s="123"/>
      <c r="D100" s="123"/>
      <c r="E100" s="123"/>
      <c r="F100" s="123"/>
      <c r="G100" s="123"/>
      <c r="H100" s="123"/>
      <c r="I100" s="124"/>
      <c r="J100" s="123"/>
      <c r="K100" s="124"/>
      <c r="L100" s="123"/>
      <c r="M100" s="125"/>
      <c r="N100" s="123"/>
      <c r="O100" s="123"/>
      <c r="P100" s="137"/>
      <c r="Q100" s="137"/>
      <c r="R100" s="137"/>
      <c r="S100" s="137"/>
      <c r="T100" s="137"/>
      <c r="U100" s="137"/>
      <c r="V100" s="137"/>
      <c r="W100" s="137"/>
      <c r="X100" s="137"/>
      <c r="Y100" s="137"/>
      <c r="Z100" s="137"/>
      <c r="AA100" s="137"/>
      <c r="AB100" s="123"/>
    </row>
    <row r="101" spans="1:28" s="126" customFormat="1" x14ac:dyDescent="0.25">
      <c r="A101" s="149">
        <f>1</f>
        <v>1</v>
      </c>
      <c r="B101" s="132" t="str">
        <f>структура!$J$15</f>
        <v>УСН(6%)-ИП</v>
      </c>
      <c r="C101" s="123"/>
      <c r="D101" s="123"/>
      <c r="E101" s="130" t="str">
        <f>E95</f>
        <v>непредвиденные расходы</v>
      </c>
      <c r="F101" s="130"/>
      <c r="G101" s="130" t="str">
        <f>IF($E101="","",INDEX(KPI!$G:$G,SUMIFS(KPI!$B:$B,KPI!$E:$E,$E101)))</f>
        <v>тыс.руб.</v>
      </c>
      <c r="H101" s="130"/>
      <c r="I101" s="134"/>
      <c r="J101" s="130" t="str">
        <f>структура!$AL$21</f>
        <v>Без НДС</v>
      </c>
      <c r="K101" s="134"/>
      <c r="L101" s="130"/>
      <c r="M101" s="135">
        <f>SUM($O101:$AB101)</f>
        <v>3455.7241346153842</v>
      </c>
      <c r="N101" s="123"/>
      <c r="O101" s="123"/>
      <c r="P101" s="136">
        <f>IF(P$1="",0,IF(1+опер2!P$346=0,0,(опер2!P$329)/(1+опер2!P$346)))</f>
        <v>424.46356730769224</v>
      </c>
      <c r="Q101" s="136">
        <f>IF(Q$1="",0,IF(1+опер2!Q$346=0,0,(опер2!Q$329)/(1+опер2!Q$346)))</f>
        <v>440.29981730769236</v>
      </c>
      <c r="R101" s="136">
        <f>IF(R$1="",0,IF(1+опер2!R$346=0,0,(опер2!R$329)/(1+опер2!R$346)))</f>
        <v>464.79096153846143</v>
      </c>
      <c r="S101" s="136">
        <f>IF(S$1="",0,IF(1+опер2!S$346=0,0,(опер2!S$329)/(1+опер2!S$346)))</f>
        <v>479.89044230769224</v>
      </c>
      <c r="T101" s="136">
        <f>IF(T$1="",0,IF(1+опер2!T$346=0,0,(опер2!T$329)/(1+опер2!T$346)))</f>
        <v>503.64481730769228</v>
      </c>
      <c r="U101" s="136">
        <f>IF(U$1="",0,IF(1+опер2!U$346=0,0,(опер2!U$329)/(1+опер2!U$346)))</f>
        <v>543.23544230769232</v>
      </c>
      <c r="V101" s="136">
        <f>IF(V$1="",0,IF(1+опер2!V$346=0,0,(опер2!V$329)/(1+опер2!V$346)))</f>
        <v>599.39908653846135</v>
      </c>
      <c r="W101" s="136">
        <f>IF(W$1="",0,IF(1+опер2!W$346=0,0,(опер2!W$329)/(1+опер2!W$346)))</f>
        <v>0</v>
      </c>
      <c r="X101" s="136">
        <f>IF(X$1="",0,IF(1+опер2!X$346=0,0,(опер2!X$329)/(1+опер2!X$346)))</f>
        <v>0</v>
      </c>
      <c r="Y101" s="136">
        <f>IF(Y$1="",0,IF(1+опер2!Y$346=0,0,(опер2!Y$329)/(1+опер2!Y$346)))</f>
        <v>0</v>
      </c>
      <c r="Z101" s="136">
        <f>IF(Z$1="",0,IF(1+опер2!Z$346=0,0,(опер2!Z$329)/(1+опер2!Z$346)))</f>
        <v>0</v>
      </c>
      <c r="AA101" s="136">
        <f>IF(AA$1="",0,IF(1+опер2!AA$346=0,0,(опер2!AA$329)/(1+опер2!AA$346)))</f>
        <v>0</v>
      </c>
      <c r="AB101" s="123"/>
    </row>
    <row r="102" spans="1:28" ht="3.9" customHeight="1" x14ac:dyDescent="0.25">
      <c r="A102" s="149">
        <f>1</f>
        <v>1</v>
      </c>
      <c r="B102" s="131"/>
      <c r="C102" s="2"/>
      <c r="D102" s="2"/>
      <c r="E102" s="2"/>
      <c r="F102" s="2"/>
      <c r="G102" s="2"/>
      <c r="H102" s="2"/>
      <c r="I102" s="28"/>
      <c r="J102" s="2"/>
      <c r="K102" s="28"/>
      <c r="L102" s="2"/>
      <c r="M102" s="52"/>
      <c r="N102" s="2"/>
      <c r="O102" s="2"/>
      <c r="P102" s="36"/>
      <c r="Q102" s="36"/>
      <c r="R102" s="36"/>
      <c r="S102" s="36"/>
      <c r="T102" s="36"/>
      <c r="U102" s="36"/>
      <c r="V102" s="36"/>
      <c r="W102" s="36"/>
      <c r="X102" s="36"/>
      <c r="Y102" s="36"/>
      <c r="Z102" s="36"/>
      <c r="AA102" s="36"/>
      <c r="AB102" s="2"/>
    </row>
    <row r="103" spans="1:28" ht="8.1" customHeight="1" x14ac:dyDescent="0.25">
      <c r="A103" s="149">
        <f>1</f>
        <v>1</v>
      </c>
      <c r="B103" s="131"/>
      <c r="C103" s="2"/>
      <c r="D103" s="2"/>
      <c r="E103" s="2"/>
      <c r="F103" s="2"/>
      <c r="G103" s="2"/>
      <c r="H103" s="2"/>
      <c r="I103" s="28"/>
      <c r="J103" s="2"/>
      <c r="K103" s="28"/>
      <c r="L103" s="2"/>
      <c r="M103" s="52"/>
      <c r="N103" s="2"/>
      <c r="O103" s="2"/>
      <c r="P103" s="36"/>
      <c r="Q103" s="36"/>
      <c r="R103" s="36"/>
      <c r="S103" s="36"/>
      <c r="T103" s="36"/>
      <c r="U103" s="36"/>
      <c r="V103" s="36"/>
      <c r="W103" s="36"/>
      <c r="X103" s="36"/>
      <c r="Y103" s="36"/>
      <c r="Z103" s="36"/>
      <c r="AA103" s="36"/>
      <c r="AB103" s="2"/>
    </row>
    <row r="104" spans="1:28" ht="3.9" customHeight="1" x14ac:dyDescent="0.25">
      <c r="A104" s="149">
        <f>1</f>
        <v>1</v>
      </c>
      <c r="B104" s="131"/>
      <c r="C104" s="2"/>
      <c r="D104" s="2"/>
      <c r="E104" s="2"/>
      <c r="F104" s="2"/>
      <c r="G104" s="2"/>
      <c r="H104" s="2"/>
      <c r="I104" s="28"/>
      <c r="J104" s="2"/>
      <c r="K104" s="28"/>
      <c r="L104" s="2"/>
      <c r="M104" s="52"/>
      <c r="N104" s="2"/>
      <c r="O104" s="2"/>
      <c r="P104" s="36"/>
      <c r="Q104" s="36"/>
      <c r="R104" s="36"/>
      <c r="S104" s="36"/>
      <c r="T104" s="36"/>
      <c r="U104" s="36"/>
      <c r="V104" s="36"/>
      <c r="W104" s="36"/>
      <c r="X104" s="36"/>
      <c r="Y104" s="36"/>
      <c r="Z104" s="36"/>
      <c r="AA104" s="36"/>
      <c r="AB104" s="2"/>
    </row>
    <row r="105" spans="1:28" s="126" customFormat="1" x14ac:dyDescent="0.25">
      <c r="A105" s="149">
        <f>1</f>
        <v>1</v>
      </c>
      <c r="B105" s="132" t="str">
        <f>структура!$J$12</f>
        <v>ОСНО</v>
      </c>
      <c r="C105" s="123"/>
      <c r="D105" s="123"/>
      <c r="E105" s="130" t="str">
        <f>KPI!$E$83</f>
        <v>расходный НДС</v>
      </c>
      <c r="F105" s="130"/>
      <c r="G105" s="130" t="str">
        <f>IF($E105="","",INDEX(KPI!$G:$G,SUMIFS(KPI!$B:$B,KPI!$E:$E,$E105)))</f>
        <v>тыс.руб.</v>
      </c>
      <c r="H105" s="130"/>
      <c r="I105" s="134"/>
      <c r="J105" s="145" t="str">
        <f>структура!$AL$21</f>
        <v>Без НДС</v>
      </c>
      <c r="K105" s="134"/>
      <c r="L105" s="130"/>
      <c r="M105" s="135">
        <f>SUM($O105:$AB105)</f>
        <v>0</v>
      </c>
      <c r="N105" s="123"/>
      <c r="O105" s="123"/>
      <c r="P105" s="136">
        <f>IF(P$1="",0,0)</f>
        <v>0</v>
      </c>
      <c r="Q105" s="136">
        <f t="shared" ref="Q105:AA105" si="1">IF(Q$1="",0,0)</f>
        <v>0</v>
      </c>
      <c r="R105" s="136">
        <f t="shared" si="1"/>
        <v>0</v>
      </c>
      <c r="S105" s="136">
        <f t="shared" si="1"/>
        <v>0</v>
      </c>
      <c r="T105" s="136">
        <f t="shared" si="1"/>
        <v>0</v>
      </c>
      <c r="U105" s="136">
        <f t="shared" si="1"/>
        <v>0</v>
      </c>
      <c r="V105" s="136">
        <f t="shared" si="1"/>
        <v>0</v>
      </c>
      <c r="W105" s="136">
        <f t="shared" si="1"/>
        <v>0</v>
      </c>
      <c r="X105" s="136">
        <f t="shared" si="1"/>
        <v>0</v>
      </c>
      <c r="Y105" s="136">
        <f t="shared" si="1"/>
        <v>0</v>
      </c>
      <c r="Z105" s="136">
        <f t="shared" si="1"/>
        <v>0</v>
      </c>
      <c r="AA105" s="136">
        <f t="shared" si="1"/>
        <v>0</v>
      </c>
      <c r="AB105" s="123"/>
    </row>
    <row r="106" spans="1:28" s="126" customFormat="1" ht="3.9" customHeight="1" x14ac:dyDescent="0.25">
      <c r="A106" s="149">
        <f>1</f>
        <v>1</v>
      </c>
      <c r="B106" s="131"/>
      <c r="C106" s="123"/>
      <c r="D106" s="123"/>
      <c r="E106" s="123"/>
      <c r="F106" s="123"/>
      <c r="G106" s="123"/>
      <c r="H106" s="123"/>
      <c r="I106" s="124"/>
      <c r="J106" s="123"/>
      <c r="K106" s="124"/>
      <c r="L106" s="123"/>
      <c r="M106" s="125"/>
      <c r="N106" s="123"/>
      <c r="O106" s="123"/>
      <c r="P106" s="137"/>
      <c r="Q106" s="137"/>
      <c r="R106" s="137"/>
      <c r="S106" s="137"/>
      <c r="T106" s="137"/>
      <c r="U106" s="137"/>
      <c r="V106" s="137"/>
      <c r="W106" s="137"/>
      <c r="X106" s="137"/>
      <c r="Y106" s="137"/>
      <c r="Z106" s="137"/>
      <c r="AA106" s="137"/>
      <c r="AB106" s="123"/>
    </row>
    <row r="107" spans="1:28" s="126" customFormat="1" x14ac:dyDescent="0.25">
      <c r="A107" s="149">
        <f>1</f>
        <v>1</v>
      </c>
      <c r="B107" s="132" t="str">
        <f>структура!$J$13</f>
        <v>УСН(6%)</v>
      </c>
      <c r="C107" s="123"/>
      <c r="D107" s="123"/>
      <c r="E107" s="130" t="str">
        <f>E105</f>
        <v>расходный НДС</v>
      </c>
      <c r="F107" s="130"/>
      <c r="G107" s="130" t="str">
        <f>IF($E107="","",INDEX(KPI!$G:$G,SUMIFS(KPI!$B:$B,KPI!$E:$E,$E107)))</f>
        <v>тыс.руб.</v>
      </c>
      <c r="H107" s="130"/>
      <c r="I107" s="134"/>
      <c r="J107" s="145" t="str">
        <f>структура!$AL$21</f>
        <v>Без НДС</v>
      </c>
      <c r="K107" s="134"/>
      <c r="L107" s="130"/>
      <c r="M107" s="135">
        <f>SUM($O107:$AB107)</f>
        <v>6464.230537551005</v>
      </c>
      <c r="N107" s="123"/>
      <c r="O107" s="123"/>
      <c r="P107" s="136">
        <f>IF(P$1="",0,SUMIFS(P$34:P106,$J$34:$J106,$J107,$B$34:$B106,$B107)*опер2!$P$346)</f>
        <v>903.54027167395316</v>
      </c>
      <c r="Q107" s="136">
        <f>IF(Q$1="",0,SUMIFS(Q$34:Q106,$J$34:$J106,$J107,$B$34:$B106,$B107)*опер2!$P$346)</f>
        <v>919.37652167395299</v>
      </c>
      <c r="R107" s="136">
        <f>IF(R$1="",0,SUMIFS(R$34:R106,$J$34:$J106,$J107,$B$34:$B106,$B107)*опер2!$P$346)</f>
        <v>913.02636180215814</v>
      </c>
      <c r="S107" s="136">
        <f>IF(S$1="",0,SUMIFS(S$34:S106,$J$34:$J106,$J107,$B$34:$B106,$B107)*опер2!$P$346)</f>
        <v>894.9817543662607</v>
      </c>
      <c r="T107" s="136">
        <f>IF(T$1="",0,SUMIFS(T$34:T106,$J$34:$J106,$J107,$B$34:$B106,$B107)*опер2!$P$346)</f>
        <v>915.56887936626083</v>
      </c>
      <c r="U107" s="136">
        <f>IF(U$1="",0,SUMIFS(U$34:U106,$J$34:$J106,$J107,$B$34:$B106,$B107)*опер2!$P$346)</f>
        <v>939.0160455201069</v>
      </c>
      <c r="V107" s="136">
        <f>IF(V$1="",0,SUMIFS(V$34:V106,$J$34:$J106,$J107,$B$34:$B106,$B107)*опер2!$P$346)</f>
        <v>978.72070314831183</v>
      </c>
      <c r="W107" s="136">
        <f>IF(W$1="",0,SUMIFS(W$34:W106,$J$34:$J106,$J107,$B$34:$B106,$B107)*опер2!$P$346)</f>
        <v>0</v>
      </c>
      <c r="X107" s="136">
        <f>IF(X$1="",0,SUMIFS(X$34:X106,$J$34:$J106,$J107,$B$34:$B106,$B107)*опер2!$P$346)</f>
        <v>0</v>
      </c>
      <c r="Y107" s="136">
        <f>IF(Y$1="",0,SUMIFS(Y$34:Y106,$J$34:$J106,$J107,$B$34:$B106,$B107)*опер2!$P$346)</f>
        <v>0</v>
      </c>
      <c r="Z107" s="136">
        <f>IF(Z$1="",0,SUMIFS(Z$34:Z106,$J$34:$J106,$J107,$B$34:$B106,$B107)*опер2!$P$346)</f>
        <v>0</v>
      </c>
      <c r="AA107" s="136">
        <f>IF(AA$1="",0,SUMIFS(AA$34:AA106,$J$34:$J106,$J107,$B$34:$B106,$B107)*опер2!$P$346)</f>
        <v>0</v>
      </c>
      <c r="AB107" s="123"/>
    </row>
    <row r="108" spans="1:28" s="126" customFormat="1" ht="3.9" customHeight="1" x14ac:dyDescent="0.25">
      <c r="A108" s="149">
        <f>1</f>
        <v>1</v>
      </c>
      <c r="B108" s="131"/>
      <c r="C108" s="123"/>
      <c r="D108" s="123"/>
      <c r="E108" s="123"/>
      <c r="F108" s="123"/>
      <c r="G108" s="123"/>
      <c r="H108" s="123"/>
      <c r="I108" s="124"/>
      <c r="J108" s="123"/>
      <c r="K108" s="124"/>
      <c r="L108" s="123"/>
      <c r="M108" s="125"/>
      <c r="N108" s="123"/>
      <c r="O108" s="123"/>
      <c r="P108" s="137"/>
      <c r="Q108" s="137"/>
      <c r="R108" s="137"/>
      <c r="S108" s="137"/>
      <c r="T108" s="137"/>
      <c r="U108" s="137"/>
      <c r="V108" s="137"/>
      <c r="W108" s="137"/>
      <c r="X108" s="137"/>
      <c r="Y108" s="137"/>
      <c r="Z108" s="137"/>
      <c r="AA108" s="137"/>
      <c r="AB108" s="123"/>
    </row>
    <row r="109" spans="1:28" s="126" customFormat="1" x14ac:dyDescent="0.25">
      <c r="A109" s="149">
        <f>1</f>
        <v>1</v>
      </c>
      <c r="B109" s="132" t="str">
        <f>структура!$J$14</f>
        <v>УСН(15%)</v>
      </c>
      <c r="C109" s="123"/>
      <c r="D109" s="123"/>
      <c r="E109" s="130" t="str">
        <f>E105</f>
        <v>расходный НДС</v>
      </c>
      <c r="F109" s="130"/>
      <c r="G109" s="130" t="str">
        <f>IF($E109="","",INDEX(KPI!$G:$G,SUMIFS(KPI!$B:$B,KPI!$E:$E,$E109)))</f>
        <v>тыс.руб.</v>
      </c>
      <c r="H109" s="130"/>
      <c r="I109" s="134"/>
      <c r="J109" s="145" t="str">
        <f>структура!$AL$21</f>
        <v>Без НДС</v>
      </c>
      <c r="K109" s="134"/>
      <c r="L109" s="130"/>
      <c r="M109" s="135">
        <f>SUM($O109:$AB109)</f>
        <v>6464.230537551005</v>
      </c>
      <c r="N109" s="123"/>
      <c r="O109" s="123"/>
      <c r="P109" s="136">
        <f>IF(P$1="",0,SUMIFS(P$34:P108,$J$34:$J108,$J109,$B$34:$B108,$B109)*опер2!$P$346)</f>
        <v>903.54027167395316</v>
      </c>
      <c r="Q109" s="136">
        <f>IF(Q$1="",0,SUMIFS(Q$34:Q108,$J$34:$J108,$J109,$B$34:$B108,$B109)*опер2!$P$346)</f>
        <v>919.37652167395299</v>
      </c>
      <c r="R109" s="136">
        <f>IF(R$1="",0,SUMIFS(R$34:R108,$J$34:$J108,$J109,$B$34:$B108,$B109)*опер2!$P$346)</f>
        <v>913.02636180215814</v>
      </c>
      <c r="S109" s="136">
        <f>IF(S$1="",0,SUMIFS(S$34:S108,$J$34:$J108,$J109,$B$34:$B108,$B109)*опер2!$P$346)</f>
        <v>894.9817543662607</v>
      </c>
      <c r="T109" s="136">
        <f>IF(T$1="",0,SUMIFS(T$34:T108,$J$34:$J108,$J109,$B$34:$B108,$B109)*опер2!$P$346)</f>
        <v>915.56887936626083</v>
      </c>
      <c r="U109" s="136">
        <f>IF(U$1="",0,SUMIFS(U$34:U108,$J$34:$J108,$J109,$B$34:$B108,$B109)*опер2!$P$346)</f>
        <v>939.0160455201069</v>
      </c>
      <c r="V109" s="136">
        <f>IF(V$1="",0,SUMIFS(V$34:V108,$J$34:$J108,$J109,$B$34:$B108,$B109)*опер2!$P$346)</f>
        <v>978.72070314831183</v>
      </c>
      <c r="W109" s="136">
        <f>IF(W$1="",0,SUMIFS(W$34:W108,$J$34:$J108,$J109,$B$34:$B108,$B109)*опер2!$P$346)</f>
        <v>0</v>
      </c>
      <c r="X109" s="136">
        <f>IF(X$1="",0,SUMIFS(X$34:X108,$J$34:$J108,$J109,$B$34:$B108,$B109)*опер2!$P$346)</f>
        <v>0</v>
      </c>
      <c r="Y109" s="136">
        <f>IF(Y$1="",0,SUMIFS(Y$34:Y108,$J$34:$J108,$J109,$B$34:$B108,$B109)*опер2!$P$346)</f>
        <v>0</v>
      </c>
      <c r="Z109" s="136">
        <f>IF(Z$1="",0,SUMIFS(Z$34:Z108,$J$34:$J108,$J109,$B$34:$B108,$B109)*опер2!$P$346)</f>
        <v>0</v>
      </c>
      <c r="AA109" s="136">
        <f>IF(AA$1="",0,SUMIFS(AA$34:AA108,$J$34:$J108,$J109,$B$34:$B108,$B109)*опер2!$P$346)</f>
        <v>0</v>
      </c>
      <c r="AB109" s="123"/>
    </row>
    <row r="110" spans="1:28" s="126" customFormat="1" ht="3.9" customHeight="1" x14ac:dyDescent="0.25">
      <c r="A110" s="149">
        <f>1</f>
        <v>1</v>
      </c>
      <c r="B110" s="131"/>
      <c r="C110" s="123"/>
      <c r="D110" s="123"/>
      <c r="E110" s="123"/>
      <c r="F110" s="123"/>
      <c r="G110" s="123"/>
      <c r="H110" s="123"/>
      <c r="I110" s="124"/>
      <c r="J110" s="123"/>
      <c r="K110" s="124"/>
      <c r="L110" s="123"/>
      <c r="M110" s="125"/>
      <c r="N110" s="123"/>
      <c r="O110" s="123"/>
      <c r="P110" s="137"/>
      <c r="Q110" s="137"/>
      <c r="R110" s="137"/>
      <c r="S110" s="137"/>
      <c r="T110" s="137"/>
      <c r="U110" s="137"/>
      <c r="V110" s="137"/>
      <c r="W110" s="137"/>
      <c r="X110" s="137"/>
      <c r="Y110" s="137"/>
      <c r="Z110" s="137"/>
      <c r="AA110" s="137"/>
      <c r="AB110" s="123"/>
    </row>
    <row r="111" spans="1:28" s="126" customFormat="1" x14ac:dyDescent="0.25">
      <c r="A111" s="149">
        <f>1</f>
        <v>1</v>
      </c>
      <c r="B111" s="132" t="str">
        <f>структура!$J$15</f>
        <v>УСН(6%)-ИП</v>
      </c>
      <c r="C111" s="123"/>
      <c r="D111" s="123"/>
      <c r="E111" s="130" t="str">
        <f>E105</f>
        <v>расходный НДС</v>
      </c>
      <c r="F111" s="130"/>
      <c r="G111" s="130" t="str">
        <f>IF($E111="","",INDEX(KPI!$G:$G,SUMIFS(KPI!$B:$B,KPI!$E:$E,$E111)))</f>
        <v>тыс.руб.</v>
      </c>
      <c r="H111" s="130"/>
      <c r="I111" s="134"/>
      <c r="J111" s="145" t="str">
        <f>структура!$AL$21</f>
        <v>Без НДС</v>
      </c>
      <c r="K111" s="134"/>
      <c r="L111" s="130"/>
      <c r="M111" s="135">
        <f>SUM($O111:$AB111)</f>
        <v>6464.230537551005</v>
      </c>
      <c r="N111" s="123"/>
      <c r="O111" s="123"/>
      <c r="P111" s="136">
        <f>IF(P$1="",0,SUMIFS(P$34:P110,$J$34:$J110,$J111,$B$34:$B110,$B111)*опер2!$P$346)</f>
        <v>903.54027167395316</v>
      </c>
      <c r="Q111" s="136">
        <f>IF(Q$1="",0,SUMIFS(Q$34:Q110,$J$34:$J110,$J111,$B$34:$B110,$B111)*опер2!$P$346)</f>
        <v>919.37652167395299</v>
      </c>
      <c r="R111" s="136">
        <f>IF(R$1="",0,SUMIFS(R$34:R110,$J$34:$J110,$J111,$B$34:$B110,$B111)*опер2!$P$346)</f>
        <v>913.02636180215814</v>
      </c>
      <c r="S111" s="136">
        <f>IF(S$1="",0,SUMIFS(S$34:S110,$J$34:$J110,$J111,$B$34:$B110,$B111)*опер2!$P$346)</f>
        <v>894.9817543662607</v>
      </c>
      <c r="T111" s="136">
        <f>IF(T$1="",0,SUMIFS(T$34:T110,$J$34:$J110,$J111,$B$34:$B110,$B111)*опер2!$P$346)</f>
        <v>915.56887936626083</v>
      </c>
      <c r="U111" s="136">
        <f>IF(U$1="",0,SUMIFS(U$34:U110,$J$34:$J110,$J111,$B$34:$B110,$B111)*опер2!$P$346)</f>
        <v>939.0160455201069</v>
      </c>
      <c r="V111" s="136">
        <f>IF(V$1="",0,SUMIFS(V$34:V110,$J$34:$J110,$J111,$B$34:$B110,$B111)*опер2!$P$346)</f>
        <v>978.72070314831183</v>
      </c>
      <c r="W111" s="136">
        <f>IF(W$1="",0,SUMIFS(W$34:W110,$J$34:$J110,$J111,$B$34:$B110,$B111)*опер2!$P$346)</f>
        <v>0</v>
      </c>
      <c r="X111" s="136">
        <f>IF(X$1="",0,SUMIFS(X$34:X110,$J$34:$J110,$J111,$B$34:$B110,$B111)*опер2!$P$346)</f>
        <v>0</v>
      </c>
      <c r="Y111" s="136">
        <f>IF(Y$1="",0,SUMIFS(Y$34:Y110,$J$34:$J110,$J111,$B$34:$B110,$B111)*опер2!$P$346)</f>
        <v>0</v>
      </c>
      <c r="Z111" s="136">
        <f>IF(Z$1="",0,SUMIFS(Z$34:Z110,$J$34:$J110,$J111,$B$34:$B110,$B111)*опер2!$P$346)</f>
        <v>0</v>
      </c>
      <c r="AA111" s="136">
        <f>IF(AA$1="",0,SUMIFS(AA$34:AA110,$J$34:$J110,$J111,$B$34:$B110,$B111)*опер2!$P$346)</f>
        <v>0</v>
      </c>
      <c r="AB111" s="123"/>
    </row>
    <row r="112" spans="1:28" ht="3.9" customHeight="1" x14ac:dyDescent="0.25">
      <c r="A112" s="149">
        <f>1</f>
        <v>1</v>
      </c>
      <c r="B112" s="131"/>
      <c r="C112" s="2"/>
      <c r="D112" s="2"/>
      <c r="E112" s="2"/>
      <c r="F112" s="2"/>
      <c r="G112" s="2"/>
      <c r="H112" s="2"/>
      <c r="I112" s="28"/>
      <c r="J112" s="2"/>
      <c r="K112" s="28"/>
      <c r="L112" s="2"/>
      <c r="M112" s="52"/>
      <c r="N112" s="2"/>
      <c r="O112" s="2"/>
      <c r="P112" s="36"/>
      <c r="Q112" s="36"/>
      <c r="R112" s="36"/>
      <c r="S112" s="36"/>
      <c r="T112" s="36"/>
      <c r="U112" s="36"/>
      <c r="V112" s="36"/>
      <c r="W112" s="36"/>
      <c r="X112" s="36"/>
      <c r="Y112" s="36"/>
      <c r="Z112" s="36"/>
      <c r="AA112" s="36"/>
      <c r="AB112" s="2"/>
    </row>
    <row r="113" spans="1:28" ht="8.1" customHeight="1" x14ac:dyDescent="0.25">
      <c r="A113" s="149">
        <f>1</f>
        <v>1</v>
      </c>
      <c r="B113" s="131"/>
      <c r="C113" s="2"/>
      <c r="D113" s="2"/>
      <c r="E113" s="2"/>
      <c r="F113" s="2"/>
      <c r="G113" s="2"/>
      <c r="H113" s="2"/>
      <c r="I113" s="28"/>
      <c r="J113" s="2"/>
      <c r="K113" s="28"/>
      <c r="L113" s="2"/>
      <c r="M113" s="52"/>
      <c r="N113" s="2"/>
      <c r="O113" s="2"/>
      <c r="P113" s="36"/>
      <c r="Q113" s="36"/>
      <c r="R113" s="36"/>
      <c r="S113" s="36"/>
      <c r="T113" s="36"/>
      <c r="U113" s="36"/>
      <c r="V113" s="36"/>
      <c r="W113" s="36"/>
      <c r="X113" s="36"/>
      <c r="Y113" s="36"/>
      <c r="Z113" s="36"/>
      <c r="AA113" s="36"/>
      <c r="AB113" s="2"/>
    </row>
    <row r="114" spans="1:28" ht="3.9" customHeight="1" x14ac:dyDescent="0.25">
      <c r="A114" s="149">
        <f>1</f>
        <v>1</v>
      </c>
      <c r="B114" s="131"/>
      <c r="C114" s="2"/>
      <c r="D114" s="2"/>
      <c r="E114" s="118"/>
      <c r="F114" s="2"/>
      <c r="G114" s="118"/>
      <c r="H114" s="2"/>
      <c r="I114" s="28"/>
      <c r="J114" s="2"/>
      <c r="K114" s="28"/>
      <c r="L114" s="2"/>
      <c r="M114" s="139"/>
      <c r="N114" s="2"/>
      <c r="O114" s="2"/>
      <c r="P114" s="36"/>
      <c r="Q114" s="36"/>
      <c r="R114" s="36"/>
      <c r="S114" s="36"/>
      <c r="T114" s="36"/>
      <c r="U114" s="36"/>
      <c r="V114" s="36"/>
      <c r="W114" s="36"/>
      <c r="X114" s="36"/>
      <c r="Y114" s="36"/>
      <c r="Z114" s="36"/>
      <c r="AA114" s="36"/>
      <c r="AB114" s="2"/>
    </row>
    <row r="115" spans="1:28" ht="8.1" customHeight="1" x14ac:dyDescent="0.25">
      <c r="A115" s="149">
        <f>1</f>
        <v>1</v>
      </c>
      <c r="B115" s="131"/>
      <c r="C115" s="2"/>
      <c r="D115" s="2"/>
      <c r="E115" s="2"/>
      <c r="F115" s="2"/>
      <c r="G115" s="2"/>
      <c r="H115" s="2"/>
      <c r="I115" s="28"/>
      <c r="J115" s="2"/>
      <c r="K115" s="28"/>
      <c r="L115" s="2"/>
      <c r="M115" s="52"/>
      <c r="N115" s="2"/>
      <c r="O115" s="2"/>
      <c r="P115" s="36"/>
      <c r="Q115" s="36"/>
      <c r="R115" s="36"/>
      <c r="S115" s="36"/>
      <c r="T115" s="36"/>
      <c r="U115" s="36"/>
      <c r="V115" s="36"/>
      <c r="W115" s="36"/>
      <c r="X115" s="36"/>
      <c r="Y115" s="36"/>
      <c r="Z115" s="36"/>
      <c r="AA115" s="36"/>
      <c r="AB115" s="2"/>
    </row>
    <row r="116" spans="1:28" ht="3.9" customHeight="1" x14ac:dyDescent="0.25">
      <c r="A116" s="149">
        <f>1</f>
        <v>1</v>
      </c>
      <c r="B116" s="131"/>
      <c r="C116" s="2"/>
      <c r="D116" s="2"/>
      <c r="E116" s="2"/>
      <c r="F116" s="2"/>
      <c r="G116" s="2"/>
      <c r="H116" s="2"/>
      <c r="I116" s="28"/>
      <c r="J116" s="2"/>
      <c r="K116" s="28"/>
      <c r="L116" s="2"/>
      <c r="M116" s="52"/>
      <c r="N116" s="2"/>
      <c r="O116" s="2"/>
      <c r="P116" s="36"/>
      <c r="Q116" s="36"/>
      <c r="R116" s="36"/>
      <c r="S116" s="36"/>
      <c r="T116" s="36"/>
      <c r="U116" s="36"/>
      <c r="V116" s="36"/>
      <c r="W116" s="36"/>
      <c r="X116" s="36"/>
      <c r="Y116" s="36"/>
      <c r="Z116" s="36"/>
      <c r="AA116" s="36"/>
      <c r="AB116" s="2"/>
    </row>
    <row r="117" spans="1:28" s="5" customFormat="1" x14ac:dyDescent="0.25">
      <c r="A117" s="150">
        <f>1</f>
        <v>1</v>
      </c>
      <c r="B117" s="129" t="str">
        <f>структура!$J$12</f>
        <v>ОСНО</v>
      </c>
      <c r="C117" s="3"/>
      <c r="D117" s="3"/>
      <c r="E117" s="89" t="str">
        <f>KPI!$E$84</f>
        <v>амортизация кап/затрат</v>
      </c>
      <c r="F117" s="89"/>
      <c r="G117" s="89" t="str">
        <f>IF($E117="","",INDEX(KPI!$G:$G,SUMIFS(KPI!$B:$B,KPI!$E:$E,$E117)))</f>
        <v>тыс.руб.</v>
      </c>
      <c r="H117" s="89"/>
      <c r="I117" s="90"/>
      <c r="J117" s="89" t="str">
        <f>структура!$AL$21</f>
        <v>Без НДС</v>
      </c>
      <c r="K117" s="90"/>
      <c r="L117" s="89"/>
      <c r="M117" s="92">
        <f>SUM($O117:$AB117)</f>
        <v>13208.645700000005</v>
      </c>
      <c r="N117" s="3"/>
      <c r="O117" s="3"/>
      <c r="P117" s="93">
        <f>IF(P$1="",0,IF(1+опер2!P$346=0,0,(опер2!P$374+опер2!P$389)/(1+опер2!P$346)))</f>
        <v>1928.8541476190483</v>
      </c>
      <c r="Q117" s="93">
        <f>IF(Q$1="",0,IF(1+опер2!Q$346=0,0,(опер2!Q$374+опер2!Q$389)/(1+опер2!Q$346)))</f>
        <v>1928.8541476190483</v>
      </c>
      <c r="R117" s="93">
        <f>IF(R$1="",0,IF(1+опер2!R$346=0,0,(опер2!R$374+опер2!R$389)/(1+опер2!R$346)))</f>
        <v>1928.8541476190483</v>
      </c>
      <c r="S117" s="93">
        <f>IF(S$1="",0,IF(1+опер2!S$346=0,0,(опер2!S$374+опер2!S$389)/(1+опер2!S$346)))</f>
        <v>1928.8541476190483</v>
      </c>
      <c r="T117" s="93">
        <f>IF(T$1="",0,IF(1+опер2!T$346=0,0,(опер2!T$374+опер2!T$389)/(1+опер2!T$346)))</f>
        <v>1928.8541476190483</v>
      </c>
      <c r="U117" s="93">
        <f>IF(U$1="",0,IF(1+опер2!U$346=0,0,(опер2!U$374+опер2!U$389)/(1+опер2!U$346)))</f>
        <v>1782.1874809523817</v>
      </c>
      <c r="V117" s="93">
        <f>IF(V$1="",0,IF(1+опер2!V$346=0,0,(опер2!V$374+опер2!V$389)/(1+опер2!V$346)))</f>
        <v>1782.1874809523817</v>
      </c>
      <c r="W117" s="93">
        <f>IF(W$1="",0,IF(1+опер2!W$346=0,0,(опер2!W$374+опер2!W$389)/(1+опер2!W$346)))</f>
        <v>0</v>
      </c>
      <c r="X117" s="93">
        <f>IF(X$1="",0,IF(1+опер2!X$346=0,0,(опер2!X$374+опер2!X$389)/(1+опер2!X$346)))</f>
        <v>0</v>
      </c>
      <c r="Y117" s="93">
        <f>IF(Y$1="",0,IF(1+опер2!Y$346=0,0,(опер2!Y$374+опер2!Y$389)/(1+опер2!Y$346)))</f>
        <v>0</v>
      </c>
      <c r="Z117" s="93">
        <f>IF(Z$1="",0,IF(1+опер2!Z$346=0,0,(опер2!Z$374+опер2!Z$389)/(1+опер2!Z$346)))</f>
        <v>0</v>
      </c>
      <c r="AA117" s="93">
        <f>IF(AA$1="",0,IF(1+опер2!AA$346=0,0,(опер2!AA$374+опер2!AA$389)/(1+опер2!AA$346)))</f>
        <v>0</v>
      </c>
      <c r="AB117" s="3"/>
    </row>
    <row r="118" spans="1:28" s="5" customFormat="1" ht="3.9" customHeight="1" x14ac:dyDescent="0.25">
      <c r="A118" s="150">
        <f>1</f>
        <v>1</v>
      </c>
      <c r="B118" s="128"/>
      <c r="C118" s="3"/>
      <c r="D118" s="3"/>
      <c r="E118" s="3"/>
      <c r="F118" s="3"/>
      <c r="G118" s="3"/>
      <c r="H118" s="3"/>
      <c r="I118" s="28"/>
      <c r="J118" s="3"/>
      <c r="K118" s="28"/>
      <c r="L118" s="3"/>
      <c r="M118" s="55"/>
      <c r="N118" s="3"/>
      <c r="O118" s="3"/>
      <c r="P118" s="46"/>
      <c r="Q118" s="46"/>
      <c r="R118" s="46"/>
      <c r="S118" s="46"/>
      <c r="T118" s="46"/>
      <c r="U118" s="46"/>
      <c r="V118" s="46"/>
      <c r="W118" s="46"/>
      <c r="X118" s="46"/>
      <c r="Y118" s="46"/>
      <c r="Z118" s="46"/>
      <c r="AA118" s="46"/>
      <c r="AB118" s="3"/>
    </row>
    <row r="119" spans="1:28" s="5" customFormat="1" x14ac:dyDescent="0.25">
      <c r="A119" s="150">
        <f>1</f>
        <v>1</v>
      </c>
      <c r="B119" s="129" t="str">
        <f>структура!$J$13</f>
        <v>УСН(6%)</v>
      </c>
      <c r="C119" s="3"/>
      <c r="D119" s="3"/>
      <c r="E119" s="89" t="str">
        <f>E117</f>
        <v>амортизация кап/затрат</v>
      </c>
      <c r="F119" s="89"/>
      <c r="G119" s="89" t="str">
        <f>IF($E119="","",INDEX(KPI!$G:$G,SUMIFS(KPI!$B:$B,KPI!$E:$E,$E119)))</f>
        <v>тыс.руб.</v>
      </c>
      <c r="H119" s="89"/>
      <c r="I119" s="90"/>
      <c r="J119" s="89"/>
      <c r="K119" s="90"/>
      <c r="L119" s="89"/>
      <c r="M119" s="92">
        <f>SUM($O119:$AB119)</f>
        <v>15850.374840000004</v>
      </c>
      <c r="N119" s="3"/>
      <c r="O119" s="3"/>
      <c r="P119" s="93">
        <f>IF(P$1="",0,опер2!P$374+опер2!P$389)</f>
        <v>2314.6249771428579</v>
      </c>
      <c r="Q119" s="93">
        <f>IF(Q$1="",0,опер2!Q$374+опер2!Q$389)</f>
        <v>2314.6249771428579</v>
      </c>
      <c r="R119" s="93">
        <f>IF(R$1="",0,опер2!R$374+опер2!R$389)</f>
        <v>2314.6249771428579</v>
      </c>
      <c r="S119" s="93">
        <f>IF(S$1="",0,опер2!S$374+опер2!S$389)</f>
        <v>2314.6249771428579</v>
      </c>
      <c r="T119" s="93">
        <f>IF(T$1="",0,опер2!T$374+опер2!T$389)</f>
        <v>2314.6249771428579</v>
      </c>
      <c r="U119" s="93">
        <f>IF(U$1="",0,опер2!U$374+опер2!U$389)</f>
        <v>2138.6249771428579</v>
      </c>
      <c r="V119" s="93">
        <f>IF(V$1="",0,опер2!V$374+опер2!V$389)</f>
        <v>2138.6249771428579</v>
      </c>
      <c r="W119" s="93">
        <f>IF(W$1="",0,опер2!W$374+опер2!W$389)</f>
        <v>0</v>
      </c>
      <c r="X119" s="93">
        <f>IF(X$1="",0,опер2!X$374+опер2!X$389)</f>
        <v>0</v>
      </c>
      <c r="Y119" s="93">
        <f>IF(Y$1="",0,опер2!Y$374+опер2!Y$389)</f>
        <v>0</v>
      </c>
      <c r="Z119" s="93">
        <f>IF(Z$1="",0,опер2!Z$374+опер2!Z$389)</f>
        <v>0</v>
      </c>
      <c r="AA119" s="93">
        <f>IF(AA$1="",0,опер2!AA$374+опер2!AA$389)</f>
        <v>0</v>
      </c>
      <c r="AB119" s="3"/>
    </row>
    <row r="120" spans="1:28" s="5" customFormat="1" ht="3.9" customHeight="1" x14ac:dyDescent="0.25">
      <c r="A120" s="150">
        <f>1</f>
        <v>1</v>
      </c>
      <c r="B120" s="128"/>
      <c r="C120" s="3"/>
      <c r="D120" s="3"/>
      <c r="E120" s="3"/>
      <c r="F120" s="3"/>
      <c r="G120" s="3"/>
      <c r="H120" s="3"/>
      <c r="I120" s="28"/>
      <c r="J120" s="3"/>
      <c r="K120" s="28"/>
      <c r="L120" s="3"/>
      <c r="M120" s="55"/>
      <c r="N120" s="3"/>
      <c r="O120" s="3"/>
      <c r="P120" s="46"/>
      <c r="Q120" s="46"/>
      <c r="R120" s="46"/>
      <c r="S120" s="46"/>
      <c r="T120" s="46"/>
      <c r="U120" s="46"/>
      <c r="V120" s="46"/>
      <c r="W120" s="46"/>
      <c r="X120" s="46"/>
      <c r="Y120" s="46"/>
      <c r="Z120" s="46"/>
      <c r="AA120" s="46"/>
      <c r="AB120" s="3"/>
    </row>
    <row r="121" spans="1:28" s="5" customFormat="1" x14ac:dyDescent="0.25">
      <c r="A121" s="150">
        <f>1</f>
        <v>1</v>
      </c>
      <c r="B121" s="129" t="str">
        <f>структура!$J$14</f>
        <v>УСН(15%)</v>
      </c>
      <c r="C121" s="3"/>
      <c r="D121" s="3"/>
      <c r="E121" s="89" t="str">
        <f>E117</f>
        <v>амортизация кап/затрат</v>
      </c>
      <c r="F121" s="89"/>
      <c r="G121" s="89" t="str">
        <f>IF($E121="","",INDEX(KPI!$G:$G,SUMIFS(KPI!$B:$B,KPI!$E:$E,$E121)))</f>
        <v>тыс.руб.</v>
      </c>
      <c r="H121" s="89"/>
      <c r="I121" s="90"/>
      <c r="J121" s="89"/>
      <c r="K121" s="90"/>
      <c r="L121" s="89"/>
      <c r="M121" s="92">
        <f>SUM($O121:$AB121)</f>
        <v>15850.374840000004</v>
      </c>
      <c r="N121" s="3"/>
      <c r="O121" s="3"/>
      <c r="P121" s="93">
        <f>IF(P$1="",0,опер2!P$374+опер2!P$389)</f>
        <v>2314.6249771428579</v>
      </c>
      <c r="Q121" s="93">
        <f>IF(Q$1="",0,опер2!Q$374+опер2!Q$389)</f>
        <v>2314.6249771428579</v>
      </c>
      <c r="R121" s="93">
        <f>IF(R$1="",0,опер2!R$374+опер2!R$389)</f>
        <v>2314.6249771428579</v>
      </c>
      <c r="S121" s="93">
        <f>IF(S$1="",0,опер2!S$374+опер2!S$389)</f>
        <v>2314.6249771428579</v>
      </c>
      <c r="T121" s="93">
        <f>IF(T$1="",0,опер2!T$374+опер2!T$389)</f>
        <v>2314.6249771428579</v>
      </c>
      <c r="U121" s="93">
        <f>IF(U$1="",0,опер2!U$374+опер2!U$389)</f>
        <v>2138.6249771428579</v>
      </c>
      <c r="V121" s="93">
        <f>IF(V$1="",0,опер2!V$374+опер2!V$389)</f>
        <v>2138.6249771428579</v>
      </c>
      <c r="W121" s="93">
        <f>IF(W$1="",0,опер2!W$374+опер2!W$389)</f>
        <v>0</v>
      </c>
      <c r="X121" s="93">
        <f>IF(X$1="",0,опер2!X$374+опер2!X$389)</f>
        <v>0</v>
      </c>
      <c r="Y121" s="93">
        <f>IF(Y$1="",0,опер2!Y$374+опер2!Y$389)</f>
        <v>0</v>
      </c>
      <c r="Z121" s="93">
        <f>IF(Z$1="",0,опер2!Z$374+опер2!Z$389)</f>
        <v>0</v>
      </c>
      <c r="AA121" s="93">
        <f>IF(AA$1="",0,опер2!AA$374+опер2!AA$389)</f>
        <v>0</v>
      </c>
      <c r="AB121" s="3"/>
    </row>
    <row r="122" spans="1:28" s="5" customFormat="1" ht="3.9" customHeight="1" x14ac:dyDescent="0.25">
      <c r="A122" s="150">
        <f>1</f>
        <v>1</v>
      </c>
      <c r="B122" s="128"/>
      <c r="C122" s="3"/>
      <c r="D122" s="3"/>
      <c r="E122" s="3"/>
      <c r="F122" s="3"/>
      <c r="G122" s="3"/>
      <c r="H122" s="3"/>
      <c r="I122" s="28"/>
      <c r="J122" s="3"/>
      <c r="K122" s="28"/>
      <c r="L122" s="3"/>
      <c r="M122" s="55"/>
      <c r="N122" s="3"/>
      <c r="O122" s="3"/>
      <c r="P122" s="46"/>
      <c r="Q122" s="46"/>
      <c r="R122" s="46"/>
      <c r="S122" s="46"/>
      <c r="T122" s="46"/>
      <c r="U122" s="46"/>
      <c r="V122" s="46"/>
      <c r="W122" s="46"/>
      <c r="X122" s="46"/>
      <c r="Y122" s="46"/>
      <c r="Z122" s="46"/>
      <c r="AA122" s="46"/>
      <c r="AB122" s="3"/>
    </row>
    <row r="123" spans="1:28" s="5" customFormat="1" x14ac:dyDescent="0.25">
      <c r="A123" s="150">
        <f>1</f>
        <v>1</v>
      </c>
      <c r="B123" s="129" t="str">
        <f>структура!$J$15</f>
        <v>УСН(6%)-ИП</v>
      </c>
      <c r="C123" s="3"/>
      <c r="D123" s="3"/>
      <c r="E123" s="89" t="str">
        <f>E117</f>
        <v>амортизация кап/затрат</v>
      </c>
      <c r="F123" s="89"/>
      <c r="G123" s="89" t="str">
        <f>IF($E123="","",INDEX(KPI!$G:$G,SUMIFS(KPI!$B:$B,KPI!$E:$E,$E123)))</f>
        <v>тыс.руб.</v>
      </c>
      <c r="H123" s="89"/>
      <c r="I123" s="90"/>
      <c r="J123" s="89"/>
      <c r="K123" s="90"/>
      <c r="L123" s="89"/>
      <c r="M123" s="92">
        <f>SUM($O123:$AB123)</f>
        <v>15850.374840000004</v>
      </c>
      <c r="N123" s="3"/>
      <c r="O123" s="3"/>
      <c r="P123" s="93">
        <f>IF(P$1="",0,опер2!P$374+опер2!P$389)</f>
        <v>2314.6249771428579</v>
      </c>
      <c r="Q123" s="93">
        <f>IF(Q$1="",0,опер2!Q$374+опер2!Q$389)</f>
        <v>2314.6249771428579</v>
      </c>
      <c r="R123" s="93">
        <f>IF(R$1="",0,опер2!R$374+опер2!R$389)</f>
        <v>2314.6249771428579</v>
      </c>
      <c r="S123" s="93">
        <f>IF(S$1="",0,опер2!S$374+опер2!S$389)</f>
        <v>2314.6249771428579</v>
      </c>
      <c r="T123" s="93">
        <f>IF(T$1="",0,опер2!T$374+опер2!T$389)</f>
        <v>2314.6249771428579</v>
      </c>
      <c r="U123" s="93">
        <f>IF(U$1="",0,опер2!U$374+опер2!U$389)</f>
        <v>2138.6249771428579</v>
      </c>
      <c r="V123" s="93">
        <f>IF(V$1="",0,опер2!V$374+опер2!V$389)</f>
        <v>2138.6249771428579</v>
      </c>
      <c r="W123" s="93">
        <f>IF(W$1="",0,опер2!W$374+опер2!W$389)</f>
        <v>0</v>
      </c>
      <c r="X123" s="93">
        <f>IF(X$1="",0,опер2!X$374+опер2!X$389)</f>
        <v>0</v>
      </c>
      <c r="Y123" s="93">
        <f>IF(Y$1="",0,опер2!Y$374+опер2!Y$389)</f>
        <v>0</v>
      </c>
      <c r="Z123" s="93">
        <f>IF(Z$1="",0,опер2!Z$374+опер2!Z$389)</f>
        <v>0</v>
      </c>
      <c r="AA123" s="93">
        <f>IF(AA$1="",0,опер2!AA$374+опер2!AA$389)</f>
        <v>0</v>
      </c>
      <c r="AB123" s="3"/>
    </row>
    <row r="124" spans="1:28" ht="3.9" customHeight="1" x14ac:dyDescent="0.25">
      <c r="A124" s="149">
        <f>1</f>
        <v>1</v>
      </c>
      <c r="B124" s="131"/>
      <c r="C124" s="2"/>
      <c r="D124" s="2"/>
      <c r="E124" s="143"/>
      <c r="F124" s="2"/>
      <c r="G124" s="143"/>
      <c r="H124" s="2"/>
      <c r="I124" s="28"/>
      <c r="J124" s="2"/>
      <c r="K124" s="28"/>
      <c r="L124" s="2"/>
      <c r="M124" s="144"/>
      <c r="N124" s="2"/>
      <c r="O124" s="2"/>
      <c r="P124" s="36"/>
      <c r="Q124" s="36"/>
      <c r="R124" s="36"/>
      <c r="S124" s="36"/>
      <c r="T124" s="36"/>
      <c r="U124" s="36"/>
      <c r="V124" s="36"/>
      <c r="W124" s="36"/>
      <c r="X124" s="36"/>
      <c r="Y124" s="36"/>
      <c r="Z124" s="36"/>
      <c r="AA124" s="36"/>
      <c r="AB124" s="2"/>
    </row>
    <row r="125" spans="1:28" ht="8.1" customHeight="1" x14ac:dyDescent="0.25">
      <c r="A125" s="149">
        <f>1</f>
        <v>1</v>
      </c>
      <c r="B125" s="131"/>
      <c r="C125" s="2"/>
      <c r="D125" s="2"/>
      <c r="E125" s="2"/>
      <c r="F125" s="2"/>
      <c r="G125" s="2"/>
      <c r="H125" s="2"/>
      <c r="I125" s="28"/>
      <c r="J125" s="2"/>
      <c r="K125" s="28"/>
      <c r="L125" s="2"/>
      <c r="M125" s="52"/>
      <c r="N125" s="2"/>
      <c r="O125" s="2"/>
      <c r="P125" s="36"/>
      <c r="Q125" s="36"/>
      <c r="R125" s="36"/>
      <c r="S125" s="36"/>
      <c r="T125" s="36"/>
      <c r="U125" s="36"/>
      <c r="V125" s="36"/>
      <c r="W125" s="36"/>
      <c r="X125" s="36"/>
      <c r="Y125" s="36"/>
      <c r="Z125" s="36"/>
      <c r="AA125" s="36"/>
      <c r="AB125" s="2"/>
    </row>
    <row r="126" spans="1:28" ht="3.9" customHeight="1" x14ac:dyDescent="0.25">
      <c r="A126" s="149">
        <f>1</f>
        <v>1</v>
      </c>
      <c r="B126" s="131"/>
      <c r="C126" s="2"/>
      <c r="D126" s="2"/>
      <c r="E126" s="2"/>
      <c r="F126" s="2"/>
      <c r="G126" s="2"/>
      <c r="H126" s="2"/>
      <c r="I126" s="28"/>
      <c r="J126" s="2"/>
      <c r="K126" s="28"/>
      <c r="L126" s="2"/>
      <c r="M126" s="52"/>
      <c r="N126" s="2"/>
      <c r="O126" s="2"/>
      <c r="P126" s="36"/>
      <c r="Q126" s="36"/>
      <c r="R126" s="36"/>
      <c r="S126" s="36"/>
      <c r="T126" s="36"/>
      <c r="U126" s="36"/>
      <c r="V126" s="36"/>
      <c r="W126" s="36"/>
      <c r="X126" s="36"/>
      <c r="Y126" s="36"/>
      <c r="Z126" s="36"/>
      <c r="AA126" s="36"/>
      <c r="AB126" s="2"/>
    </row>
    <row r="127" spans="1:28" s="5" customFormat="1" x14ac:dyDescent="0.25">
      <c r="A127" s="150">
        <f>1</f>
        <v>1</v>
      </c>
      <c r="B127" s="129" t="str">
        <f>структура!$J$12</f>
        <v>ОСНО</v>
      </c>
      <c r="C127" s="3"/>
      <c r="D127" s="3"/>
      <c r="E127" s="89" t="str">
        <f>KPI!$E$86</f>
        <v>налог на прибыль</v>
      </c>
      <c r="F127" s="89"/>
      <c r="G127" s="89" t="str">
        <f>IF($E127="","",INDEX(KPI!$G:$G,SUMIFS(KPI!$B:$B,KPI!$E:$E,$E127)))</f>
        <v>тыс.руб.</v>
      </c>
      <c r="H127" s="89"/>
      <c r="I127" s="90"/>
      <c r="J127" s="89"/>
      <c r="K127" s="90"/>
      <c r="L127" s="89"/>
      <c r="M127" s="92">
        <f>SUM($O127:$AB127)</f>
        <v>9885.5852198848897</v>
      </c>
      <c r="N127" s="3"/>
      <c r="O127" s="3"/>
      <c r="P127" s="93">
        <f>IF(P$1="",0,(P$16-P$26-P$117)*опер2!P$349)</f>
        <v>962.3580141868523</v>
      </c>
      <c r="Q127" s="93">
        <f>IF(Q$1="",0,(Q$16-Q$26-Q$117)*опер2!Q$349)</f>
        <v>1052.0967641868526</v>
      </c>
      <c r="R127" s="93">
        <f>IF(R$1="",0,(R$16-R$26-R$117)*опер2!R$349)</f>
        <v>1221.7212189304425</v>
      </c>
      <c r="S127" s="93">
        <f>IF(S$1="",0,(S$16-S$26-S$117)*опер2!S$349)</f>
        <v>1340.4290314945449</v>
      </c>
      <c r="T127" s="93">
        <f>IF(T$1="",0,(T$16-T$26-T$117)*опер2!T$349)</f>
        <v>1478.2044064945446</v>
      </c>
      <c r="U127" s="93">
        <f>IF(U$1="",0,(U$16-U$26-U$117)*опер2!U$349)</f>
        <v>1748.0280736740315</v>
      </c>
      <c r="V127" s="93">
        <f>IF(V$1="",0,(V$16-V$26-V$117)*опер2!V$349)</f>
        <v>2082.7477109176211</v>
      </c>
      <c r="W127" s="93">
        <f>IF(W$1="",0,(W$16-W$26-W$117)*опер2!W$349)</f>
        <v>0</v>
      </c>
      <c r="X127" s="93">
        <f>IF(X$1="",0,(X$16-X$26-X$117)*опер2!X$349)</f>
        <v>0</v>
      </c>
      <c r="Y127" s="93">
        <f>IF(Y$1="",0,(Y$16-Y$26-Y$117)*опер2!Y$349)</f>
        <v>0</v>
      </c>
      <c r="Z127" s="93">
        <f>IF(Z$1="",0,(Z$16-Z$26-Z$117)*опер2!Z$349)</f>
        <v>0</v>
      </c>
      <c r="AA127" s="93">
        <f>IF(AA$1="",0,(AA$16-AA$26-AA$117)*опер2!AA$349)</f>
        <v>0</v>
      </c>
      <c r="AB127" s="3"/>
    </row>
    <row r="128" spans="1:28" s="5" customFormat="1" ht="3.9" customHeight="1" x14ac:dyDescent="0.25">
      <c r="A128" s="150">
        <f>1</f>
        <v>1</v>
      </c>
      <c r="B128" s="128"/>
      <c r="C128" s="3"/>
      <c r="D128" s="3"/>
      <c r="E128" s="3"/>
      <c r="F128" s="3"/>
      <c r="G128" s="3"/>
      <c r="H128" s="3"/>
      <c r="I128" s="28"/>
      <c r="J128" s="3"/>
      <c r="K128" s="28"/>
      <c r="L128" s="3"/>
      <c r="M128" s="55"/>
      <c r="N128" s="3"/>
      <c r="O128" s="3"/>
      <c r="P128" s="46"/>
      <c r="Q128" s="46"/>
      <c r="R128" s="46"/>
      <c r="S128" s="46"/>
      <c r="T128" s="46"/>
      <c r="U128" s="46"/>
      <c r="V128" s="46"/>
      <c r="W128" s="46"/>
      <c r="X128" s="46"/>
      <c r="Y128" s="46"/>
      <c r="Z128" s="46"/>
      <c r="AA128" s="46"/>
      <c r="AB128" s="3"/>
    </row>
    <row r="129" spans="1:28" s="5" customFormat="1" x14ac:dyDescent="0.25">
      <c r="A129" s="150">
        <f>1</f>
        <v>1</v>
      </c>
      <c r="B129" s="129" t="str">
        <f>структура!$J$13</f>
        <v>УСН(6%)</v>
      </c>
      <c r="C129" s="3"/>
      <c r="D129" s="3"/>
      <c r="E129" s="89" t="str">
        <f>KPI!$E$87</f>
        <v>налог УСН</v>
      </c>
      <c r="F129" s="89"/>
      <c r="G129" s="89" t="str">
        <f>IF($E129="","",INDEX(KPI!$G:$G,SUMIFS(KPI!$B:$B,KPI!$E:$E,$E129)))</f>
        <v>тыс.руб.</v>
      </c>
      <c r="H129" s="89"/>
      <c r="I129" s="90"/>
      <c r="J129" s="89"/>
      <c r="K129" s="90"/>
      <c r="L129" s="89"/>
      <c r="M129" s="92">
        <f>SUM($O129:$AB129)</f>
        <v>4825.9214653846138</v>
      </c>
      <c r="N129" s="3"/>
      <c r="O129" s="3"/>
      <c r="P129" s="93">
        <f>IF(P$1="",0,IF(P$78&gt;опер2!P$361*опер2!P$352*P$18,опер2!P$361*опер2!P$352*P$18,(P$18-P$78)*опер2!P$352))</f>
        <v>509.35628076923064</v>
      </c>
      <c r="Q129" s="93">
        <f>IF(Q$1="",0,IF(Q$78&gt;опер2!Q$361*опер2!Q$352*Q$18,опер2!Q$361*опер2!Q$352*Q$18,(Q$18-Q$78)*опер2!Q$352))</f>
        <v>528.35978076923061</v>
      </c>
      <c r="R129" s="93">
        <f>IF(R$1="",0,IF(R$78&gt;опер2!R$361*опер2!R$352*R$18,опер2!R$361*опер2!R$352*R$18,(R$18-R$78)*опер2!R$352))</f>
        <v>557.74915384615372</v>
      </c>
      <c r="S129" s="93">
        <f>IF(S$1="",0,IF(S$78&gt;опер2!S$361*опер2!S$352*S$18,опер2!S$361*опер2!S$352*S$18,(S$18-S$78)*опер2!S$352))</f>
        <v>575.86853076923069</v>
      </c>
      <c r="T129" s="93">
        <f>IF(T$1="",0,IF(T$78&gt;опер2!T$361*опер2!T$352*T$18,опер2!T$361*опер2!T$352*T$18,(T$18-T$78)*опер2!T$352))</f>
        <v>604.37378076923062</v>
      </c>
      <c r="U129" s="93">
        <f>IF(U$1="",0,IF(U$78&gt;опер2!U$361*опер2!U$352*U$18,опер2!U$361*опер2!U$352*U$18,(U$18-U$78)*опер2!U$352))</f>
        <v>651.88253076923058</v>
      </c>
      <c r="V129" s="93">
        <f>IF(V$1="",0,IF(V$78&gt;опер2!V$361*опер2!V$352*V$18,опер2!V$361*опер2!V$352*V$18,(V$18-V$78)*опер2!V$352))</f>
        <v>1398.3314076923075</v>
      </c>
      <c r="W129" s="93">
        <f>IF(W$1="",0,IF(W$78&gt;опер2!W$361*опер2!W$352*W$18,опер2!W$361*опер2!W$352*W$18,(W$18-W$78)*опер2!W$352))</f>
        <v>0</v>
      </c>
      <c r="X129" s="93">
        <f>IF(X$1="",0,IF(X$78&gt;опер2!X$361*опер2!X$352*X$18,опер2!X$361*опер2!X$352*X$18,(X$18-X$78)*опер2!X$352))</f>
        <v>0</v>
      </c>
      <c r="Y129" s="93">
        <f>IF(Y$1="",0,IF(Y$78&gt;опер2!Y$361*опер2!Y$352*Y$18,опер2!Y$361*опер2!Y$352*Y$18,(Y$18-Y$78)*опер2!Y$352))</f>
        <v>0</v>
      </c>
      <c r="Z129" s="93">
        <f>IF(Z$1="",0,IF(Z$78&gt;опер2!Z$361*опер2!Z$352*Z$18,опер2!Z$361*опер2!Z$352*Z$18,(Z$18-Z$78)*опер2!Z$352))</f>
        <v>0</v>
      </c>
      <c r="AA129" s="93">
        <f>IF(AA$1="",0,IF(AA$78&gt;опер2!AA$361*опер2!AA$352*AA$18,опер2!AA$361*опер2!AA$352*AA$18,(AA$18-AA$78)*опер2!AA$352))</f>
        <v>0</v>
      </c>
      <c r="AB129" s="3"/>
    </row>
    <row r="130" spans="1:28" s="5" customFormat="1" ht="3.9" customHeight="1" x14ac:dyDescent="0.25">
      <c r="A130" s="150">
        <f>1</f>
        <v>1</v>
      </c>
      <c r="B130" s="128"/>
      <c r="C130" s="3"/>
      <c r="D130" s="3"/>
      <c r="E130" s="3"/>
      <c r="F130" s="3"/>
      <c r="G130" s="3"/>
      <c r="H130" s="3"/>
      <c r="I130" s="28"/>
      <c r="J130" s="3"/>
      <c r="K130" s="28"/>
      <c r="L130" s="3"/>
      <c r="M130" s="55"/>
      <c r="N130" s="3"/>
      <c r="O130" s="3"/>
      <c r="P130" s="46"/>
      <c r="Q130" s="46"/>
      <c r="R130" s="46"/>
      <c r="S130" s="46"/>
      <c r="T130" s="46"/>
      <c r="U130" s="46"/>
      <c r="V130" s="46"/>
      <c r="W130" s="46"/>
      <c r="X130" s="46"/>
      <c r="Y130" s="46"/>
      <c r="Z130" s="46"/>
      <c r="AA130" s="46"/>
      <c r="AB130" s="3"/>
    </row>
    <row r="131" spans="1:28" s="5" customFormat="1" x14ac:dyDescent="0.25">
      <c r="A131" s="150">
        <f>1</f>
        <v>1</v>
      </c>
      <c r="B131" s="129" t="str">
        <f>структура!$J$14</f>
        <v>УСН(15%)</v>
      </c>
      <c r="C131" s="3"/>
      <c r="D131" s="3"/>
      <c r="E131" s="89" t="str">
        <f>KPI!$E$87</f>
        <v>налог УСН</v>
      </c>
      <c r="F131" s="89"/>
      <c r="G131" s="89" t="str">
        <f>IF($E131="","",INDEX(KPI!$G:$G,SUMIFS(KPI!$B:$B,KPI!$E:$E,$E131)))</f>
        <v>тыс.руб.</v>
      </c>
      <c r="H131" s="89"/>
      <c r="I131" s="90"/>
      <c r="J131" s="89"/>
      <c r="K131" s="90"/>
      <c r="L131" s="89"/>
      <c r="M131" s="92">
        <f>SUM($O131:$AB131)</f>
        <v>11881.575323896401</v>
      </c>
      <c r="N131" s="3"/>
      <c r="O131" s="3"/>
      <c r="P131" s="93">
        <f>IF(P$1="",0,IF((P$20-P$30)*опер2!P$355&lt;опер2!P$364*P$20,опер2!P$364*P$20,(P$20-P$30)*опер2!P$355))</f>
        <v>1300.0291593395957</v>
      </c>
      <c r="Q131" s="93">
        <f>IF(Q$1="",0,IF((Q$20-Q$30)*опер2!Q$355&lt;опер2!Q$364*Q$20,опер2!Q$364*Q$20,(Q$20-Q$30)*опер2!Q$355))</f>
        <v>1380.7940343395956</v>
      </c>
      <c r="R131" s="93">
        <f>IF(R$1="",0,IF((R$20-R$30)*опер2!R$355&lt;опер2!R$364*R$20,опер2!R$364*R$20,(R$20-R$30)*опер2!R$355))</f>
        <v>1533.4560436088268</v>
      </c>
      <c r="S131" s="93">
        <f>IF(S$1="",0,IF((S$20-S$30)*опер2!S$355&lt;опер2!S$364*S$20,опер2!S$364*S$20,(S$20-S$30)*опер2!S$355))</f>
        <v>1640.2930749165187</v>
      </c>
      <c r="T131" s="93">
        <f>IF(T$1="",0,IF((T$20-T$30)*опер2!T$355&lt;опер2!T$364*T$20,опер2!T$364*T$20,(T$20-T$30)*опер2!T$355))</f>
        <v>1764.2909124165187</v>
      </c>
      <c r="U131" s="93">
        <f>IF(U$1="",0,IF((U$20-U$30)*опер2!U$355&lt;опер2!U$364*U$20,опер2!U$364*U$20,(U$20-U$30)*опер2!U$355))</f>
        <v>1980.7322128780568</v>
      </c>
      <c r="V131" s="93">
        <f>IF(V$1="",0,IF((V$20-V$30)*опер2!V$355&lt;опер2!V$364*V$20,опер2!V$364*V$20,(V$20-V$30)*опер2!V$355))</f>
        <v>2281.9798863972878</v>
      </c>
      <c r="W131" s="93">
        <f>IF(W$1="",0,IF((W$20-W$30)*опер2!W$355&lt;опер2!W$364*W$20,опер2!W$364*W$20,(W$20-W$30)*опер2!W$355))</f>
        <v>0</v>
      </c>
      <c r="X131" s="93">
        <f>IF(X$1="",0,IF((X$20-X$30)*опер2!X$355&lt;опер2!X$364*X$20,опер2!X$364*X$20,(X$20-X$30)*опер2!X$355))</f>
        <v>0</v>
      </c>
      <c r="Y131" s="93">
        <f>IF(Y$1="",0,IF((Y$20-Y$30)*опер2!Y$355&lt;опер2!Y$364*Y$20,опер2!Y$364*Y$20,(Y$20-Y$30)*опер2!Y$355))</f>
        <v>0</v>
      </c>
      <c r="Z131" s="93">
        <f>IF(Z$1="",0,IF((Z$20-Z$30)*опер2!Z$355&lt;опер2!Z$364*Z$20,опер2!Z$364*Z$20,(Z$20-Z$30)*опер2!Z$355))</f>
        <v>0</v>
      </c>
      <c r="AA131" s="93">
        <f>IF(AA$1="",0,IF((AA$20-AA$30)*опер2!AA$355&lt;опер2!AA$364*AA$20,опер2!AA$364*AA$20,(AA$20-AA$30)*опер2!AA$355))</f>
        <v>0</v>
      </c>
      <c r="AB131" s="3"/>
    </row>
    <row r="132" spans="1:28" s="5" customFormat="1" ht="3.9" customHeight="1" x14ac:dyDescent="0.25">
      <c r="A132" s="150">
        <f>1</f>
        <v>1</v>
      </c>
      <c r="B132" s="128"/>
      <c r="C132" s="3"/>
      <c r="D132" s="3"/>
      <c r="E132" s="3"/>
      <c r="F132" s="3"/>
      <c r="G132" s="3"/>
      <c r="H132" s="3"/>
      <c r="I132" s="28"/>
      <c r="J132" s="3"/>
      <c r="K132" s="28"/>
      <c r="L132" s="3"/>
      <c r="M132" s="55"/>
      <c r="N132" s="3"/>
      <c r="O132" s="3"/>
      <c r="P132" s="46"/>
      <c r="Q132" s="46"/>
      <c r="R132" s="46"/>
      <c r="S132" s="46"/>
      <c r="T132" s="46"/>
      <c r="U132" s="46"/>
      <c r="V132" s="46"/>
      <c r="W132" s="46"/>
      <c r="X132" s="46"/>
      <c r="Y132" s="46"/>
      <c r="Z132" s="46"/>
      <c r="AA132" s="46"/>
      <c r="AB132" s="3"/>
    </row>
    <row r="133" spans="1:28" s="5" customFormat="1" x14ac:dyDescent="0.25">
      <c r="A133" s="150">
        <f>1</f>
        <v>1</v>
      </c>
      <c r="B133" s="129" t="str">
        <f>структура!$J$15</f>
        <v>УСН(6%)-ИП</v>
      </c>
      <c r="C133" s="3"/>
      <c r="D133" s="3"/>
      <c r="E133" s="89" t="str">
        <f>KPI!$E$87</f>
        <v>налог УСН</v>
      </c>
      <c r="F133" s="89"/>
      <c r="G133" s="89" t="str">
        <f>IF($E133="","",INDEX(KPI!$G:$G,SUMIFS(KPI!$B:$B,KPI!$E:$E,$E133)))</f>
        <v>тыс.руб.</v>
      </c>
      <c r="H133" s="89"/>
      <c r="I133" s="90"/>
      <c r="J133" s="89"/>
      <c r="K133" s="90"/>
      <c r="L133" s="89"/>
      <c r="M133" s="92">
        <f>SUM($O133:$AB133)</f>
        <v>2654.5877192307689</v>
      </c>
      <c r="N133" s="3"/>
      <c r="O133" s="3"/>
      <c r="P133" s="93">
        <f>IF(P$1="",0,IF(P$78&gt;опер2!P$361*опер2!P$358*P$18,опер2!P$361*опер2!P$358*P$18,(P$18-P$78)*опер2!P$358))</f>
        <v>0</v>
      </c>
      <c r="Q133" s="93">
        <f>IF(Q$1="",0,IF(Q$78&gt;опер2!Q$361*опер2!Q$358*Q$18,опер2!Q$361*опер2!Q$358*Q$18,(Q$18-Q$78)*опер2!Q$358))</f>
        <v>0</v>
      </c>
      <c r="R133" s="93">
        <f>IF(R$1="",0,IF(R$78&gt;опер2!R$361*опер2!R$358*R$18,опер2!R$361*опер2!R$358*R$18,(R$18-R$78)*опер2!R$358))</f>
        <v>0</v>
      </c>
      <c r="S133" s="93">
        <f>IF(S$1="",0,IF(S$78&gt;опер2!S$361*опер2!S$358*S$18,опер2!S$361*опер2!S$358*S$18,(S$18-S$78)*опер2!S$358))</f>
        <v>0</v>
      </c>
      <c r="T133" s="93">
        <f>IF(T$1="",0,IF(T$78&gt;опер2!T$361*опер2!T$358*T$18,опер2!T$361*опер2!T$358*T$18,(T$18-T$78)*опер2!T$358))</f>
        <v>604.37378076923062</v>
      </c>
      <c r="U133" s="93">
        <f>IF(U$1="",0,IF(U$78&gt;опер2!U$361*опер2!U$358*U$18,опер2!U$361*опер2!U$358*U$18,(U$18-U$78)*опер2!U$358))</f>
        <v>651.88253076923058</v>
      </c>
      <c r="V133" s="93">
        <f>IF(V$1="",0,IF(V$78&gt;опер2!V$361*опер2!V$358*V$18,опер2!V$361*опер2!V$358*V$18,(V$18-V$78)*опер2!V$358))</f>
        <v>1398.3314076923075</v>
      </c>
      <c r="W133" s="93">
        <f>IF(W$1="",0,IF(W$78&gt;опер2!W$361*опер2!W$358*W$18,опер2!W$361*опер2!W$358*W$18,(W$18-W$78)*опер2!W$358))</f>
        <v>0</v>
      </c>
      <c r="X133" s="93">
        <f>IF(X$1="",0,IF(X$78&gt;опер2!X$361*опер2!X$358*X$18,опер2!X$361*опер2!X$358*X$18,(X$18-X$78)*опер2!X$358))</f>
        <v>0</v>
      </c>
      <c r="Y133" s="93">
        <f>IF(Y$1="",0,IF(Y$78&gt;опер2!Y$361*опер2!Y$358*Y$18,опер2!Y$361*опер2!Y$358*Y$18,(Y$18-Y$78)*опер2!Y$358))</f>
        <v>0</v>
      </c>
      <c r="Z133" s="93">
        <f>IF(Z$1="",0,IF(Z$78&gt;опер2!Z$361*опер2!Z$358*Z$18,опер2!Z$361*опер2!Z$358*Z$18,(Z$18-Z$78)*опер2!Z$358))</f>
        <v>0</v>
      </c>
      <c r="AA133" s="93">
        <f>IF(AA$1="",0,IF(AA$78&gt;опер2!AA$361*опер2!AA$358*AA$18,опер2!AA$361*опер2!AA$358*AA$18,(AA$18-AA$78)*опер2!AA$358))</f>
        <v>0</v>
      </c>
      <c r="AB133" s="3"/>
    </row>
    <row r="134" spans="1:28" ht="3.9" customHeight="1" x14ac:dyDescent="0.25">
      <c r="A134" s="149">
        <f>1</f>
        <v>1</v>
      </c>
      <c r="B134" s="131"/>
      <c r="C134" s="2"/>
      <c r="D134" s="2"/>
      <c r="E134" s="119"/>
      <c r="F134" s="2"/>
      <c r="G134" s="119"/>
      <c r="H134" s="2"/>
      <c r="I134" s="28"/>
      <c r="J134" s="2"/>
      <c r="K134" s="28"/>
      <c r="L134" s="2"/>
      <c r="M134" s="142"/>
      <c r="N134" s="2"/>
      <c r="O134" s="2"/>
      <c r="P134" s="36"/>
      <c r="Q134" s="36"/>
      <c r="R134" s="36"/>
      <c r="S134" s="36"/>
      <c r="T134" s="36"/>
      <c r="U134" s="36"/>
      <c r="V134" s="36"/>
      <c r="W134" s="36"/>
      <c r="X134" s="36"/>
      <c r="Y134" s="36"/>
      <c r="Z134" s="36"/>
      <c r="AA134" s="36"/>
      <c r="AB134" s="2"/>
    </row>
    <row r="135" spans="1:28" ht="8.1" customHeight="1" x14ac:dyDescent="0.25">
      <c r="A135" s="149">
        <f>1</f>
        <v>1</v>
      </c>
      <c r="B135" s="131"/>
      <c r="C135" s="2"/>
      <c r="D135" s="2"/>
      <c r="E135" s="2"/>
      <c r="F135" s="2"/>
      <c r="G135" s="2"/>
      <c r="H135" s="2"/>
      <c r="I135" s="28"/>
      <c r="J135" s="2"/>
      <c r="K135" s="28"/>
      <c r="L135" s="2"/>
      <c r="M135" s="52"/>
      <c r="N135" s="2"/>
      <c r="O135" s="2"/>
      <c r="P135" s="36"/>
      <c r="Q135" s="36"/>
      <c r="R135" s="36"/>
      <c r="S135" s="36"/>
      <c r="T135" s="36"/>
      <c r="U135" s="36"/>
      <c r="V135" s="36"/>
      <c r="W135" s="36"/>
      <c r="X135" s="36"/>
      <c r="Y135" s="36"/>
      <c r="Z135" s="36"/>
      <c r="AA135" s="36"/>
      <c r="AB135" s="2"/>
    </row>
    <row r="136" spans="1:28" ht="3.9" customHeight="1" x14ac:dyDescent="0.25">
      <c r="A136" s="149">
        <f>1</f>
        <v>1</v>
      </c>
      <c r="B136" s="131"/>
      <c r="C136" s="2"/>
      <c r="D136" s="2"/>
      <c r="E136" s="2"/>
      <c r="F136" s="2"/>
      <c r="G136" s="2"/>
      <c r="H136" s="2"/>
      <c r="I136" s="28"/>
      <c r="J136" s="2"/>
      <c r="K136" s="28"/>
      <c r="L136" s="2"/>
      <c r="M136" s="52"/>
      <c r="N136" s="2"/>
      <c r="O136" s="2"/>
      <c r="P136" s="36"/>
      <c r="Q136" s="36"/>
      <c r="R136" s="36"/>
      <c r="S136" s="36"/>
      <c r="T136" s="36"/>
      <c r="U136" s="36"/>
      <c r="V136" s="36"/>
      <c r="W136" s="36"/>
      <c r="X136" s="36"/>
      <c r="Y136" s="36"/>
      <c r="Z136" s="36"/>
      <c r="AA136" s="36"/>
      <c r="AB136" s="2"/>
    </row>
    <row r="137" spans="1:28" s="5" customFormat="1" x14ac:dyDescent="0.25">
      <c r="A137" s="150">
        <f>1</f>
        <v>1</v>
      </c>
      <c r="B137" s="129" t="str">
        <f>структура!$J$12</f>
        <v>ОСНО</v>
      </c>
      <c r="C137" s="3"/>
      <c r="D137" s="3"/>
      <c r="E137" s="89" t="str">
        <f>KPI!$E$88</f>
        <v>прибыль</v>
      </c>
      <c r="F137" s="89"/>
      <c r="G137" s="89" t="str">
        <f>IF($E137="","",INDEX(KPI!$G:$G,SUMIFS(KPI!$B:$B,KPI!$E:$E,$E137)))</f>
        <v>тыс.руб.</v>
      </c>
      <c r="H137" s="89"/>
      <c r="I137" s="90"/>
      <c r="J137" s="89"/>
      <c r="K137" s="90"/>
      <c r="L137" s="89"/>
      <c r="M137" s="92">
        <f>SUM($O137:$AB137)</f>
        <v>39542.340879539559</v>
      </c>
      <c r="N137" s="3"/>
      <c r="O137" s="3"/>
      <c r="P137" s="93">
        <f>IF(P$1="",0,P16-P26-P117-P127)</f>
        <v>3849.4320567474088</v>
      </c>
      <c r="Q137" s="93">
        <f t="shared" ref="Q137:AA137" si="2">IF(Q$1="",0,Q16-Q26-Q117-Q127)</f>
        <v>4208.3870567474096</v>
      </c>
      <c r="R137" s="93">
        <f t="shared" si="2"/>
        <v>4886.8848757217693</v>
      </c>
      <c r="S137" s="93">
        <f t="shared" si="2"/>
        <v>5361.7161259781797</v>
      </c>
      <c r="T137" s="93">
        <f t="shared" si="2"/>
        <v>5912.8176259781776</v>
      </c>
      <c r="U137" s="93">
        <f t="shared" si="2"/>
        <v>6992.1122946961259</v>
      </c>
      <c r="V137" s="93">
        <f t="shared" si="2"/>
        <v>8330.9908436704845</v>
      </c>
      <c r="W137" s="93">
        <f t="shared" si="2"/>
        <v>0</v>
      </c>
      <c r="X137" s="93">
        <f t="shared" si="2"/>
        <v>0</v>
      </c>
      <c r="Y137" s="93">
        <f t="shared" si="2"/>
        <v>0</v>
      </c>
      <c r="Z137" s="93">
        <f t="shared" si="2"/>
        <v>0</v>
      </c>
      <c r="AA137" s="93">
        <f t="shared" si="2"/>
        <v>0</v>
      </c>
      <c r="AB137" s="3"/>
    </row>
    <row r="138" spans="1:28" s="5" customFormat="1" ht="3.9" customHeight="1" x14ac:dyDescent="0.25">
      <c r="A138" s="150">
        <f>1</f>
        <v>1</v>
      </c>
      <c r="B138" s="128"/>
      <c r="C138" s="3"/>
      <c r="D138" s="3"/>
      <c r="E138" s="3"/>
      <c r="F138" s="3"/>
      <c r="G138" s="3"/>
      <c r="H138" s="3"/>
      <c r="I138" s="28"/>
      <c r="J138" s="3"/>
      <c r="K138" s="28"/>
      <c r="L138" s="3"/>
      <c r="M138" s="55"/>
      <c r="N138" s="3"/>
      <c r="O138" s="3"/>
      <c r="P138" s="46"/>
      <c r="Q138" s="46"/>
      <c r="R138" s="46"/>
      <c r="S138" s="46"/>
      <c r="T138" s="46"/>
      <c r="U138" s="46"/>
      <c r="V138" s="46"/>
      <c r="W138" s="46"/>
      <c r="X138" s="46"/>
      <c r="Y138" s="46"/>
      <c r="Z138" s="46"/>
      <c r="AA138" s="46"/>
      <c r="AB138" s="3"/>
    </row>
    <row r="139" spans="1:28" s="5" customFormat="1" x14ac:dyDescent="0.25">
      <c r="A139" s="150">
        <f>1</f>
        <v>1</v>
      </c>
      <c r="B139" s="129" t="str">
        <f>структура!$J$13</f>
        <v>УСН(6%)</v>
      </c>
      <c r="C139" s="3"/>
      <c r="D139" s="3"/>
      <c r="E139" s="89" t="str">
        <f>E137</f>
        <v>прибыль</v>
      </c>
      <c r="F139" s="89"/>
      <c r="G139" s="89" t="str">
        <f>IF($E139="","",INDEX(KPI!$G:$G,SUMIFS(KPI!$B:$B,KPI!$E:$E,$E139)))</f>
        <v>тыс.руб.</v>
      </c>
      <c r="H139" s="89"/>
      <c r="I139" s="90"/>
      <c r="J139" s="89"/>
      <c r="K139" s="90"/>
      <c r="L139" s="89"/>
      <c r="M139" s="92">
        <f>SUM($O139:$AB139)</f>
        <v>58534.205853924715</v>
      </c>
      <c r="N139" s="3"/>
      <c r="O139" s="3"/>
      <c r="P139" s="93">
        <f>IF(P$1="",0,P18-P28-P119-P129)</f>
        <v>5842.8798043518836</v>
      </c>
      <c r="Q139" s="93">
        <f t="shared" ref="Q139:AA139" si="3">IF(Q$1="",0,Q18-Q28-Q119-Q129)</f>
        <v>6362.3088043518828</v>
      </c>
      <c r="R139" s="93">
        <f t="shared" si="3"/>
        <v>7350.666159736501</v>
      </c>
      <c r="S139" s="93">
        <f t="shared" si="3"/>
        <v>8044.7936581980375</v>
      </c>
      <c r="T139" s="93">
        <f t="shared" si="3"/>
        <v>8842.9406581980365</v>
      </c>
      <c r="U139" s="93">
        <f t="shared" si="3"/>
        <v>10414.373911274957</v>
      </c>
      <c r="V139" s="93">
        <f t="shared" si="3"/>
        <v>11676.242857813422</v>
      </c>
      <c r="W139" s="93">
        <f t="shared" si="3"/>
        <v>0</v>
      </c>
      <c r="X139" s="93">
        <f t="shared" si="3"/>
        <v>0</v>
      </c>
      <c r="Y139" s="93">
        <f t="shared" si="3"/>
        <v>0</v>
      </c>
      <c r="Z139" s="93">
        <f t="shared" si="3"/>
        <v>0</v>
      </c>
      <c r="AA139" s="93">
        <f t="shared" si="3"/>
        <v>0</v>
      </c>
      <c r="AB139" s="3"/>
    </row>
    <row r="140" spans="1:28" s="5" customFormat="1" ht="3.9" customHeight="1" x14ac:dyDescent="0.25">
      <c r="A140" s="150">
        <f>1</f>
        <v>1</v>
      </c>
      <c r="B140" s="128"/>
      <c r="C140" s="3"/>
      <c r="D140" s="3"/>
      <c r="E140" s="3"/>
      <c r="F140" s="3"/>
      <c r="G140" s="3"/>
      <c r="H140" s="3"/>
      <c r="I140" s="28"/>
      <c r="J140" s="3"/>
      <c r="K140" s="28"/>
      <c r="L140" s="3"/>
      <c r="M140" s="55"/>
      <c r="N140" s="3"/>
      <c r="O140" s="3"/>
      <c r="P140" s="46"/>
      <c r="Q140" s="46"/>
      <c r="R140" s="46"/>
      <c r="S140" s="46"/>
      <c r="T140" s="46"/>
      <c r="U140" s="46"/>
      <c r="V140" s="46"/>
      <c r="W140" s="46"/>
      <c r="X140" s="46"/>
      <c r="Y140" s="46"/>
      <c r="Z140" s="46"/>
      <c r="AA140" s="46"/>
      <c r="AB140" s="3"/>
    </row>
    <row r="141" spans="1:28" s="5" customFormat="1" x14ac:dyDescent="0.25">
      <c r="A141" s="150">
        <f>1</f>
        <v>1</v>
      </c>
      <c r="B141" s="129" t="str">
        <f>структура!$J$14</f>
        <v>УСН(15%)</v>
      </c>
      <c r="C141" s="3"/>
      <c r="D141" s="3"/>
      <c r="E141" s="89" t="str">
        <f>E137</f>
        <v>прибыль</v>
      </c>
      <c r="F141" s="89"/>
      <c r="G141" s="89" t="str">
        <f>IF($E141="","",INDEX(KPI!$G:$G,SUMIFS(KPI!$B:$B,KPI!$E:$E,$E141)))</f>
        <v>тыс.руб.</v>
      </c>
      <c r="H141" s="89"/>
      <c r="I141" s="90"/>
      <c r="J141" s="89"/>
      <c r="K141" s="90"/>
      <c r="L141" s="89"/>
      <c r="M141" s="92">
        <f>SUM($O141:$AB141)</f>
        <v>51478.551995412934</v>
      </c>
      <c r="N141" s="3"/>
      <c r="O141" s="3"/>
      <c r="P141" s="93">
        <f>IF(P$1="",0,P20-P30-P121-P131)</f>
        <v>5052.2069257815183</v>
      </c>
      <c r="Q141" s="93">
        <f t="shared" ref="Q141:AA141" si="4">IF(Q$1="",0,Q20-Q30-Q121-Q131)</f>
        <v>5509.8745507815174</v>
      </c>
      <c r="R141" s="93">
        <f t="shared" si="4"/>
        <v>6374.9592699738278</v>
      </c>
      <c r="S141" s="93">
        <f t="shared" si="4"/>
        <v>6980.369114050749</v>
      </c>
      <c r="T141" s="93">
        <f t="shared" si="4"/>
        <v>7683.0235265507481</v>
      </c>
      <c r="U141" s="93">
        <f t="shared" si="4"/>
        <v>9085.5242291661325</v>
      </c>
      <c r="V141" s="93">
        <f t="shared" si="4"/>
        <v>10792.594379108441</v>
      </c>
      <c r="W141" s="93">
        <f t="shared" si="4"/>
        <v>0</v>
      </c>
      <c r="X141" s="93">
        <f t="shared" si="4"/>
        <v>0</v>
      </c>
      <c r="Y141" s="93">
        <f t="shared" si="4"/>
        <v>0</v>
      </c>
      <c r="Z141" s="93">
        <f t="shared" si="4"/>
        <v>0</v>
      </c>
      <c r="AA141" s="93">
        <f t="shared" si="4"/>
        <v>0</v>
      </c>
      <c r="AB141" s="3"/>
    </row>
    <row r="142" spans="1:28" s="5" customFormat="1" ht="3.9" customHeight="1" x14ac:dyDescent="0.25">
      <c r="A142" s="150">
        <f>1</f>
        <v>1</v>
      </c>
      <c r="B142" s="128"/>
      <c r="C142" s="3"/>
      <c r="D142" s="3"/>
      <c r="E142" s="3"/>
      <c r="F142" s="3"/>
      <c r="G142" s="3"/>
      <c r="H142" s="3"/>
      <c r="I142" s="28"/>
      <c r="J142" s="3"/>
      <c r="K142" s="28"/>
      <c r="L142" s="3"/>
      <c r="M142" s="55"/>
      <c r="N142" s="3"/>
      <c r="O142" s="3"/>
      <c r="P142" s="46"/>
      <c r="Q142" s="46"/>
      <c r="R142" s="46"/>
      <c r="S142" s="46"/>
      <c r="T142" s="46"/>
      <c r="U142" s="46"/>
      <c r="V142" s="46"/>
      <c r="W142" s="46"/>
      <c r="X142" s="46"/>
      <c r="Y142" s="46"/>
      <c r="Z142" s="46"/>
      <c r="AA142" s="46"/>
      <c r="AB142" s="3"/>
    </row>
    <row r="143" spans="1:28" s="5" customFormat="1" x14ac:dyDescent="0.25">
      <c r="A143" s="150">
        <f>1</f>
        <v>1</v>
      </c>
      <c r="B143" s="129" t="str">
        <f>структура!$J$15</f>
        <v>УСН(6%)-ИП</v>
      </c>
      <c r="C143" s="3"/>
      <c r="D143" s="3"/>
      <c r="E143" s="89" t="str">
        <f>E137</f>
        <v>прибыль</v>
      </c>
      <c r="F143" s="89"/>
      <c r="G143" s="89" t="str">
        <f>IF($E143="","",INDEX(KPI!$G:$G,SUMIFS(KPI!$B:$B,KPI!$E:$E,$E143)))</f>
        <v>тыс.руб.</v>
      </c>
      <c r="H143" s="89"/>
      <c r="I143" s="90"/>
      <c r="J143" s="89"/>
      <c r="K143" s="90"/>
      <c r="L143" s="89"/>
      <c r="M143" s="92">
        <f>SUM($O143:$AB143)</f>
        <v>60705.539600078562</v>
      </c>
      <c r="N143" s="3"/>
      <c r="O143" s="3"/>
      <c r="P143" s="93">
        <f>IF(P$1="",0,P22-P32-P123-P133)</f>
        <v>6352.2360851211142</v>
      </c>
      <c r="Q143" s="93">
        <f t="shared" ref="Q143:AA143" si="5">IF(Q$1="",0,Q22-Q32-Q123-Q133)</f>
        <v>6890.6685851211132</v>
      </c>
      <c r="R143" s="93">
        <f t="shared" si="5"/>
        <v>7908.4153135826546</v>
      </c>
      <c r="S143" s="93">
        <f t="shared" si="5"/>
        <v>8620.6621889672679</v>
      </c>
      <c r="T143" s="93">
        <f t="shared" si="5"/>
        <v>8842.9406581980365</v>
      </c>
      <c r="U143" s="93">
        <f t="shared" si="5"/>
        <v>10414.373911274957</v>
      </c>
      <c r="V143" s="93">
        <f t="shared" si="5"/>
        <v>11676.242857813422</v>
      </c>
      <c r="W143" s="93">
        <f t="shared" si="5"/>
        <v>0</v>
      </c>
      <c r="X143" s="93">
        <f t="shared" si="5"/>
        <v>0</v>
      </c>
      <c r="Y143" s="93">
        <f t="shared" si="5"/>
        <v>0</v>
      </c>
      <c r="Z143" s="93">
        <f t="shared" si="5"/>
        <v>0</v>
      </c>
      <c r="AA143" s="93">
        <f t="shared" si="5"/>
        <v>0</v>
      </c>
      <c r="AB143" s="3"/>
    </row>
    <row r="144" spans="1:28" ht="3.9" customHeight="1" x14ac:dyDescent="0.25">
      <c r="A144" s="149">
        <f>1</f>
        <v>1</v>
      </c>
      <c r="B144" s="131"/>
      <c r="C144" s="2"/>
      <c r="D144" s="2"/>
      <c r="E144" s="117"/>
      <c r="F144" s="2"/>
      <c r="G144" s="117"/>
      <c r="H144" s="2"/>
      <c r="I144" s="28"/>
      <c r="J144" s="2"/>
      <c r="K144" s="28"/>
      <c r="L144" s="2"/>
      <c r="M144" s="138"/>
      <c r="N144" s="2"/>
      <c r="O144" s="2"/>
      <c r="P144" s="36"/>
      <c r="Q144" s="36"/>
      <c r="R144" s="36"/>
      <c r="S144" s="36"/>
      <c r="T144" s="36"/>
      <c r="U144" s="36"/>
      <c r="V144" s="36"/>
      <c r="W144" s="36"/>
      <c r="X144" s="36"/>
      <c r="Y144" s="36"/>
      <c r="Z144" s="36"/>
      <c r="AA144" s="36"/>
      <c r="AB144" s="2"/>
    </row>
    <row r="145" spans="1:28" ht="8.1" customHeight="1" x14ac:dyDescent="0.25">
      <c r="A145" s="149">
        <f>1</f>
        <v>1</v>
      </c>
      <c r="B145" s="131"/>
      <c r="C145" s="2"/>
      <c r="D145" s="2"/>
      <c r="E145" s="2"/>
      <c r="F145" s="2"/>
      <c r="G145" s="2"/>
      <c r="H145" s="2"/>
      <c r="I145" s="28"/>
      <c r="J145" s="2"/>
      <c r="K145" s="28"/>
      <c r="L145" s="2"/>
      <c r="M145" s="52"/>
      <c r="N145" s="2"/>
      <c r="O145" s="2"/>
      <c r="P145" s="36"/>
      <c r="Q145" s="36"/>
      <c r="R145" s="36"/>
      <c r="S145" s="36"/>
      <c r="T145" s="36"/>
      <c r="U145" s="36"/>
      <c r="V145" s="36"/>
      <c r="W145" s="36"/>
      <c r="X145" s="36"/>
      <c r="Y145" s="36"/>
      <c r="Z145" s="36"/>
      <c r="AA145" s="36"/>
      <c r="AB145" s="2"/>
    </row>
    <row r="146" spans="1:28" s="5" customFormat="1" x14ac:dyDescent="0.25">
      <c r="A146" s="150">
        <f>1</f>
        <v>1</v>
      </c>
      <c r="B146" s="131"/>
      <c r="C146" s="3"/>
      <c r="D146" s="3"/>
      <c r="E146" s="3"/>
      <c r="F146" s="3"/>
      <c r="G146" s="3"/>
      <c r="H146" s="3"/>
      <c r="I146" s="28"/>
      <c r="J146" s="3"/>
      <c r="K146" s="28"/>
      <c r="L146" s="3"/>
      <c r="M146" s="55"/>
      <c r="N146" s="3"/>
      <c r="O146" s="3"/>
      <c r="P146" s="46"/>
      <c r="Q146" s="46"/>
      <c r="R146" s="46"/>
      <c r="S146" s="46"/>
      <c r="T146" s="46"/>
      <c r="U146" s="46"/>
      <c r="V146" s="46"/>
      <c r="W146" s="46"/>
      <c r="X146" s="46"/>
      <c r="Y146" s="46"/>
      <c r="Z146" s="46"/>
      <c r="AA146" s="46"/>
      <c r="AB146" s="3"/>
    </row>
    <row r="147" spans="1:28" ht="3.9" customHeight="1" x14ac:dyDescent="0.25">
      <c r="A147" s="149">
        <f>1</f>
        <v>1</v>
      </c>
      <c r="B147" s="131"/>
      <c r="C147" s="2"/>
      <c r="D147" s="2"/>
      <c r="E147" s="2"/>
      <c r="F147" s="2"/>
      <c r="G147" s="2"/>
      <c r="H147" s="2"/>
      <c r="I147" s="28"/>
      <c r="J147" s="2"/>
      <c r="K147" s="28"/>
      <c r="L147" s="2"/>
      <c r="M147" s="52"/>
      <c r="N147" s="2"/>
      <c r="O147" s="2"/>
      <c r="P147" s="36"/>
      <c r="Q147" s="36"/>
      <c r="R147" s="36"/>
      <c r="S147" s="36"/>
      <c r="T147" s="36"/>
      <c r="U147" s="36"/>
      <c r="V147" s="36"/>
      <c r="W147" s="36"/>
      <c r="X147" s="36"/>
      <c r="Y147" s="36"/>
      <c r="Z147" s="36"/>
      <c r="AA147" s="36"/>
      <c r="AB147" s="2"/>
    </row>
    <row r="148" spans="1:28" s="5" customFormat="1" x14ac:dyDescent="0.25">
      <c r="A148" s="150">
        <f>1</f>
        <v>1</v>
      </c>
      <c r="B148" s="131"/>
      <c r="C148" s="3"/>
      <c r="D148" s="3"/>
      <c r="E148" s="181" t="s">
        <v>275</v>
      </c>
      <c r="F148" s="3"/>
      <c r="G148" s="3"/>
      <c r="H148" s="3"/>
      <c r="I148" s="28"/>
      <c r="J148" s="3"/>
      <c r="K148" s="28"/>
      <c r="L148" s="3"/>
      <c r="M148" s="55"/>
      <c r="N148" s="3"/>
      <c r="O148" s="3"/>
      <c r="P148" s="46"/>
      <c r="Q148" s="46"/>
      <c r="R148" s="46"/>
      <c r="S148" s="46"/>
      <c r="T148" s="46"/>
      <c r="U148" s="46"/>
      <c r="V148" s="46"/>
      <c r="W148" s="46"/>
      <c r="X148" s="46"/>
      <c r="Y148" s="46"/>
      <c r="Z148" s="46"/>
      <c r="AA148" s="46"/>
      <c r="AB148" s="3"/>
    </row>
    <row r="149" spans="1:28" ht="3.9" customHeight="1" x14ac:dyDescent="0.25">
      <c r="A149" s="149">
        <f>1</f>
        <v>1</v>
      </c>
      <c r="B149" s="131"/>
      <c r="C149" s="2"/>
      <c r="D149" s="2"/>
      <c r="E149" s="2"/>
      <c r="F149" s="2"/>
      <c r="G149" s="2"/>
      <c r="H149" s="2"/>
      <c r="I149" s="28"/>
      <c r="J149" s="2"/>
      <c r="K149" s="28"/>
      <c r="L149" s="2"/>
      <c r="M149" s="52"/>
      <c r="N149" s="2"/>
      <c r="O149" s="2"/>
      <c r="P149" s="36"/>
      <c r="Q149" s="36"/>
      <c r="R149" s="36"/>
      <c r="S149" s="36"/>
      <c r="T149" s="36"/>
      <c r="U149" s="36"/>
      <c r="V149" s="36"/>
      <c r="W149" s="36"/>
      <c r="X149" s="36"/>
      <c r="Y149" s="36"/>
      <c r="Z149" s="36"/>
      <c r="AA149" s="36"/>
      <c r="AB149" s="2"/>
    </row>
    <row r="150" spans="1:28" ht="8.1" customHeight="1" x14ac:dyDescent="0.25">
      <c r="A150" s="149">
        <f>1</f>
        <v>1</v>
      </c>
      <c r="B150" s="131"/>
      <c r="C150" s="2"/>
      <c r="D150" s="2"/>
      <c r="E150" s="2"/>
      <c r="F150" s="2"/>
      <c r="G150" s="2"/>
      <c r="H150" s="2"/>
      <c r="I150" s="28"/>
      <c r="J150" s="2"/>
      <c r="K150" s="28"/>
      <c r="L150" s="2"/>
      <c r="M150" s="52"/>
      <c r="N150" s="2"/>
      <c r="O150" s="2"/>
      <c r="P150" s="36"/>
      <c r="Q150" s="36"/>
      <c r="R150" s="36"/>
      <c r="S150" s="36"/>
      <c r="T150" s="36"/>
      <c r="U150" s="36"/>
      <c r="V150" s="36"/>
      <c r="W150" s="36"/>
      <c r="X150" s="36"/>
      <c r="Y150" s="36"/>
      <c r="Z150" s="36"/>
      <c r="AA150" s="36"/>
      <c r="AB150" s="2"/>
    </row>
    <row r="151" spans="1:28" ht="3.9" customHeight="1" x14ac:dyDescent="0.25">
      <c r="A151" s="149">
        <f>1</f>
        <v>1</v>
      </c>
      <c r="B151" s="131"/>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2"/>
    </row>
    <row r="152" spans="1:28" s="157" customFormat="1" x14ac:dyDescent="0.25">
      <c r="A152" s="150">
        <f>1</f>
        <v>1</v>
      </c>
      <c r="B152" s="156" t="str">
        <f>структура!$J$12</f>
        <v>ОСНО</v>
      </c>
      <c r="C152" s="155"/>
      <c r="D152" s="155"/>
      <c r="E152" s="220" t="str">
        <f>KPI!$E$97</f>
        <v>Возмещение НДС по кап/затратам</v>
      </c>
      <c r="F152" s="220"/>
      <c r="G152" s="220" t="str">
        <f>IF($E152="","",INDEX(KPI!$G:$G,SUMIFS(KPI!$B:$B,KPI!$E:$E,$E152)))</f>
        <v>тыс.руб.</v>
      </c>
      <c r="H152" s="220"/>
      <c r="I152" s="221"/>
      <c r="J152" s="220"/>
      <c r="K152" s="221"/>
      <c r="L152" s="220"/>
      <c r="M152" s="222">
        <f>SUM($O152:$AB152)</f>
        <v>2641.7291400000004</v>
      </c>
      <c r="N152" s="155"/>
      <c r="O152" s="155"/>
      <c r="P152" s="223">
        <f>IF(P$1="",0,IF(1+опер2!$P$346=0,0,опер2!$P$346*(капитал!$M$102+капитал!$M$109)/(1+опер2!$P$346)))</f>
        <v>2641.7291400000004</v>
      </c>
      <c r="Q152" s="223"/>
      <c r="R152" s="223"/>
      <c r="S152" s="223"/>
      <c r="T152" s="223"/>
      <c r="U152" s="223"/>
      <c r="V152" s="223"/>
      <c r="W152" s="223"/>
      <c r="X152" s="223"/>
      <c r="Y152" s="223"/>
      <c r="Z152" s="223"/>
      <c r="AA152" s="223"/>
      <c r="AB152" s="155"/>
    </row>
    <row r="153" spans="1:28" ht="3.9" customHeight="1" x14ac:dyDescent="0.25">
      <c r="A153" s="149">
        <f>1</f>
        <v>1</v>
      </c>
      <c r="B153" s="131"/>
      <c r="C153" s="2"/>
      <c r="D153" s="2"/>
      <c r="E153" s="117"/>
      <c r="F153" s="2"/>
      <c r="G153" s="117"/>
      <c r="H153" s="2"/>
      <c r="I153" s="28"/>
      <c r="J153" s="2"/>
      <c r="K153" s="28"/>
      <c r="L153" s="2"/>
      <c r="M153" s="138"/>
      <c r="N153" s="2"/>
      <c r="O153" s="2"/>
      <c r="P153" s="36"/>
      <c r="Q153" s="36"/>
      <c r="R153" s="36"/>
      <c r="S153" s="36"/>
      <c r="T153" s="36"/>
      <c r="U153" s="36"/>
      <c r="V153" s="36"/>
      <c r="W153" s="36"/>
      <c r="X153" s="36"/>
      <c r="Y153" s="36"/>
      <c r="Z153" s="36"/>
      <c r="AA153" s="36"/>
      <c r="AB153" s="2"/>
    </row>
    <row r="154" spans="1:28" ht="3.9" customHeight="1" x14ac:dyDescent="0.25">
      <c r="A154" s="149">
        <f>1</f>
        <v>1</v>
      </c>
      <c r="B154" s="131"/>
      <c r="C154" s="2"/>
      <c r="D154" s="2"/>
      <c r="E154" s="2"/>
      <c r="F154" s="2"/>
      <c r="G154" s="2"/>
      <c r="H154" s="2"/>
      <c r="I154" s="28"/>
      <c r="J154" s="2"/>
      <c r="K154" s="28"/>
      <c r="L154" s="2"/>
      <c r="M154" s="52"/>
      <c r="N154" s="2"/>
      <c r="O154" s="2"/>
      <c r="P154" s="36"/>
      <c r="Q154" s="36"/>
      <c r="R154" s="36"/>
      <c r="S154" s="36"/>
      <c r="T154" s="36"/>
      <c r="U154" s="36"/>
      <c r="V154" s="36"/>
      <c r="W154" s="36"/>
      <c r="X154" s="36"/>
      <c r="Y154" s="36"/>
      <c r="Z154" s="36"/>
      <c r="AA154" s="36"/>
      <c r="AB154" s="2"/>
    </row>
    <row r="155" spans="1:28" s="5" customFormat="1" x14ac:dyDescent="0.25">
      <c r="A155" s="150">
        <f>1</f>
        <v>1</v>
      </c>
      <c r="B155" s="129" t="str">
        <f>структура!$J$12</f>
        <v>ОСНО</v>
      </c>
      <c r="C155" s="3"/>
      <c r="D155" s="3"/>
      <c r="E155" s="147" t="str">
        <f>KPI!$E$89</f>
        <v>приток денежных средств</v>
      </c>
      <c r="F155" s="147"/>
      <c r="G155" s="147" t="str">
        <f>IF($E155="","",INDEX(KPI!$G:$G,SUMIFS(KPI!$B:$B,KPI!$E:$E,$E155)))</f>
        <v>тыс.руб.</v>
      </c>
      <c r="H155" s="147"/>
      <c r="I155" s="170"/>
      <c r="J155" s="147"/>
      <c r="K155" s="170"/>
      <c r="L155" s="147"/>
      <c r="M155" s="171">
        <f>SUM($O155:$AB155)</f>
        <v>140870.69452461536</v>
      </c>
      <c r="N155" s="3"/>
      <c r="O155" s="3"/>
      <c r="P155" s="172">
        <f>IF(P$1="",0,P$16*(1+опер2!P$346)+P152)</f>
        <v>19620.271832307688</v>
      </c>
      <c r="Q155" s="172">
        <f>IF(Q$1="",0,Q$16*(1+опер2!Q$346))</f>
        <v>17611.992692307689</v>
      </c>
      <c r="R155" s="172">
        <f>IF(R$1="",0,R$16*(1+опер2!R$346))</f>
        <v>18591.63846153846</v>
      </c>
      <c r="S155" s="172">
        <f>IF(S$1="",0,S$16*(1+опер2!S$346))</f>
        <v>19195.617692307689</v>
      </c>
      <c r="T155" s="172">
        <f>IF(T$1="",0,T$16*(1+опер2!T$346))</f>
        <v>20145.792692307688</v>
      </c>
      <c r="U155" s="172">
        <f>IF(U$1="",0,U$16*(1+опер2!U$346))</f>
        <v>21729.417692307688</v>
      </c>
      <c r="V155" s="172">
        <f>IF(V$1="",0,V$16*(1+опер2!V$346))</f>
        <v>23975.963461538457</v>
      </c>
      <c r="W155" s="172">
        <f>IF(W$1="",0,W$16*(1+опер2!W$346))</f>
        <v>0</v>
      </c>
      <c r="X155" s="172">
        <f>IF(X$1="",0,X$16*(1+опер2!X$346))</f>
        <v>0</v>
      </c>
      <c r="Y155" s="172">
        <f>IF(Y$1="",0,Y$16*(1+опер2!Y$346))</f>
        <v>0</v>
      </c>
      <c r="Z155" s="172">
        <f>IF(Z$1="",0,Z$16*(1+опер2!Z$346))</f>
        <v>0</v>
      </c>
      <c r="AA155" s="172">
        <f>IF(AA$1="",0,AA$16*(1+опер2!AA$346))</f>
        <v>0</v>
      </c>
      <c r="AB155" s="3"/>
    </row>
    <row r="156" spans="1:28" s="5" customFormat="1" ht="3.9" customHeight="1" x14ac:dyDescent="0.25">
      <c r="A156" s="150">
        <f>1</f>
        <v>1</v>
      </c>
      <c r="B156" s="128"/>
      <c r="C156" s="3"/>
      <c r="D156" s="3"/>
      <c r="E156" s="3"/>
      <c r="F156" s="3"/>
      <c r="G156" s="3"/>
      <c r="H156" s="3"/>
      <c r="I156" s="28"/>
      <c r="J156" s="3"/>
      <c r="K156" s="28"/>
      <c r="L156" s="3"/>
      <c r="M156" s="55"/>
      <c r="N156" s="3"/>
      <c r="O156" s="3"/>
      <c r="P156" s="46"/>
      <c r="Q156" s="46"/>
      <c r="R156" s="46"/>
      <c r="S156" s="46"/>
      <c r="T156" s="46"/>
      <c r="U156" s="46"/>
      <c r="V156" s="46"/>
      <c r="W156" s="46"/>
      <c r="X156" s="46"/>
      <c r="Y156" s="46"/>
      <c r="Z156" s="46"/>
      <c r="AA156" s="46"/>
      <c r="AB156" s="3"/>
    </row>
    <row r="157" spans="1:28" s="5" customFormat="1" x14ac:dyDescent="0.25">
      <c r="A157" s="150">
        <f>1</f>
        <v>1</v>
      </c>
      <c r="B157" s="129" t="str">
        <f>структура!$J$13</f>
        <v>УСН(6%)</v>
      </c>
      <c r="C157" s="3"/>
      <c r="D157" s="3"/>
      <c r="E157" s="147" t="str">
        <f>E155</f>
        <v>приток денежных средств</v>
      </c>
      <c r="F157" s="147"/>
      <c r="G157" s="147" t="str">
        <f>IF($E157="","",INDEX(KPI!$G:$G,SUMIFS(KPI!$B:$B,KPI!$E:$E,$E157)))</f>
        <v>тыс.руб.</v>
      </c>
      <c r="H157" s="147"/>
      <c r="I157" s="170"/>
      <c r="J157" s="147"/>
      <c r="K157" s="170"/>
      <c r="L157" s="147"/>
      <c r="M157" s="171">
        <f>SUM($O157:$AB157)</f>
        <v>138228.96538461535</v>
      </c>
      <c r="N157" s="3"/>
      <c r="O157" s="3"/>
      <c r="P157" s="172">
        <f>IF(P$1="",0,P18)</f>
        <v>16978.542692307688</v>
      </c>
      <c r="Q157" s="172">
        <f t="shared" ref="Q157:AA157" si="6">IF(Q$1="",0,Q18)</f>
        <v>17611.992692307689</v>
      </c>
      <c r="R157" s="172">
        <f t="shared" si="6"/>
        <v>18591.63846153846</v>
      </c>
      <c r="S157" s="172">
        <f t="shared" si="6"/>
        <v>19195.617692307689</v>
      </c>
      <c r="T157" s="172">
        <f t="shared" si="6"/>
        <v>20145.792692307688</v>
      </c>
      <c r="U157" s="172">
        <f t="shared" si="6"/>
        <v>21729.417692307688</v>
      </c>
      <c r="V157" s="172">
        <f t="shared" si="6"/>
        <v>23975.963461538457</v>
      </c>
      <c r="W157" s="172">
        <f t="shared" si="6"/>
        <v>0</v>
      </c>
      <c r="X157" s="172">
        <f t="shared" si="6"/>
        <v>0</v>
      </c>
      <c r="Y157" s="172">
        <f t="shared" si="6"/>
        <v>0</v>
      </c>
      <c r="Z157" s="172">
        <f t="shared" si="6"/>
        <v>0</v>
      </c>
      <c r="AA157" s="172">
        <f t="shared" si="6"/>
        <v>0</v>
      </c>
      <c r="AB157" s="3"/>
    </row>
    <row r="158" spans="1:28" s="5" customFormat="1" ht="3.9" customHeight="1" x14ac:dyDescent="0.25">
      <c r="A158" s="150">
        <f>1</f>
        <v>1</v>
      </c>
      <c r="B158" s="128"/>
      <c r="C158" s="3"/>
      <c r="D158" s="3"/>
      <c r="E158" s="3"/>
      <c r="F158" s="3"/>
      <c r="G158" s="3"/>
      <c r="H158" s="3"/>
      <c r="I158" s="28"/>
      <c r="J158" s="3"/>
      <c r="K158" s="28"/>
      <c r="L158" s="3"/>
      <c r="M158" s="55"/>
      <c r="N158" s="3"/>
      <c r="O158" s="3"/>
      <c r="P158" s="46"/>
      <c r="Q158" s="46"/>
      <c r="R158" s="46"/>
      <c r="S158" s="46"/>
      <c r="T158" s="46"/>
      <c r="U158" s="46"/>
      <c r="V158" s="46"/>
      <c r="W158" s="46"/>
      <c r="X158" s="46"/>
      <c r="Y158" s="46"/>
      <c r="Z158" s="46"/>
      <c r="AA158" s="46"/>
      <c r="AB158" s="3"/>
    </row>
    <row r="159" spans="1:28" s="5" customFormat="1" x14ac:dyDescent="0.25">
      <c r="A159" s="150">
        <f>1</f>
        <v>1</v>
      </c>
      <c r="B159" s="129" t="str">
        <f>структура!$J$14</f>
        <v>УСН(15%)</v>
      </c>
      <c r="C159" s="3"/>
      <c r="D159" s="3"/>
      <c r="E159" s="147" t="str">
        <f>E155</f>
        <v>приток денежных средств</v>
      </c>
      <c r="F159" s="147"/>
      <c r="G159" s="147" t="str">
        <f>IF($E159="","",INDEX(KPI!$G:$G,SUMIFS(KPI!$B:$B,KPI!$E:$E,$E159)))</f>
        <v>тыс.руб.</v>
      </c>
      <c r="H159" s="147"/>
      <c r="I159" s="170"/>
      <c r="J159" s="147"/>
      <c r="K159" s="170"/>
      <c r="L159" s="147"/>
      <c r="M159" s="171">
        <f>SUM($O159:$AB159)</f>
        <v>138228.96538461535</v>
      </c>
      <c r="N159" s="3"/>
      <c r="O159" s="3"/>
      <c r="P159" s="172">
        <f>IF(P$1="",0,P20)</f>
        <v>16978.542692307688</v>
      </c>
      <c r="Q159" s="172">
        <f t="shared" ref="Q159:AA159" si="7">IF(Q$1="",0,Q20)</f>
        <v>17611.992692307689</v>
      </c>
      <c r="R159" s="172">
        <f t="shared" si="7"/>
        <v>18591.63846153846</v>
      </c>
      <c r="S159" s="172">
        <f t="shared" si="7"/>
        <v>19195.617692307689</v>
      </c>
      <c r="T159" s="172">
        <f t="shared" si="7"/>
        <v>20145.792692307688</v>
      </c>
      <c r="U159" s="172">
        <f t="shared" si="7"/>
        <v>21729.417692307688</v>
      </c>
      <c r="V159" s="172">
        <f t="shared" si="7"/>
        <v>23975.963461538457</v>
      </c>
      <c r="W159" s="172">
        <f t="shared" si="7"/>
        <v>0</v>
      </c>
      <c r="X159" s="172">
        <f t="shared" si="7"/>
        <v>0</v>
      </c>
      <c r="Y159" s="172">
        <f t="shared" si="7"/>
        <v>0</v>
      </c>
      <c r="Z159" s="172">
        <f t="shared" si="7"/>
        <v>0</v>
      </c>
      <c r="AA159" s="172">
        <f t="shared" si="7"/>
        <v>0</v>
      </c>
      <c r="AB159" s="3"/>
    </row>
    <row r="160" spans="1:28" s="5" customFormat="1" ht="3.9" customHeight="1" x14ac:dyDescent="0.25">
      <c r="A160" s="150">
        <f>1</f>
        <v>1</v>
      </c>
      <c r="B160" s="128"/>
      <c r="C160" s="3"/>
      <c r="D160" s="3"/>
      <c r="E160" s="3"/>
      <c r="F160" s="3"/>
      <c r="G160" s="3"/>
      <c r="H160" s="3"/>
      <c r="I160" s="28"/>
      <c r="J160" s="3"/>
      <c r="K160" s="28"/>
      <c r="L160" s="3"/>
      <c r="M160" s="55"/>
      <c r="N160" s="3"/>
      <c r="O160" s="3"/>
      <c r="P160" s="46"/>
      <c r="Q160" s="46"/>
      <c r="R160" s="46"/>
      <c r="S160" s="46"/>
      <c r="T160" s="46"/>
      <c r="U160" s="46"/>
      <c r="V160" s="46"/>
      <c r="W160" s="46"/>
      <c r="X160" s="46"/>
      <c r="Y160" s="46"/>
      <c r="Z160" s="46"/>
      <c r="AA160" s="46"/>
      <c r="AB160" s="3"/>
    </row>
    <row r="161" spans="1:28" s="5" customFormat="1" x14ac:dyDescent="0.25">
      <c r="A161" s="150">
        <f>1</f>
        <v>1</v>
      </c>
      <c r="B161" s="129" t="str">
        <f>структура!$J$15</f>
        <v>УСН(6%)-ИП</v>
      </c>
      <c r="C161" s="3"/>
      <c r="D161" s="3"/>
      <c r="E161" s="147" t="str">
        <f>E155</f>
        <v>приток денежных средств</v>
      </c>
      <c r="F161" s="147"/>
      <c r="G161" s="147" t="str">
        <f>IF($E161="","",INDEX(KPI!$G:$G,SUMIFS(KPI!$B:$B,KPI!$E:$E,$E161)))</f>
        <v>тыс.руб.</v>
      </c>
      <c r="H161" s="147"/>
      <c r="I161" s="170"/>
      <c r="J161" s="147"/>
      <c r="K161" s="170"/>
      <c r="L161" s="147"/>
      <c r="M161" s="171">
        <f>SUM($O161:$AB161)</f>
        <v>138228.96538461535</v>
      </c>
      <c r="N161" s="3"/>
      <c r="O161" s="3"/>
      <c r="P161" s="172">
        <f>IF(P$1="",0,P22)</f>
        <v>16978.542692307688</v>
      </c>
      <c r="Q161" s="172">
        <f t="shared" ref="Q161:AA161" si="8">IF(Q$1="",0,Q22)</f>
        <v>17611.992692307689</v>
      </c>
      <c r="R161" s="172">
        <f t="shared" si="8"/>
        <v>18591.63846153846</v>
      </c>
      <c r="S161" s="172">
        <f t="shared" si="8"/>
        <v>19195.617692307689</v>
      </c>
      <c r="T161" s="172">
        <f t="shared" si="8"/>
        <v>20145.792692307688</v>
      </c>
      <c r="U161" s="172">
        <f t="shared" si="8"/>
        <v>21729.417692307688</v>
      </c>
      <c r="V161" s="172">
        <f t="shared" si="8"/>
        <v>23975.963461538457</v>
      </c>
      <c r="W161" s="172">
        <f t="shared" si="8"/>
        <v>0</v>
      </c>
      <c r="X161" s="172">
        <f t="shared" si="8"/>
        <v>0</v>
      </c>
      <c r="Y161" s="172">
        <f t="shared" si="8"/>
        <v>0</v>
      </c>
      <c r="Z161" s="172">
        <f t="shared" si="8"/>
        <v>0</v>
      </c>
      <c r="AA161" s="172">
        <f t="shared" si="8"/>
        <v>0</v>
      </c>
      <c r="AB161" s="3"/>
    </row>
    <row r="162" spans="1:28" ht="3.9" customHeight="1" x14ac:dyDescent="0.25">
      <c r="A162" s="149">
        <f>1</f>
        <v>1</v>
      </c>
      <c r="B162" s="131"/>
      <c r="C162" s="2"/>
      <c r="D162" s="2"/>
      <c r="E162" s="117"/>
      <c r="F162" s="2"/>
      <c r="G162" s="117"/>
      <c r="H162" s="2"/>
      <c r="I162" s="28"/>
      <c r="J162" s="2"/>
      <c r="K162" s="28"/>
      <c r="L162" s="2"/>
      <c r="M162" s="138"/>
      <c r="N162" s="2"/>
      <c r="O162" s="2"/>
      <c r="P162" s="36"/>
      <c r="Q162" s="36"/>
      <c r="R162" s="36"/>
      <c r="S162" s="36"/>
      <c r="T162" s="36"/>
      <c r="U162" s="36"/>
      <c r="V162" s="36"/>
      <c r="W162" s="36"/>
      <c r="X162" s="36"/>
      <c r="Y162" s="36"/>
      <c r="Z162" s="36"/>
      <c r="AA162" s="36"/>
      <c r="AB162" s="2"/>
    </row>
    <row r="163" spans="1:28" ht="8.1" customHeight="1" x14ac:dyDescent="0.25">
      <c r="A163" s="149">
        <f>1</f>
        <v>1</v>
      </c>
      <c r="B163" s="131"/>
      <c r="C163" s="2"/>
      <c r="D163" s="2"/>
      <c r="E163" s="2"/>
      <c r="F163" s="2"/>
      <c r="G163" s="2"/>
      <c r="H163" s="2"/>
      <c r="I163" s="28"/>
      <c r="J163" s="2"/>
      <c r="K163" s="28"/>
      <c r="L163" s="2"/>
      <c r="M163" s="52"/>
      <c r="N163" s="2"/>
      <c r="O163" s="2"/>
      <c r="P163" s="36"/>
      <c r="Q163" s="36"/>
      <c r="R163" s="36"/>
      <c r="S163" s="36"/>
      <c r="T163" s="36"/>
      <c r="U163" s="36"/>
      <c r="V163" s="36"/>
      <c r="W163" s="36"/>
      <c r="X163" s="36"/>
      <c r="Y163" s="36"/>
      <c r="Z163" s="36"/>
      <c r="AA163" s="36"/>
      <c r="AB163" s="2"/>
    </row>
    <row r="164" spans="1:28" ht="3.9" customHeight="1" x14ac:dyDescent="0.25">
      <c r="A164" s="149">
        <f>1</f>
        <v>1</v>
      </c>
      <c r="B164" s="131"/>
      <c r="C164" s="2"/>
      <c r="D164" s="2"/>
      <c r="E164" s="2"/>
      <c r="F164" s="2"/>
      <c r="G164" s="2"/>
      <c r="H164" s="2"/>
      <c r="I164" s="28"/>
      <c r="J164" s="2"/>
      <c r="K164" s="28"/>
      <c r="L164" s="2"/>
      <c r="M164" s="52"/>
      <c r="N164" s="2"/>
      <c r="O164" s="2"/>
      <c r="P164" s="36"/>
      <c r="Q164" s="36"/>
      <c r="R164" s="36"/>
      <c r="S164" s="36"/>
      <c r="T164" s="36"/>
      <c r="U164" s="36"/>
      <c r="V164" s="36"/>
      <c r="W164" s="36"/>
      <c r="X164" s="36"/>
      <c r="Y164" s="36"/>
      <c r="Z164" s="36"/>
      <c r="AA164" s="36"/>
      <c r="AB164" s="2"/>
    </row>
    <row r="165" spans="1:28" s="5" customFormat="1" x14ac:dyDescent="0.25">
      <c r="A165" s="150">
        <f>1</f>
        <v>1</v>
      </c>
      <c r="B165" s="129" t="str">
        <f>структура!$J$12</f>
        <v>ОСНО</v>
      </c>
      <c r="C165" s="3"/>
      <c r="D165" s="3"/>
      <c r="E165" s="173" t="str">
        <f>KPI!$E$90</f>
        <v>отток денежных средств</v>
      </c>
      <c r="F165" s="173"/>
      <c r="G165" s="173" t="str">
        <f>IF($E165="","",INDEX(KPI!$G:$G,SUMIFS(KPI!$B:$B,KPI!$E:$E,$E165)))</f>
        <v>тыс.руб.</v>
      </c>
      <c r="H165" s="173"/>
      <c r="I165" s="174"/>
      <c r="J165" s="173"/>
      <c r="K165" s="174"/>
      <c r="L165" s="173"/>
      <c r="M165" s="175">
        <f>SUM($O165:$AB165)</f>
        <v>80295.162527050081</v>
      </c>
      <c r="N165" s="3"/>
      <c r="O165" s="3"/>
      <c r="P165" s="176">
        <f>IF(P$1="",0,опер2!P$157+опер2!P$190+опер2!P$240+опер2!P$260+опер2!P$293+опер2!P$311+опер2!P$329)</f>
        <v>8228.8862700437166</v>
      </c>
      <c r="Q165" s="176">
        <f>IF(Q$1="",0,опер2!Q$157+опер2!Q$190+опер2!Q$240+опер2!Q$260+опер2!Q$293+опер2!Q$311+опер2!Q$329+P$16*опер2!P$346-P$107+P$127)</f>
        <v>11295.273987941229</v>
      </c>
      <c r="R165" s="176">
        <f>IF(R$1="",0,опер2!R$157+опер2!R$190+опер2!R$240+опер2!R$260+опер2!R$293+опер2!R$311+опер2!R$329+Q$16*опер2!Q$346-Q$107+Q$127)</f>
        <v>11436.650528710463</v>
      </c>
      <c r="S165" s="176">
        <f>IF(S$1="",0,опер2!S$157+опер2!S$190+опер2!S$240+опер2!S$260+опер2!S$293+опер2!S$311+опер2!S$329+R$16*опер2!R$346-R$107+R$127)</f>
        <v>11667.631793582257</v>
      </c>
      <c r="T165" s="176">
        <f>IF(T$1="",0,опер2!T$157+опер2!T$190+опер2!T$240+опер2!T$260+опер2!T$293+опер2!T$311+опер2!T$329+S$16*опер2!S$346-S$107+S$127)</f>
        <v>12028.570168710461</v>
      </c>
      <c r="U165" s="176">
        <f>IF(U$1="",0,опер2!U$157+опер2!U$190+опер2!U$240+опер2!U$260+опер2!U$293+опер2!U$311+опер2!U$329+T$16*опер2!T$346-T$107+T$127)</f>
        <v>12444.803915633538</v>
      </c>
      <c r="V165" s="176">
        <f>IF(V$1="",0,опер2!V$157+опер2!V$190+опер2!V$240+опер2!V$260+опер2!V$293+опер2!V$311+опер2!V$329+U$16*опер2!U$346-U$107+U$127)</f>
        <v>13193.34586242841</v>
      </c>
      <c r="W165" s="176">
        <f>IF(W$1="",0,опер2!W$157+опер2!W$190+опер2!W$240+опер2!W$260+опер2!W$293+опер2!W$311+опер2!W$329+V$16*опер2!V$346-V$107+V$127)</f>
        <v>0</v>
      </c>
      <c r="X165" s="176">
        <f>IF(X$1="",0,опер2!X$157+опер2!X$190+опер2!X$240+опер2!X$260+опер2!X$293+опер2!X$311+опер2!X$329+W$16*опер2!W$346-W$107+W$127)</f>
        <v>0</v>
      </c>
      <c r="Y165" s="176">
        <f>IF(Y$1="",0,опер2!Y$157+опер2!Y$190+опер2!Y$240+опер2!Y$260+опер2!Y$293+опер2!Y$311+опер2!Y$329+X$16*опер2!X$346-X$107+X$127)</f>
        <v>0</v>
      </c>
      <c r="Z165" s="176">
        <f>IF(Z$1="",0,опер2!Z$157+опер2!Z$190+опер2!Z$240+опер2!Z$260+опер2!Z$293+опер2!Z$311+опер2!Z$329+Y$16*опер2!Y$346-Y$107+Y$127)</f>
        <v>0</v>
      </c>
      <c r="AA165" s="176">
        <f>IF(AA$1="",0,опер2!AA$157+опер2!AA$190+опер2!AA$240+опер2!AA$260+опер2!AA$293+опер2!AA$311+опер2!AA$329+Z$16*опер2!Z$346-Z$107+Z$127)</f>
        <v>0</v>
      </c>
      <c r="AB165" s="3"/>
    </row>
    <row r="166" spans="1:28" s="5" customFormat="1" ht="3.9" customHeight="1" x14ac:dyDescent="0.25">
      <c r="A166" s="150">
        <f>1</f>
        <v>1</v>
      </c>
      <c r="B166" s="128"/>
      <c r="C166" s="3"/>
      <c r="D166" s="3"/>
      <c r="E166" s="3"/>
      <c r="F166" s="3"/>
      <c r="G166" s="3"/>
      <c r="H166" s="3"/>
      <c r="I166" s="28"/>
      <c r="J166" s="3"/>
      <c r="K166" s="28"/>
      <c r="L166" s="3"/>
      <c r="M166" s="55"/>
      <c r="N166" s="3"/>
      <c r="O166" s="3"/>
      <c r="P166" s="46"/>
      <c r="Q166" s="46"/>
      <c r="R166" s="46"/>
      <c r="S166" s="46"/>
      <c r="T166" s="46"/>
      <c r="U166" s="46"/>
      <c r="V166" s="46"/>
      <c r="W166" s="46"/>
      <c r="X166" s="46"/>
      <c r="Y166" s="46"/>
      <c r="Z166" s="46"/>
      <c r="AA166" s="46"/>
      <c r="AB166" s="3"/>
    </row>
    <row r="167" spans="1:28" s="5" customFormat="1" x14ac:dyDescent="0.25">
      <c r="A167" s="150">
        <f>1</f>
        <v>1</v>
      </c>
      <c r="B167" s="129" t="str">
        <f>структура!$J$13</f>
        <v>УСН(6%)</v>
      </c>
      <c r="C167" s="3"/>
      <c r="D167" s="3"/>
      <c r="E167" s="173" t="str">
        <f>E165</f>
        <v>отток денежных средств</v>
      </c>
      <c r="F167" s="173"/>
      <c r="G167" s="173" t="str">
        <f>IF($E167="","",INDEX(KPI!$G:$G,SUMIFS(KPI!$B:$B,KPI!$E:$E,$E167)))</f>
        <v>тыс.руб.</v>
      </c>
      <c r="H167" s="173"/>
      <c r="I167" s="174"/>
      <c r="J167" s="173"/>
      <c r="K167" s="174"/>
      <c r="L167" s="173"/>
      <c r="M167" s="175">
        <f>SUM($O167:$AB167)</f>
        <v>62363.257922998324</v>
      </c>
      <c r="N167" s="3"/>
      <c r="O167" s="3"/>
      <c r="P167" s="176">
        <f>IF(P$1="",0,опер2!P$157+опер2!P$190+опер2!P$240+опер2!P$260+опер2!P$293+опер2!P$311+опер2!P$329)</f>
        <v>8228.8862700437166</v>
      </c>
      <c r="Q167" s="176">
        <f>IF(Q$1="",0,опер2!Q$157+опер2!Q$190+опер2!Q$240+опер2!Q$260+опер2!Q$293+опер2!Q$311+опер2!Q$329+P$129)</f>
        <v>8916.0554108129472</v>
      </c>
      <c r="R167" s="176">
        <f>IF(R$1="",0,опер2!R$157+опер2!R$190+опер2!R$240+опер2!R$260+опер2!R$293+опер2!R$311+опер2!R$329+Q$129)</f>
        <v>8896.9579515821788</v>
      </c>
      <c r="S167" s="176">
        <f>IF(S$1="",0,опер2!S$157+опер2!S$190+опер2!S$240+опер2!S$260+опер2!S$293+опер2!S$311+опер2!S$329+R$129)</f>
        <v>8818.0796800437165</v>
      </c>
      <c r="T167" s="176">
        <f>IF(T$1="",0,опер2!T$157+опер2!T$190+опер2!T$240+опер2!T$260+опер2!T$293+опер2!T$311+опер2!T$329+S$129)</f>
        <v>8959.7218069667924</v>
      </c>
      <c r="U167" s="176">
        <f>IF(U$1="",0,опер2!U$157+опер2!U$190+опер2!U$240+опер2!U$260+опер2!U$293+опер2!U$311+опер2!U$329+T$129)</f>
        <v>9128.9100538898711</v>
      </c>
      <c r="V167" s="176">
        <f>IF(V$1="",0,опер2!V$157+опер2!V$190+опер2!V$240+опер2!V$260+опер2!V$293+опер2!V$311+опер2!V$329+U$129)</f>
        <v>9414.6467496591031</v>
      </c>
      <c r="W167" s="176">
        <f>IF(W$1="",0,опер2!W$157+опер2!W$190+опер2!W$240+опер2!W$260+опер2!W$293+опер2!W$311+опер2!W$329+V$129)</f>
        <v>0</v>
      </c>
      <c r="X167" s="176">
        <f>IF(X$1="",0,опер2!X$157+опер2!X$190+опер2!X$240+опер2!X$260+опер2!X$293+опер2!X$311+опер2!X$329+W$129)</f>
        <v>0</v>
      </c>
      <c r="Y167" s="176">
        <f>IF(Y$1="",0,опер2!Y$157+опер2!Y$190+опер2!Y$240+опер2!Y$260+опер2!Y$293+опер2!Y$311+опер2!Y$329+X$129)</f>
        <v>0</v>
      </c>
      <c r="Z167" s="176">
        <f>IF(Z$1="",0,опер2!Z$157+опер2!Z$190+опер2!Z$240+опер2!Z$260+опер2!Z$293+опер2!Z$311+опер2!Z$329+Y$129)</f>
        <v>0</v>
      </c>
      <c r="AA167" s="176">
        <f>IF(AA$1="",0,опер2!AA$157+опер2!AA$190+опер2!AA$240+опер2!AA$260+опер2!AA$293+опер2!AA$311+опер2!AA$329+Z$129)</f>
        <v>0</v>
      </c>
      <c r="AB167" s="3"/>
    </row>
    <row r="168" spans="1:28" s="5" customFormat="1" ht="3.9" customHeight="1" x14ac:dyDescent="0.25">
      <c r="A168" s="150">
        <f>1</f>
        <v>1</v>
      </c>
      <c r="B168" s="128"/>
      <c r="C168" s="3"/>
      <c r="D168" s="3"/>
      <c r="E168" s="3"/>
      <c r="F168" s="3"/>
      <c r="G168" s="3"/>
      <c r="H168" s="3"/>
      <c r="I168" s="28"/>
      <c r="J168" s="3"/>
      <c r="K168" s="28"/>
      <c r="L168" s="3"/>
      <c r="M168" s="55"/>
      <c r="N168" s="3"/>
      <c r="O168" s="3"/>
      <c r="P168" s="46"/>
      <c r="Q168" s="46"/>
      <c r="R168" s="46"/>
      <c r="S168" s="46"/>
      <c r="T168" s="46"/>
      <c r="U168" s="46"/>
      <c r="V168" s="46"/>
      <c r="W168" s="46"/>
      <c r="X168" s="46"/>
      <c r="Y168" s="46"/>
      <c r="Z168" s="46"/>
      <c r="AA168" s="46"/>
      <c r="AB168" s="3"/>
    </row>
    <row r="169" spans="1:28" s="5" customFormat="1" x14ac:dyDescent="0.25">
      <c r="A169" s="150">
        <f>1</f>
        <v>1</v>
      </c>
      <c r="B169" s="129" t="str">
        <f>структура!$J$14</f>
        <v>УСН(15%)</v>
      </c>
      <c r="C169" s="3"/>
      <c r="D169" s="3"/>
      <c r="E169" s="173" t="str">
        <f>E165</f>
        <v>отток денежных средств</v>
      </c>
      <c r="F169" s="173"/>
      <c r="G169" s="173" t="str">
        <f>IF($E169="","",INDEX(KPI!$G:$G,SUMIFS(KPI!$B:$B,KPI!$E:$E,$E169)))</f>
        <v>тыс.руб.</v>
      </c>
      <c r="H169" s="173"/>
      <c r="I169" s="174"/>
      <c r="J169" s="173"/>
      <c r="K169" s="174"/>
      <c r="L169" s="173"/>
      <c r="M169" s="175">
        <f>SUM($O169:$AB169)</f>
        <v>68535.263302805135</v>
      </c>
      <c r="N169" s="3"/>
      <c r="O169" s="3"/>
      <c r="P169" s="176">
        <f>IF(P$1="",0,опер2!P$157+опер2!P$190+опер2!P$240+опер2!P$260+опер2!P$293+опер2!P$311+опер2!P$329)</f>
        <v>8228.8862700437166</v>
      </c>
      <c r="Q169" s="176">
        <f>IF(Q$1="",0,опер2!Q$157+опер2!Q$190+опер2!Q$240+опер2!Q$260+опер2!Q$293+опер2!Q$311+опер2!Q$329+P$131)</f>
        <v>9706.7282893833126</v>
      </c>
      <c r="R169" s="176">
        <f>IF(R$1="",0,опер2!R$157+опер2!R$190+опер2!R$240+опер2!R$260+опер2!R$293+опер2!R$311+опер2!R$329+Q$131)</f>
        <v>9749.3922051525424</v>
      </c>
      <c r="S169" s="176">
        <f>IF(S$1="",0,опер2!S$157+опер2!S$190+опер2!S$240+опер2!S$260+опер2!S$293+опер2!S$311+опер2!S$329+R$131)</f>
        <v>9793.7865698063888</v>
      </c>
      <c r="T169" s="176">
        <f>IF(T$1="",0,опер2!T$157+опер2!T$190+опер2!T$240+опер2!T$260+опер2!T$293+опер2!T$311+опер2!T$329+S$131)</f>
        <v>10024.146351114081</v>
      </c>
      <c r="U169" s="176">
        <f>IF(U$1="",0,опер2!U$157+опер2!U$190+опер2!U$240+опер2!U$260+опер2!U$293+опер2!U$311+опер2!U$329+T$131)</f>
        <v>10288.827185537159</v>
      </c>
      <c r="V169" s="176">
        <f>IF(V$1="",0,опер2!V$157+опер2!V$190+опер2!V$240+опер2!V$260+опер2!V$293+опер2!V$311+опер2!V$329+U$131)</f>
        <v>10743.496431767928</v>
      </c>
      <c r="W169" s="176">
        <f>IF(W$1="",0,опер2!W$157+опер2!W$190+опер2!W$240+опер2!W$260+опер2!W$293+опер2!W$311+опер2!W$329+V$131)</f>
        <v>0</v>
      </c>
      <c r="X169" s="176">
        <f>IF(X$1="",0,опер2!X$157+опер2!X$190+опер2!X$240+опер2!X$260+опер2!X$293+опер2!X$311+опер2!X$329+W$131)</f>
        <v>0</v>
      </c>
      <c r="Y169" s="176">
        <f>IF(Y$1="",0,опер2!Y$157+опер2!Y$190+опер2!Y$240+опер2!Y$260+опер2!Y$293+опер2!Y$311+опер2!Y$329+X$131)</f>
        <v>0</v>
      </c>
      <c r="Z169" s="176">
        <f>IF(Z$1="",0,опер2!Z$157+опер2!Z$190+опер2!Z$240+опер2!Z$260+опер2!Z$293+опер2!Z$311+опер2!Z$329+Y$131)</f>
        <v>0</v>
      </c>
      <c r="AA169" s="176">
        <f>IF(AA$1="",0,опер2!AA$157+опер2!AA$190+опер2!AA$240+опер2!AA$260+опер2!AA$293+опер2!AA$311+опер2!AA$329+Z$131)</f>
        <v>0</v>
      </c>
      <c r="AB169" s="3"/>
    </row>
    <row r="170" spans="1:28" s="5" customFormat="1" ht="3.9" customHeight="1" x14ac:dyDescent="0.25">
      <c r="A170" s="150">
        <f>1</f>
        <v>1</v>
      </c>
      <c r="B170" s="128"/>
      <c r="C170" s="3"/>
      <c r="D170" s="3"/>
      <c r="E170" s="3"/>
      <c r="F170" s="3"/>
      <c r="G170" s="3"/>
      <c r="H170" s="3"/>
      <c r="I170" s="28"/>
      <c r="J170" s="3"/>
      <c r="K170" s="28"/>
      <c r="L170" s="3"/>
      <c r="M170" s="55"/>
      <c r="N170" s="3"/>
      <c r="O170" s="3"/>
      <c r="P170" s="46"/>
      <c r="Q170" s="46"/>
      <c r="R170" s="46"/>
      <c r="S170" s="46"/>
      <c r="T170" s="46"/>
      <c r="U170" s="46"/>
      <c r="V170" s="46"/>
      <c r="W170" s="46"/>
      <c r="X170" s="46"/>
      <c r="Y170" s="46"/>
      <c r="Z170" s="46"/>
      <c r="AA170" s="46"/>
      <c r="AB170" s="3"/>
    </row>
    <row r="171" spans="1:28" s="5" customFormat="1" x14ac:dyDescent="0.25">
      <c r="A171" s="150">
        <f>1</f>
        <v>1</v>
      </c>
      <c r="B171" s="129" t="str">
        <f>структура!$J$15</f>
        <v>УСН(6%)-ИП</v>
      </c>
      <c r="C171" s="3"/>
      <c r="D171" s="3"/>
      <c r="E171" s="173" t="str">
        <f>E165</f>
        <v>отток денежных средств</v>
      </c>
      <c r="F171" s="173"/>
      <c r="G171" s="173" t="str">
        <f>IF($E171="","",INDEX(KPI!$G:$G,SUMIFS(KPI!$B:$B,KPI!$E:$E,$E171)))</f>
        <v>тыс.руб.</v>
      </c>
      <c r="H171" s="173"/>
      <c r="I171" s="174"/>
      <c r="J171" s="173"/>
      <c r="K171" s="174"/>
      <c r="L171" s="173"/>
      <c r="M171" s="175">
        <f>SUM($O171:$AB171)</f>
        <v>60191.924176844477</v>
      </c>
      <c r="N171" s="3"/>
      <c r="O171" s="3"/>
      <c r="P171" s="176">
        <f>IF(P$1="",0,опер2!P$157+опер2!P$190+опер2!P$240+опер2!P$260+опер2!P$293+опер2!P$311+опер2!P$329)</f>
        <v>8228.8862700437166</v>
      </c>
      <c r="Q171" s="176">
        <f>IF(Q$1="",0,опер2!Q$157+опер2!Q$190+опер2!Q$240+опер2!Q$260+опер2!Q$293+опер2!Q$311+опер2!Q$329+P$133)</f>
        <v>8406.6991300437167</v>
      </c>
      <c r="R171" s="176">
        <f>IF(R$1="",0,опер2!R$157+опер2!R$190+опер2!R$240+опер2!R$260+опер2!R$293+опер2!R$311+опер2!R$329+Q$133)</f>
        <v>8368.5981708129475</v>
      </c>
      <c r="S171" s="176">
        <f>IF(S$1="",0,опер2!S$157+опер2!S$190+опер2!S$240+опер2!S$260+опер2!S$293+опер2!S$311+опер2!S$329+R$133)</f>
        <v>8260.330526197562</v>
      </c>
      <c r="T171" s="176">
        <f>IF(T$1="",0,опер2!T$157+опер2!T$190+опер2!T$240+опер2!T$260+опер2!T$293+опер2!T$311+опер2!T$329+S$133)</f>
        <v>8383.8532761975621</v>
      </c>
      <c r="U171" s="176">
        <f>IF(U$1="",0,опер2!U$157+опер2!U$190+опер2!U$240+опер2!U$260+опер2!U$293+опер2!U$311+опер2!U$329+T$133)</f>
        <v>9128.9100538898711</v>
      </c>
      <c r="V171" s="176">
        <f>IF(V$1="",0,опер2!V$157+опер2!V$190+опер2!V$240+опер2!V$260+опер2!V$293+опер2!V$311+опер2!V$329+U$133)</f>
        <v>9414.6467496591031</v>
      </c>
      <c r="W171" s="176">
        <f>IF(W$1="",0,опер2!W$157+опер2!W$190+опер2!W$240+опер2!W$260+опер2!W$293+опер2!W$311+опер2!W$329+V$133)</f>
        <v>0</v>
      </c>
      <c r="X171" s="176">
        <f>IF(X$1="",0,опер2!X$157+опер2!X$190+опер2!X$240+опер2!X$260+опер2!X$293+опер2!X$311+опер2!X$329+W$133)</f>
        <v>0</v>
      </c>
      <c r="Y171" s="176">
        <f>IF(Y$1="",0,опер2!Y$157+опер2!Y$190+опер2!Y$240+опер2!Y$260+опер2!Y$293+опер2!Y$311+опер2!Y$329+X$133)</f>
        <v>0</v>
      </c>
      <c r="Z171" s="176">
        <f>IF(Z$1="",0,опер2!Z$157+опер2!Z$190+опер2!Z$240+опер2!Z$260+опер2!Z$293+опер2!Z$311+опер2!Z$329+Y$133)</f>
        <v>0</v>
      </c>
      <c r="AA171" s="176">
        <f>IF(AA$1="",0,опер2!AA$157+опер2!AA$190+опер2!AA$240+опер2!AA$260+опер2!AA$293+опер2!AA$311+опер2!AA$329+Z$133)</f>
        <v>0</v>
      </c>
      <c r="AB171" s="3"/>
    </row>
    <row r="172" spans="1:28" ht="3.9" customHeight="1" x14ac:dyDescent="0.25">
      <c r="A172" s="149">
        <f>1</f>
        <v>1</v>
      </c>
      <c r="B172" s="131"/>
      <c r="C172" s="2"/>
      <c r="D172" s="2"/>
      <c r="E172" s="118"/>
      <c r="F172" s="2"/>
      <c r="G172" s="118"/>
      <c r="H172" s="2"/>
      <c r="I172" s="28"/>
      <c r="J172" s="2"/>
      <c r="K172" s="28"/>
      <c r="L172" s="2"/>
      <c r="M172" s="139"/>
      <c r="N172" s="2"/>
      <c r="O172" s="2"/>
      <c r="P172" s="36"/>
      <c r="Q172" s="36"/>
      <c r="R172" s="36"/>
      <c r="S172" s="36"/>
      <c r="T172" s="36"/>
      <c r="U172" s="36"/>
      <c r="V172" s="36"/>
      <c r="W172" s="36"/>
      <c r="X172" s="36"/>
      <c r="Y172" s="36"/>
      <c r="Z172" s="36"/>
      <c r="AA172" s="36"/>
      <c r="AB172" s="2"/>
    </row>
    <row r="173" spans="1:28" ht="8.1" customHeight="1" x14ac:dyDescent="0.25">
      <c r="A173" s="149">
        <f>1</f>
        <v>1</v>
      </c>
      <c r="B173" s="131"/>
      <c r="C173" s="2"/>
      <c r="D173" s="2"/>
      <c r="E173" s="2"/>
      <c r="F173" s="2"/>
      <c r="G173" s="2"/>
      <c r="H173" s="2"/>
      <c r="I173" s="28"/>
      <c r="J173" s="2"/>
      <c r="K173" s="28"/>
      <c r="L173" s="2"/>
      <c r="M173" s="52"/>
      <c r="N173" s="2"/>
      <c r="O173" s="2"/>
      <c r="P173" s="36"/>
      <c r="Q173" s="36"/>
      <c r="R173" s="36"/>
      <c r="S173" s="36"/>
      <c r="T173" s="36"/>
      <c r="U173" s="36"/>
      <c r="V173" s="36"/>
      <c r="W173" s="36"/>
      <c r="X173" s="36"/>
      <c r="Y173" s="36"/>
      <c r="Z173" s="36"/>
      <c r="AA173" s="36"/>
      <c r="AB173" s="2"/>
    </row>
    <row r="174" spans="1:28" ht="3.9" customHeight="1" x14ac:dyDescent="0.25">
      <c r="A174" s="149">
        <f>1</f>
        <v>1</v>
      </c>
      <c r="B174" s="131"/>
      <c r="C174" s="2"/>
      <c r="D174" s="2"/>
      <c r="E174" s="2"/>
      <c r="F174" s="2"/>
      <c r="G174" s="2"/>
      <c r="H174" s="2"/>
      <c r="I174" s="28"/>
      <c r="J174" s="2"/>
      <c r="K174" s="28"/>
      <c r="L174" s="2"/>
      <c r="M174" s="52"/>
      <c r="N174" s="2"/>
      <c r="O174" s="2"/>
      <c r="P174" s="36"/>
      <c r="Q174" s="36"/>
      <c r="R174" s="36"/>
      <c r="S174" s="36"/>
      <c r="T174" s="36"/>
      <c r="U174" s="36"/>
      <c r="V174" s="36"/>
      <c r="W174" s="36"/>
      <c r="X174" s="36"/>
      <c r="Y174" s="36"/>
      <c r="Z174" s="36"/>
      <c r="AA174" s="36"/>
      <c r="AB174" s="2"/>
    </row>
    <row r="175" spans="1:28" s="5" customFormat="1" x14ac:dyDescent="0.25">
      <c r="A175" s="150">
        <f>1</f>
        <v>1</v>
      </c>
      <c r="B175" s="129" t="str">
        <f>структура!$J$12</f>
        <v>ОСНО</v>
      </c>
      <c r="C175" s="3"/>
      <c r="D175" s="3"/>
      <c r="E175" s="146" t="str">
        <f>KPI!$E$91</f>
        <v>финансовый поток (CF)</v>
      </c>
      <c r="F175" s="146"/>
      <c r="G175" s="146" t="str">
        <f>IF($E175="","",INDEX(KPI!$G:$G,SUMIFS(KPI!$B:$B,KPI!$E:$E,$E175)))</f>
        <v>тыс.руб.</v>
      </c>
      <c r="H175" s="146"/>
      <c r="I175" s="177"/>
      <c r="J175" s="146"/>
      <c r="K175" s="177"/>
      <c r="L175" s="146"/>
      <c r="M175" s="178">
        <f>SUM($O175:$AB175)</f>
        <v>60575.531997565289</v>
      </c>
      <c r="N175" s="3"/>
      <c r="O175" s="3"/>
      <c r="P175" s="179">
        <f>IF(P$1="",0,P155-P165)</f>
        <v>11391.385562263971</v>
      </c>
      <c r="Q175" s="179">
        <f>IF(Q$1="",0,Q155-Q165)</f>
        <v>6316.7187043664599</v>
      </c>
      <c r="R175" s="179">
        <f t="shared" ref="R175:AA175" si="9">IF(R$1="",0,R155-R165)</f>
        <v>7154.9879328279967</v>
      </c>
      <c r="S175" s="179">
        <f t="shared" si="9"/>
        <v>7527.985898725432</v>
      </c>
      <c r="T175" s="179">
        <f t="shared" si="9"/>
        <v>8117.2225235972273</v>
      </c>
      <c r="U175" s="179">
        <f t="shared" si="9"/>
        <v>9284.6137766741504</v>
      </c>
      <c r="V175" s="179">
        <f t="shared" si="9"/>
        <v>10782.617599110046</v>
      </c>
      <c r="W175" s="179">
        <f t="shared" si="9"/>
        <v>0</v>
      </c>
      <c r="X175" s="179">
        <f t="shared" si="9"/>
        <v>0</v>
      </c>
      <c r="Y175" s="179">
        <f t="shared" si="9"/>
        <v>0</v>
      </c>
      <c r="Z175" s="179">
        <f t="shared" si="9"/>
        <v>0</v>
      </c>
      <c r="AA175" s="179">
        <f t="shared" si="9"/>
        <v>0</v>
      </c>
      <c r="AB175" s="3"/>
    </row>
    <row r="176" spans="1:28" s="5" customFormat="1" ht="3.9" customHeight="1" x14ac:dyDescent="0.25">
      <c r="A176" s="150">
        <f>1</f>
        <v>1</v>
      </c>
      <c r="B176" s="128"/>
      <c r="C176" s="3"/>
      <c r="D176" s="3"/>
      <c r="E176" s="3"/>
      <c r="F176" s="3"/>
      <c r="G176" s="3"/>
      <c r="H176" s="3"/>
      <c r="I176" s="28"/>
      <c r="J176" s="3"/>
      <c r="K176" s="28"/>
      <c r="L176" s="3"/>
      <c r="M176" s="55"/>
      <c r="N176" s="3"/>
      <c r="O176" s="3"/>
      <c r="P176" s="46"/>
      <c r="Q176" s="46"/>
      <c r="R176" s="46"/>
      <c r="S176" s="46"/>
      <c r="T176" s="46"/>
      <c r="U176" s="46"/>
      <c r="V176" s="46"/>
      <c r="W176" s="46"/>
      <c r="X176" s="46"/>
      <c r="Y176" s="46"/>
      <c r="Z176" s="46"/>
      <c r="AA176" s="46"/>
      <c r="AB176" s="3"/>
    </row>
    <row r="177" spans="1:28" s="5" customFormat="1" x14ac:dyDescent="0.25">
      <c r="A177" s="150">
        <f>1</f>
        <v>1</v>
      </c>
      <c r="B177" s="129" t="str">
        <f>структура!$J$13</f>
        <v>УСН(6%)</v>
      </c>
      <c r="C177" s="3"/>
      <c r="D177" s="3"/>
      <c r="E177" s="146" t="str">
        <f>E175</f>
        <v>финансовый поток (CF)</v>
      </c>
      <c r="F177" s="146"/>
      <c r="G177" s="146" t="str">
        <f>IF($E177="","",INDEX(KPI!$G:$G,SUMIFS(KPI!$B:$B,KPI!$E:$E,$E177)))</f>
        <v>тыс.руб.</v>
      </c>
      <c r="H177" s="146"/>
      <c r="I177" s="177"/>
      <c r="J177" s="146"/>
      <c r="K177" s="177"/>
      <c r="L177" s="146"/>
      <c r="M177" s="178">
        <f>SUM($O177:$AB177)</f>
        <v>75865.707461617028</v>
      </c>
      <c r="N177" s="3"/>
      <c r="O177" s="3"/>
      <c r="P177" s="179">
        <f>IF(P$1="",0,P157-P167)</f>
        <v>8749.6564222639718</v>
      </c>
      <c r="Q177" s="179">
        <f>IF(Q$1="",0,Q157-Q167)</f>
        <v>8695.9372814947419</v>
      </c>
      <c r="R177" s="179">
        <f t="shared" ref="R177:AA177" si="10">IF(R$1="",0,R157-R167)</f>
        <v>9694.6805099562807</v>
      </c>
      <c r="S177" s="179">
        <f t="shared" si="10"/>
        <v>10377.538012263973</v>
      </c>
      <c r="T177" s="179">
        <f t="shared" si="10"/>
        <v>11186.070885340896</v>
      </c>
      <c r="U177" s="179">
        <f t="shared" si="10"/>
        <v>12600.507638417817</v>
      </c>
      <c r="V177" s="179">
        <f t="shared" si="10"/>
        <v>14561.316711879354</v>
      </c>
      <c r="W177" s="179">
        <f t="shared" si="10"/>
        <v>0</v>
      </c>
      <c r="X177" s="179">
        <f t="shared" si="10"/>
        <v>0</v>
      </c>
      <c r="Y177" s="179">
        <f t="shared" si="10"/>
        <v>0</v>
      </c>
      <c r="Z177" s="179">
        <f t="shared" si="10"/>
        <v>0</v>
      </c>
      <c r="AA177" s="179">
        <f t="shared" si="10"/>
        <v>0</v>
      </c>
      <c r="AB177" s="3"/>
    </row>
    <row r="178" spans="1:28" s="5" customFormat="1" ht="3.9" customHeight="1" x14ac:dyDescent="0.25">
      <c r="A178" s="150">
        <f>1</f>
        <v>1</v>
      </c>
      <c r="B178" s="128"/>
      <c r="C178" s="3"/>
      <c r="D178" s="3"/>
      <c r="E178" s="3"/>
      <c r="F178" s="3"/>
      <c r="G178" s="3"/>
      <c r="H178" s="3"/>
      <c r="I178" s="28"/>
      <c r="J178" s="3"/>
      <c r="K178" s="28"/>
      <c r="L178" s="3"/>
      <c r="M178" s="55"/>
      <c r="N178" s="3"/>
      <c r="O178" s="3"/>
      <c r="P178" s="46"/>
      <c r="Q178" s="46"/>
      <c r="R178" s="46"/>
      <c r="S178" s="46"/>
      <c r="T178" s="46"/>
      <c r="U178" s="46"/>
      <c r="V178" s="46"/>
      <c r="W178" s="46"/>
      <c r="X178" s="46"/>
      <c r="Y178" s="46"/>
      <c r="Z178" s="46"/>
      <c r="AA178" s="46"/>
      <c r="AB178" s="3"/>
    </row>
    <row r="179" spans="1:28" s="5" customFormat="1" x14ac:dyDescent="0.25">
      <c r="A179" s="150">
        <f>1</f>
        <v>1</v>
      </c>
      <c r="B179" s="129" t="str">
        <f>структура!$J$14</f>
        <v>УСН(15%)</v>
      </c>
      <c r="C179" s="3"/>
      <c r="D179" s="3"/>
      <c r="E179" s="146" t="str">
        <f>E175</f>
        <v>финансовый поток (CF)</v>
      </c>
      <c r="F179" s="146"/>
      <c r="G179" s="146" t="str">
        <f>IF($E179="","",INDEX(KPI!$G:$G,SUMIFS(KPI!$B:$B,KPI!$E:$E,$E179)))</f>
        <v>тыс.руб.</v>
      </c>
      <c r="H179" s="146"/>
      <c r="I179" s="177"/>
      <c r="J179" s="146"/>
      <c r="K179" s="177"/>
      <c r="L179" s="146"/>
      <c r="M179" s="178">
        <f>SUM($O179:$AB179)</f>
        <v>69693.702081810232</v>
      </c>
      <c r="N179" s="3"/>
      <c r="O179" s="3"/>
      <c r="P179" s="179">
        <f>IF(P$1="",0,P159-P169)</f>
        <v>8749.6564222639718</v>
      </c>
      <c r="Q179" s="179">
        <f t="shared" ref="Q179:AA179" si="11">IF(Q$1="",0,Q159-Q169)</f>
        <v>7905.2644029243766</v>
      </c>
      <c r="R179" s="179">
        <f t="shared" si="11"/>
        <v>8842.2462563859171</v>
      </c>
      <c r="S179" s="179">
        <f t="shared" si="11"/>
        <v>9401.8311225013003</v>
      </c>
      <c r="T179" s="179">
        <f t="shared" si="11"/>
        <v>10121.646341193607</v>
      </c>
      <c r="U179" s="179">
        <f t="shared" si="11"/>
        <v>11440.59050677053</v>
      </c>
      <c r="V179" s="179">
        <f t="shared" si="11"/>
        <v>13232.467029770529</v>
      </c>
      <c r="W179" s="179">
        <f t="shared" si="11"/>
        <v>0</v>
      </c>
      <c r="X179" s="179">
        <f t="shared" si="11"/>
        <v>0</v>
      </c>
      <c r="Y179" s="179">
        <f t="shared" si="11"/>
        <v>0</v>
      </c>
      <c r="Z179" s="179">
        <f t="shared" si="11"/>
        <v>0</v>
      </c>
      <c r="AA179" s="179">
        <f t="shared" si="11"/>
        <v>0</v>
      </c>
      <c r="AB179" s="3"/>
    </row>
    <row r="180" spans="1:28" s="5" customFormat="1" ht="3.9" customHeight="1" x14ac:dyDescent="0.25">
      <c r="A180" s="150">
        <f>1</f>
        <v>1</v>
      </c>
      <c r="B180" s="128"/>
      <c r="C180" s="3"/>
      <c r="D180" s="3"/>
      <c r="E180" s="3"/>
      <c r="F180" s="3"/>
      <c r="G180" s="3"/>
      <c r="H180" s="3"/>
      <c r="I180" s="28"/>
      <c r="J180" s="3"/>
      <c r="K180" s="28"/>
      <c r="L180" s="3"/>
      <c r="M180" s="55"/>
      <c r="N180" s="3"/>
      <c r="O180" s="3"/>
      <c r="P180" s="46"/>
      <c r="Q180" s="46"/>
      <c r="R180" s="46"/>
      <c r="S180" s="46"/>
      <c r="T180" s="46"/>
      <c r="U180" s="46"/>
      <c r="V180" s="46"/>
      <c r="W180" s="46"/>
      <c r="X180" s="46"/>
      <c r="Y180" s="46"/>
      <c r="Z180" s="46"/>
      <c r="AA180" s="46"/>
      <c r="AB180" s="3"/>
    </row>
    <row r="181" spans="1:28" s="5" customFormat="1" x14ac:dyDescent="0.25">
      <c r="A181" s="150">
        <f>1</f>
        <v>1</v>
      </c>
      <c r="B181" s="129" t="str">
        <f>структура!$J$15</f>
        <v>УСН(6%)-ИП</v>
      </c>
      <c r="C181" s="3"/>
      <c r="D181" s="3"/>
      <c r="E181" s="146" t="str">
        <f>E175</f>
        <v>финансовый поток (CF)</v>
      </c>
      <c r="F181" s="146"/>
      <c r="G181" s="146" t="str">
        <f>IF($E181="","",INDEX(KPI!$G:$G,SUMIFS(KPI!$B:$B,KPI!$E:$E,$E181)))</f>
        <v>тыс.руб.</v>
      </c>
      <c r="H181" s="146"/>
      <c r="I181" s="177"/>
      <c r="J181" s="146"/>
      <c r="K181" s="177"/>
      <c r="L181" s="146"/>
      <c r="M181" s="178">
        <f>SUM($O181:$AB181)</f>
        <v>78037.041207770875</v>
      </c>
      <c r="N181" s="3"/>
      <c r="O181" s="3"/>
      <c r="P181" s="179">
        <f>IF(P$1="",0,P161-P171)</f>
        <v>8749.6564222639718</v>
      </c>
      <c r="Q181" s="179">
        <f t="shared" ref="Q181:AA181" si="12">IF(Q$1="",0,Q161-Q171)</f>
        <v>9205.2935622639725</v>
      </c>
      <c r="R181" s="179">
        <f t="shared" si="12"/>
        <v>10223.040290725512</v>
      </c>
      <c r="S181" s="179">
        <f t="shared" si="12"/>
        <v>10935.287166110127</v>
      </c>
      <c r="T181" s="179">
        <f t="shared" si="12"/>
        <v>11761.939416110126</v>
      </c>
      <c r="U181" s="179">
        <f t="shared" si="12"/>
        <v>12600.507638417817</v>
      </c>
      <c r="V181" s="179">
        <f t="shared" si="12"/>
        <v>14561.316711879354</v>
      </c>
      <c r="W181" s="179">
        <f t="shared" si="12"/>
        <v>0</v>
      </c>
      <c r="X181" s="179">
        <f t="shared" si="12"/>
        <v>0</v>
      </c>
      <c r="Y181" s="179">
        <f t="shared" si="12"/>
        <v>0</v>
      </c>
      <c r="Z181" s="179">
        <f t="shared" si="12"/>
        <v>0</v>
      </c>
      <c r="AA181" s="179">
        <f t="shared" si="12"/>
        <v>0</v>
      </c>
      <c r="AB181" s="3"/>
    </row>
    <row r="182" spans="1:28" ht="3.9" customHeight="1" x14ac:dyDescent="0.25">
      <c r="A182" s="149">
        <f>1</f>
        <v>1</v>
      </c>
      <c r="B182" s="131"/>
      <c r="C182" s="2"/>
      <c r="D182" s="2"/>
      <c r="E182" s="119"/>
      <c r="F182" s="2"/>
      <c r="G182" s="119"/>
      <c r="H182" s="2"/>
      <c r="I182" s="28"/>
      <c r="J182" s="2"/>
      <c r="K182" s="28"/>
      <c r="L182" s="2"/>
      <c r="M182" s="142"/>
      <c r="N182" s="2"/>
      <c r="O182" s="2"/>
      <c r="P182" s="36"/>
      <c r="Q182" s="36"/>
      <c r="R182" s="36"/>
      <c r="S182" s="36"/>
      <c r="T182" s="36"/>
      <c r="U182" s="36"/>
      <c r="V182" s="36"/>
      <c r="W182" s="36"/>
      <c r="X182" s="36"/>
      <c r="Y182" s="36"/>
      <c r="Z182" s="36"/>
      <c r="AA182" s="36"/>
      <c r="AB182" s="2"/>
    </row>
    <row r="183" spans="1:28" ht="8.1" customHeight="1" x14ac:dyDescent="0.25">
      <c r="A183" s="149">
        <f>1</f>
        <v>1</v>
      </c>
      <c r="B183" s="131"/>
      <c r="C183" s="2"/>
      <c r="D183" s="2"/>
      <c r="E183" s="2"/>
      <c r="F183" s="2"/>
      <c r="G183" s="2"/>
      <c r="H183" s="2"/>
      <c r="I183" s="28"/>
      <c r="J183" s="2"/>
      <c r="K183" s="28"/>
      <c r="L183" s="2"/>
      <c r="M183" s="52"/>
      <c r="N183" s="2"/>
      <c r="O183" s="2"/>
      <c r="P183" s="36"/>
      <c r="Q183" s="36"/>
      <c r="R183" s="36"/>
      <c r="S183" s="36"/>
      <c r="T183" s="36"/>
      <c r="U183" s="36"/>
      <c r="V183" s="36"/>
      <c r="W183" s="36"/>
      <c r="X183" s="36"/>
      <c r="Y183" s="36"/>
      <c r="Z183" s="36"/>
      <c r="AA183" s="36"/>
      <c r="AB183" s="2"/>
    </row>
    <row r="184" spans="1:28" s="5" customFormat="1" x14ac:dyDescent="0.25">
      <c r="A184" s="150">
        <f>1</f>
        <v>1</v>
      </c>
      <c r="B184" s="131"/>
      <c r="C184" s="3"/>
      <c r="D184" s="3"/>
      <c r="E184" s="3"/>
      <c r="F184" s="3"/>
      <c r="G184" s="3"/>
      <c r="H184" s="3"/>
      <c r="I184" s="28"/>
      <c r="J184" s="3"/>
      <c r="K184" s="28"/>
      <c r="L184" s="3"/>
      <c r="M184" s="55"/>
      <c r="N184" s="3"/>
      <c r="O184" s="3"/>
      <c r="P184" s="46"/>
      <c r="Q184" s="46"/>
      <c r="R184" s="46"/>
      <c r="S184" s="46"/>
      <c r="T184" s="46"/>
      <c r="U184" s="46"/>
      <c r="V184" s="46"/>
      <c r="W184" s="46"/>
      <c r="X184" s="46"/>
      <c r="Y184" s="46"/>
      <c r="Z184" s="46"/>
      <c r="AA184" s="46"/>
      <c r="AB184" s="3"/>
    </row>
    <row r="185" spans="1:28" ht="3.9" customHeight="1" x14ac:dyDescent="0.25">
      <c r="A185" s="149">
        <f>1</f>
        <v>1</v>
      </c>
      <c r="B185" s="131"/>
      <c r="C185" s="2"/>
      <c r="D185" s="2"/>
      <c r="E185" s="2"/>
      <c r="F185" s="2"/>
      <c r="G185" s="2"/>
      <c r="H185" s="2"/>
      <c r="I185" s="28"/>
      <c r="J185" s="2"/>
      <c r="K185" s="28"/>
      <c r="L185" s="2"/>
      <c r="M185" s="52"/>
      <c r="N185" s="2"/>
      <c r="O185" s="2"/>
      <c r="P185" s="36"/>
      <c r="Q185" s="36"/>
      <c r="R185" s="36"/>
      <c r="S185" s="36"/>
      <c r="T185" s="36"/>
      <c r="U185" s="36"/>
      <c r="V185" s="36"/>
      <c r="W185" s="36"/>
      <c r="X185" s="36"/>
      <c r="Y185" s="36"/>
      <c r="Z185" s="36"/>
      <c r="AA185" s="36"/>
      <c r="AB185" s="2"/>
    </row>
    <row r="186" spans="1:28" s="5" customFormat="1" x14ac:dyDescent="0.25">
      <c r="A186" s="150">
        <f>1</f>
        <v>1</v>
      </c>
      <c r="B186" s="131"/>
      <c r="C186" s="3"/>
      <c r="D186" s="3"/>
      <c r="E186" s="181" t="s">
        <v>286</v>
      </c>
      <c r="F186" s="3"/>
      <c r="G186" s="3"/>
      <c r="H186" s="3"/>
      <c r="I186" s="28"/>
      <c r="J186" s="3"/>
      <c r="K186" s="28"/>
      <c r="L186" s="3"/>
      <c r="M186" s="55"/>
      <c r="N186" s="3"/>
      <c r="O186" s="3"/>
      <c r="P186" s="46"/>
      <c r="Q186" s="46"/>
      <c r="R186" s="46"/>
      <c r="S186" s="46"/>
      <c r="T186" s="46"/>
      <c r="U186" s="46"/>
      <c r="V186" s="46"/>
      <c r="W186" s="46"/>
      <c r="X186" s="46"/>
      <c r="Y186" s="46"/>
      <c r="Z186" s="46"/>
      <c r="AA186" s="46"/>
      <c r="AB186" s="3"/>
    </row>
    <row r="187" spans="1:28" ht="3.9" customHeight="1" x14ac:dyDescent="0.25">
      <c r="A187" s="149">
        <f>1</f>
        <v>1</v>
      </c>
      <c r="B187" s="131"/>
      <c r="C187" s="2"/>
      <c r="D187" s="2"/>
      <c r="E187" s="2"/>
      <c r="F187" s="2"/>
      <c r="G187" s="2"/>
      <c r="H187" s="2"/>
      <c r="I187" s="28"/>
      <c r="J187" s="2"/>
      <c r="K187" s="28"/>
      <c r="L187" s="2"/>
      <c r="M187" s="52"/>
      <c r="N187" s="2"/>
      <c r="O187" s="2"/>
      <c r="P187" s="36"/>
      <c r="Q187" s="36"/>
      <c r="R187" s="36"/>
      <c r="S187" s="36"/>
      <c r="T187" s="36"/>
      <c r="U187" s="36"/>
      <c r="V187" s="36"/>
      <c r="W187" s="36"/>
      <c r="X187" s="36"/>
      <c r="Y187" s="36"/>
      <c r="Z187" s="36"/>
      <c r="AA187" s="36"/>
      <c r="AB187" s="2"/>
    </row>
    <row r="188" spans="1:28" ht="8.1" customHeight="1" x14ac:dyDescent="0.25">
      <c r="A188" s="149">
        <f>1</f>
        <v>1</v>
      </c>
      <c r="B188" s="131"/>
      <c r="C188" s="2"/>
      <c r="D188" s="2"/>
      <c r="E188" s="2"/>
      <c r="F188" s="2"/>
      <c r="G188" s="2"/>
      <c r="H188" s="2"/>
      <c r="I188" s="28"/>
      <c r="J188" s="2"/>
      <c r="K188" s="28"/>
      <c r="L188" s="2"/>
      <c r="M188" s="52"/>
      <c r="N188" s="2"/>
      <c r="O188" s="2"/>
      <c r="P188" s="36"/>
      <c r="Q188" s="36"/>
      <c r="R188" s="36"/>
      <c r="S188" s="36"/>
      <c r="T188" s="36"/>
      <c r="U188" s="36"/>
      <c r="V188" s="36"/>
      <c r="W188" s="36"/>
      <c r="X188" s="36"/>
      <c r="Y188" s="36"/>
      <c r="Z188" s="36"/>
      <c r="AA188" s="36"/>
      <c r="AB188" s="2"/>
    </row>
    <row r="189" spans="1:28" ht="3.9" customHeight="1" thickBot="1" x14ac:dyDescent="0.3">
      <c r="A189" s="149">
        <f>1</f>
        <v>1</v>
      </c>
      <c r="B189" s="131"/>
      <c r="C189" s="2"/>
      <c r="D189" s="2"/>
      <c r="E189" s="2"/>
      <c r="F189" s="2"/>
      <c r="G189" s="2"/>
      <c r="H189" s="2"/>
      <c r="I189" s="28"/>
      <c r="J189" s="2"/>
      <c r="K189" s="28"/>
      <c r="L189" s="2"/>
      <c r="M189" s="52"/>
      <c r="N189" s="2"/>
      <c r="O189" s="2"/>
      <c r="P189" s="36"/>
      <c r="Q189" s="36"/>
      <c r="R189" s="36"/>
      <c r="S189" s="36"/>
      <c r="T189" s="36"/>
      <c r="U189" s="36"/>
      <c r="V189" s="36"/>
      <c r="W189" s="36"/>
      <c r="X189" s="36"/>
      <c r="Y189" s="36"/>
      <c r="Z189" s="36"/>
      <c r="AA189" s="36"/>
      <c r="AB189" s="2"/>
    </row>
    <row r="190" spans="1:28" s="5" customFormat="1" ht="12.6" thickBot="1" x14ac:dyDescent="0.3">
      <c r="A190" s="150">
        <f>1</f>
        <v>1</v>
      </c>
      <c r="B190" s="129"/>
      <c r="C190" s="3"/>
      <c r="D190" s="3"/>
      <c r="E190" s="183" t="str">
        <f>KPI!$E$98</f>
        <v>Инвестиционные вложения</v>
      </c>
      <c r="F190" s="183"/>
      <c r="G190" s="183" t="str">
        <f>IF($E190="","",INDEX(KPI!$G:$G,SUMIFS(KPI!$B:$B,KPI!$E:$E,$E190)))</f>
        <v>тыс.руб.</v>
      </c>
      <c r="H190" s="183"/>
      <c r="I190" s="184"/>
      <c r="J190" s="183"/>
      <c r="K190" s="184"/>
      <c r="L190" s="183"/>
      <c r="M190" s="186">
        <f>капитал!$J$20+капитал!$M$102+капитал!$M$109</f>
        <v>28550.37484</v>
      </c>
      <c r="N190" s="3"/>
      <c r="O190" s="3"/>
      <c r="P190" s="46"/>
      <c r="Q190" s="46"/>
      <c r="R190" s="46"/>
      <c r="S190" s="46"/>
      <c r="T190" s="46"/>
      <c r="U190" s="46"/>
      <c r="V190" s="46"/>
      <c r="W190" s="46"/>
      <c r="X190" s="46"/>
      <c r="Y190" s="46"/>
      <c r="Z190" s="46"/>
      <c r="AA190" s="46"/>
      <c r="AB190" s="3"/>
    </row>
    <row r="191" spans="1:28" ht="3.9" customHeight="1" x14ac:dyDescent="0.25">
      <c r="A191" s="149">
        <f>1</f>
        <v>1</v>
      </c>
      <c r="B191" s="131"/>
      <c r="C191" s="2"/>
      <c r="D191" s="2"/>
      <c r="E191" s="140"/>
      <c r="F191" s="2"/>
      <c r="G191" s="140"/>
      <c r="H191" s="2"/>
      <c r="I191" s="28"/>
      <c r="J191" s="2"/>
      <c r="K191" s="28"/>
      <c r="L191" s="2"/>
      <c r="M191" s="141"/>
      <c r="N191" s="2"/>
      <c r="O191" s="2"/>
      <c r="P191" s="36"/>
      <c r="Q191" s="36"/>
      <c r="R191" s="36"/>
      <c r="S191" s="36"/>
      <c r="T191" s="36"/>
      <c r="U191" s="36"/>
      <c r="V191" s="36"/>
      <c r="W191" s="36"/>
      <c r="X191" s="36"/>
      <c r="Y191" s="36"/>
      <c r="Z191" s="36"/>
      <c r="AA191" s="36"/>
      <c r="AB191" s="2"/>
    </row>
    <row r="192" spans="1:28" ht="3.9" customHeight="1" x14ac:dyDescent="0.25">
      <c r="A192" s="149">
        <f>1</f>
        <v>1</v>
      </c>
      <c r="B192" s="131"/>
      <c r="C192" s="2"/>
      <c r="D192" s="2"/>
      <c r="E192" s="2"/>
      <c r="F192" s="2"/>
      <c r="G192" s="2"/>
      <c r="H192" s="2"/>
      <c r="I192" s="28"/>
      <c r="J192" s="2"/>
      <c r="K192" s="28"/>
      <c r="L192" s="2"/>
      <c r="M192" s="52"/>
      <c r="N192" s="2"/>
      <c r="O192" s="2"/>
      <c r="P192" s="36"/>
      <c r="Q192" s="36"/>
      <c r="R192" s="36"/>
      <c r="S192" s="36"/>
      <c r="T192" s="36"/>
      <c r="U192" s="36"/>
      <c r="V192" s="36"/>
      <c r="W192" s="36"/>
      <c r="X192" s="36"/>
      <c r="Y192" s="36"/>
      <c r="Z192" s="36"/>
      <c r="AA192" s="36"/>
      <c r="AB192" s="2"/>
    </row>
    <row r="193" spans="1:28" s="5" customFormat="1" x14ac:dyDescent="0.25">
      <c r="A193" s="150">
        <f>1</f>
        <v>1</v>
      </c>
      <c r="B193" s="129"/>
      <c r="C193" s="3"/>
      <c r="D193" s="3"/>
      <c r="E193" s="3" t="str">
        <f>KPI!$E$99</f>
        <v>Коэффициент дисконтиования</v>
      </c>
      <c r="F193" s="3"/>
      <c r="G193" s="3" t="str">
        <f>IF($E193="","",INDEX(KPI!$G:$G,SUMIFS(KPI!$B:$B,KPI!$E:$E,$E193)))</f>
        <v>%</v>
      </c>
      <c r="H193" s="3"/>
      <c r="I193" s="28"/>
      <c r="J193" s="3"/>
      <c r="K193" s="28"/>
      <c r="L193" s="3"/>
      <c r="M193" s="55"/>
      <c r="N193" s="3"/>
      <c r="O193" s="3"/>
      <c r="P193" s="185">
        <f>IF(P$1="",0,(1+опер2!P$370))</f>
        <v>1.1000000000000001</v>
      </c>
      <c r="Q193" s="185">
        <f>IF(Q$1="",0,P193*(1+опер2!Q$370))</f>
        <v>1.2100000000000002</v>
      </c>
      <c r="R193" s="185">
        <f>IF(R$1="",0,Q193*(1+опер2!R$370))</f>
        <v>1.3310000000000004</v>
      </c>
      <c r="S193" s="185">
        <f>IF(S$1="",0,R193*(1+опер2!S$370))</f>
        <v>1.4641000000000006</v>
      </c>
      <c r="T193" s="185">
        <f>IF(T$1="",0,S193*(1+опер2!T$370))</f>
        <v>1.6105100000000008</v>
      </c>
      <c r="U193" s="185">
        <f>IF(U$1="",0,T193*(1+опер2!U$370))</f>
        <v>1.7715610000000011</v>
      </c>
      <c r="V193" s="185">
        <f>IF(V$1="",0,U193*(1+опер2!V$370))</f>
        <v>1.9487171000000014</v>
      </c>
      <c r="W193" s="185">
        <f>IF(W$1="",0,V193*(1+опер2!W$370))</f>
        <v>0</v>
      </c>
      <c r="X193" s="185">
        <f>IF(X$1="",0,W193*(1+опер2!X$370))</f>
        <v>0</v>
      </c>
      <c r="Y193" s="185">
        <f>IF(Y$1="",0,X193*(1+опер2!Y$370))</f>
        <v>0</v>
      </c>
      <c r="Z193" s="185">
        <f>IF(Z$1="",0,Y193*(1+опер2!Z$370))</f>
        <v>0</v>
      </c>
      <c r="AA193" s="185">
        <f>IF(AA$1="",0,Z193*(1+опер2!AA$370))</f>
        <v>0</v>
      </c>
      <c r="AB193" s="3"/>
    </row>
    <row r="194" spans="1:28" s="5" customFormat="1" ht="3.9" customHeight="1" x14ac:dyDescent="0.25">
      <c r="A194" s="150">
        <f>1</f>
        <v>1</v>
      </c>
      <c r="B194" s="128"/>
      <c r="C194" s="3"/>
      <c r="D194" s="3"/>
      <c r="E194" s="3"/>
      <c r="F194" s="3"/>
      <c r="G194" s="3"/>
      <c r="H194" s="3"/>
      <c r="I194" s="28"/>
      <c r="J194" s="3"/>
      <c r="K194" s="28"/>
      <c r="L194" s="3"/>
      <c r="M194" s="55"/>
      <c r="N194" s="3"/>
      <c r="O194" s="3"/>
      <c r="P194" s="46"/>
      <c r="Q194" s="46"/>
      <c r="R194" s="46"/>
      <c r="S194" s="46"/>
      <c r="T194" s="46"/>
      <c r="U194" s="46"/>
      <c r="V194" s="46"/>
      <c r="W194" s="46"/>
      <c r="X194" s="46"/>
      <c r="Y194" s="46"/>
      <c r="Z194" s="46"/>
      <c r="AA194" s="46"/>
      <c r="AB194" s="3"/>
    </row>
    <row r="195" spans="1:28" ht="3.9" customHeight="1" x14ac:dyDescent="0.25">
      <c r="A195" s="149">
        <f>1</f>
        <v>1</v>
      </c>
      <c r="B195" s="131"/>
      <c r="C195" s="2"/>
      <c r="D195" s="2"/>
      <c r="E195" s="2"/>
      <c r="F195" s="2"/>
      <c r="G195" s="2"/>
      <c r="H195" s="2"/>
      <c r="I195" s="28"/>
      <c r="J195" s="2"/>
      <c r="K195" s="28"/>
      <c r="L195" s="2"/>
      <c r="M195" s="52"/>
      <c r="N195" s="2"/>
      <c r="O195" s="2"/>
      <c r="P195" s="36"/>
      <c r="Q195" s="36"/>
      <c r="R195" s="36"/>
      <c r="S195" s="36"/>
      <c r="T195" s="36"/>
      <c r="U195" s="36"/>
      <c r="V195" s="36"/>
      <c r="W195" s="36"/>
      <c r="X195" s="36"/>
      <c r="Y195" s="36"/>
      <c r="Z195" s="36"/>
      <c r="AA195" s="36"/>
      <c r="AB195" s="2"/>
    </row>
    <row r="196" spans="1:28" s="5" customFormat="1" x14ac:dyDescent="0.25">
      <c r="A196" s="150">
        <f>1</f>
        <v>1</v>
      </c>
      <c r="B196" s="129" t="str">
        <f>структура!$J$12</f>
        <v>ОСНО</v>
      </c>
      <c r="C196" s="3"/>
      <c r="D196" s="3"/>
      <c r="E196" s="146" t="str">
        <f>KPI!$E$100</f>
        <v>NPV(CF)</v>
      </c>
      <c r="F196" s="146"/>
      <c r="G196" s="146" t="str">
        <f>IF($E196="","",INDEX(KPI!$G:$G,SUMIFS(KPI!$B:$B,KPI!$E:$E,$E196)))</f>
        <v>тыс.руб.</v>
      </c>
      <c r="H196" s="146"/>
      <c r="I196" s="177"/>
      <c r="J196" s="146"/>
      <c r="K196" s="177"/>
      <c r="L196" s="146"/>
      <c r="M196" s="178">
        <f>SUM($O196:$AB196)</f>
        <v>41907.864465960913</v>
      </c>
      <c r="N196" s="3"/>
      <c r="O196" s="3"/>
      <c r="P196" s="179">
        <f>IF(P$1="",0,IF(P$193=0,0,P175/P$193))</f>
        <v>10355.805056603609</v>
      </c>
      <c r="Q196" s="179">
        <f t="shared" ref="Q196:AA196" si="13">IF(Q$1="",0,IF(Q$193=0,0,Q175/Q$193))</f>
        <v>5220.4286812945938</v>
      </c>
      <c r="R196" s="179">
        <f t="shared" si="13"/>
        <v>5375.6483342058564</v>
      </c>
      <c r="S196" s="179">
        <f t="shared" si="13"/>
        <v>5141.7156606279823</v>
      </c>
      <c r="T196" s="179">
        <f t="shared" si="13"/>
        <v>5040.1565489175628</v>
      </c>
      <c r="U196" s="179">
        <f t="shared" si="13"/>
        <v>5240.9224275506995</v>
      </c>
      <c r="V196" s="179">
        <f t="shared" si="13"/>
        <v>5533.1877567606089</v>
      </c>
      <c r="W196" s="179">
        <f t="shared" si="13"/>
        <v>0</v>
      </c>
      <c r="X196" s="179">
        <f t="shared" si="13"/>
        <v>0</v>
      </c>
      <c r="Y196" s="179">
        <f t="shared" si="13"/>
        <v>0</v>
      </c>
      <c r="Z196" s="179">
        <f t="shared" si="13"/>
        <v>0</v>
      </c>
      <c r="AA196" s="179">
        <f t="shared" si="13"/>
        <v>0</v>
      </c>
      <c r="AB196" s="3"/>
    </row>
    <row r="197" spans="1:28" s="5" customFormat="1" ht="3.9" customHeight="1" x14ac:dyDescent="0.25">
      <c r="A197" s="150">
        <f>1</f>
        <v>1</v>
      </c>
      <c r="B197" s="128"/>
      <c r="C197" s="3"/>
      <c r="D197" s="3"/>
      <c r="E197" s="3"/>
      <c r="F197" s="3"/>
      <c r="G197" s="3"/>
      <c r="H197" s="3"/>
      <c r="I197" s="28"/>
      <c r="J197" s="3"/>
      <c r="K197" s="28"/>
      <c r="L197" s="3"/>
      <c r="M197" s="55"/>
      <c r="N197" s="3"/>
      <c r="O197" s="3"/>
      <c r="P197" s="46"/>
      <c r="Q197" s="46"/>
      <c r="R197" s="46"/>
      <c r="S197" s="46"/>
      <c r="T197" s="46"/>
      <c r="U197" s="46"/>
      <c r="V197" s="46"/>
      <c r="W197" s="46"/>
      <c r="X197" s="46"/>
      <c r="Y197" s="46"/>
      <c r="Z197" s="46"/>
      <c r="AA197" s="46"/>
      <c r="AB197" s="3"/>
    </row>
    <row r="198" spans="1:28" s="5" customFormat="1" x14ac:dyDescent="0.25">
      <c r="A198" s="150">
        <f>1</f>
        <v>1</v>
      </c>
      <c r="B198" s="129" t="str">
        <f>структура!$J$13</f>
        <v>УСН(6%)</v>
      </c>
      <c r="C198" s="3"/>
      <c r="D198" s="3"/>
      <c r="E198" s="146" t="str">
        <f>E196</f>
        <v>NPV(CF)</v>
      </c>
      <c r="F198" s="146"/>
      <c r="G198" s="146" t="str">
        <f>IF($E198="","",INDEX(KPI!$G:$G,SUMIFS(KPI!$B:$B,KPI!$E:$E,$E198)))</f>
        <v>тыс.руб.</v>
      </c>
      <c r="H198" s="146"/>
      <c r="I198" s="177"/>
      <c r="J198" s="146"/>
      <c r="K198" s="177"/>
      <c r="L198" s="146"/>
      <c r="M198" s="178">
        <f>SUM($O198:$AB198)</f>
        <v>51043.299074377806</v>
      </c>
      <c r="N198" s="3"/>
      <c r="O198" s="3"/>
      <c r="P198" s="179">
        <f>IF(P$1="",0,IF(P$193=0,0,P177/P$193))</f>
        <v>7954.2331111490648</v>
      </c>
      <c r="Q198" s="179">
        <f t="shared" ref="Q198:AA198" si="14">IF(Q$1="",0,IF(Q$193=0,0,Q177/Q$193))</f>
        <v>7186.725026028711</v>
      </c>
      <c r="R198" s="179">
        <f t="shared" si="14"/>
        <v>7283.7569571422073</v>
      </c>
      <c r="S198" s="179">
        <f t="shared" si="14"/>
        <v>7087.9980959387804</v>
      </c>
      <c r="T198" s="179">
        <f t="shared" si="14"/>
        <v>6945.6699339593615</v>
      </c>
      <c r="U198" s="179">
        <f t="shared" si="14"/>
        <v>7112.6580673303433</v>
      </c>
      <c r="V198" s="179">
        <f t="shared" si="14"/>
        <v>7472.2578828293463</v>
      </c>
      <c r="W198" s="179">
        <f t="shared" si="14"/>
        <v>0</v>
      </c>
      <c r="X198" s="179">
        <f t="shared" si="14"/>
        <v>0</v>
      </c>
      <c r="Y198" s="179">
        <f t="shared" si="14"/>
        <v>0</v>
      </c>
      <c r="Z198" s="179">
        <f t="shared" si="14"/>
        <v>0</v>
      </c>
      <c r="AA198" s="179">
        <f t="shared" si="14"/>
        <v>0</v>
      </c>
      <c r="AB198" s="3"/>
    </row>
    <row r="199" spans="1:28" s="5" customFormat="1" ht="3.9" customHeight="1" x14ac:dyDescent="0.25">
      <c r="A199" s="150">
        <f>1</f>
        <v>1</v>
      </c>
      <c r="B199" s="128"/>
      <c r="C199" s="3"/>
      <c r="D199" s="3"/>
      <c r="E199" s="3"/>
      <c r="F199" s="3"/>
      <c r="G199" s="3"/>
      <c r="H199" s="3"/>
      <c r="I199" s="28"/>
      <c r="J199" s="3"/>
      <c r="K199" s="28"/>
      <c r="L199" s="3"/>
      <c r="M199" s="55"/>
      <c r="N199" s="3"/>
      <c r="O199" s="3"/>
      <c r="P199" s="46"/>
      <c r="Q199" s="46"/>
      <c r="R199" s="46"/>
      <c r="S199" s="46"/>
      <c r="T199" s="46"/>
      <c r="U199" s="46"/>
      <c r="V199" s="46"/>
      <c r="W199" s="46"/>
      <c r="X199" s="46"/>
      <c r="Y199" s="46"/>
      <c r="Z199" s="46"/>
      <c r="AA199" s="46"/>
      <c r="AB199" s="3"/>
    </row>
    <row r="200" spans="1:28" s="5" customFormat="1" x14ac:dyDescent="0.25">
      <c r="A200" s="150">
        <f>1</f>
        <v>1</v>
      </c>
      <c r="B200" s="129" t="str">
        <f>структура!$J$14</f>
        <v>УСН(15%)</v>
      </c>
      <c r="C200" s="3"/>
      <c r="D200" s="3"/>
      <c r="E200" s="146" t="str">
        <f>E196</f>
        <v>NPV(CF)</v>
      </c>
      <c r="F200" s="146"/>
      <c r="G200" s="146" t="str">
        <f>IF($E200="","",INDEX(KPI!$G:$G,SUMIFS(KPI!$B:$B,KPI!$E:$E,$E200)))</f>
        <v>тыс.руб.</v>
      </c>
      <c r="H200" s="146"/>
      <c r="I200" s="177"/>
      <c r="J200" s="146"/>
      <c r="K200" s="177"/>
      <c r="L200" s="146"/>
      <c r="M200" s="178">
        <f>SUM($O200:$AB200)</f>
        <v>47085.406128330433</v>
      </c>
      <c r="N200" s="3"/>
      <c r="O200" s="3"/>
      <c r="P200" s="179">
        <f>IF(P$1="",0,IF(P$193=0,0,P179/P$193))</f>
        <v>7954.2331111490648</v>
      </c>
      <c r="Q200" s="179">
        <f t="shared" ref="Q200:AA200" si="15">IF(Q$1="",0,IF(Q$193=0,0,Q179/Q$193))</f>
        <v>6533.2763660532028</v>
      </c>
      <c r="R200" s="179">
        <f t="shared" si="15"/>
        <v>6643.3104856393047</v>
      </c>
      <c r="S200" s="179">
        <f t="shared" si="15"/>
        <v>6421.5771617384717</v>
      </c>
      <c r="T200" s="179">
        <f t="shared" si="15"/>
        <v>6284.7460377107891</v>
      </c>
      <c r="U200" s="179">
        <f t="shared" si="15"/>
        <v>6457.9150854926947</v>
      </c>
      <c r="V200" s="179">
        <f t="shared" si="15"/>
        <v>6790.3478805469094</v>
      </c>
      <c r="W200" s="179">
        <f t="shared" si="15"/>
        <v>0</v>
      </c>
      <c r="X200" s="179">
        <f t="shared" si="15"/>
        <v>0</v>
      </c>
      <c r="Y200" s="179">
        <f t="shared" si="15"/>
        <v>0</v>
      </c>
      <c r="Z200" s="179">
        <f t="shared" si="15"/>
        <v>0</v>
      </c>
      <c r="AA200" s="179">
        <f t="shared" si="15"/>
        <v>0</v>
      </c>
      <c r="AB200" s="3"/>
    </row>
    <row r="201" spans="1:28" s="5" customFormat="1" ht="3.9" customHeight="1" x14ac:dyDescent="0.25">
      <c r="A201" s="150">
        <f>1</f>
        <v>1</v>
      </c>
      <c r="B201" s="128"/>
      <c r="C201" s="3"/>
      <c r="D201" s="3"/>
      <c r="E201" s="3"/>
      <c r="F201" s="3"/>
      <c r="G201" s="3"/>
      <c r="H201" s="3"/>
      <c r="I201" s="28"/>
      <c r="J201" s="3"/>
      <c r="K201" s="28"/>
      <c r="L201" s="3"/>
      <c r="M201" s="55"/>
      <c r="N201" s="3"/>
      <c r="O201" s="3"/>
      <c r="P201" s="46"/>
      <c r="Q201" s="46"/>
      <c r="R201" s="46"/>
      <c r="S201" s="46"/>
      <c r="T201" s="46"/>
      <c r="U201" s="46"/>
      <c r="V201" s="46"/>
      <c r="W201" s="46"/>
      <c r="X201" s="46"/>
      <c r="Y201" s="46"/>
      <c r="Z201" s="46"/>
      <c r="AA201" s="46"/>
      <c r="AB201" s="3"/>
    </row>
    <row r="202" spans="1:28" s="5" customFormat="1" x14ac:dyDescent="0.25">
      <c r="A202" s="150">
        <f>1</f>
        <v>1</v>
      </c>
      <c r="B202" s="129" t="str">
        <f>структура!$J$15</f>
        <v>УСН(6%)-ИП</v>
      </c>
      <c r="C202" s="3"/>
      <c r="D202" s="3"/>
      <c r="E202" s="146" t="str">
        <f>E196</f>
        <v>NPV(CF)</v>
      </c>
      <c r="F202" s="146"/>
      <c r="G202" s="146" t="str">
        <f>IF($E202="","",INDEX(KPI!$G:$G,SUMIFS(KPI!$B:$B,KPI!$E:$E,$E202)))</f>
        <v>тыс.руб.</v>
      </c>
      <c r="H202" s="146"/>
      <c r="I202" s="177"/>
      <c r="J202" s="146"/>
      <c r="K202" s="177"/>
      <c r="L202" s="146"/>
      <c r="M202" s="178">
        <f>SUM($O202:$AB202)</f>
        <v>52599.738428641125</v>
      </c>
      <c r="N202" s="3"/>
      <c r="O202" s="3"/>
      <c r="P202" s="179">
        <f>IF(P$1="",0,IF(P$193=0,0,P181/P$193))</f>
        <v>7954.2331111490648</v>
      </c>
      <c r="Q202" s="179">
        <f t="shared" ref="Q202:AA202" si="16">IF(Q$1="",0,IF(Q$193=0,0,Q181/Q$193))</f>
        <v>7607.6806299702239</v>
      </c>
      <c r="R202" s="179">
        <f t="shared" si="16"/>
        <v>7680.7214806352431</v>
      </c>
      <c r="S202" s="179">
        <f t="shared" si="16"/>
        <v>7468.9482727341865</v>
      </c>
      <c r="T202" s="179">
        <f t="shared" si="16"/>
        <v>7303.2389839927237</v>
      </c>
      <c r="U202" s="179">
        <f t="shared" si="16"/>
        <v>7112.6580673303433</v>
      </c>
      <c r="V202" s="179">
        <f t="shared" si="16"/>
        <v>7472.2578828293463</v>
      </c>
      <c r="W202" s="179">
        <f t="shared" si="16"/>
        <v>0</v>
      </c>
      <c r="X202" s="179">
        <f t="shared" si="16"/>
        <v>0</v>
      </c>
      <c r="Y202" s="179">
        <f t="shared" si="16"/>
        <v>0</v>
      </c>
      <c r="Z202" s="179">
        <f t="shared" si="16"/>
        <v>0</v>
      </c>
      <c r="AA202" s="179">
        <f t="shared" si="16"/>
        <v>0</v>
      </c>
      <c r="AB202" s="3"/>
    </row>
    <row r="203" spans="1:28" ht="3.9" customHeight="1" x14ac:dyDescent="0.25">
      <c r="A203" s="149">
        <f>1</f>
        <v>1</v>
      </c>
      <c r="B203" s="131"/>
      <c r="C203" s="2"/>
      <c r="D203" s="2"/>
      <c r="E203" s="119"/>
      <c r="F203" s="2"/>
      <c r="G203" s="119"/>
      <c r="H203" s="2"/>
      <c r="I203" s="28"/>
      <c r="J203" s="2"/>
      <c r="K203" s="28"/>
      <c r="L203" s="2"/>
      <c r="M203" s="142"/>
      <c r="N203" s="2"/>
      <c r="O203" s="2"/>
      <c r="P203" s="36"/>
      <c r="Q203" s="36"/>
      <c r="R203" s="36"/>
      <c r="S203" s="36"/>
      <c r="T203" s="36"/>
      <c r="U203" s="36"/>
      <c r="V203" s="36"/>
      <c r="W203" s="36"/>
      <c r="X203" s="36"/>
      <c r="Y203" s="36"/>
      <c r="Z203" s="36"/>
      <c r="AA203" s="36"/>
      <c r="AB203" s="2"/>
    </row>
    <row r="204" spans="1:28" ht="8.1" customHeight="1" x14ac:dyDescent="0.25">
      <c r="A204" s="149">
        <f>1</f>
        <v>1</v>
      </c>
      <c r="B204" s="131"/>
      <c r="C204" s="2"/>
      <c r="D204" s="2"/>
      <c r="E204" s="2"/>
      <c r="F204" s="2"/>
      <c r="G204" s="2"/>
      <c r="H204" s="2"/>
      <c r="I204" s="28"/>
      <c r="J204" s="2"/>
      <c r="K204" s="28"/>
      <c r="L204" s="2"/>
      <c r="M204" s="52"/>
      <c r="N204" s="2"/>
      <c r="O204" s="2"/>
      <c r="P204" s="36"/>
      <c r="Q204" s="36"/>
      <c r="R204" s="36"/>
      <c r="S204" s="36"/>
      <c r="T204" s="36"/>
      <c r="U204" s="36"/>
      <c r="V204" s="36"/>
      <c r="W204" s="36"/>
      <c r="X204" s="36"/>
      <c r="Y204" s="36"/>
      <c r="Z204" s="36"/>
      <c r="AA204" s="36"/>
      <c r="AB204" s="2"/>
    </row>
    <row r="205" spans="1:28" ht="3.9" customHeight="1" x14ac:dyDescent="0.25">
      <c r="A205" s="149">
        <f>1</f>
        <v>1</v>
      </c>
      <c r="B205" s="131"/>
      <c r="C205" s="2"/>
      <c r="D205" s="2"/>
      <c r="E205" s="2"/>
      <c r="F205" s="2"/>
      <c r="G205" s="2"/>
      <c r="H205" s="2"/>
      <c r="I205" s="28"/>
      <c r="J205" s="2"/>
      <c r="K205" s="28"/>
      <c r="L205" s="2"/>
      <c r="M205" s="52"/>
      <c r="N205" s="2"/>
      <c r="O205" s="2"/>
      <c r="P205" s="36"/>
      <c r="Q205" s="36"/>
      <c r="R205" s="36"/>
      <c r="S205" s="36"/>
      <c r="T205" s="36"/>
      <c r="U205" s="36"/>
      <c r="V205" s="36"/>
      <c r="W205" s="36"/>
      <c r="X205" s="36"/>
      <c r="Y205" s="36"/>
      <c r="Z205" s="36"/>
      <c r="AA205" s="36"/>
      <c r="AB205" s="2"/>
    </row>
    <row r="206" spans="1:28" s="5" customFormat="1" x14ac:dyDescent="0.25">
      <c r="A206" s="150">
        <f>1</f>
        <v>1</v>
      </c>
      <c r="B206" s="129" t="str">
        <f>структура!$J$12</f>
        <v>ОСНО</v>
      </c>
      <c r="C206" s="3"/>
      <c r="D206" s="3"/>
      <c r="E206" s="147" t="str">
        <f>KPI!$E$101</f>
        <v>NPV(CF)-Inv</v>
      </c>
      <c r="F206" s="147"/>
      <c r="G206" s="147" t="str">
        <f>IF($E206="","",INDEX(KPI!$G:$G,SUMIFS(KPI!$B:$B,KPI!$E:$E,$E206)))</f>
        <v>тыс.руб.</v>
      </c>
      <c r="H206" s="147"/>
      <c r="I206" s="170"/>
      <c r="J206" s="147"/>
      <c r="K206" s="170"/>
      <c r="L206" s="147"/>
      <c r="M206" s="171">
        <f>M196-M$190</f>
        <v>13357.489625960912</v>
      </c>
      <c r="N206" s="3"/>
      <c r="O206" s="3"/>
      <c r="P206" s="46"/>
      <c r="Q206" s="46"/>
      <c r="R206" s="46"/>
      <c r="S206" s="46"/>
      <c r="T206" s="46"/>
      <c r="U206" s="46"/>
      <c r="V206" s="46"/>
      <c r="W206" s="46"/>
      <c r="X206" s="46"/>
      <c r="Y206" s="46"/>
      <c r="Z206" s="46"/>
      <c r="AA206" s="46"/>
      <c r="AB206" s="3"/>
    </row>
    <row r="207" spans="1:28" s="5" customFormat="1" ht="3.9" customHeight="1" x14ac:dyDescent="0.25">
      <c r="A207" s="150">
        <f>1</f>
        <v>1</v>
      </c>
      <c r="B207" s="128"/>
      <c r="C207" s="3"/>
      <c r="D207" s="3"/>
      <c r="E207" s="3"/>
      <c r="F207" s="3"/>
      <c r="G207" s="3"/>
      <c r="H207" s="3"/>
      <c r="I207" s="28"/>
      <c r="J207" s="3"/>
      <c r="K207" s="28"/>
      <c r="L207" s="3"/>
      <c r="M207" s="55"/>
      <c r="N207" s="3"/>
      <c r="O207" s="3"/>
      <c r="P207" s="46"/>
      <c r="Q207" s="46"/>
      <c r="R207" s="46"/>
      <c r="S207" s="46"/>
      <c r="T207" s="46"/>
      <c r="U207" s="46"/>
      <c r="V207" s="46"/>
      <c r="W207" s="46"/>
      <c r="X207" s="46"/>
      <c r="Y207" s="46"/>
      <c r="Z207" s="46"/>
      <c r="AA207" s="46"/>
      <c r="AB207" s="3"/>
    </row>
    <row r="208" spans="1:28" s="5" customFormat="1" x14ac:dyDescent="0.25">
      <c r="A208" s="150">
        <f>1</f>
        <v>1</v>
      </c>
      <c r="B208" s="129" t="str">
        <f>структура!$J$13</f>
        <v>УСН(6%)</v>
      </c>
      <c r="C208" s="3"/>
      <c r="D208" s="3"/>
      <c r="E208" s="147" t="str">
        <f>E206</f>
        <v>NPV(CF)-Inv</v>
      </c>
      <c r="F208" s="147"/>
      <c r="G208" s="147" t="str">
        <f>IF($E208="","",INDEX(KPI!$G:$G,SUMIFS(KPI!$B:$B,KPI!$E:$E,$E208)))</f>
        <v>тыс.руб.</v>
      </c>
      <c r="H208" s="147"/>
      <c r="I208" s="170"/>
      <c r="J208" s="147"/>
      <c r="K208" s="170"/>
      <c r="L208" s="147"/>
      <c r="M208" s="171">
        <f>M198-M$190</f>
        <v>22492.924234377806</v>
      </c>
      <c r="N208" s="3"/>
      <c r="O208" s="3"/>
      <c r="P208" s="46"/>
      <c r="Q208" s="46"/>
      <c r="R208" s="46"/>
      <c r="S208" s="46"/>
      <c r="T208" s="46"/>
      <c r="U208" s="46"/>
      <c r="V208" s="46"/>
      <c r="W208" s="46"/>
      <c r="X208" s="46"/>
      <c r="Y208" s="46"/>
      <c r="Z208" s="46"/>
      <c r="AA208" s="46"/>
      <c r="AB208" s="3"/>
    </row>
    <row r="209" spans="1:28" s="5" customFormat="1" ht="3.9" customHeight="1" x14ac:dyDescent="0.25">
      <c r="A209" s="150">
        <f>1</f>
        <v>1</v>
      </c>
      <c r="B209" s="128"/>
      <c r="C209" s="3"/>
      <c r="D209" s="3"/>
      <c r="E209" s="3"/>
      <c r="F209" s="3"/>
      <c r="G209" s="3"/>
      <c r="H209" s="3"/>
      <c r="I209" s="28"/>
      <c r="J209" s="3"/>
      <c r="K209" s="28"/>
      <c r="L209" s="3"/>
      <c r="M209" s="55"/>
      <c r="N209" s="3"/>
      <c r="O209" s="3"/>
      <c r="P209" s="46"/>
      <c r="Q209" s="46"/>
      <c r="R209" s="46"/>
      <c r="S209" s="46"/>
      <c r="T209" s="46"/>
      <c r="U209" s="46"/>
      <c r="V209" s="46"/>
      <c r="W209" s="46"/>
      <c r="X209" s="46"/>
      <c r="Y209" s="46"/>
      <c r="Z209" s="46"/>
      <c r="AA209" s="46"/>
      <c r="AB209" s="3"/>
    </row>
    <row r="210" spans="1:28" s="5" customFormat="1" x14ac:dyDescent="0.25">
      <c r="A210" s="150">
        <f>1</f>
        <v>1</v>
      </c>
      <c r="B210" s="129" t="str">
        <f>структура!$J$14</f>
        <v>УСН(15%)</v>
      </c>
      <c r="C210" s="3"/>
      <c r="D210" s="3"/>
      <c r="E210" s="147" t="str">
        <f>E206</f>
        <v>NPV(CF)-Inv</v>
      </c>
      <c r="F210" s="147"/>
      <c r="G210" s="147" t="str">
        <f>IF($E210="","",INDEX(KPI!$G:$G,SUMIFS(KPI!$B:$B,KPI!$E:$E,$E210)))</f>
        <v>тыс.руб.</v>
      </c>
      <c r="H210" s="147"/>
      <c r="I210" s="170"/>
      <c r="J210" s="147"/>
      <c r="K210" s="170"/>
      <c r="L210" s="147"/>
      <c r="M210" s="171">
        <f>M200-M$190</f>
        <v>18535.031288330432</v>
      </c>
      <c r="N210" s="3"/>
      <c r="O210" s="3"/>
      <c r="P210" s="46"/>
      <c r="Q210" s="46"/>
      <c r="R210" s="46"/>
      <c r="S210" s="46"/>
      <c r="T210" s="46"/>
      <c r="U210" s="46"/>
      <c r="V210" s="46"/>
      <c r="W210" s="46"/>
      <c r="X210" s="46"/>
      <c r="Y210" s="46"/>
      <c r="Z210" s="46"/>
      <c r="AA210" s="46"/>
      <c r="AB210" s="3"/>
    </row>
    <row r="211" spans="1:28" s="5" customFormat="1" ht="3.9" customHeight="1" x14ac:dyDescent="0.25">
      <c r="A211" s="150">
        <f>1</f>
        <v>1</v>
      </c>
      <c r="B211" s="128"/>
      <c r="C211" s="3"/>
      <c r="D211" s="3"/>
      <c r="E211" s="3"/>
      <c r="F211" s="3"/>
      <c r="G211" s="3"/>
      <c r="H211" s="3"/>
      <c r="I211" s="28"/>
      <c r="J211" s="3"/>
      <c r="K211" s="28"/>
      <c r="L211" s="3"/>
      <c r="M211" s="55"/>
      <c r="N211" s="3"/>
      <c r="O211" s="3"/>
      <c r="P211" s="46"/>
      <c r="Q211" s="46"/>
      <c r="R211" s="46"/>
      <c r="S211" s="46"/>
      <c r="T211" s="46"/>
      <c r="U211" s="46"/>
      <c r="V211" s="46"/>
      <c r="W211" s="46"/>
      <c r="X211" s="46"/>
      <c r="Y211" s="46"/>
      <c r="Z211" s="46"/>
      <c r="AA211" s="46"/>
      <c r="AB211" s="3"/>
    </row>
    <row r="212" spans="1:28" s="5" customFormat="1" x14ac:dyDescent="0.25">
      <c r="A212" s="150">
        <f>1</f>
        <v>1</v>
      </c>
      <c r="B212" s="129" t="str">
        <f>структура!$J$15</f>
        <v>УСН(6%)-ИП</v>
      </c>
      <c r="C212" s="3"/>
      <c r="D212" s="3"/>
      <c r="E212" s="147" t="str">
        <f>E206</f>
        <v>NPV(CF)-Inv</v>
      </c>
      <c r="F212" s="147"/>
      <c r="G212" s="147" t="str">
        <f>IF($E212="","",INDEX(KPI!$G:$G,SUMIFS(KPI!$B:$B,KPI!$E:$E,$E212)))</f>
        <v>тыс.руб.</v>
      </c>
      <c r="H212" s="147"/>
      <c r="I212" s="170"/>
      <c r="J212" s="147"/>
      <c r="K212" s="170"/>
      <c r="L212" s="147"/>
      <c r="M212" s="171">
        <f>M202-M$190</f>
        <v>24049.363588641125</v>
      </c>
      <c r="N212" s="3"/>
      <c r="O212" s="3"/>
      <c r="P212" s="46"/>
      <c r="Q212" s="46"/>
      <c r="R212" s="46"/>
      <c r="S212" s="46"/>
      <c r="T212" s="46"/>
      <c r="U212" s="46"/>
      <c r="V212" s="46"/>
      <c r="W212" s="46"/>
      <c r="X212" s="46"/>
      <c r="Y212" s="46"/>
      <c r="Z212" s="46"/>
      <c r="AA212" s="46"/>
      <c r="AB212" s="3"/>
    </row>
    <row r="213" spans="1:28" ht="3.9" customHeight="1" x14ac:dyDescent="0.25">
      <c r="A213" s="149">
        <f>1</f>
        <v>1</v>
      </c>
      <c r="B213" s="131"/>
      <c r="C213" s="2"/>
      <c r="D213" s="2"/>
      <c r="E213" s="117"/>
      <c r="F213" s="2"/>
      <c r="G213" s="117"/>
      <c r="H213" s="2"/>
      <c r="I213" s="28"/>
      <c r="J213" s="2"/>
      <c r="K213" s="28"/>
      <c r="L213" s="2"/>
      <c r="M213" s="138"/>
      <c r="N213" s="2"/>
      <c r="O213" s="2"/>
      <c r="P213" s="36"/>
      <c r="Q213" s="36"/>
      <c r="R213" s="36"/>
      <c r="S213" s="36"/>
      <c r="T213" s="36"/>
      <c r="U213" s="36"/>
      <c r="V213" s="36"/>
      <c r="W213" s="36"/>
      <c r="X213" s="36"/>
      <c r="Y213" s="36"/>
      <c r="Z213" s="36"/>
      <c r="AA213" s="36"/>
      <c r="AB213" s="2"/>
    </row>
    <row r="214" spans="1:28" ht="8.1" customHeight="1" x14ac:dyDescent="0.25">
      <c r="A214" s="149">
        <f>1</f>
        <v>1</v>
      </c>
      <c r="B214" s="131"/>
      <c r="C214" s="2"/>
      <c r="D214" s="2"/>
      <c r="E214" s="2"/>
      <c r="F214" s="2"/>
      <c r="G214" s="2"/>
      <c r="H214" s="2"/>
      <c r="I214" s="28"/>
      <c r="J214" s="2"/>
      <c r="K214" s="28"/>
      <c r="L214" s="2"/>
      <c r="M214" s="52"/>
      <c r="N214" s="2"/>
      <c r="O214" s="2"/>
      <c r="P214" s="36"/>
      <c r="Q214" s="36"/>
      <c r="R214" s="36"/>
      <c r="S214" s="36"/>
      <c r="T214" s="36"/>
      <c r="U214" s="36"/>
      <c r="V214" s="36"/>
      <c r="W214" s="36"/>
      <c r="X214" s="36"/>
      <c r="Y214" s="36"/>
      <c r="Z214" s="36"/>
      <c r="AA214" s="36"/>
      <c r="AB214" s="2"/>
    </row>
    <row r="215" spans="1:28" ht="3.9" customHeight="1" x14ac:dyDescent="0.25">
      <c r="A215" s="149">
        <f>1</f>
        <v>1</v>
      </c>
      <c r="B215" s="131"/>
      <c r="C215" s="2"/>
      <c r="D215" s="2"/>
      <c r="E215" s="2"/>
      <c r="F215" s="2"/>
      <c r="G215" s="2"/>
      <c r="H215" s="2"/>
      <c r="I215" s="28"/>
      <c r="J215" s="2"/>
      <c r="K215" s="28"/>
      <c r="L215" s="2"/>
      <c r="M215" s="52"/>
      <c r="N215" s="2"/>
      <c r="O215" s="2"/>
      <c r="P215" s="36"/>
      <c r="Q215" s="36"/>
      <c r="R215" s="36"/>
      <c r="S215" s="36"/>
      <c r="T215" s="36"/>
      <c r="U215" s="36"/>
      <c r="V215" s="36"/>
      <c r="W215" s="36"/>
      <c r="X215" s="36"/>
      <c r="Y215" s="36"/>
      <c r="Z215" s="36"/>
      <c r="AA215" s="36"/>
      <c r="AB215" s="2"/>
    </row>
    <row r="216" spans="1:28" s="5" customFormat="1" x14ac:dyDescent="0.25">
      <c r="A216" s="150">
        <f>1</f>
        <v>1</v>
      </c>
      <c r="B216" s="129" t="str">
        <f>структура!$J$12</f>
        <v>ОСНО</v>
      </c>
      <c r="C216" s="3"/>
      <c r="D216" s="3"/>
      <c r="E216" s="147" t="str">
        <f>KPI!$E$102</f>
        <v>PI</v>
      </c>
      <c r="F216" s="147"/>
      <c r="G216" s="147" t="str">
        <f>IF($E216="","",INDEX(KPI!$G:$G,SUMIFS(KPI!$B:$B,KPI!$E:$E,$E216)))</f>
        <v>разы</v>
      </c>
      <c r="H216" s="147"/>
      <c r="I216" s="170"/>
      <c r="J216" s="147"/>
      <c r="K216" s="170"/>
      <c r="L216" s="147"/>
      <c r="M216" s="187">
        <f>IF(M$190=0,0,M196/M$190)</f>
        <v>1.4678568915756103</v>
      </c>
      <c r="N216" s="3"/>
      <c r="O216" s="3"/>
      <c r="P216" s="46"/>
      <c r="Q216" s="46"/>
      <c r="R216" s="46"/>
      <c r="S216" s="46"/>
      <c r="T216" s="46"/>
      <c r="U216" s="46"/>
      <c r="V216" s="46"/>
      <c r="W216" s="46"/>
      <c r="X216" s="46"/>
      <c r="Y216" s="46"/>
      <c r="Z216" s="46"/>
      <c r="AA216" s="46"/>
      <c r="AB216" s="3"/>
    </row>
    <row r="217" spans="1:28" s="5" customFormat="1" ht="3.9" customHeight="1" x14ac:dyDescent="0.25">
      <c r="A217" s="150">
        <f>1</f>
        <v>1</v>
      </c>
      <c r="B217" s="128"/>
      <c r="C217" s="3"/>
      <c r="D217" s="3"/>
      <c r="E217" s="3"/>
      <c r="F217" s="3"/>
      <c r="G217" s="3"/>
      <c r="H217" s="3"/>
      <c r="I217" s="28"/>
      <c r="J217" s="3"/>
      <c r="K217" s="28"/>
      <c r="L217" s="3"/>
      <c r="M217" s="55"/>
      <c r="N217" s="3"/>
      <c r="O217" s="3"/>
      <c r="P217" s="46"/>
      <c r="Q217" s="46"/>
      <c r="R217" s="46"/>
      <c r="S217" s="46"/>
      <c r="T217" s="46"/>
      <c r="U217" s="46"/>
      <c r="V217" s="46"/>
      <c r="W217" s="46"/>
      <c r="X217" s="46"/>
      <c r="Y217" s="46"/>
      <c r="Z217" s="46"/>
      <c r="AA217" s="46"/>
      <c r="AB217" s="3"/>
    </row>
    <row r="218" spans="1:28" s="5" customFormat="1" x14ac:dyDescent="0.25">
      <c r="A218" s="150">
        <f>1</f>
        <v>1</v>
      </c>
      <c r="B218" s="129" t="str">
        <f>структура!$J$13</f>
        <v>УСН(6%)</v>
      </c>
      <c r="C218" s="3"/>
      <c r="D218" s="3"/>
      <c r="E218" s="147" t="str">
        <f>E216</f>
        <v>PI</v>
      </c>
      <c r="F218" s="147"/>
      <c r="G218" s="147" t="str">
        <f>IF($E218="","",INDEX(KPI!$G:$G,SUMIFS(KPI!$B:$B,KPI!$E:$E,$E218)))</f>
        <v>разы</v>
      </c>
      <c r="H218" s="147"/>
      <c r="I218" s="170"/>
      <c r="J218" s="147"/>
      <c r="K218" s="170"/>
      <c r="L218" s="147"/>
      <c r="M218" s="187">
        <f>IF(M$190=0,0,M198/M$190)</f>
        <v>1.7878328869736761</v>
      </c>
      <c r="N218" s="3"/>
      <c r="O218" s="3"/>
      <c r="P218" s="46"/>
      <c r="Q218" s="46"/>
      <c r="R218" s="46"/>
      <c r="S218" s="46"/>
      <c r="T218" s="46"/>
      <c r="U218" s="46"/>
      <c r="V218" s="46"/>
      <c r="W218" s="46"/>
      <c r="X218" s="46"/>
      <c r="Y218" s="46"/>
      <c r="Z218" s="46"/>
      <c r="AA218" s="46"/>
      <c r="AB218" s="3"/>
    </row>
    <row r="219" spans="1:28" s="5" customFormat="1" ht="3.9" customHeight="1" x14ac:dyDescent="0.25">
      <c r="A219" s="150">
        <f>1</f>
        <v>1</v>
      </c>
      <c r="B219" s="128"/>
      <c r="C219" s="3"/>
      <c r="D219" s="3"/>
      <c r="E219" s="3"/>
      <c r="F219" s="3"/>
      <c r="G219" s="3"/>
      <c r="H219" s="3"/>
      <c r="I219" s="28"/>
      <c r="J219" s="3"/>
      <c r="K219" s="28"/>
      <c r="L219" s="3"/>
      <c r="M219" s="55"/>
      <c r="N219" s="3"/>
      <c r="O219" s="3"/>
      <c r="P219" s="46"/>
      <c r="Q219" s="46"/>
      <c r="R219" s="46"/>
      <c r="S219" s="46"/>
      <c r="T219" s="46"/>
      <c r="U219" s="46"/>
      <c r="V219" s="46"/>
      <c r="W219" s="46"/>
      <c r="X219" s="46"/>
      <c r="Y219" s="46"/>
      <c r="Z219" s="46"/>
      <c r="AA219" s="46"/>
      <c r="AB219" s="3"/>
    </row>
    <row r="220" spans="1:28" s="5" customFormat="1" x14ac:dyDescent="0.25">
      <c r="A220" s="150">
        <f>1</f>
        <v>1</v>
      </c>
      <c r="B220" s="129" t="str">
        <f>структура!$J$14</f>
        <v>УСН(15%)</v>
      </c>
      <c r="C220" s="3"/>
      <c r="D220" s="3"/>
      <c r="E220" s="147" t="str">
        <f>E216</f>
        <v>PI</v>
      </c>
      <c r="F220" s="147"/>
      <c r="G220" s="147" t="str">
        <f>IF($E220="","",INDEX(KPI!$G:$G,SUMIFS(KPI!$B:$B,KPI!$E:$E,$E220)))</f>
        <v>разы</v>
      </c>
      <c r="H220" s="147"/>
      <c r="I220" s="170"/>
      <c r="J220" s="147"/>
      <c r="K220" s="170"/>
      <c r="L220" s="147"/>
      <c r="M220" s="187">
        <f>IF(M$190=0,0,M200/M$190)</f>
        <v>1.6492044812792528</v>
      </c>
      <c r="N220" s="3"/>
      <c r="O220" s="3"/>
      <c r="P220" s="46"/>
      <c r="Q220" s="46"/>
      <c r="R220" s="46"/>
      <c r="S220" s="46"/>
      <c r="T220" s="46"/>
      <c r="U220" s="46"/>
      <c r="V220" s="46"/>
      <c r="W220" s="46"/>
      <c r="X220" s="46"/>
      <c r="Y220" s="46"/>
      <c r="Z220" s="46"/>
      <c r="AA220" s="46"/>
      <c r="AB220" s="3"/>
    </row>
    <row r="221" spans="1:28" s="5" customFormat="1" ht="3.9" customHeight="1" x14ac:dyDescent="0.25">
      <c r="A221" s="150">
        <f>1</f>
        <v>1</v>
      </c>
      <c r="B221" s="128"/>
      <c r="C221" s="3"/>
      <c r="D221" s="3"/>
      <c r="E221" s="3"/>
      <c r="F221" s="3"/>
      <c r="G221" s="3"/>
      <c r="H221" s="3"/>
      <c r="I221" s="28"/>
      <c r="J221" s="3"/>
      <c r="K221" s="28"/>
      <c r="L221" s="3"/>
      <c r="M221" s="55"/>
      <c r="N221" s="3"/>
      <c r="O221" s="3"/>
      <c r="P221" s="46"/>
      <c r="Q221" s="46"/>
      <c r="R221" s="46"/>
      <c r="S221" s="46"/>
      <c r="T221" s="46"/>
      <c r="U221" s="46"/>
      <c r="V221" s="46"/>
      <c r="W221" s="46"/>
      <c r="X221" s="46"/>
      <c r="Y221" s="46"/>
      <c r="Z221" s="46"/>
      <c r="AA221" s="46"/>
      <c r="AB221" s="3"/>
    </row>
    <row r="222" spans="1:28" s="5" customFormat="1" x14ac:dyDescent="0.25">
      <c r="A222" s="150">
        <f>1</f>
        <v>1</v>
      </c>
      <c r="B222" s="129" t="str">
        <f>структура!$J$15</f>
        <v>УСН(6%)-ИП</v>
      </c>
      <c r="C222" s="3"/>
      <c r="D222" s="3"/>
      <c r="E222" s="147" t="str">
        <f>E216</f>
        <v>PI</v>
      </c>
      <c r="F222" s="147"/>
      <c r="G222" s="147" t="str">
        <f>IF($E222="","",INDEX(KPI!$G:$G,SUMIFS(KPI!$B:$B,KPI!$E:$E,$E222)))</f>
        <v>разы</v>
      </c>
      <c r="H222" s="147"/>
      <c r="I222" s="170"/>
      <c r="J222" s="147"/>
      <c r="K222" s="170"/>
      <c r="L222" s="147"/>
      <c r="M222" s="187">
        <f>IF(M$190=0,0,M202/M$190)</f>
        <v>1.8423484358232378</v>
      </c>
      <c r="N222" s="3"/>
      <c r="O222" s="3"/>
      <c r="P222" s="46"/>
      <c r="Q222" s="46"/>
      <c r="R222" s="46"/>
      <c r="S222" s="46"/>
      <c r="T222" s="46"/>
      <c r="U222" s="46"/>
      <c r="V222" s="46"/>
      <c r="W222" s="46"/>
      <c r="X222" s="46"/>
      <c r="Y222" s="46"/>
      <c r="Z222" s="46"/>
      <c r="AA222" s="46"/>
      <c r="AB222" s="3"/>
    </row>
    <row r="223" spans="1:28" ht="3.9" customHeight="1" x14ac:dyDescent="0.25">
      <c r="A223" s="149">
        <f>1</f>
        <v>1</v>
      </c>
      <c r="B223" s="131"/>
      <c r="C223" s="2"/>
      <c r="D223" s="2"/>
      <c r="E223" s="117"/>
      <c r="F223" s="2"/>
      <c r="G223" s="117"/>
      <c r="H223" s="2"/>
      <c r="I223" s="28"/>
      <c r="J223" s="2"/>
      <c r="K223" s="28"/>
      <c r="L223" s="2"/>
      <c r="M223" s="138"/>
      <c r="N223" s="2"/>
      <c r="O223" s="2"/>
      <c r="P223" s="36"/>
      <c r="Q223" s="36"/>
      <c r="R223" s="36"/>
      <c r="S223" s="36"/>
      <c r="T223" s="36"/>
      <c r="U223" s="36"/>
      <c r="V223" s="36"/>
      <c r="W223" s="36"/>
      <c r="X223" s="36"/>
      <c r="Y223" s="36"/>
      <c r="Z223" s="36"/>
      <c r="AA223" s="36"/>
      <c r="AB223" s="2"/>
    </row>
    <row r="224" spans="1:28" ht="8.1" customHeight="1" x14ac:dyDescent="0.25">
      <c r="A224" s="149">
        <f>1</f>
        <v>1</v>
      </c>
      <c r="B224" s="131"/>
      <c r="C224" s="2"/>
      <c r="D224" s="2"/>
      <c r="E224" s="2"/>
      <c r="F224" s="2"/>
      <c r="G224" s="2"/>
      <c r="H224" s="2"/>
      <c r="I224" s="28"/>
      <c r="J224" s="2"/>
      <c r="K224" s="28"/>
      <c r="L224" s="2"/>
      <c r="M224" s="52"/>
      <c r="N224" s="2"/>
      <c r="O224" s="2"/>
      <c r="P224" s="36"/>
      <c r="Q224" s="36"/>
      <c r="R224" s="36"/>
      <c r="S224" s="36"/>
      <c r="T224" s="36"/>
      <c r="U224" s="36"/>
      <c r="V224" s="36"/>
      <c r="W224" s="36"/>
      <c r="X224" s="36"/>
      <c r="Y224" s="36"/>
      <c r="Z224" s="36"/>
      <c r="AA224" s="36"/>
      <c r="AB224" s="2"/>
    </row>
    <row r="225" spans="1:28" ht="3.9" customHeight="1" x14ac:dyDescent="0.25">
      <c r="A225" s="149">
        <f>1</f>
        <v>1</v>
      </c>
      <c r="B225" s="131"/>
      <c r="C225" s="2"/>
      <c r="D225" s="2"/>
      <c r="E225" s="2"/>
      <c r="F225" s="2"/>
      <c r="G225" s="2"/>
      <c r="H225" s="2"/>
      <c r="I225" s="28"/>
      <c r="J225" s="2"/>
      <c r="K225" s="28"/>
      <c r="L225" s="2"/>
      <c r="M225" s="52"/>
      <c r="N225" s="2"/>
      <c r="O225" s="2"/>
      <c r="P225" s="36"/>
      <c r="Q225" s="36"/>
      <c r="R225" s="36"/>
      <c r="S225" s="36"/>
      <c r="T225" s="36"/>
      <c r="U225" s="36"/>
      <c r="V225" s="36"/>
      <c r="W225" s="36"/>
      <c r="X225" s="36"/>
      <c r="Y225" s="36"/>
      <c r="Z225" s="36"/>
      <c r="AA225" s="36"/>
      <c r="AB225" s="2"/>
    </row>
    <row r="226" spans="1:28" s="5" customFormat="1" x14ac:dyDescent="0.25">
      <c r="A226" s="150">
        <f>1</f>
        <v>1</v>
      </c>
      <c r="B226" s="129" t="str">
        <f>структура!$J$12</f>
        <v>ОСНО</v>
      </c>
      <c r="C226" s="3"/>
      <c r="D226" s="3"/>
      <c r="E226" s="147" t="str">
        <f>KPI!$E$103</f>
        <v>ROI</v>
      </c>
      <c r="F226" s="147"/>
      <c r="G226" s="147" t="str">
        <f>IF($E226="","",INDEX(KPI!$G:$G,SUMIFS(KPI!$B:$B,KPI!$E:$E,$E226)))</f>
        <v>%</v>
      </c>
      <c r="H226" s="147"/>
      <c r="I226" s="170"/>
      <c r="J226" s="147"/>
      <c r="K226" s="170"/>
      <c r="L226" s="147"/>
      <c r="M226" s="188">
        <f>IF(M$190=0,0,M206/M$190)</f>
        <v>0.46785689157561028</v>
      </c>
      <c r="N226" s="3"/>
      <c r="O226" s="3"/>
      <c r="P226" s="46"/>
      <c r="Q226" s="46"/>
      <c r="R226" s="46"/>
      <c r="S226" s="46"/>
      <c r="T226" s="46"/>
      <c r="U226" s="46"/>
      <c r="V226" s="46"/>
      <c r="W226" s="46"/>
      <c r="X226" s="46"/>
      <c r="Y226" s="46"/>
      <c r="Z226" s="46"/>
      <c r="AA226" s="46"/>
      <c r="AB226" s="3"/>
    </row>
    <row r="227" spans="1:28" s="5" customFormat="1" ht="3.9" customHeight="1" x14ac:dyDescent="0.25">
      <c r="A227" s="150">
        <f>1</f>
        <v>1</v>
      </c>
      <c r="B227" s="128"/>
      <c r="C227" s="3"/>
      <c r="D227" s="3"/>
      <c r="E227" s="3"/>
      <c r="F227" s="3"/>
      <c r="G227" s="3"/>
      <c r="H227" s="3"/>
      <c r="I227" s="28"/>
      <c r="J227" s="3"/>
      <c r="K227" s="28"/>
      <c r="L227" s="3"/>
      <c r="M227" s="55"/>
      <c r="N227" s="3"/>
      <c r="O227" s="3"/>
      <c r="P227" s="46"/>
      <c r="Q227" s="46"/>
      <c r="R227" s="46"/>
      <c r="S227" s="46"/>
      <c r="T227" s="46"/>
      <c r="U227" s="46"/>
      <c r="V227" s="46"/>
      <c r="W227" s="46"/>
      <c r="X227" s="46"/>
      <c r="Y227" s="46"/>
      <c r="Z227" s="46"/>
      <c r="AA227" s="46"/>
      <c r="AB227" s="3"/>
    </row>
    <row r="228" spans="1:28" s="5" customFormat="1" x14ac:dyDescent="0.25">
      <c r="A228" s="150">
        <f>1</f>
        <v>1</v>
      </c>
      <c r="B228" s="129" t="str">
        <f>структура!$J$13</f>
        <v>УСН(6%)</v>
      </c>
      <c r="C228" s="3"/>
      <c r="D228" s="3"/>
      <c r="E228" s="147" t="str">
        <f>E226</f>
        <v>ROI</v>
      </c>
      <c r="F228" s="147"/>
      <c r="G228" s="147" t="str">
        <f>IF($E228="","",INDEX(KPI!$G:$G,SUMIFS(KPI!$B:$B,KPI!$E:$E,$E228)))</f>
        <v>%</v>
      </c>
      <c r="H228" s="147"/>
      <c r="I228" s="170"/>
      <c r="J228" s="147"/>
      <c r="K228" s="170"/>
      <c r="L228" s="147"/>
      <c r="M228" s="188">
        <f>IF(M$190=0,0,M208/M$190)</f>
        <v>0.78783288697367604</v>
      </c>
      <c r="N228" s="3"/>
      <c r="O228" s="3"/>
      <c r="P228" s="46"/>
      <c r="Q228" s="46"/>
      <c r="R228" s="46"/>
      <c r="S228" s="46"/>
      <c r="T228" s="46"/>
      <c r="U228" s="46"/>
      <c r="V228" s="46"/>
      <c r="W228" s="46"/>
      <c r="X228" s="46"/>
      <c r="Y228" s="46"/>
      <c r="Z228" s="46"/>
      <c r="AA228" s="46"/>
      <c r="AB228" s="3"/>
    </row>
    <row r="229" spans="1:28" s="5" customFormat="1" ht="3.9" customHeight="1" x14ac:dyDescent="0.25">
      <c r="A229" s="150">
        <f>1</f>
        <v>1</v>
      </c>
      <c r="B229" s="128"/>
      <c r="C229" s="3"/>
      <c r="D229" s="3"/>
      <c r="E229" s="3"/>
      <c r="F229" s="3"/>
      <c r="G229" s="3"/>
      <c r="H229" s="3"/>
      <c r="I229" s="28"/>
      <c r="J229" s="3"/>
      <c r="K229" s="28"/>
      <c r="L229" s="3"/>
      <c r="M229" s="55"/>
      <c r="N229" s="3"/>
      <c r="O229" s="3"/>
      <c r="P229" s="46"/>
      <c r="Q229" s="46"/>
      <c r="R229" s="46"/>
      <c r="S229" s="46"/>
      <c r="T229" s="46"/>
      <c r="U229" s="46"/>
      <c r="V229" s="46"/>
      <c r="W229" s="46"/>
      <c r="X229" s="46"/>
      <c r="Y229" s="46"/>
      <c r="Z229" s="46"/>
      <c r="AA229" s="46"/>
      <c r="AB229" s="3"/>
    </row>
    <row r="230" spans="1:28" s="5" customFormat="1" x14ac:dyDescent="0.25">
      <c r="A230" s="150">
        <f>1</f>
        <v>1</v>
      </c>
      <c r="B230" s="129" t="str">
        <f>структура!$J$14</f>
        <v>УСН(15%)</v>
      </c>
      <c r="C230" s="3"/>
      <c r="D230" s="3"/>
      <c r="E230" s="147" t="str">
        <f>E226</f>
        <v>ROI</v>
      </c>
      <c r="F230" s="147"/>
      <c r="G230" s="147" t="str">
        <f>IF($E230="","",INDEX(KPI!$G:$G,SUMIFS(KPI!$B:$B,KPI!$E:$E,$E230)))</f>
        <v>%</v>
      </c>
      <c r="H230" s="147"/>
      <c r="I230" s="170"/>
      <c r="J230" s="147"/>
      <c r="K230" s="170"/>
      <c r="L230" s="147"/>
      <c r="M230" s="188">
        <f>IF(M$190=0,0,M210/M$190)</f>
        <v>0.6492044812792529</v>
      </c>
      <c r="N230" s="3"/>
      <c r="O230" s="3"/>
      <c r="P230" s="46"/>
      <c r="Q230" s="46"/>
      <c r="R230" s="46"/>
      <c r="S230" s="46"/>
      <c r="T230" s="46"/>
      <c r="U230" s="46"/>
      <c r="V230" s="46"/>
      <c r="W230" s="46"/>
      <c r="X230" s="46"/>
      <c r="Y230" s="46"/>
      <c r="Z230" s="46"/>
      <c r="AA230" s="46"/>
      <c r="AB230" s="3"/>
    </row>
    <row r="231" spans="1:28" s="5" customFormat="1" ht="3.9" customHeight="1" x14ac:dyDescent="0.25">
      <c r="A231" s="150">
        <f>1</f>
        <v>1</v>
      </c>
      <c r="B231" s="128"/>
      <c r="C231" s="3"/>
      <c r="D231" s="3"/>
      <c r="E231" s="3"/>
      <c r="F231" s="3"/>
      <c r="G231" s="3"/>
      <c r="H231" s="3"/>
      <c r="I231" s="28"/>
      <c r="J231" s="3"/>
      <c r="K231" s="28"/>
      <c r="L231" s="3"/>
      <c r="M231" s="55"/>
      <c r="N231" s="3"/>
      <c r="O231" s="3"/>
      <c r="P231" s="46"/>
      <c r="Q231" s="46"/>
      <c r="R231" s="46"/>
      <c r="S231" s="46"/>
      <c r="T231" s="46"/>
      <c r="U231" s="46"/>
      <c r="V231" s="46"/>
      <c r="W231" s="46"/>
      <c r="X231" s="46"/>
      <c r="Y231" s="46"/>
      <c r="Z231" s="46"/>
      <c r="AA231" s="46"/>
      <c r="AB231" s="3"/>
    </row>
    <row r="232" spans="1:28" s="5" customFormat="1" x14ac:dyDescent="0.25">
      <c r="A232" s="150">
        <f>1</f>
        <v>1</v>
      </c>
      <c r="B232" s="129" t="str">
        <f>структура!$J$15</f>
        <v>УСН(6%)-ИП</v>
      </c>
      <c r="C232" s="3"/>
      <c r="D232" s="3"/>
      <c r="E232" s="147" t="str">
        <f>E226</f>
        <v>ROI</v>
      </c>
      <c r="F232" s="147"/>
      <c r="G232" s="147" t="str">
        <f>IF($E232="","",INDEX(KPI!$G:$G,SUMIFS(KPI!$B:$B,KPI!$E:$E,$E232)))</f>
        <v>%</v>
      </c>
      <c r="H232" s="147"/>
      <c r="I232" s="170"/>
      <c r="J232" s="147"/>
      <c r="K232" s="170"/>
      <c r="L232" s="147"/>
      <c r="M232" s="188">
        <f>IF(M$190=0,0,M212/M$190)</f>
        <v>0.84234843582323782</v>
      </c>
      <c r="N232" s="3"/>
      <c r="O232" s="3"/>
      <c r="P232" s="46"/>
      <c r="Q232" s="46"/>
      <c r="R232" s="46"/>
      <c r="S232" s="46"/>
      <c r="T232" s="46"/>
      <c r="U232" s="46"/>
      <c r="V232" s="46"/>
      <c r="W232" s="46"/>
      <c r="X232" s="46"/>
      <c r="Y232" s="46"/>
      <c r="Z232" s="46"/>
      <c r="AA232" s="46"/>
      <c r="AB232" s="3"/>
    </row>
    <row r="233" spans="1:28" ht="3.9" customHeight="1" x14ac:dyDescent="0.25">
      <c r="A233" s="149">
        <f>1</f>
        <v>1</v>
      </c>
      <c r="B233" s="131"/>
      <c r="C233" s="2"/>
      <c r="D233" s="2"/>
      <c r="E233" s="117"/>
      <c r="F233" s="2"/>
      <c r="G233" s="117"/>
      <c r="H233" s="2"/>
      <c r="I233" s="28"/>
      <c r="J233" s="2"/>
      <c r="K233" s="28"/>
      <c r="L233" s="2"/>
      <c r="M233" s="138"/>
      <c r="N233" s="2"/>
      <c r="O233" s="2"/>
      <c r="P233" s="36"/>
      <c r="Q233" s="36"/>
      <c r="R233" s="36"/>
      <c r="S233" s="36"/>
      <c r="T233" s="36"/>
      <c r="U233" s="36"/>
      <c r="V233" s="36"/>
      <c r="W233" s="36"/>
      <c r="X233" s="36"/>
      <c r="Y233" s="36"/>
      <c r="Z233" s="36"/>
      <c r="AA233" s="36"/>
      <c r="AB233" s="2"/>
    </row>
    <row r="234" spans="1:28" ht="8.1" customHeight="1" x14ac:dyDescent="0.25">
      <c r="A234" s="149">
        <f>1</f>
        <v>1</v>
      </c>
      <c r="B234" s="131"/>
      <c r="C234" s="2"/>
      <c r="D234" s="2"/>
      <c r="E234" s="2"/>
      <c r="F234" s="2"/>
      <c r="G234" s="2"/>
      <c r="H234" s="2"/>
      <c r="I234" s="28"/>
      <c r="J234" s="2"/>
      <c r="K234" s="28"/>
      <c r="L234" s="2"/>
      <c r="M234" s="52"/>
      <c r="N234" s="2"/>
      <c r="O234" s="2"/>
      <c r="P234" s="36"/>
      <c r="Q234" s="36"/>
      <c r="R234" s="36"/>
      <c r="S234" s="36"/>
      <c r="T234" s="36"/>
      <c r="U234" s="36"/>
      <c r="V234" s="36"/>
      <c r="W234" s="36"/>
      <c r="X234" s="36"/>
      <c r="Y234" s="36"/>
      <c r="Z234" s="36"/>
      <c r="AA234" s="36"/>
      <c r="AB234" s="2"/>
    </row>
    <row r="235" spans="1:28" ht="3.9" customHeight="1" x14ac:dyDescent="0.25">
      <c r="A235" s="149">
        <f>1</f>
        <v>1</v>
      </c>
      <c r="B235" s="131"/>
      <c r="C235" s="2"/>
      <c r="D235" s="2"/>
      <c r="E235" s="2"/>
      <c r="F235" s="2"/>
      <c r="G235" s="2"/>
      <c r="H235" s="2"/>
      <c r="I235" s="28"/>
      <c r="J235" s="2"/>
      <c r="K235" s="28"/>
      <c r="L235" s="2"/>
      <c r="M235" s="52"/>
      <c r="N235" s="2"/>
      <c r="O235" s="2"/>
      <c r="P235" s="36"/>
      <c r="Q235" s="36"/>
      <c r="R235" s="36"/>
      <c r="S235" s="36"/>
      <c r="T235" s="36"/>
      <c r="U235" s="36"/>
      <c r="V235" s="36"/>
      <c r="W235" s="36"/>
      <c r="X235" s="36"/>
      <c r="Y235" s="36"/>
      <c r="Z235" s="36"/>
      <c r="AA235" s="36"/>
      <c r="AB235" s="2"/>
    </row>
    <row r="236" spans="1:28" s="157" customFormat="1" x14ac:dyDescent="0.25">
      <c r="A236" s="155">
        <f>1</f>
        <v>1</v>
      </c>
      <c r="B236" s="156" t="str">
        <f>структура!$J$12</f>
        <v>ОСНО</v>
      </c>
      <c r="C236" s="155"/>
      <c r="D236" s="155"/>
      <c r="E236" s="189" t="str">
        <f>KPI!$E$104</f>
        <v>График возврата инвестиций (приведенный)</v>
      </c>
      <c r="F236" s="189"/>
      <c r="G236" s="189" t="str">
        <f>IF($E236="","",INDEX(KPI!$G:$G,SUMIFS(KPI!$B:$B,KPI!$E:$E,$E236)))</f>
        <v>тыс.руб.</v>
      </c>
      <c r="H236" s="189"/>
      <c r="I236" s="190"/>
      <c r="J236" s="189"/>
      <c r="K236" s="190"/>
      <c r="L236" s="189"/>
      <c r="M236" s="191">
        <f>SUM($O236:$AB236)</f>
        <v>28550.37484</v>
      </c>
      <c r="N236" s="155"/>
      <c r="O236" s="155"/>
      <c r="P236" s="192">
        <f>IF(P$1="",0,IF($M206&lt;0,0,IF(SUM($O236:O236)=$M$190,0,IF(SUM($O196:P196)&lt;=$M$190,P196,$M$190-SUM($O196:O196)))))</f>
        <v>10355.805056603609</v>
      </c>
      <c r="Q236" s="192">
        <f>IF(Q$1="",0,IF($M206&lt;0,0,IF(SUM($O236:P236)=$M$190,0,IF(SUM($O196:Q196)&lt;=$M$190,Q196,$M$190-SUM($O196:P196)))))</f>
        <v>5220.4286812945938</v>
      </c>
      <c r="R236" s="192">
        <f>IF(R$1="",0,IF($M206&lt;0,0,IF(SUM($O236:Q236)=$M$190,0,IF(SUM($O196:R196)&lt;=$M$190,R196,$M$190-SUM($O196:Q196)))))</f>
        <v>5375.6483342058564</v>
      </c>
      <c r="S236" s="192">
        <f>IF(S$1="",0,IF($M206&lt;0,0,IF(SUM($O236:R236)=$M$190,0,IF(SUM($O196:S196)&lt;=$M$190,S196,$M$190-SUM($O196:R196)))))</f>
        <v>5141.7156606279823</v>
      </c>
      <c r="T236" s="192">
        <f>IF(T$1="",0,IF($M206&lt;0,0,IF(SUM($O236:S236)=$M$190,0,IF(SUM($O196:T196)&lt;=$M$190,T196,$M$190-SUM($O196:S196)))))</f>
        <v>2456.777107267957</v>
      </c>
      <c r="U236" s="192">
        <f>IF(U$1="",0,IF($M206&lt;0,0,IF(SUM($O236:T236)=$M$190,0,IF(SUM($O196:U196)&lt;=$M$190,U196,$M$190-SUM($O196:T196)))))</f>
        <v>0</v>
      </c>
      <c r="V236" s="192">
        <f>IF(V$1="",0,IF($M206&lt;0,0,IF(SUM($O236:U236)=$M$190,0,IF(SUM($O196:V196)&lt;=$M$190,V196,$M$190-SUM($O196:U196)))))</f>
        <v>0</v>
      </c>
      <c r="W236" s="192">
        <f>IF(W$1="",0,IF($M206&lt;0,0,IF(SUM($O236:V236)=$M$190,0,IF(SUM($O196:W196)&lt;=$M$190,W196,$M$190-SUM($O196:V196)))))</f>
        <v>0</v>
      </c>
      <c r="X236" s="192">
        <f>IF(X$1="",0,IF($M206&lt;0,0,IF(SUM($O236:W236)=$M$190,0,IF(SUM($O196:X196)&lt;=$M$190,X196,$M$190-SUM($O196:W196)))))</f>
        <v>0</v>
      </c>
      <c r="Y236" s="192">
        <f>IF(Y$1="",0,IF($M206&lt;0,0,IF(SUM($O236:X236)=$M$190,0,IF(SUM($O196:Y196)&lt;=$M$190,Y196,$M$190-SUM($O196:X196)))))</f>
        <v>0</v>
      </c>
      <c r="Z236" s="192">
        <f>IF(Z$1="",0,IF($M206&lt;0,0,IF(SUM($O236:Y236)=$M$190,0,IF(SUM($O196:Z196)&lt;=$M$190,Z196,$M$190-SUM($O196:Y196)))))</f>
        <v>0</v>
      </c>
      <c r="AA236" s="192">
        <f>IF(AA$1="",0,IF($M206&lt;0,0,IF(SUM($O236:Z236)=$M$190,0,IF(SUM($O196:AA196)&lt;=$M$190,AA196,$M$190-SUM($O196:Z196)))))</f>
        <v>0</v>
      </c>
      <c r="AB236" s="155"/>
    </row>
    <row r="237" spans="1:28" s="5" customFormat="1" ht="3.9" customHeight="1" x14ac:dyDescent="0.25">
      <c r="A237" s="150">
        <f>1</f>
        <v>1</v>
      </c>
      <c r="B237" s="128"/>
      <c r="C237" s="3"/>
      <c r="D237" s="3"/>
      <c r="E237" s="3"/>
      <c r="F237" s="3"/>
      <c r="G237" s="3"/>
      <c r="H237" s="3"/>
      <c r="I237" s="28"/>
      <c r="J237" s="3"/>
      <c r="K237" s="28"/>
      <c r="L237" s="3"/>
      <c r="M237" s="55"/>
      <c r="N237" s="3"/>
      <c r="O237" s="3"/>
      <c r="P237" s="46"/>
      <c r="Q237" s="46"/>
      <c r="R237" s="46"/>
      <c r="S237" s="46"/>
      <c r="T237" s="46"/>
      <c r="U237" s="46"/>
      <c r="V237" s="46"/>
      <c r="W237" s="46"/>
      <c r="X237" s="46"/>
      <c r="Y237" s="46"/>
      <c r="Z237" s="46"/>
      <c r="AA237" s="46"/>
      <c r="AB237" s="3"/>
    </row>
    <row r="238" spans="1:28" s="157" customFormat="1" x14ac:dyDescent="0.25">
      <c r="A238" s="155">
        <f>1</f>
        <v>1</v>
      </c>
      <c r="B238" s="156" t="str">
        <f>структура!$J$13</f>
        <v>УСН(6%)</v>
      </c>
      <c r="C238" s="155"/>
      <c r="D238" s="155"/>
      <c r="E238" s="189" t="str">
        <f>E236</f>
        <v>График возврата инвестиций (приведенный)</v>
      </c>
      <c r="F238" s="189"/>
      <c r="G238" s="189" t="str">
        <f>IF($E238="","",INDEX(KPI!$G:$G,SUMIFS(KPI!$B:$B,KPI!$E:$E,$E238)))</f>
        <v>тыс.руб.</v>
      </c>
      <c r="H238" s="189"/>
      <c r="I238" s="190"/>
      <c r="J238" s="189"/>
      <c r="K238" s="190"/>
      <c r="L238" s="189"/>
      <c r="M238" s="191">
        <f>SUM($O238:$AB238)</f>
        <v>28550.37484</v>
      </c>
      <c r="N238" s="155"/>
      <c r="O238" s="155"/>
      <c r="P238" s="192">
        <f>IF(P$1="",0,IF($M208&lt;0,0,IF(SUM($O238:O238)=$M$190,0,IF(SUM($O198:P198)&lt;=$M$190,P198,$M$190-SUM($O198:O198)))))</f>
        <v>7954.2331111490648</v>
      </c>
      <c r="Q238" s="192">
        <f>IF(Q$1="",0,IF($M208&lt;0,0,IF(SUM($O238:P238)=$M$190,0,IF(SUM($O198:Q198)&lt;=$M$190,Q198,$M$190-SUM($O198:P198)))))</f>
        <v>7186.725026028711</v>
      </c>
      <c r="R238" s="192">
        <f>IF(R$1="",0,IF($M208&lt;0,0,IF(SUM($O238:Q238)=$M$190,0,IF(SUM($O198:R198)&lt;=$M$190,R198,$M$190-SUM($O198:Q198)))))</f>
        <v>7283.7569571422073</v>
      </c>
      <c r="S238" s="192">
        <f>IF(S$1="",0,IF($M208&lt;0,0,IF(SUM($O238:R238)=$M$190,0,IF(SUM($O198:S198)&lt;=$M$190,S198,$M$190-SUM($O198:R198)))))</f>
        <v>6125.6597456800191</v>
      </c>
      <c r="T238" s="192">
        <f>IF(T$1="",0,IF($M208&lt;0,0,IF(SUM($O238:S238)=$M$190,0,IF(SUM($O198:T198)&lt;=$M$190,T198,$M$190-SUM($O198:S198)))))</f>
        <v>0</v>
      </c>
      <c r="U238" s="192">
        <f>IF(U$1="",0,IF($M208&lt;0,0,IF(SUM($O238:T238)=$M$190,0,IF(SUM($O198:U198)&lt;=$M$190,U198,$M$190-SUM($O198:T198)))))</f>
        <v>0</v>
      </c>
      <c r="V238" s="192">
        <f>IF(V$1="",0,IF($M208&lt;0,0,IF(SUM($O238:U238)=$M$190,0,IF(SUM($O198:V198)&lt;=$M$190,V198,$M$190-SUM($O198:U198)))))</f>
        <v>0</v>
      </c>
      <c r="W238" s="192">
        <f>IF(W$1="",0,IF($M208&lt;0,0,IF(SUM($O238:V238)=$M$190,0,IF(SUM($O198:W198)&lt;=$M$190,W198,$M$190-SUM($O198:V198)))))</f>
        <v>0</v>
      </c>
      <c r="X238" s="192">
        <f>IF(X$1="",0,IF($M208&lt;0,0,IF(SUM($O238:W238)=$M$190,0,IF(SUM($O198:X198)&lt;=$M$190,X198,$M$190-SUM($O198:W198)))))</f>
        <v>0</v>
      </c>
      <c r="Y238" s="192">
        <f>IF(Y$1="",0,IF($M208&lt;0,0,IF(SUM($O238:X238)=$M$190,0,IF(SUM($O198:Y198)&lt;=$M$190,Y198,$M$190-SUM($O198:X198)))))</f>
        <v>0</v>
      </c>
      <c r="Z238" s="192">
        <f>IF(Z$1="",0,IF($M208&lt;0,0,IF(SUM($O238:Y238)=$M$190,0,IF(SUM($O198:Z198)&lt;=$M$190,Z198,$M$190-SUM($O198:Y198)))))</f>
        <v>0</v>
      </c>
      <c r="AA238" s="192">
        <f>IF(AA$1="",0,IF($M208&lt;0,0,IF(SUM($O238:Z238)=$M$190,0,IF(SUM($O198:AA198)&lt;=$M$190,AA198,$M$190-SUM($O198:Z198)))))</f>
        <v>0</v>
      </c>
      <c r="AB238" s="155"/>
    </row>
    <row r="239" spans="1:28" s="5" customFormat="1" ht="3.9" customHeight="1" x14ac:dyDescent="0.25">
      <c r="A239" s="150">
        <f>1</f>
        <v>1</v>
      </c>
      <c r="B239" s="128"/>
      <c r="C239" s="3"/>
      <c r="D239" s="3"/>
      <c r="E239" s="3"/>
      <c r="F239" s="3"/>
      <c r="G239" s="3"/>
      <c r="H239" s="3"/>
      <c r="I239" s="28"/>
      <c r="J239" s="3"/>
      <c r="K239" s="28"/>
      <c r="L239" s="3"/>
      <c r="M239" s="55"/>
      <c r="N239" s="3"/>
      <c r="O239" s="3"/>
      <c r="P239" s="46"/>
      <c r="Q239" s="46"/>
      <c r="R239" s="46"/>
      <c r="S239" s="46"/>
      <c r="T239" s="46"/>
      <c r="U239" s="46"/>
      <c r="V239" s="46"/>
      <c r="W239" s="46"/>
      <c r="X239" s="46"/>
      <c r="Y239" s="46"/>
      <c r="Z239" s="46"/>
      <c r="AA239" s="46"/>
      <c r="AB239" s="3"/>
    </row>
    <row r="240" spans="1:28" s="157" customFormat="1" x14ac:dyDescent="0.25">
      <c r="A240" s="155">
        <f>1</f>
        <v>1</v>
      </c>
      <c r="B240" s="156" t="str">
        <f>структура!$J$14</f>
        <v>УСН(15%)</v>
      </c>
      <c r="C240" s="155"/>
      <c r="D240" s="155"/>
      <c r="E240" s="189" t="str">
        <f>E236</f>
        <v>График возврата инвестиций (приведенный)</v>
      </c>
      <c r="F240" s="189"/>
      <c r="G240" s="189" t="str">
        <f>IF($E240="","",INDEX(KPI!$G:$G,SUMIFS(KPI!$B:$B,KPI!$E:$E,$E240)))</f>
        <v>тыс.руб.</v>
      </c>
      <c r="H240" s="189"/>
      <c r="I240" s="190"/>
      <c r="J240" s="189"/>
      <c r="K240" s="190"/>
      <c r="L240" s="189"/>
      <c r="M240" s="191">
        <f>SUM($O240:$AB240)</f>
        <v>28550.37484</v>
      </c>
      <c r="N240" s="155"/>
      <c r="O240" s="155"/>
      <c r="P240" s="192">
        <f>IF(P$1="",0,IF($M210&lt;0,0,IF(SUM($O240:O240)=$M$190,0,IF(SUM($O200:P200)&lt;=$M$190,P200,$M$190-SUM($O200:O200)))))</f>
        <v>7954.2331111490648</v>
      </c>
      <c r="Q240" s="192">
        <f>IF(Q$1="",0,IF($M210&lt;0,0,IF(SUM($O240:P240)=$M$190,0,IF(SUM($O200:Q200)&lt;=$M$190,Q200,$M$190-SUM($O200:P200)))))</f>
        <v>6533.2763660532028</v>
      </c>
      <c r="R240" s="192">
        <f>IF(R$1="",0,IF($M210&lt;0,0,IF(SUM($O240:Q240)=$M$190,0,IF(SUM($O200:R200)&lt;=$M$190,R200,$M$190-SUM($O200:Q200)))))</f>
        <v>6643.3104856393047</v>
      </c>
      <c r="S240" s="192">
        <f>IF(S$1="",0,IF($M210&lt;0,0,IF(SUM($O240:R240)=$M$190,0,IF(SUM($O200:S200)&lt;=$M$190,S200,$M$190-SUM($O200:R200)))))</f>
        <v>6421.5771617384717</v>
      </c>
      <c r="T240" s="192">
        <f>IF(T$1="",0,IF($M210&lt;0,0,IF(SUM($O240:S240)=$M$190,0,IF(SUM($O200:T200)&lt;=$M$190,T200,$M$190-SUM($O200:S200)))))</f>
        <v>997.97771541995826</v>
      </c>
      <c r="U240" s="192">
        <f>IF(U$1="",0,IF($M210&lt;0,0,IF(SUM($O240:T240)=$M$190,0,IF(SUM($O200:U200)&lt;=$M$190,U200,$M$190-SUM($O200:T200)))))</f>
        <v>0</v>
      </c>
      <c r="V240" s="192">
        <f>IF(V$1="",0,IF($M210&lt;0,0,IF(SUM($O240:U240)=$M$190,0,IF(SUM($O200:V200)&lt;=$M$190,V200,$M$190-SUM($O200:U200)))))</f>
        <v>0</v>
      </c>
      <c r="W240" s="192">
        <f>IF(W$1="",0,IF($M210&lt;0,0,IF(SUM($O240:V240)=$M$190,0,IF(SUM($O200:W200)&lt;=$M$190,W200,$M$190-SUM($O200:V200)))))</f>
        <v>0</v>
      </c>
      <c r="X240" s="192">
        <f>IF(X$1="",0,IF($M210&lt;0,0,IF(SUM($O240:W240)=$M$190,0,IF(SUM($O200:X200)&lt;=$M$190,X200,$M$190-SUM($O200:W200)))))</f>
        <v>0</v>
      </c>
      <c r="Y240" s="192">
        <f>IF(Y$1="",0,IF($M210&lt;0,0,IF(SUM($O240:X240)=$M$190,0,IF(SUM($O200:Y200)&lt;=$M$190,Y200,$M$190-SUM($O200:X200)))))</f>
        <v>0</v>
      </c>
      <c r="Z240" s="192">
        <f>IF(Z$1="",0,IF($M210&lt;0,0,IF(SUM($O240:Y240)=$M$190,0,IF(SUM($O200:Z200)&lt;=$M$190,Z200,$M$190-SUM($O200:Y200)))))</f>
        <v>0</v>
      </c>
      <c r="AA240" s="192">
        <f>IF(AA$1="",0,IF($M210&lt;0,0,IF(SUM($O240:Z240)=$M$190,0,IF(SUM($O200:AA200)&lt;=$M$190,AA200,$M$190-SUM($O200:Z200)))))</f>
        <v>0</v>
      </c>
      <c r="AB240" s="155"/>
    </row>
    <row r="241" spans="1:28" s="5" customFormat="1" ht="3.9" customHeight="1" x14ac:dyDescent="0.25">
      <c r="A241" s="150">
        <f>1</f>
        <v>1</v>
      </c>
      <c r="B241" s="128"/>
      <c r="C241" s="3"/>
      <c r="D241" s="3"/>
      <c r="E241" s="3"/>
      <c r="F241" s="3"/>
      <c r="G241" s="3"/>
      <c r="H241" s="3"/>
      <c r="I241" s="28"/>
      <c r="J241" s="3"/>
      <c r="K241" s="28"/>
      <c r="L241" s="3"/>
      <c r="M241" s="55"/>
      <c r="N241" s="3"/>
      <c r="O241" s="3"/>
      <c r="P241" s="46"/>
      <c r="Q241" s="46"/>
      <c r="R241" s="46"/>
      <c r="S241" s="46"/>
      <c r="T241" s="46"/>
      <c r="U241" s="46"/>
      <c r="V241" s="46"/>
      <c r="W241" s="46"/>
      <c r="X241" s="46"/>
      <c r="Y241" s="46"/>
      <c r="Z241" s="46"/>
      <c r="AA241" s="46"/>
      <c r="AB241" s="3"/>
    </row>
    <row r="242" spans="1:28" s="157" customFormat="1" x14ac:dyDescent="0.25">
      <c r="A242" s="155">
        <f>1</f>
        <v>1</v>
      </c>
      <c r="B242" s="156" t="str">
        <f>структура!$J$15</f>
        <v>УСН(6%)-ИП</v>
      </c>
      <c r="C242" s="155"/>
      <c r="D242" s="155"/>
      <c r="E242" s="189" t="str">
        <f>E236</f>
        <v>График возврата инвестиций (приведенный)</v>
      </c>
      <c r="F242" s="189"/>
      <c r="G242" s="189" t="str">
        <f>IF($E242="","",INDEX(KPI!$G:$G,SUMIFS(KPI!$B:$B,KPI!$E:$E,$E242)))</f>
        <v>тыс.руб.</v>
      </c>
      <c r="H242" s="189"/>
      <c r="I242" s="190"/>
      <c r="J242" s="189"/>
      <c r="K242" s="190"/>
      <c r="L242" s="189"/>
      <c r="M242" s="191">
        <f>SUM($O242:$AB242)</f>
        <v>28550.37484</v>
      </c>
      <c r="N242" s="155"/>
      <c r="O242" s="155"/>
      <c r="P242" s="192">
        <f>IF(P$1="",0,IF($M212&lt;0,0,IF(SUM($O242:O242)=$M$190,0,IF(SUM($O202:P202)&lt;=$M$190,P202,$M$190-SUM($O202:O202)))))</f>
        <v>7954.2331111490648</v>
      </c>
      <c r="Q242" s="192">
        <f>IF(Q$1="",0,IF($M212&lt;0,0,IF(SUM($O242:P242)=$M$190,0,IF(SUM($O202:Q202)&lt;=$M$190,Q202,$M$190-SUM($O202:P202)))))</f>
        <v>7607.6806299702239</v>
      </c>
      <c r="R242" s="192">
        <f>IF(R$1="",0,IF($M212&lt;0,0,IF(SUM($O242:Q242)=$M$190,0,IF(SUM($O202:R202)&lt;=$M$190,R202,$M$190-SUM($O202:Q202)))))</f>
        <v>7680.7214806352431</v>
      </c>
      <c r="S242" s="192">
        <f>IF(S$1="",0,IF($M212&lt;0,0,IF(SUM($O242:R242)=$M$190,0,IF(SUM($O202:S202)&lt;=$M$190,S202,$M$190-SUM($O202:R202)))))</f>
        <v>5307.7396182454686</v>
      </c>
      <c r="T242" s="192">
        <f>IF(T$1="",0,IF($M212&lt;0,0,IF(SUM($O242:S242)=$M$190,0,IF(SUM($O202:T202)&lt;=$M$190,T202,$M$190-SUM($O202:S202)))))</f>
        <v>0</v>
      </c>
      <c r="U242" s="192">
        <f>IF(U$1="",0,IF($M212&lt;0,0,IF(SUM($O242:T242)=$M$190,0,IF(SUM($O202:U202)&lt;=$M$190,U202,$M$190-SUM($O202:T202)))))</f>
        <v>0</v>
      </c>
      <c r="V242" s="192">
        <f>IF(V$1="",0,IF($M212&lt;0,0,IF(SUM($O242:U242)=$M$190,0,IF(SUM($O202:V202)&lt;=$M$190,V202,$M$190-SUM($O202:U202)))))</f>
        <v>0</v>
      </c>
      <c r="W242" s="192">
        <f>IF(W$1="",0,IF($M212&lt;0,0,IF(SUM($O242:V242)=$M$190,0,IF(SUM($O202:W202)&lt;=$M$190,W202,$M$190-SUM($O202:V202)))))</f>
        <v>0</v>
      </c>
      <c r="X242" s="192">
        <f>IF(X$1="",0,IF($M212&lt;0,0,IF(SUM($O242:W242)=$M$190,0,IF(SUM($O202:X202)&lt;=$M$190,X202,$M$190-SUM($O202:W202)))))</f>
        <v>0</v>
      </c>
      <c r="Y242" s="192">
        <f>IF(Y$1="",0,IF($M212&lt;0,0,IF(SUM($O242:X242)=$M$190,0,IF(SUM($O202:Y202)&lt;=$M$190,Y202,$M$190-SUM($O202:X202)))))</f>
        <v>0</v>
      </c>
      <c r="Z242" s="192">
        <f>IF(Z$1="",0,IF($M212&lt;0,0,IF(SUM($O242:Y242)=$M$190,0,IF(SUM($O202:Z202)&lt;=$M$190,Z202,$M$190-SUM($O202:Y202)))))</f>
        <v>0</v>
      </c>
      <c r="AA242" s="192">
        <f>IF(AA$1="",0,IF($M212&lt;0,0,IF(SUM($O242:Z242)=$M$190,0,IF(SUM($O202:AA202)&lt;=$M$190,AA202,$M$190-SUM($O202:Z202)))))</f>
        <v>0</v>
      </c>
      <c r="AB242" s="155"/>
    </row>
    <row r="243" spans="1:28" ht="3.9" customHeight="1" x14ac:dyDescent="0.25">
      <c r="A243" s="149">
        <f>1</f>
        <v>1</v>
      </c>
      <c r="B243" s="131"/>
      <c r="C243" s="2"/>
      <c r="D243" s="2"/>
      <c r="E243" s="119"/>
      <c r="F243" s="2"/>
      <c r="G243" s="119"/>
      <c r="H243" s="2"/>
      <c r="I243" s="28"/>
      <c r="J243" s="2"/>
      <c r="K243" s="28"/>
      <c r="L243" s="2"/>
      <c r="M243" s="142"/>
      <c r="N243" s="2"/>
      <c r="O243" s="2"/>
      <c r="P243" s="36"/>
      <c r="Q243" s="36"/>
      <c r="R243" s="36"/>
      <c r="S243" s="36"/>
      <c r="T243" s="36"/>
      <c r="U243" s="36"/>
      <c r="V243" s="36"/>
      <c r="W243" s="36"/>
      <c r="X243" s="36"/>
      <c r="Y243" s="36"/>
      <c r="Z243" s="36"/>
      <c r="AA243" s="36"/>
      <c r="AB243" s="2"/>
    </row>
    <row r="244" spans="1:28" ht="8.1" customHeight="1" x14ac:dyDescent="0.25">
      <c r="A244" s="149">
        <f>1</f>
        <v>1</v>
      </c>
      <c r="B244" s="131"/>
      <c r="C244" s="2"/>
      <c r="D244" s="2"/>
      <c r="E244" s="2"/>
      <c r="F244" s="2"/>
      <c r="G244" s="2"/>
      <c r="H244" s="2"/>
      <c r="I244" s="28"/>
      <c r="J244" s="2"/>
      <c r="K244" s="28"/>
      <c r="L244" s="2"/>
      <c r="M244" s="52"/>
      <c r="N244" s="2"/>
      <c r="O244" s="2"/>
      <c r="P244" s="36"/>
      <c r="Q244" s="36"/>
      <c r="R244" s="36"/>
      <c r="S244" s="36"/>
      <c r="T244" s="36"/>
      <c r="U244" s="36"/>
      <c r="V244" s="36"/>
      <c r="W244" s="36"/>
      <c r="X244" s="36"/>
      <c r="Y244" s="36"/>
      <c r="Z244" s="36"/>
      <c r="AA244" s="36"/>
      <c r="AB244" s="2"/>
    </row>
    <row r="245" spans="1:28" ht="3.9" customHeight="1" x14ac:dyDescent="0.25">
      <c r="A245" s="149">
        <f>1</f>
        <v>1</v>
      </c>
      <c r="B245" s="131"/>
      <c r="C245" s="2"/>
      <c r="D245" s="2"/>
      <c r="E245" s="2"/>
      <c r="F245" s="2"/>
      <c r="G245" s="2"/>
      <c r="H245" s="2"/>
      <c r="I245" s="28"/>
      <c r="J245" s="2"/>
      <c r="K245" s="28"/>
      <c r="L245" s="2"/>
      <c r="M245" s="52"/>
      <c r="N245" s="2"/>
      <c r="O245" s="2"/>
      <c r="P245" s="36"/>
      <c r="Q245" s="36"/>
      <c r="R245" s="36"/>
      <c r="S245" s="36"/>
      <c r="T245" s="36"/>
      <c r="U245" s="36"/>
      <c r="V245" s="36"/>
      <c r="W245" s="36"/>
      <c r="X245" s="36"/>
      <c r="Y245" s="36"/>
      <c r="Z245" s="36"/>
      <c r="AA245" s="36"/>
      <c r="AB245" s="2"/>
    </row>
    <row r="246" spans="1:28" s="5" customFormat="1" x14ac:dyDescent="0.25">
      <c r="A246" s="150">
        <f>1</f>
        <v>1</v>
      </c>
      <c r="B246" s="129" t="str">
        <f>структура!$J$12</f>
        <v>ОСНО</v>
      </c>
      <c r="C246" s="3"/>
      <c r="D246" s="3"/>
      <c r="E246" s="147" t="str">
        <f>KPI!$E$105</f>
        <v>приведенный средневзвешенный срок окуп-ти</v>
      </c>
      <c r="F246" s="147"/>
      <c r="G246" s="147" t="str">
        <f>IF($E246="","",INDEX(KPI!$G:$G,SUMIFS(KPI!$B:$B,KPI!$E:$E,$E246)))</f>
        <v>лет</v>
      </c>
      <c r="H246" s="147"/>
      <c r="I246" s="170"/>
      <c r="J246" s="147"/>
      <c r="K246" s="170"/>
      <c r="L246" s="147"/>
      <c r="M246" s="187">
        <f>IF(OR($M206&lt;0,$M236=0),"&gt;"&amp;MAX($1:$1),SUMPRODUCT($O$2:$AB$2,$O236:$AB236)/$M236)</f>
        <v>2.443903310961296</v>
      </c>
      <c r="N246" s="3"/>
      <c r="O246" s="3"/>
      <c r="P246" s="46"/>
      <c r="Q246" s="46"/>
      <c r="R246" s="46"/>
      <c r="S246" s="46"/>
      <c r="T246" s="46"/>
      <c r="U246" s="46"/>
      <c r="V246" s="46"/>
      <c r="W246" s="46"/>
      <c r="X246" s="46"/>
      <c r="Y246" s="46"/>
      <c r="Z246" s="46"/>
      <c r="AA246" s="46"/>
      <c r="AB246" s="3"/>
    </row>
    <row r="247" spans="1:28" s="5" customFormat="1" ht="3.9" customHeight="1" x14ac:dyDescent="0.25">
      <c r="A247" s="150">
        <f>1</f>
        <v>1</v>
      </c>
      <c r="B247" s="128"/>
      <c r="C247" s="3"/>
      <c r="D247" s="3"/>
      <c r="E247" s="3"/>
      <c r="F247" s="3"/>
      <c r="G247" s="3"/>
      <c r="H247" s="3"/>
      <c r="I247" s="28"/>
      <c r="J247" s="3"/>
      <c r="K247" s="28"/>
      <c r="L247" s="3"/>
      <c r="M247" s="55"/>
      <c r="N247" s="3"/>
      <c r="O247" s="3"/>
      <c r="P247" s="46"/>
      <c r="Q247" s="46"/>
      <c r="R247" s="46"/>
      <c r="S247" s="46"/>
      <c r="T247" s="46"/>
      <c r="U247" s="46"/>
      <c r="V247" s="46"/>
      <c r="W247" s="46"/>
      <c r="X247" s="46"/>
      <c r="Y247" s="46"/>
      <c r="Z247" s="46"/>
      <c r="AA247" s="46"/>
      <c r="AB247" s="3"/>
    </row>
    <row r="248" spans="1:28" s="5" customFormat="1" x14ac:dyDescent="0.25">
      <c r="A248" s="150">
        <f>1</f>
        <v>1</v>
      </c>
      <c r="B248" s="129" t="str">
        <f>структура!$J$13</f>
        <v>УСН(6%)</v>
      </c>
      <c r="C248" s="3"/>
      <c r="D248" s="3"/>
      <c r="E248" s="147" t="str">
        <f>E246</f>
        <v>приведенный средневзвешенный срок окуп-ти</v>
      </c>
      <c r="F248" s="147"/>
      <c r="G248" s="147" t="str">
        <f>IF($E248="","",INDEX(KPI!$G:$G,SUMIFS(KPI!$B:$B,KPI!$E:$E,$E248)))</f>
        <v>лет</v>
      </c>
      <c r="H248" s="147"/>
      <c r="I248" s="170"/>
      <c r="J248" s="147"/>
      <c r="K248" s="170"/>
      <c r="L248" s="147"/>
      <c r="M248" s="187">
        <f>IF(OR($M208&lt;0,$M238=0),"&gt;"&amp;MAX($1:$1),SUMPRODUCT($O$2:$AB$2,$O238:$AB238)/$M238)</f>
        <v>2.4056284165183022</v>
      </c>
      <c r="N248" s="3"/>
      <c r="O248" s="3"/>
      <c r="P248" s="46"/>
      <c r="Q248" s="46"/>
      <c r="R248" s="46"/>
      <c r="S248" s="46"/>
      <c r="T248" s="46"/>
      <c r="U248" s="46"/>
      <c r="V248" s="46"/>
      <c r="W248" s="46"/>
      <c r="X248" s="46"/>
      <c r="Y248" s="46"/>
      <c r="Z248" s="46"/>
      <c r="AA248" s="46"/>
      <c r="AB248" s="3"/>
    </row>
    <row r="249" spans="1:28" s="5" customFormat="1" ht="3.9" customHeight="1" x14ac:dyDescent="0.25">
      <c r="A249" s="150">
        <f>1</f>
        <v>1</v>
      </c>
      <c r="B249" s="128"/>
      <c r="C249" s="3"/>
      <c r="D249" s="3"/>
      <c r="E249" s="3"/>
      <c r="F249" s="3"/>
      <c r="G249" s="3"/>
      <c r="H249" s="3"/>
      <c r="I249" s="28"/>
      <c r="J249" s="3"/>
      <c r="K249" s="28"/>
      <c r="L249" s="3"/>
      <c r="M249" s="55"/>
      <c r="N249" s="3"/>
      <c r="O249" s="3"/>
      <c r="P249" s="46"/>
      <c r="Q249" s="46"/>
      <c r="R249" s="46"/>
      <c r="S249" s="46"/>
      <c r="T249" s="46"/>
      <c r="U249" s="46"/>
      <c r="V249" s="46"/>
      <c r="W249" s="46"/>
      <c r="X249" s="46"/>
      <c r="Y249" s="46"/>
      <c r="Z249" s="46"/>
      <c r="AA249" s="46"/>
      <c r="AB249" s="3"/>
    </row>
    <row r="250" spans="1:28" s="5" customFormat="1" x14ac:dyDescent="0.25">
      <c r="A250" s="150">
        <f>1</f>
        <v>1</v>
      </c>
      <c r="B250" s="129" t="str">
        <f>структура!$J$14</f>
        <v>УСН(15%)</v>
      </c>
      <c r="C250" s="3"/>
      <c r="D250" s="3"/>
      <c r="E250" s="147" t="str">
        <f>E246</f>
        <v>приведенный средневзвешенный срок окуп-ти</v>
      </c>
      <c r="F250" s="147"/>
      <c r="G250" s="147" t="str">
        <f>IF($E250="","",INDEX(KPI!$G:$G,SUMIFS(KPI!$B:$B,KPI!$E:$E,$E250)))</f>
        <v>лет</v>
      </c>
      <c r="H250" s="147"/>
      <c r="I250" s="170"/>
      <c r="J250" s="147"/>
      <c r="K250" s="170"/>
      <c r="L250" s="147"/>
      <c r="M250" s="187">
        <f>IF(OR($M210&lt;0,$M240=0),"&gt;"&amp;MAX($1:$1),SUMPRODUCT($O$2:$AB$2,$O240:$AB240)/$M240)</f>
        <v>2.5087906875350523</v>
      </c>
      <c r="N250" s="3"/>
      <c r="O250" s="3"/>
      <c r="P250" s="46"/>
      <c r="Q250" s="46"/>
      <c r="R250" s="46"/>
      <c r="S250" s="46"/>
      <c r="T250" s="46"/>
      <c r="U250" s="46"/>
      <c r="V250" s="46"/>
      <c r="W250" s="46"/>
      <c r="X250" s="46"/>
      <c r="Y250" s="46"/>
      <c r="Z250" s="46"/>
      <c r="AA250" s="46"/>
      <c r="AB250" s="3"/>
    </row>
    <row r="251" spans="1:28" s="5" customFormat="1" ht="3.9" customHeight="1" x14ac:dyDescent="0.25">
      <c r="A251" s="150">
        <f>1</f>
        <v>1</v>
      </c>
      <c r="B251" s="128"/>
      <c r="C251" s="3"/>
      <c r="D251" s="3"/>
      <c r="E251" s="3"/>
      <c r="F251" s="3"/>
      <c r="G251" s="3"/>
      <c r="H251" s="3"/>
      <c r="I251" s="28"/>
      <c r="J251" s="3"/>
      <c r="K251" s="28"/>
      <c r="L251" s="3"/>
      <c r="M251" s="55"/>
      <c r="N251" s="3"/>
      <c r="O251" s="3"/>
      <c r="P251" s="46"/>
      <c r="Q251" s="46"/>
      <c r="R251" s="46"/>
      <c r="S251" s="46"/>
      <c r="T251" s="46"/>
      <c r="U251" s="46"/>
      <c r="V251" s="46"/>
      <c r="W251" s="46"/>
      <c r="X251" s="46"/>
      <c r="Y251" s="46"/>
      <c r="Z251" s="46"/>
      <c r="AA251" s="46"/>
      <c r="AB251" s="3"/>
    </row>
    <row r="252" spans="1:28" s="5" customFormat="1" x14ac:dyDescent="0.25">
      <c r="A252" s="150">
        <f>1</f>
        <v>1</v>
      </c>
      <c r="B252" s="129" t="str">
        <f>структура!$J$15</f>
        <v>УСН(6%)-ИП</v>
      </c>
      <c r="C252" s="3"/>
      <c r="D252" s="3"/>
      <c r="E252" s="147" t="str">
        <f>E246</f>
        <v>приведенный средневзвешенный срок окуп-ти</v>
      </c>
      <c r="F252" s="147"/>
      <c r="G252" s="147" t="str">
        <f>IF($E252="","",INDEX(KPI!$G:$G,SUMIFS(KPI!$B:$B,KPI!$E:$E,$E252)))</f>
        <v>лет</v>
      </c>
      <c r="H252" s="147"/>
      <c r="I252" s="170"/>
      <c r="J252" s="147"/>
      <c r="K252" s="170"/>
      <c r="L252" s="147"/>
      <c r="M252" s="187">
        <f>IF(OR($M212&lt;0,$M242=0),"&gt;"&amp;MAX($1:$1),SUMPRODUCT($O$2:$AB$2,$O242:$AB242)/$M242)</f>
        <v>2.3622357907360185</v>
      </c>
      <c r="N252" s="3"/>
      <c r="O252" s="3"/>
      <c r="P252" s="46"/>
      <c r="Q252" s="46"/>
      <c r="R252" s="46"/>
      <c r="S252" s="46"/>
      <c r="T252" s="46"/>
      <c r="U252" s="46"/>
      <c r="V252" s="46"/>
      <c r="W252" s="46"/>
      <c r="X252" s="46"/>
      <c r="Y252" s="46"/>
      <c r="Z252" s="46"/>
      <c r="AA252" s="46"/>
      <c r="AB252" s="3"/>
    </row>
    <row r="253" spans="1:28" ht="3.9" customHeight="1" x14ac:dyDescent="0.25">
      <c r="A253" s="149">
        <f>1</f>
        <v>1</v>
      </c>
      <c r="B253" s="131"/>
      <c r="C253" s="2"/>
      <c r="D253" s="2"/>
      <c r="E253" s="117"/>
      <c r="F253" s="2"/>
      <c r="G253" s="117"/>
      <c r="H253" s="2"/>
      <c r="I253" s="28"/>
      <c r="J253" s="2"/>
      <c r="K253" s="28"/>
      <c r="L253" s="2"/>
      <c r="M253" s="138"/>
      <c r="N253" s="2"/>
      <c r="O253" s="2"/>
      <c r="P253" s="36"/>
      <c r="Q253" s="36"/>
      <c r="R253" s="36"/>
      <c r="S253" s="36"/>
      <c r="T253" s="36"/>
      <c r="U253" s="36"/>
      <c r="V253" s="36"/>
      <c r="W253" s="36"/>
      <c r="X253" s="36"/>
      <c r="Y253" s="36"/>
      <c r="Z253" s="36"/>
      <c r="AA253" s="36"/>
      <c r="AB253" s="2"/>
    </row>
    <row r="254" spans="1:28" ht="8.1" customHeight="1" x14ac:dyDescent="0.25">
      <c r="A254" s="149">
        <f>1</f>
        <v>1</v>
      </c>
      <c r="B254" s="131"/>
      <c r="C254" s="2"/>
      <c r="D254" s="2"/>
      <c r="E254" s="2"/>
      <c r="F254" s="2"/>
      <c r="G254" s="2"/>
      <c r="H254" s="2"/>
      <c r="I254" s="28"/>
      <c r="J254" s="2"/>
      <c r="K254" s="28"/>
      <c r="L254" s="2"/>
      <c r="M254" s="52"/>
      <c r="N254" s="2"/>
      <c r="O254" s="2"/>
      <c r="P254" s="36"/>
      <c r="Q254" s="36"/>
      <c r="R254" s="36"/>
      <c r="S254" s="36"/>
      <c r="T254" s="36"/>
      <c r="U254" s="36"/>
      <c r="V254" s="36"/>
      <c r="W254" s="36"/>
      <c r="X254" s="36"/>
      <c r="Y254" s="36"/>
      <c r="Z254" s="36"/>
      <c r="AA254" s="36"/>
      <c r="AB254" s="2"/>
    </row>
    <row r="255" spans="1:28" ht="3.9" customHeight="1" x14ac:dyDescent="0.25">
      <c r="A255" s="149">
        <f>1</f>
        <v>1</v>
      </c>
      <c r="B255" s="131"/>
      <c r="C255" s="2"/>
      <c r="D255" s="2"/>
      <c r="E255" s="2"/>
      <c r="F255" s="2"/>
      <c r="G255" s="2"/>
      <c r="H255" s="2"/>
      <c r="I255" s="28"/>
      <c r="J255" s="2"/>
      <c r="K255" s="28"/>
      <c r="L255" s="2"/>
      <c r="M255" s="52"/>
      <c r="N255" s="2"/>
      <c r="O255" s="2"/>
      <c r="P255" s="36"/>
      <c r="Q255" s="36"/>
      <c r="R255" s="36"/>
      <c r="S255" s="36"/>
      <c r="T255" s="36"/>
      <c r="U255" s="36"/>
      <c r="V255" s="36"/>
      <c r="W255" s="36"/>
      <c r="X255" s="36"/>
      <c r="Y255" s="36"/>
      <c r="Z255" s="36"/>
      <c r="AA255" s="36"/>
      <c r="AB255" s="2"/>
    </row>
    <row r="256" spans="1:28" s="5" customFormat="1" x14ac:dyDescent="0.25">
      <c r="A256" s="150">
        <f>1</f>
        <v>1</v>
      </c>
      <c r="B256" s="129" t="str">
        <f>структура!$J$12</f>
        <v>ОСНО</v>
      </c>
      <c r="C256" s="3"/>
      <c r="D256" s="3"/>
      <c r="E256" s="146" t="str">
        <f>KPI!$E$107</f>
        <v>IRR</v>
      </c>
      <c r="F256" s="146"/>
      <c r="G256" s="146" t="str">
        <f>IF($E256="","",INDEX(KPI!$G:$G,SUMIFS(KPI!$B:$B,KPI!$E:$E,$E256)))</f>
        <v>%</v>
      </c>
      <c r="H256" s="146"/>
      <c r="I256" s="177"/>
      <c r="J256" s="146"/>
      <c r="K256" s="177"/>
      <c r="L256" s="146"/>
      <c r="M256" s="292">
        <f>IRR(P256:AA256)</f>
        <v>0.23158329828115831</v>
      </c>
      <c r="N256" s="3"/>
      <c r="O256" s="3"/>
      <c r="P256" s="179">
        <f>-$M$190</f>
        <v>-28550.37484</v>
      </c>
      <c r="Q256" s="179">
        <f>P175</f>
        <v>11391.385562263971</v>
      </c>
      <c r="R256" s="179">
        <f>Q175</f>
        <v>6316.7187043664599</v>
      </c>
      <c r="S256" s="179">
        <f t="shared" ref="S256:AA256" si="17">R175</f>
        <v>7154.9879328279967</v>
      </c>
      <c r="T256" s="179">
        <f t="shared" si="17"/>
        <v>7527.985898725432</v>
      </c>
      <c r="U256" s="179">
        <f t="shared" si="17"/>
        <v>8117.2225235972273</v>
      </c>
      <c r="V256" s="179">
        <f t="shared" si="17"/>
        <v>9284.6137766741504</v>
      </c>
      <c r="W256" s="179">
        <f t="shared" si="17"/>
        <v>10782.617599110046</v>
      </c>
      <c r="X256" s="179">
        <f t="shared" si="17"/>
        <v>0</v>
      </c>
      <c r="Y256" s="179">
        <f t="shared" si="17"/>
        <v>0</v>
      </c>
      <c r="Z256" s="179">
        <f t="shared" si="17"/>
        <v>0</v>
      </c>
      <c r="AA256" s="179">
        <f t="shared" si="17"/>
        <v>0</v>
      </c>
      <c r="AB256" s="3"/>
    </row>
    <row r="257" spans="1:28" s="5" customFormat="1" ht="3.9" customHeight="1" x14ac:dyDescent="0.25">
      <c r="A257" s="150">
        <f>1</f>
        <v>1</v>
      </c>
      <c r="B257" s="128"/>
      <c r="C257" s="3"/>
      <c r="D257" s="3"/>
      <c r="E257" s="3"/>
      <c r="F257" s="3"/>
      <c r="G257" s="3"/>
      <c r="H257" s="3"/>
      <c r="I257" s="28"/>
      <c r="J257" s="3"/>
      <c r="K257" s="28"/>
      <c r="L257" s="3"/>
      <c r="M257" s="55"/>
      <c r="N257" s="3"/>
      <c r="O257" s="3"/>
      <c r="P257" s="46"/>
      <c r="Q257" s="46"/>
      <c r="R257" s="46"/>
      <c r="S257" s="46"/>
      <c r="T257" s="46"/>
      <c r="U257" s="46"/>
      <c r="V257" s="46"/>
      <c r="W257" s="46"/>
      <c r="X257" s="46"/>
      <c r="Y257" s="46"/>
      <c r="Z257" s="46"/>
      <c r="AA257" s="46"/>
      <c r="AB257" s="3"/>
    </row>
    <row r="258" spans="1:28" s="5" customFormat="1" x14ac:dyDescent="0.25">
      <c r="A258" s="150">
        <f>1</f>
        <v>1</v>
      </c>
      <c r="B258" s="129" t="str">
        <f>структура!$J$13</f>
        <v>УСН(6%)</v>
      </c>
      <c r="C258" s="3"/>
      <c r="D258" s="3"/>
      <c r="E258" s="146" t="str">
        <f>E256</f>
        <v>IRR</v>
      </c>
      <c r="F258" s="146"/>
      <c r="G258" s="146" t="str">
        <f>IF($E258="","",INDEX(KPI!$G:$G,SUMIFS(KPI!$B:$B,KPI!$E:$E,$E258)))</f>
        <v>%</v>
      </c>
      <c r="H258" s="146"/>
      <c r="I258" s="177"/>
      <c r="J258" s="146"/>
      <c r="K258" s="177"/>
      <c r="L258" s="146"/>
      <c r="M258" s="292">
        <f>IRR(P258:AA258)</f>
        <v>0.29049757335811566</v>
      </c>
      <c r="N258" s="3"/>
      <c r="O258" s="3"/>
      <c r="P258" s="179">
        <f>-$M$190</f>
        <v>-28550.37484</v>
      </c>
      <c r="Q258" s="179">
        <f>P177</f>
        <v>8749.6564222639718</v>
      </c>
      <c r="R258" s="179">
        <f t="shared" ref="R258:AA258" si="18">Q177</f>
        <v>8695.9372814947419</v>
      </c>
      <c r="S258" s="179">
        <f t="shared" si="18"/>
        <v>9694.6805099562807</v>
      </c>
      <c r="T258" s="179">
        <f t="shared" si="18"/>
        <v>10377.538012263973</v>
      </c>
      <c r="U258" s="179">
        <f t="shared" si="18"/>
        <v>11186.070885340896</v>
      </c>
      <c r="V258" s="179">
        <f t="shared" si="18"/>
        <v>12600.507638417817</v>
      </c>
      <c r="W258" s="179">
        <f t="shared" si="18"/>
        <v>14561.316711879354</v>
      </c>
      <c r="X258" s="179">
        <f t="shared" si="18"/>
        <v>0</v>
      </c>
      <c r="Y258" s="179">
        <f t="shared" si="18"/>
        <v>0</v>
      </c>
      <c r="Z258" s="179">
        <f t="shared" si="18"/>
        <v>0</v>
      </c>
      <c r="AA258" s="179">
        <f t="shared" si="18"/>
        <v>0</v>
      </c>
      <c r="AB258" s="3"/>
    </row>
    <row r="259" spans="1:28" s="5" customFormat="1" ht="3.9" customHeight="1" x14ac:dyDescent="0.25">
      <c r="A259" s="150">
        <f>1</f>
        <v>1</v>
      </c>
      <c r="B259" s="128"/>
      <c r="C259" s="3"/>
      <c r="D259" s="3"/>
      <c r="E259" s="3"/>
      <c r="F259" s="3"/>
      <c r="G259" s="3"/>
      <c r="H259" s="3"/>
      <c r="I259" s="28"/>
      <c r="J259" s="3"/>
      <c r="K259" s="28"/>
      <c r="L259" s="3"/>
      <c r="M259" s="55"/>
      <c r="N259" s="3"/>
      <c r="O259" s="3"/>
      <c r="P259" s="46"/>
      <c r="Q259" s="46"/>
      <c r="R259" s="46"/>
      <c r="S259" s="46"/>
      <c r="T259" s="46"/>
      <c r="U259" s="46"/>
      <c r="V259" s="46"/>
      <c r="W259" s="46"/>
      <c r="X259" s="46"/>
      <c r="Y259" s="46"/>
      <c r="Z259" s="46"/>
      <c r="AA259" s="46"/>
      <c r="AB259" s="3"/>
    </row>
    <row r="260" spans="1:28" s="5" customFormat="1" x14ac:dyDescent="0.25">
      <c r="A260" s="150">
        <f>1</f>
        <v>1</v>
      </c>
      <c r="B260" s="129" t="str">
        <f>структура!$J$14</f>
        <v>УСН(15%)</v>
      </c>
      <c r="C260" s="3"/>
      <c r="D260" s="3"/>
      <c r="E260" s="146" t="str">
        <f>E256</f>
        <v>IRR</v>
      </c>
      <c r="F260" s="146"/>
      <c r="G260" s="146" t="str">
        <f>IF($E260="","",INDEX(KPI!$G:$G,SUMIFS(KPI!$B:$B,KPI!$E:$E,$E260)))</f>
        <v>%</v>
      </c>
      <c r="H260" s="146"/>
      <c r="I260" s="177"/>
      <c r="J260" s="146"/>
      <c r="K260" s="177"/>
      <c r="L260" s="146"/>
      <c r="M260" s="292">
        <f>IRR(P260:AA260)</f>
        <v>0.26255061192806073</v>
      </c>
      <c r="N260" s="3"/>
      <c r="O260" s="3"/>
      <c r="P260" s="179">
        <f>-$M$190</f>
        <v>-28550.37484</v>
      </c>
      <c r="Q260" s="179">
        <f>P179</f>
        <v>8749.6564222639718</v>
      </c>
      <c r="R260" s="179">
        <f t="shared" ref="R260:AA260" si="19">Q179</f>
        <v>7905.2644029243766</v>
      </c>
      <c r="S260" s="179">
        <f t="shared" si="19"/>
        <v>8842.2462563859171</v>
      </c>
      <c r="T260" s="179">
        <f t="shared" si="19"/>
        <v>9401.8311225013003</v>
      </c>
      <c r="U260" s="179">
        <f t="shared" si="19"/>
        <v>10121.646341193607</v>
      </c>
      <c r="V260" s="179">
        <f t="shared" si="19"/>
        <v>11440.59050677053</v>
      </c>
      <c r="W260" s="179">
        <f t="shared" si="19"/>
        <v>13232.467029770529</v>
      </c>
      <c r="X260" s="179">
        <f t="shared" si="19"/>
        <v>0</v>
      </c>
      <c r="Y260" s="179">
        <f t="shared" si="19"/>
        <v>0</v>
      </c>
      <c r="Z260" s="179">
        <f t="shared" si="19"/>
        <v>0</v>
      </c>
      <c r="AA260" s="179">
        <f t="shared" si="19"/>
        <v>0</v>
      </c>
      <c r="AB260" s="3"/>
    </row>
    <row r="261" spans="1:28" s="5" customFormat="1" ht="3.9" customHeight="1" x14ac:dyDescent="0.25">
      <c r="A261" s="150">
        <f>1</f>
        <v>1</v>
      </c>
      <c r="B261" s="128"/>
      <c r="C261" s="3"/>
      <c r="D261" s="3"/>
      <c r="E261" s="3"/>
      <c r="F261" s="3"/>
      <c r="G261" s="3"/>
      <c r="H261" s="3"/>
      <c r="I261" s="28"/>
      <c r="J261" s="3"/>
      <c r="K261" s="28"/>
      <c r="L261" s="3"/>
      <c r="M261" s="55"/>
      <c r="N261" s="3"/>
      <c r="O261" s="3"/>
      <c r="P261" s="46"/>
      <c r="Q261" s="46"/>
      <c r="R261" s="46"/>
      <c r="S261" s="46"/>
      <c r="T261" s="46"/>
      <c r="U261" s="46"/>
      <c r="V261" s="46"/>
      <c r="W261" s="46"/>
      <c r="X261" s="46"/>
      <c r="Y261" s="46"/>
      <c r="Z261" s="46"/>
      <c r="AA261" s="46"/>
      <c r="AB261" s="3"/>
    </row>
    <row r="262" spans="1:28" s="5" customFormat="1" x14ac:dyDescent="0.25">
      <c r="A262" s="150">
        <f>1</f>
        <v>1</v>
      </c>
      <c r="B262" s="129" t="str">
        <f>структура!$J$15</f>
        <v>УСН(6%)-ИП</v>
      </c>
      <c r="C262" s="3"/>
      <c r="D262" s="3"/>
      <c r="E262" s="146" t="str">
        <f>E256</f>
        <v>IRR</v>
      </c>
      <c r="F262" s="146"/>
      <c r="G262" s="146" t="str">
        <f>IF($E262="","",INDEX(KPI!$G:$G,SUMIFS(KPI!$B:$B,KPI!$E:$E,$E262)))</f>
        <v>%</v>
      </c>
      <c r="H262" s="146"/>
      <c r="I262" s="177"/>
      <c r="J262" s="146"/>
      <c r="K262" s="177"/>
      <c r="L262" s="146"/>
      <c r="M262" s="292">
        <f>IRR(P262:AA262)</f>
        <v>0.30287301215987439</v>
      </c>
      <c r="N262" s="3"/>
      <c r="O262" s="3"/>
      <c r="P262" s="179">
        <f>-$M$190</f>
        <v>-28550.37484</v>
      </c>
      <c r="Q262" s="179">
        <f>P181</f>
        <v>8749.6564222639718</v>
      </c>
      <c r="R262" s="179">
        <f t="shared" ref="R262:AA262" si="20">Q181</f>
        <v>9205.2935622639725</v>
      </c>
      <c r="S262" s="179">
        <f t="shared" si="20"/>
        <v>10223.040290725512</v>
      </c>
      <c r="T262" s="179">
        <f t="shared" si="20"/>
        <v>10935.287166110127</v>
      </c>
      <c r="U262" s="179">
        <f t="shared" si="20"/>
        <v>11761.939416110126</v>
      </c>
      <c r="V262" s="179">
        <f t="shared" si="20"/>
        <v>12600.507638417817</v>
      </c>
      <c r="W262" s="179">
        <f t="shared" si="20"/>
        <v>14561.316711879354</v>
      </c>
      <c r="X262" s="179">
        <f t="shared" si="20"/>
        <v>0</v>
      </c>
      <c r="Y262" s="179">
        <f t="shared" si="20"/>
        <v>0</v>
      </c>
      <c r="Z262" s="179">
        <f t="shared" si="20"/>
        <v>0</v>
      </c>
      <c r="AA262" s="179">
        <f t="shared" si="20"/>
        <v>0</v>
      </c>
      <c r="AB262" s="3"/>
    </row>
    <row r="263" spans="1:28" ht="3.9" customHeight="1" x14ac:dyDescent="0.25">
      <c r="A263" s="149">
        <f>1</f>
        <v>1</v>
      </c>
      <c r="B263" s="131"/>
      <c r="C263" s="2"/>
      <c r="D263" s="2"/>
      <c r="E263" s="119"/>
      <c r="F263" s="2"/>
      <c r="G263" s="119"/>
      <c r="H263" s="2"/>
      <c r="I263" s="28"/>
      <c r="J263" s="2"/>
      <c r="K263" s="28"/>
      <c r="L263" s="2"/>
      <c r="M263" s="142"/>
      <c r="N263" s="2"/>
      <c r="O263" s="2"/>
      <c r="P263" s="36"/>
      <c r="Q263" s="36"/>
      <c r="R263" s="36"/>
      <c r="S263" s="36"/>
      <c r="T263" s="36"/>
      <c r="U263" s="36"/>
      <c r="V263" s="36"/>
      <c r="W263" s="36"/>
      <c r="X263" s="36"/>
      <c r="Y263" s="36"/>
      <c r="Z263" s="36"/>
      <c r="AA263" s="36"/>
      <c r="AB263" s="2"/>
    </row>
    <row r="264" spans="1:28" ht="8.1" customHeight="1" x14ac:dyDescent="0.25">
      <c r="A264" s="149">
        <f>1</f>
        <v>1</v>
      </c>
      <c r="B264" s="131"/>
      <c r="C264" s="2"/>
      <c r="D264" s="2"/>
      <c r="E264" s="2"/>
      <c r="F264" s="2"/>
      <c r="G264" s="2"/>
      <c r="H264" s="2"/>
      <c r="I264" s="28"/>
      <c r="J264" s="2"/>
      <c r="K264" s="28"/>
      <c r="L264" s="2"/>
      <c r="M264" s="52"/>
      <c r="N264" s="2"/>
      <c r="O264" s="2"/>
      <c r="P264" s="36"/>
      <c r="Q264" s="36"/>
      <c r="R264" s="36"/>
      <c r="S264" s="36"/>
      <c r="T264" s="36"/>
      <c r="U264" s="36"/>
      <c r="V264" s="36"/>
      <c r="W264" s="36"/>
      <c r="X264" s="36"/>
      <c r="Y264" s="36"/>
      <c r="Z264" s="36"/>
      <c r="AA264" s="36"/>
      <c r="AB264" s="2"/>
    </row>
    <row r="265" spans="1:28" s="5" customFormat="1" x14ac:dyDescent="0.25">
      <c r="A265" s="150">
        <f>1</f>
        <v>1</v>
      </c>
      <c r="B265" s="131"/>
      <c r="C265" s="3"/>
      <c r="D265" s="3"/>
      <c r="E265" s="3"/>
      <c r="F265" s="3"/>
      <c r="G265" s="3"/>
      <c r="H265" s="3"/>
      <c r="I265" s="28"/>
      <c r="J265" s="3"/>
      <c r="K265" s="28"/>
      <c r="L265" s="3"/>
      <c r="M265" s="55"/>
      <c r="N265" s="3"/>
      <c r="O265" s="3"/>
      <c r="P265" s="46"/>
      <c r="Q265" s="46"/>
      <c r="R265" s="46"/>
      <c r="S265" s="46"/>
      <c r="T265" s="46"/>
      <c r="U265" s="46"/>
      <c r="V265" s="46"/>
      <c r="W265" s="46"/>
      <c r="X265" s="46"/>
      <c r="Y265" s="46"/>
      <c r="Z265" s="46"/>
      <c r="AA265" s="46"/>
      <c r="AB265" s="3"/>
    </row>
    <row r="266" spans="1:28" ht="3.9" customHeight="1" x14ac:dyDescent="0.25">
      <c r="A266" s="149">
        <f>1</f>
        <v>1</v>
      </c>
      <c r="B266" s="131"/>
      <c r="C266" s="2"/>
      <c r="D266" s="2"/>
      <c r="E266" s="2"/>
      <c r="F266" s="2"/>
      <c r="G266" s="2"/>
      <c r="H266" s="2"/>
      <c r="I266" s="28"/>
      <c r="J266" s="2"/>
      <c r="K266" s="28"/>
      <c r="L266" s="2"/>
      <c r="M266" s="52"/>
      <c r="N266" s="2"/>
      <c r="O266" s="2"/>
      <c r="P266" s="36"/>
      <c r="Q266" s="36"/>
      <c r="R266" s="36"/>
      <c r="S266" s="36"/>
      <c r="T266" s="36"/>
      <c r="U266" s="36"/>
      <c r="V266" s="36"/>
      <c r="W266" s="36"/>
      <c r="X266" s="36"/>
      <c r="Y266" s="36"/>
      <c r="Z266" s="36"/>
      <c r="AA266" s="36"/>
      <c r="AB266" s="2"/>
    </row>
    <row r="267" spans="1:28" s="5" customFormat="1" x14ac:dyDescent="0.25">
      <c r="A267" s="150">
        <f>1</f>
        <v>1</v>
      </c>
      <c r="B267" s="131"/>
      <c r="C267" s="3"/>
      <c r="D267" s="3"/>
      <c r="E267" s="181" t="s">
        <v>278</v>
      </c>
      <c r="F267" s="3"/>
      <c r="G267" s="3"/>
      <c r="H267" s="3"/>
      <c r="I267" s="28"/>
      <c r="J267" s="3"/>
      <c r="K267" s="28"/>
      <c r="L267" s="3"/>
      <c r="M267" s="55"/>
      <c r="N267" s="3"/>
      <c r="O267" s="3"/>
      <c r="P267" s="46"/>
      <c r="Q267" s="46"/>
      <c r="R267" s="46"/>
      <c r="S267" s="46"/>
      <c r="T267" s="46"/>
      <c r="U267" s="46"/>
      <c r="V267" s="46"/>
      <c r="W267" s="46"/>
      <c r="X267" s="46"/>
      <c r="Y267" s="46"/>
      <c r="Z267" s="46"/>
      <c r="AA267" s="46"/>
      <c r="AB267" s="3"/>
    </row>
    <row r="268" spans="1:28" ht="3.9" customHeight="1" x14ac:dyDescent="0.25">
      <c r="A268" s="149">
        <f>1</f>
        <v>1</v>
      </c>
      <c r="B268" s="131"/>
      <c r="C268" s="2"/>
      <c r="D268" s="2"/>
      <c r="E268" s="2"/>
      <c r="F268" s="2"/>
      <c r="G268" s="2"/>
      <c r="H268" s="2"/>
      <c r="I268" s="28"/>
      <c r="J268" s="2"/>
      <c r="K268" s="28"/>
      <c r="L268" s="2"/>
      <c r="M268" s="52"/>
      <c r="N268" s="2"/>
      <c r="O268" s="2"/>
      <c r="P268" s="36"/>
      <c r="Q268" s="36"/>
      <c r="R268" s="36"/>
      <c r="S268" s="36"/>
      <c r="T268" s="36"/>
      <c r="U268" s="36"/>
      <c r="V268" s="36"/>
      <c r="W268" s="36"/>
      <c r="X268" s="36"/>
      <c r="Y268" s="36"/>
      <c r="Z268" s="36"/>
      <c r="AA268" s="36"/>
      <c r="AB268" s="2"/>
    </row>
    <row r="269" spans="1:28" ht="8.1" customHeight="1" x14ac:dyDescent="0.25">
      <c r="A269" s="149">
        <f>1</f>
        <v>1</v>
      </c>
      <c r="B269" s="131"/>
      <c r="C269" s="2"/>
      <c r="D269" s="2"/>
      <c r="E269" s="2"/>
      <c r="F269" s="2"/>
      <c r="G269" s="2"/>
      <c r="H269" s="2"/>
      <c r="I269" s="28"/>
      <c r="J269" s="2"/>
      <c r="K269" s="28"/>
      <c r="L269" s="2"/>
      <c r="M269" s="52"/>
      <c r="N269" s="2"/>
      <c r="O269" s="2"/>
      <c r="P269" s="36"/>
      <c r="Q269" s="36"/>
      <c r="R269" s="36"/>
      <c r="S269" s="36"/>
      <c r="T269" s="36"/>
      <c r="U269" s="36"/>
      <c r="V269" s="36"/>
      <c r="W269" s="36"/>
      <c r="X269" s="36"/>
      <c r="Y269" s="36"/>
      <c r="Z269" s="36"/>
      <c r="AA269" s="36"/>
      <c r="AB269" s="2"/>
    </row>
    <row r="270" spans="1:28" ht="3.9" customHeight="1" x14ac:dyDescent="0.25">
      <c r="A270" s="149">
        <f>1</f>
        <v>1</v>
      </c>
      <c r="B270" s="131"/>
      <c r="C270" s="2"/>
      <c r="D270" s="2"/>
      <c r="E270" s="2"/>
      <c r="F270" s="2"/>
      <c r="G270" s="2"/>
      <c r="H270" s="2"/>
      <c r="I270" s="28"/>
      <c r="J270" s="2"/>
      <c r="K270" s="28"/>
      <c r="L270" s="2"/>
      <c r="M270" s="52"/>
      <c r="N270" s="2"/>
      <c r="O270" s="2"/>
      <c r="P270" s="36"/>
      <c r="Q270" s="36"/>
      <c r="R270" s="36"/>
      <c r="S270" s="36"/>
      <c r="T270" s="36"/>
      <c r="U270" s="36"/>
      <c r="V270" s="36"/>
      <c r="W270" s="36"/>
      <c r="X270" s="36"/>
      <c r="Y270" s="36"/>
      <c r="Z270" s="36"/>
      <c r="AA270" s="36"/>
      <c r="AB270" s="2"/>
    </row>
    <row r="271" spans="1:28" s="163" customFormat="1" x14ac:dyDescent="0.25">
      <c r="A271" s="149">
        <f>1</f>
        <v>1</v>
      </c>
      <c r="B271" s="159" t="str">
        <f>структура!$J$12</f>
        <v>ОСНО</v>
      </c>
      <c r="C271" s="158"/>
      <c r="D271" s="158"/>
      <c r="E271" s="160" t="str">
        <f>KPI!$E$94</f>
        <v>БАЛАНС</v>
      </c>
      <c r="F271" s="160"/>
      <c r="G271" s="160" t="str">
        <f>IF($E271="","",INDEX(KPI!$G:$G,SUMIFS(KPI!$B:$B,KPI!$E:$E,$E271)))</f>
        <v>тыс.руб.</v>
      </c>
      <c r="H271" s="160"/>
      <c r="I271" s="161"/>
      <c r="J271" s="160" t="str">
        <f>структура!$AL$13</f>
        <v>контроль</v>
      </c>
      <c r="K271" s="161"/>
      <c r="L271" s="160"/>
      <c r="M271" s="180">
        <f>SUM($O271:$AB271)</f>
        <v>391.09000000004835</v>
      </c>
      <c r="N271" s="158"/>
      <c r="O271" s="158"/>
      <c r="P271" s="162">
        <f>IF(P$1="",0,P281+P291-P301-P311)</f>
        <v>55.870000000000346</v>
      </c>
      <c r="Q271" s="162">
        <f t="shared" ref="Q271:AA277" si="21">IF(Q$1="",0,Q281+Q291-Q301-Q311)</f>
        <v>55.870000000000346</v>
      </c>
      <c r="R271" s="162">
        <f t="shared" si="21"/>
        <v>55.869999999998981</v>
      </c>
      <c r="S271" s="162">
        <f t="shared" si="21"/>
        <v>55.870000000004893</v>
      </c>
      <c r="T271" s="162">
        <f t="shared" si="21"/>
        <v>55.870000000007622</v>
      </c>
      <c r="U271" s="162">
        <f t="shared" si="21"/>
        <v>55.870000000013533</v>
      </c>
      <c r="V271" s="162">
        <f t="shared" si="21"/>
        <v>55.870000000022628</v>
      </c>
      <c r="W271" s="162">
        <f t="shared" si="21"/>
        <v>0</v>
      </c>
      <c r="X271" s="162">
        <f t="shared" si="21"/>
        <v>0</v>
      </c>
      <c r="Y271" s="162">
        <f t="shared" si="21"/>
        <v>0</v>
      </c>
      <c r="Z271" s="162">
        <f t="shared" si="21"/>
        <v>0</v>
      </c>
      <c r="AA271" s="162">
        <f t="shared" si="21"/>
        <v>0</v>
      </c>
      <c r="AB271" s="158"/>
    </row>
    <row r="272" spans="1:28" s="163" customFormat="1" ht="3.9" customHeight="1" x14ac:dyDescent="0.25">
      <c r="A272" s="149">
        <f>1</f>
        <v>1</v>
      </c>
      <c r="B272" s="164"/>
      <c r="C272" s="158"/>
      <c r="D272" s="158"/>
      <c r="E272" s="158"/>
      <c r="F272" s="158"/>
      <c r="G272" s="158"/>
      <c r="H272" s="158"/>
      <c r="I272" s="165"/>
      <c r="J272" s="158"/>
      <c r="K272" s="165"/>
      <c r="L272" s="158"/>
      <c r="M272" s="166"/>
      <c r="N272" s="158"/>
      <c r="O272" s="158"/>
      <c r="P272" s="167"/>
      <c r="Q272" s="167"/>
      <c r="R272" s="167"/>
      <c r="S272" s="167"/>
      <c r="T272" s="167"/>
      <c r="U272" s="167"/>
      <c r="V272" s="167"/>
      <c r="W272" s="167"/>
      <c r="X272" s="167"/>
      <c r="Y272" s="167"/>
      <c r="Z272" s="167"/>
      <c r="AA272" s="167"/>
      <c r="AB272" s="158"/>
    </row>
    <row r="273" spans="1:28" s="163" customFormat="1" x14ac:dyDescent="0.25">
      <c r="A273" s="149">
        <f>1</f>
        <v>1</v>
      </c>
      <c r="B273" s="159" t="str">
        <f>структура!$J$13</f>
        <v>УСН(6%)</v>
      </c>
      <c r="C273" s="158"/>
      <c r="D273" s="158"/>
      <c r="E273" s="160" t="str">
        <f>E271</f>
        <v>БАЛАНС</v>
      </c>
      <c r="F273" s="160"/>
      <c r="G273" s="160" t="str">
        <f>IF($E273="","",INDEX(KPI!$G:$G,SUMIFS(KPI!$B:$B,KPI!$E:$E,$E273)))</f>
        <v>тыс.руб.</v>
      </c>
      <c r="H273" s="160"/>
      <c r="I273" s="161"/>
      <c r="J273" s="160" t="str">
        <f>структура!$AL$13</f>
        <v>контроль</v>
      </c>
      <c r="K273" s="161"/>
      <c r="L273" s="160"/>
      <c r="M273" s="180">
        <f>SUM($O273:$AB273)</f>
        <v>391.08999999996706</v>
      </c>
      <c r="N273" s="158"/>
      <c r="O273" s="158"/>
      <c r="P273" s="162">
        <f>IF(P$1="",0,P283+P293-P303-P313)</f>
        <v>55.870000000001824</v>
      </c>
      <c r="Q273" s="162">
        <f t="shared" si="21"/>
        <v>55.8700000000008</v>
      </c>
      <c r="R273" s="162">
        <f t="shared" si="21"/>
        <v>55.869999999997162</v>
      </c>
      <c r="S273" s="162">
        <f t="shared" si="21"/>
        <v>55.870000000001482</v>
      </c>
      <c r="T273" s="162">
        <f t="shared" si="21"/>
        <v>55.869999999996253</v>
      </c>
      <c r="U273" s="162">
        <f t="shared" si="21"/>
        <v>55.869999999989886</v>
      </c>
      <c r="V273" s="162">
        <f t="shared" si="21"/>
        <v>55.869999999979655</v>
      </c>
      <c r="W273" s="162">
        <f t="shared" si="21"/>
        <v>0</v>
      </c>
      <c r="X273" s="162">
        <f t="shared" si="21"/>
        <v>0</v>
      </c>
      <c r="Y273" s="162">
        <f t="shared" si="21"/>
        <v>0</v>
      </c>
      <c r="Z273" s="162">
        <f t="shared" si="21"/>
        <v>0</v>
      </c>
      <c r="AA273" s="162">
        <f t="shared" si="21"/>
        <v>0</v>
      </c>
      <c r="AB273" s="158"/>
    </row>
    <row r="274" spans="1:28" s="163" customFormat="1" ht="3.9" customHeight="1" x14ac:dyDescent="0.25">
      <c r="A274" s="149">
        <f>1</f>
        <v>1</v>
      </c>
      <c r="B274" s="164"/>
      <c r="C274" s="158"/>
      <c r="D274" s="158"/>
      <c r="E274" s="158"/>
      <c r="F274" s="158"/>
      <c r="G274" s="158"/>
      <c r="H274" s="158"/>
      <c r="I274" s="165"/>
      <c r="J274" s="158"/>
      <c r="K274" s="165"/>
      <c r="L274" s="158"/>
      <c r="M274" s="166"/>
      <c r="N274" s="158"/>
      <c r="O274" s="158"/>
      <c r="P274" s="167"/>
      <c r="Q274" s="167"/>
      <c r="R274" s="167"/>
      <c r="S274" s="167"/>
      <c r="T274" s="167"/>
      <c r="U274" s="167"/>
      <c r="V274" s="167"/>
      <c r="W274" s="167"/>
      <c r="X274" s="167"/>
      <c r="Y274" s="167"/>
      <c r="Z274" s="167"/>
      <c r="AA274" s="167"/>
      <c r="AB274" s="158"/>
    </row>
    <row r="275" spans="1:28" s="163" customFormat="1" x14ac:dyDescent="0.25">
      <c r="A275" s="149">
        <f>1</f>
        <v>1</v>
      </c>
      <c r="B275" s="159" t="str">
        <f>структура!$J$14</f>
        <v>УСН(15%)</v>
      </c>
      <c r="C275" s="158"/>
      <c r="D275" s="158"/>
      <c r="E275" s="160" t="str">
        <f>E271</f>
        <v>БАЛАНС</v>
      </c>
      <c r="F275" s="160"/>
      <c r="G275" s="160" t="str">
        <f>IF($E275="","",INDEX(KPI!$G:$G,SUMIFS(KPI!$B:$B,KPI!$E:$E,$E275)))</f>
        <v>тыс.руб.</v>
      </c>
      <c r="H275" s="160"/>
      <c r="I275" s="161"/>
      <c r="J275" s="160" t="str">
        <f>структура!$AL$13</f>
        <v>контроль</v>
      </c>
      <c r="K275" s="161"/>
      <c r="L275" s="160"/>
      <c r="M275" s="180">
        <f>SUM($O275:$AB275)</f>
        <v>391.0899999999267</v>
      </c>
      <c r="N275" s="158"/>
      <c r="O275" s="158"/>
      <c r="P275" s="162">
        <f>IF(P$1="",0,P285+P295-P305-P315)</f>
        <v>55.869999999996708</v>
      </c>
      <c r="Q275" s="162">
        <f t="shared" si="21"/>
        <v>55.869999999997617</v>
      </c>
      <c r="R275" s="162">
        <f t="shared" si="21"/>
        <v>55.869999999991023</v>
      </c>
      <c r="S275" s="162">
        <f t="shared" si="21"/>
        <v>55.869999999987613</v>
      </c>
      <c r="T275" s="162">
        <f t="shared" si="21"/>
        <v>55.869999999986703</v>
      </c>
      <c r="U275" s="162">
        <f t="shared" si="21"/>
        <v>55.869999999983065</v>
      </c>
      <c r="V275" s="162">
        <f t="shared" si="21"/>
        <v>55.869999999983975</v>
      </c>
      <c r="W275" s="162">
        <f t="shared" si="21"/>
        <v>0</v>
      </c>
      <c r="X275" s="162">
        <f t="shared" si="21"/>
        <v>0</v>
      </c>
      <c r="Y275" s="162">
        <f t="shared" si="21"/>
        <v>0</v>
      </c>
      <c r="Z275" s="162">
        <f t="shared" si="21"/>
        <v>0</v>
      </c>
      <c r="AA275" s="162">
        <f t="shared" si="21"/>
        <v>0</v>
      </c>
      <c r="AB275" s="158"/>
    </row>
    <row r="276" spans="1:28" s="163" customFormat="1" ht="3.9" customHeight="1" x14ac:dyDescent="0.25">
      <c r="A276" s="149">
        <f>1</f>
        <v>1</v>
      </c>
      <c r="B276" s="164"/>
      <c r="C276" s="158"/>
      <c r="D276" s="158"/>
      <c r="E276" s="158"/>
      <c r="F276" s="158"/>
      <c r="G276" s="158"/>
      <c r="H276" s="158"/>
      <c r="I276" s="165"/>
      <c r="J276" s="158"/>
      <c r="K276" s="165"/>
      <c r="L276" s="158"/>
      <c r="M276" s="166"/>
      <c r="N276" s="158"/>
      <c r="O276" s="158"/>
      <c r="P276" s="167"/>
      <c r="Q276" s="167"/>
      <c r="R276" s="167"/>
      <c r="S276" s="167"/>
      <c r="T276" s="167"/>
      <c r="U276" s="167"/>
      <c r="V276" s="167"/>
      <c r="W276" s="167"/>
      <c r="X276" s="167"/>
      <c r="Y276" s="167"/>
      <c r="Z276" s="167"/>
      <c r="AA276" s="167"/>
      <c r="AB276" s="158"/>
    </row>
    <row r="277" spans="1:28" s="163" customFormat="1" x14ac:dyDescent="0.25">
      <c r="A277" s="149">
        <f>1</f>
        <v>1</v>
      </c>
      <c r="B277" s="159" t="str">
        <f>структура!$J$15</f>
        <v>УСН(6%)-ИП</v>
      </c>
      <c r="C277" s="158"/>
      <c r="D277" s="158"/>
      <c r="E277" s="160" t="str">
        <f>E271</f>
        <v>БАЛАНС</v>
      </c>
      <c r="F277" s="160"/>
      <c r="G277" s="160" t="str">
        <f>IF($E277="","",INDEX(KPI!$G:$G,SUMIFS(KPI!$B:$B,KPI!$E:$E,$E277)))</f>
        <v>тыс.руб.</v>
      </c>
      <c r="H277" s="160"/>
      <c r="I277" s="161"/>
      <c r="J277" s="160" t="str">
        <f>структура!$AL$13</f>
        <v>контроль</v>
      </c>
      <c r="K277" s="161"/>
      <c r="L277" s="160"/>
      <c r="M277" s="180">
        <f>SUM($O277:$AB277)</f>
        <v>391.08999999987873</v>
      </c>
      <c r="N277" s="158"/>
      <c r="O277" s="158"/>
      <c r="P277" s="162">
        <f>IF(P$1="",0,P287+P297-P307-P317)</f>
        <v>55.869999999996423</v>
      </c>
      <c r="Q277" s="162">
        <f t="shared" si="21"/>
        <v>55.869999999996423</v>
      </c>
      <c r="R277" s="162">
        <f t="shared" si="21"/>
        <v>55.869999999989147</v>
      </c>
      <c r="S277" s="162">
        <f t="shared" si="21"/>
        <v>55.869999999989147</v>
      </c>
      <c r="T277" s="162">
        <f t="shared" si="21"/>
        <v>55.869999999967149</v>
      </c>
      <c r="U277" s="162">
        <f t="shared" si="21"/>
        <v>55.869999999975335</v>
      </c>
      <c r="V277" s="162">
        <f t="shared" si="21"/>
        <v>55.869999999965103</v>
      </c>
      <c r="W277" s="162">
        <f t="shared" si="21"/>
        <v>0</v>
      </c>
      <c r="X277" s="162">
        <f t="shared" si="21"/>
        <v>0</v>
      </c>
      <c r="Y277" s="162">
        <f t="shared" si="21"/>
        <v>0</v>
      </c>
      <c r="Z277" s="162">
        <f t="shared" si="21"/>
        <v>0</v>
      </c>
      <c r="AA277" s="162">
        <f t="shared" si="21"/>
        <v>0</v>
      </c>
      <c r="AB277" s="158"/>
    </row>
    <row r="278" spans="1:28" s="163" customFormat="1" ht="3.9" customHeight="1" x14ac:dyDescent="0.25">
      <c r="A278" s="149">
        <f>1</f>
        <v>1</v>
      </c>
      <c r="B278" s="164"/>
      <c r="C278" s="158"/>
      <c r="D278" s="158"/>
      <c r="E278" s="168"/>
      <c r="F278" s="158"/>
      <c r="G278" s="168"/>
      <c r="H278" s="158"/>
      <c r="I278" s="165"/>
      <c r="J278" s="158"/>
      <c r="K278" s="165"/>
      <c r="L278" s="158"/>
      <c r="M278" s="169"/>
      <c r="N278" s="158"/>
      <c r="O278" s="158"/>
      <c r="P278" s="167"/>
      <c r="Q278" s="167"/>
      <c r="R278" s="167"/>
      <c r="S278" s="167"/>
      <c r="T278" s="167"/>
      <c r="U278" s="167"/>
      <c r="V278" s="167"/>
      <c r="W278" s="167"/>
      <c r="X278" s="167"/>
      <c r="Y278" s="167"/>
      <c r="Z278" s="167"/>
      <c r="AA278" s="167"/>
      <c r="AB278" s="158"/>
    </row>
    <row r="279" spans="1:28" ht="8.1" customHeight="1" x14ac:dyDescent="0.25">
      <c r="A279" s="149">
        <f>1</f>
        <v>1</v>
      </c>
      <c r="B279" s="131"/>
      <c r="C279" s="2"/>
      <c r="D279" s="2"/>
      <c r="E279" s="2"/>
      <c r="F279" s="2"/>
      <c r="G279" s="2"/>
      <c r="H279" s="2"/>
      <c r="I279" s="28"/>
      <c r="J279" s="2"/>
      <c r="K279" s="28"/>
      <c r="L279" s="2"/>
      <c r="M279" s="52"/>
      <c r="N279" s="2"/>
      <c r="O279" s="2"/>
      <c r="P279" s="36"/>
      <c r="Q279" s="36"/>
      <c r="R279" s="36"/>
      <c r="S279" s="36"/>
      <c r="T279" s="36"/>
      <c r="U279" s="36"/>
      <c r="V279" s="36"/>
      <c r="W279" s="36"/>
      <c r="X279" s="36"/>
      <c r="Y279" s="36"/>
      <c r="Z279" s="36"/>
      <c r="AA279" s="36"/>
      <c r="AB279" s="2"/>
    </row>
    <row r="280" spans="1:28" ht="3.9" customHeight="1" x14ac:dyDescent="0.25">
      <c r="A280" s="149">
        <f>1</f>
        <v>1</v>
      </c>
      <c r="B280" s="131"/>
      <c r="C280" s="2"/>
      <c r="D280" s="2"/>
      <c r="E280" s="2"/>
      <c r="F280" s="2"/>
      <c r="G280" s="2"/>
      <c r="H280" s="2"/>
      <c r="I280" s="28"/>
      <c r="J280" s="2"/>
      <c r="K280" s="28"/>
      <c r="L280" s="2"/>
      <c r="M280" s="52"/>
      <c r="N280" s="2"/>
      <c r="O280" s="2"/>
      <c r="P280" s="36"/>
      <c r="Q280" s="36"/>
      <c r="R280" s="36"/>
      <c r="S280" s="36"/>
      <c r="T280" s="36"/>
      <c r="U280" s="36"/>
      <c r="V280" s="36"/>
      <c r="W280" s="36"/>
      <c r="X280" s="36"/>
      <c r="Y280" s="36"/>
      <c r="Z280" s="36"/>
      <c r="AA280" s="36"/>
      <c r="AB280" s="2"/>
    </row>
    <row r="281" spans="1:28" s="5" customFormat="1" x14ac:dyDescent="0.25">
      <c r="A281" s="150">
        <f>1</f>
        <v>1</v>
      </c>
      <c r="B281" s="129" t="str">
        <f>структура!$J$12</f>
        <v>ОСНО</v>
      </c>
      <c r="C281" s="3"/>
      <c r="D281" s="3"/>
      <c r="E281" s="89" t="str">
        <f>KPI!$E$92</f>
        <v>ВНЕОБОРОТНЫЕ АКТИВЫ</v>
      </c>
      <c r="F281" s="89"/>
      <c r="G281" s="89" t="str">
        <f>IF($E281="","",INDEX(KPI!$G:$G,SUMIFS(KPI!$B:$B,KPI!$E:$E,$E281)))</f>
        <v>тыс.руб.</v>
      </c>
      <c r="H281" s="89"/>
      <c r="I281" s="90"/>
      <c r="J281" s="89"/>
      <c r="K281" s="90"/>
      <c r="L281" s="89"/>
      <c r="M281" s="92"/>
      <c r="N281" s="3"/>
      <c r="O281" s="3"/>
      <c r="P281" s="93">
        <f>IF(P$1="",0,IF(1+опер2!P$346=0,0,капитал!$J$20+(капитал!$M$102+капитал!$M$109)/(1+опер2!P$346)-P$117))</f>
        <v>23979.791552380953</v>
      </c>
      <c r="Q281" s="93">
        <f>IF(Q$1="",0,P281-Q$117)</f>
        <v>22050.937404761906</v>
      </c>
      <c r="R281" s="93">
        <f t="shared" ref="R281:AA281" si="22">IF(R$1="",0,Q281-R$117)</f>
        <v>20122.083257142858</v>
      </c>
      <c r="S281" s="93">
        <f t="shared" si="22"/>
        <v>18193.229109523811</v>
      </c>
      <c r="T281" s="93">
        <f t="shared" si="22"/>
        <v>16264.374961904763</v>
      </c>
      <c r="U281" s="93">
        <f t="shared" si="22"/>
        <v>14482.187480952382</v>
      </c>
      <c r="V281" s="93">
        <f t="shared" si="22"/>
        <v>12700</v>
      </c>
      <c r="W281" s="93">
        <f t="shared" si="22"/>
        <v>0</v>
      </c>
      <c r="X281" s="93">
        <f t="shared" si="22"/>
        <v>0</v>
      </c>
      <c r="Y281" s="93">
        <f t="shared" si="22"/>
        <v>0</v>
      </c>
      <c r="Z281" s="93">
        <f t="shared" si="22"/>
        <v>0</v>
      </c>
      <c r="AA281" s="93">
        <f t="shared" si="22"/>
        <v>0</v>
      </c>
      <c r="AB281" s="3"/>
    </row>
    <row r="282" spans="1:28" s="5" customFormat="1" ht="3.9" customHeight="1" x14ac:dyDescent="0.25">
      <c r="A282" s="150">
        <f>1</f>
        <v>1</v>
      </c>
      <c r="B282" s="128"/>
      <c r="C282" s="3"/>
      <c r="D282" s="3"/>
      <c r="E282" s="3"/>
      <c r="F282" s="3"/>
      <c r="G282" s="3"/>
      <c r="H282" s="3"/>
      <c r="I282" s="28"/>
      <c r="J282" s="3"/>
      <c r="K282" s="28"/>
      <c r="L282" s="3"/>
      <c r="M282" s="55"/>
      <c r="N282" s="3"/>
      <c r="O282" s="3"/>
      <c r="P282" s="46"/>
      <c r="Q282" s="46"/>
      <c r="R282" s="46"/>
      <c r="S282" s="46"/>
      <c r="T282" s="46"/>
      <c r="U282" s="46"/>
      <c r="V282" s="46"/>
      <c r="W282" s="46"/>
      <c r="X282" s="46"/>
      <c r="Y282" s="46"/>
      <c r="Z282" s="46"/>
      <c r="AA282" s="46"/>
      <c r="AB282" s="3"/>
    </row>
    <row r="283" spans="1:28" s="5" customFormat="1" x14ac:dyDescent="0.25">
      <c r="A283" s="150">
        <f>1</f>
        <v>1</v>
      </c>
      <c r="B283" s="129" t="str">
        <f>структура!$J$13</f>
        <v>УСН(6%)</v>
      </c>
      <c r="C283" s="3"/>
      <c r="D283" s="3"/>
      <c r="E283" s="89" t="str">
        <f>E281</f>
        <v>ВНЕОБОРОТНЫЕ АКТИВЫ</v>
      </c>
      <c r="F283" s="89"/>
      <c r="G283" s="89" t="str">
        <f>IF($E283="","",INDEX(KPI!$G:$G,SUMIFS(KPI!$B:$B,KPI!$E:$E,$E283)))</f>
        <v>тыс.руб.</v>
      </c>
      <c r="H283" s="89"/>
      <c r="I283" s="90"/>
      <c r="J283" s="89"/>
      <c r="K283" s="90"/>
      <c r="L283" s="89"/>
      <c r="M283" s="92"/>
      <c r="N283" s="3"/>
      <c r="O283" s="3"/>
      <c r="P283" s="93">
        <f>IF(P$1="",0,капитал!$J$20+капитал!$M$102+капитал!$M$109-P119)</f>
        <v>26235.749862857141</v>
      </c>
      <c r="Q283" s="93">
        <f t="shared" ref="Q283:AA283" si="23">IF(Q$1="",0,P283-Q119)</f>
        <v>23921.124885714282</v>
      </c>
      <c r="R283" s="93">
        <f t="shared" si="23"/>
        <v>21606.499908571423</v>
      </c>
      <c r="S283" s="93">
        <f t="shared" si="23"/>
        <v>19291.874931428563</v>
      </c>
      <c r="T283" s="93">
        <f t="shared" si="23"/>
        <v>16977.249954285704</v>
      </c>
      <c r="U283" s="93">
        <f t="shared" si="23"/>
        <v>14838.624977142847</v>
      </c>
      <c r="V283" s="93">
        <f t="shared" si="23"/>
        <v>12699.999999999989</v>
      </c>
      <c r="W283" s="93">
        <f t="shared" si="23"/>
        <v>0</v>
      </c>
      <c r="X283" s="93">
        <f t="shared" si="23"/>
        <v>0</v>
      </c>
      <c r="Y283" s="93">
        <f t="shared" si="23"/>
        <v>0</v>
      </c>
      <c r="Z283" s="93">
        <f t="shared" si="23"/>
        <v>0</v>
      </c>
      <c r="AA283" s="93">
        <f t="shared" si="23"/>
        <v>0</v>
      </c>
      <c r="AB283" s="3"/>
    </row>
    <row r="284" spans="1:28" s="5" customFormat="1" ht="3.9" customHeight="1" x14ac:dyDescent="0.25">
      <c r="A284" s="150">
        <f>1</f>
        <v>1</v>
      </c>
      <c r="B284" s="128"/>
      <c r="C284" s="3"/>
      <c r="D284" s="3"/>
      <c r="E284" s="3"/>
      <c r="F284" s="3"/>
      <c r="G284" s="3"/>
      <c r="H284" s="3"/>
      <c r="I284" s="28"/>
      <c r="J284" s="3"/>
      <c r="K284" s="28"/>
      <c r="L284" s="3"/>
      <c r="M284" s="55"/>
      <c r="N284" s="3"/>
      <c r="O284" s="3"/>
      <c r="P284" s="46"/>
      <c r="Q284" s="46"/>
      <c r="R284" s="46"/>
      <c r="S284" s="46"/>
      <c r="T284" s="46"/>
      <c r="U284" s="46"/>
      <c r="V284" s="46"/>
      <c r="W284" s="46"/>
      <c r="X284" s="46"/>
      <c r="Y284" s="46"/>
      <c r="Z284" s="46"/>
      <c r="AA284" s="46"/>
      <c r="AB284" s="3"/>
    </row>
    <row r="285" spans="1:28" s="5" customFormat="1" x14ac:dyDescent="0.25">
      <c r="A285" s="150">
        <f>1</f>
        <v>1</v>
      </c>
      <c r="B285" s="129" t="str">
        <f>структура!$J$14</f>
        <v>УСН(15%)</v>
      </c>
      <c r="C285" s="3"/>
      <c r="D285" s="3"/>
      <c r="E285" s="89" t="str">
        <f>E281</f>
        <v>ВНЕОБОРОТНЫЕ АКТИВЫ</v>
      </c>
      <c r="F285" s="89"/>
      <c r="G285" s="89" t="str">
        <f>IF($E285="","",INDEX(KPI!$G:$G,SUMIFS(KPI!$B:$B,KPI!$E:$E,$E285)))</f>
        <v>тыс.руб.</v>
      </c>
      <c r="H285" s="89"/>
      <c r="I285" s="90"/>
      <c r="J285" s="89"/>
      <c r="K285" s="90"/>
      <c r="L285" s="89"/>
      <c r="M285" s="92"/>
      <c r="N285" s="3"/>
      <c r="O285" s="3"/>
      <c r="P285" s="93">
        <f>IF(P$1="",0,капитал!$J$20+капитал!$M$102+капитал!$M$109-P121)</f>
        <v>26235.749862857141</v>
      </c>
      <c r="Q285" s="93">
        <f t="shared" ref="Q285:AA285" si="24">IF(Q$1="",0,P285-Q121)</f>
        <v>23921.124885714282</v>
      </c>
      <c r="R285" s="93">
        <f t="shared" si="24"/>
        <v>21606.499908571423</v>
      </c>
      <c r="S285" s="93">
        <f t="shared" si="24"/>
        <v>19291.874931428563</v>
      </c>
      <c r="T285" s="93">
        <f t="shared" si="24"/>
        <v>16977.249954285704</v>
      </c>
      <c r="U285" s="93">
        <f t="shared" si="24"/>
        <v>14838.624977142847</v>
      </c>
      <c r="V285" s="93">
        <f t="shared" si="24"/>
        <v>12699.999999999989</v>
      </c>
      <c r="W285" s="93">
        <f t="shared" si="24"/>
        <v>0</v>
      </c>
      <c r="X285" s="93">
        <f t="shared" si="24"/>
        <v>0</v>
      </c>
      <c r="Y285" s="93">
        <f t="shared" si="24"/>
        <v>0</v>
      </c>
      <c r="Z285" s="93">
        <f t="shared" si="24"/>
        <v>0</v>
      </c>
      <c r="AA285" s="93">
        <f t="shared" si="24"/>
        <v>0</v>
      </c>
      <c r="AB285" s="3"/>
    </row>
    <row r="286" spans="1:28" s="5" customFormat="1" ht="3.9" customHeight="1" x14ac:dyDescent="0.25">
      <c r="A286" s="150">
        <f>1</f>
        <v>1</v>
      </c>
      <c r="B286" s="128"/>
      <c r="C286" s="3"/>
      <c r="D286" s="3"/>
      <c r="E286" s="3"/>
      <c r="F286" s="3"/>
      <c r="G286" s="3"/>
      <c r="H286" s="3"/>
      <c r="I286" s="28"/>
      <c r="J286" s="3"/>
      <c r="K286" s="28"/>
      <c r="L286" s="3"/>
      <c r="M286" s="55"/>
      <c r="N286" s="3"/>
      <c r="O286" s="3"/>
      <c r="P286" s="46"/>
      <c r="Q286" s="46"/>
      <c r="R286" s="46"/>
      <c r="S286" s="46"/>
      <c r="T286" s="46"/>
      <c r="U286" s="46"/>
      <c r="V286" s="46"/>
      <c r="W286" s="46"/>
      <c r="X286" s="46"/>
      <c r="Y286" s="46"/>
      <c r="Z286" s="46"/>
      <c r="AA286" s="46"/>
      <c r="AB286" s="3"/>
    </row>
    <row r="287" spans="1:28" s="5" customFormat="1" x14ac:dyDescent="0.25">
      <c r="A287" s="150">
        <f>1</f>
        <v>1</v>
      </c>
      <c r="B287" s="129" t="str">
        <f>структура!$J$15</f>
        <v>УСН(6%)-ИП</v>
      </c>
      <c r="C287" s="3"/>
      <c r="D287" s="3"/>
      <c r="E287" s="89" t="str">
        <f>E281</f>
        <v>ВНЕОБОРОТНЫЕ АКТИВЫ</v>
      </c>
      <c r="F287" s="89"/>
      <c r="G287" s="89" t="str">
        <f>IF($E287="","",INDEX(KPI!$G:$G,SUMIFS(KPI!$B:$B,KPI!$E:$E,$E287)))</f>
        <v>тыс.руб.</v>
      </c>
      <c r="H287" s="89"/>
      <c r="I287" s="90"/>
      <c r="J287" s="89"/>
      <c r="K287" s="90"/>
      <c r="L287" s="89"/>
      <c r="M287" s="92"/>
      <c r="N287" s="3"/>
      <c r="O287" s="3"/>
      <c r="P287" s="93">
        <f>IF(P$1="",0,капитал!$J$20+капитал!$M$102+капитал!$M$109-P123)</f>
        <v>26235.749862857141</v>
      </c>
      <c r="Q287" s="93">
        <f t="shared" ref="Q287:AA287" si="25">IF(Q$1="",0,P287-Q123)</f>
        <v>23921.124885714282</v>
      </c>
      <c r="R287" s="93">
        <f t="shared" si="25"/>
        <v>21606.499908571423</v>
      </c>
      <c r="S287" s="93">
        <f t="shared" si="25"/>
        <v>19291.874931428563</v>
      </c>
      <c r="T287" s="93">
        <f t="shared" si="25"/>
        <v>16977.249954285704</v>
      </c>
      <c r="U287" s="93">
        <f t="shared" si="25"/>
        <v>14838.624977142847</v>
      </c>
      <c r="V287" s="93">
        <f t="shared" si="25"/>
        <v>12699.999999999989</v>
      </c>
      <c r="W287" s="93">
        <f t="shared" si="25"/>
        <v>0</v>
      </c>
      <c r="X287" s="93">
        <f t="shared" si="25"/>
        <v>0</v>
      </c>
      <c r="Y287" s="93">
        <f t="shared" si="25"/>
        <v>0</v>
      </c>
      <c r="Z287" s="93">
        <f t="shared" si="25"/>
        <v>0</v>
      </c>
      <c r="AA287" s="93">
        <f t="shared" si="25"/>
        <v>0</v>
      </c>
      <c r="AB287" s="3"/>
    </row>
    <row r="288" spans="1:28" ht="3.9" customHeight="1" x14ac:dyDescent="0.25">
      <c r="A288" s="149">
        <f>1</f>
        <v>1</v>
      </c>
      <c r="B288" s="131"/>
      <c r="C288" s="2"/>
      <c r="D288" s="2"/>
      <c r="E288" s="118"/>
      <c r="F288" s="2"/>
      <c r="G288" s="118"/>
      <c r="H288" s="2"/>
      <c r="I288" s="28"/>
      <c r="J288" s="2"/>
      <c r="K288" s="28"/>
      <c r="L288" s="2"/>
      <c r="M288" s="139"/>
      <c r="N288" s="2"/>
      <c r="O288" s="2"/>
      <c r="P288" s="36"/>
      <c r="Q288" s="36"/>
      <c r="R288" s="36"/>
      <c r="S288" s="36"/>
      <c r="T288" s="36"/>
      <c r="U288" s="36"/>
      <c r="V288" s="36"/>
      <c r="W288" s="36"/>
      <c r="X288" s="36"/>
      <c r="Y288" s="36"/>
      <c r="Z288" s="36"/>
      <c r="AA288" s="36"/>
      <c r="AB288" s="2"/>
    </row>
    <row r="289" spans="1:28" ht="8.1" customHeight="1" x14ac:dyDescent="0.25">
      <c r="A289" s="149">
        <f>1</f>
        <v>1</v>
      </c>
      <c r="B289" s="131"/>
      <c r="C289" s="2"/>
      <c r="D289" s="2"/>
      <c r="E289" s="2"/>
      <c r="F289" s="2"/>
      <c r="G289" s="2"/>
      <c r="H289" s="2"/>
      <c r="I289" s="28"/>
      <c r="J289" s="2"/>
      <c r="K289" s="28"/>
      <c r="L289" s="2"/>
      <c r="M289" s="52"/>
      <c r="N289" s="2"/>
      <c r="O289" s="2"/>
      <c r="P289" s="36"/>
      <c r="Q289" s="36"/>
      <c r="R289" s="36"/>
      <c r="S289" s="36"/>
      <c r="T289" s="36"/>
      <c r="U289" s="36"/>
      <c r="V289" s="36"/>
      <c r="W289" s="36"/>
      <c r="X289" s="36"/>
      <c r="Y289" s="36"/>
      <c r="Z289" s="36"/>
      <c r="AA289" s="36"/>
      <c r="AB289" s="2"/>
    </row>
    <row r="290" spans="1:28" ht="3.9" customHeight="1" x14ac:dyDescent="0.25">
      <c r="A290" s="149">
        <f>1</f>
        <v>1</v>
      </c>
      <c r="B290" s="131"/>
      <c r="C290" s="2"/>
      <c r="D290" s="2"/>
      <c r="E290" s="2"/>
      <c r="F290" s="2"/>
      <c r="G290" s="2"/>
      <c r="H290" s="2"/>
      <c r="I290" s="28"/>
      <c r="J290" s="2"/>
      <c r="K290" s="28"/>
      <c r="L290" s="2"/>
      <c r="M290" s="52"/>
      <c r="N290" s="2"/>
      <c r="O290" s="2"/>
      <c r="P290" s="36"/>
      <c r="Q290" s="36"/>
      <c r="R290" s="36"/>
      <c r="S290" s="36"/>
      <c r="T290" s="36"/>
      <c r="U290" s="36"/>
      <c r="V290" s="36"/>
      <c r="W290" s="36"/>
      <c r="X290" s="36"/>
      <c r="Y290" s="36"/>
      <c r="Z290" s="36"/>
      <c r="AA290" s="36"/>
      <c r="AB290" s="2"/>
    </row>
    <row r="291" spans="1:28" s="5" customFormat="1" x14ac:dyDescent="0.25">
      <c r="A291" s="150">
        <f>1</f>
        <v>1</v>
      </c>
      <c r="B291" s="129" t="str">
        <f>структура!$J$12</f>
        <v>ОСНО</v>
      </c>
      <c r="C291" s="3"/>
      <c r="D291" s="3"/>
      <c r="E291" s="146" t="str">
        <f>KPI!$E$93</f>
        <v>ДЕНЕЖНЫЕ СРЕДСТВА</v>
      </c>
      <c r="F291" s="146"/>
      <c r="G291" s="146" t="str">
        <f>IF($E291="","",INDEX(KPI!$G:$G,SUMIFS(KPI!$B:$B,KPI!$E:$E,$E291)))</f>
        <v>тыс.руб.</v>
      </c>
      <c r="H291" s="146"/>
      <c r="I291" s="177"/>
      <c r="J291" s="146"/>
      <c r="K291" s="177"/>
      <c r="L291" s="146"/>
      <c r="M291" s="178"/>
      <c r="N291" s="3"/>
      <c r="O291" s="3"/>
      <c r="P291" s="179">
        <f>IF(P$1="",0,P175)</f>
        <v>11391.385562263971</v>
      </c>
      <c r="Q291" s="179">
        <f t="shared" ref="Q291:AA291" si="26">IF(Q$1="",0,P291+Q175)</f>
        <v>17708.104266630431</v>
      </c>
      <c r="R291" s="179">
        <f t="shared" si="26"/>
        <v>24863.092199458428</v>
      </c>
      <c r="S291" s="179">
        <f t="shared" si="26"/>
        <v>32391.078098183862</v>
      </c>
      <c r="T291" s="179">
        <f t="shared" si="26"/>
        <v>40508.300621781091</v>
      </c>
      <c r="U291" s="179">
        <f t="shared" si="26"/>
        <v>49792.914398455243</v>
      </c>
      <c r="V291" s="179">
        <f t="shared" si="26"/>
        <v>60575.531997565289</v>
      </c>
      <c r="W291" s="179">
        <f t="shared" si="26"/>
        <v>0</v>
      </c>
      <c r="X291" s="179">
        <f t="shared" si="26"/>
        <v>0</v>
      </c>
      <c r="Y291" s="179">
        <f t="shared" si="26"/>
        <v>0</v>
      </c>
      <c r="Z291" s="179">
        <f t="shared" si="26"/>
        <v>0</v>
      </c>
      <c r="AA291" s="179">
        <f t="shared" si="26"/>
        <v>0</v>
      </c>
      <c r="AB291" s="3"/>
    </row>
    <row r="292" spans="1:28" s="5" customFormat="1" ht="3.9" customHeight="1" x14ac:dyDescent="0.25">
      <c r="A292" s="150">
        <f>1</f>
        <v>1</v>
      </c>
      <c r="B292" s="128"/>
      <c r="C292" s="3"/>
      <c r="D292" s="3"/>
      <c r="E292" s="3"/>
      <c r="F292" s="3"/>
      <c r="G292" s="3"/>
      <c r="H292" s="3"/>
      <c r="I292" s="28"/>
      <c r="J292" s="3"/>
      <c r="K292" s="28"/>
      <c r="L292" s="3"/>
      <c r="M292" s="55"/>
      <c r="N292" s="3"/>
      <c r="O292" s="3"/>
      <c r="P292" s="46"/>
      <c r="Q292" s="46"/>
      <c r="R292" s="46"/>
      <c r="S292" s="46"/>
      <c r="T292" s="46"/>
      <c r="U292" s="46"/>
      <c r="V292" s="46"/>
      <c r="W292" s="46"/>
      <c r="X292" s="46"/>
      <c r="Y292" s="46"/>
      <c r="Z292" s="46"/>
      <c r="AA292" s="46"/>
      <c r="AB292" s="3"/>
    </row>
    <row r="293" spans="1:28" s="5" customFormat="1" x14ac:dyDescent="0.25">
      <c r="A293" s="150">
        <f>1</f>
        <v>1</v>
      </c>
      <c r="B293" s="129" t="str">
        <f>структура!$J$13</f>
        <v>УСН(6%)</v>
      </c>
      <c r="C293" s="3"/>
      <c r="D293" s="3"/>
      <c r="E293" s="146" t="str">
        <f>E291</f>
        <v>ДЕНЕЖНЫЕ СРЕДСТВА</v>
      </c>
      <c r="F293" s="146"/>
      <c r="G293" s="146" t="str">
        <f>IF($E293="","",INDEX(KPI!$G:$G,SUMIFS(KPI!$B:$B,KPI!$E:$E,$E293)))</f>
        <v>тыс.руб.</v>
      </c>
      <c r="H293" s="146"/>
      <c r="I293" s="177"/>
      <c r="J293" s="146"/>
      <c r="K293" s="177"/>
      <c r="L293" s="146"/>
      <c r="M293" s="178"/>
      <c r="N293" s="3"/>
      <c r="O293" s="3"/>
      <c r="P293" s="179">
        <f>IF(P$1="",0,P177)</f>
        <v>8749.6564222639718</v>
      </c>
      <c r="Q293" s="179">
        <f t="shared" ref="Q293:AA293" si="27">IF(Q$1="",0,P293+Q177)</f>
        <v>17445.593703758714</v>
      </c>
      <c r="R293" s="179">
        <f t="shared" si="27"/>
        <v>27140.274213714994</v>
      </c>
      <c r="S293" s="179">
        <f t="shared" si="27"/>
        <v>37517.812225978967</v>
      </c>
      <c r="T293" s="179">
        <f t="shared" si="27"/>
        <v>48703.883111319861</v>
      </c>
      <c r="U293" s="179">
        <f t="shared" si="27"/>
        <v>61304.390749737679</v>
      </c>
      <c r="V293" s="179">
        <f t="shared" si="27"/>
        <v>75865.707461617028</v>
      </c>
      <c r="W293" s="179">
        <f t="shared" si="27"/>
        <v>0</v>
      </c>
      <c r="X293" s="179">
        <f t="shared" si="27"/>
        <v>0</v>
      </c>
      <c r="Y293" s="179">
        <f t="shared" si="27"/>
        <v>0</v>
      </c>
      <c r="Z293" s="179">
        <f t="shared" si="27"/>
        <v>0</v>
      </c>
      <c r="AA293" s="179">
        <f t="shared" si="27"/>
        <v>0</v>
      </c>
      <c r="AB293" s="3"/>
    </row>
    <row r="294" spans="1:28" s="5" customFormat="1" ht="3.9" customHeight="1" x14ac:dyDescent="0.25">
      <c r="A294" s="150">
        <f>1</f>
        <v>1</v>
      </c>
      <c r="B294" s="128"/>
      <c r="C294" s="3"/>
      <c r="D294" s="3"/>
      <c r="E294" s="3"/>
      <c r="F294" s="3"/>
      <c r="G294" s="3"/>
      <c r="H294" s="3"/>
      <c r="I294" s="28"/>
      <c r="J294" s="3"/>
      <c r="K294" s="28"/>
      <c r="L294" s="3"/>
      <c r="M294" s="55"/>
      <c r="N294" s="3"/>
      <c r="O294" s="3"/>
      <c r="P294" s="46"/>
      <c r="Q294" s="46"/>
      <c r="R294" s="46"/>
      <c r="S294" s="46"/>
      <c r="T294" s="46"/>
      <c r="U294" s="46"/>
      <c r="V294" s="46"/>
      <c r="W294" s="46"/>
      <c r="X294" s="46"/>
      <c r="Y294" s="46"/>
      <c r="Z294" s="46"/>
      <c r="AA294" s="46"/>
      <c r="AB294" s="3"/>
    </row>
    <row r="295" spans="1:28" s="5" customFormat="1" x14ac:dyDescent="0.25">
      <c r="A295" s="150">
        <f>1</f>
        <v>1</v>
      </c>
      <c r="B295" s="129" t="str">
        <f>структура!$J$14</f>
        <v>УСН(15%)</v>
      </c>
      <c r="C295" s="3"/>
      <c r="D295" s="3"/>
      <c r="E295" s="146" t="str">
        <f>E291</f>
        <v>ДЕНЕЖНЫЕ СРЕДСТВА</v>
      </c>
      <c r="F295" s="146"/>
      <c r="G295" s="146" t="str">
        <f>IF($E295="","",INDEX(KPI!$G:$G,SUMIFS(KPI!$B:$B,KPI!$E:$E,$E295)))</f>
        <v>тыс.руб.</v>
      </c>
      <c r="H295" s="146"/>
      <c r="I295" s="177"/>
      <c r="J295" s="146"/>
      <c r="K295" s="177"/>
      <c r="L295" s="146"/>
      <c r="M295" s="178"/>
      <c r="N295" s="3"/>
      <c r="O295" s="3"/>
      <c r="P295" s="179">
        <f>IF(P$1="",0,P179)</f>
        <v>8749.6564222639718</v>
      </c>
      <c r="Q295" s="179">
        <f t="shared" ref="Q295:AA295" si="28">IF(Q$1="",0,P295+Q179)</f>
        <v>16654.920825188346</v>
      </c>
      <c r="R295" s="179">
        <f t="shared" si="28"/>
        <v>25497.167081574262</v>
      </c>
      <c r="S295" s="179">
        <f t="shared" si="28"/>
        <v>34898.998204075564</v>
      </c>
      <c r="T295" s="179">
        <f t="shared" si="28"/>
        <v>45020.64454526917</v>
      </c>
      <c r="U295" s="179">
        <f t="shared" si="28"/>
        <v>56461.235052039701</v>
      </c>
      <c r="V295" s="179">
        <f t="shared" si="28"/>
        <v>69693.702081810232</v>
      </c>
      <c r="W295" s="179">
        <f t="shared" si="28"/>
        <v>0</v>
      </c>
      <c r="X295" s="179">
        <f t="shared" si="28"/>
        <v>0</v>
      </c>
      <c r="Y295" s="179">
        <f t="shared" si="28"/>
        <v>0</v>
      </c>
      <c r="Z295" s="179">
        <f t="shared" si="28"/>
        <v>0</v>
      </c>
      <c r="AA295" s="179">
        <f t="shared" si="28"/>
        <v>0</v>
      </c>
      <c r="AB295" s="3"/>
    </row>
    <row r="296" spans="1:28" s="5" customFormat="1" ht="3.9" customHeight="1" x14ac:dyDescent="0.25">
      <c r="A296" s="150">
        <f>1</f>
        <v>1</v>
      </c>
      <c r="B296" s="128"/>
      <c r="C296" s="3"/>
      <c r="D296" s="3"/>
      <c r="E296" s="3"/>
      <c r="F296" s="3"/>
      <c r="G296" s="3"/>
      <c r="H296" s="3"/>
      <c r="I296" s="28"/>
      <c r="J296" s="3"/>
      <c r="K296" s="28"/>
      <c r="L296" s="3"/>
      <c r="M296" s="55"/>
      <c r="N296" s="3"/>
      <c r="O296" s="3"/>
      <c r="P296" s="46"/>
      <c r="Q296" s="46"/>
      <c r="R296" s="46"/>
      <c r="S296" s="46"/>
      <c r="T296" s="46"/>
      <c r="U296" s="46"/>
      <c r="V296" s="46"/>
      <c r="W296" s="46"/>
      <c r="X296" s="46"/>
      <c r="Y296" s="46"/>
      <c r="Z296" s="46"/>
      <c r="AA296" s="46"/>
      <c r="AB296" s="3"/>
    </row>
    <row r="297" spans="1:28" s="5" customFormat="1" x14ac:dyDescent="0.25">
      <c r="A297" s="150">
        <f>1</f>
        <v>1</v>
      </c>
      <c r="B297" s="129" t="str">
        <f>структура!$J$15</f>
        <v>УСН(6%)-ИП</v>
      </c>
      <c r="C297" s="3"/>
      <c r="D297" s="3"/>
      <c r="E297" s="146" t="str">
        <f>E291</f>
        <v>ДЕНЕЖНЫЕ СРЕДСТВА</v>
      </c>
      <c r="F297" s="146"/>
      <c r="G297" s="146" t="str">
        <f>IF($E297="","",INDEX(KPI!$G:$G,SUMIFS(KPI!$B:$B,KPI!$E:$E,$E297)))</f>
        <v>тыс.руб.</v>
      </c>
      <c r="H297" s="146"/>
      <c r="I297" s="177"/>
      <c r="J297" s="146"/>
      <c r="K297" s="177"/>
      <c r="L297" s="146"/>
      <c r="M297" s="178"/>
      <c r="N297" s="3"/>
      <c r="O297" s="3"/>
      <c r="P297" s="179">
        <f>IF(P$1="",0,P181)</f>
        <v>8749.6564222639718</v>
      </c>
      <c r="Q297" s="179">
        <f t="shared" ref="Q297:AA297" si="29">IF(Q$1="",0,P297+Q181)</f>
        <v>17954.949984527942</v>
      </c>
      <c r="R297" s="179">
        <f t="shared" si="29"/>
        <v>28177.990275253454</v>
      </c>
      <c r="S297" s="179">
        <f t="shared" si="29"/>
        <v>39113.277441363578</v>
      </c>
      <c r="T297" s="179">
        <f t="shared" si="29"/>
        <v>50875.216857473701</v>
      </c>
      <c r="U297" s="179">
        <f t="shared" si="29"/>
        <v>63475.724495891518</v>
      </c>
      <c r="V297" s="179">
        <f t="shared" si="29"/>
        <v>78037.041207770875</v>
      </c>
      <c r="W297" s="179">
        <f t="shared" si="29"/>
        <v>0</v>
      </c>
      <c r="X297" s="179">
        <f t="shared" si="29"/>
        <v>0</v>
      </c>
      <c r="Y297" s="179">
        <f t="shared" si="29"/>
        <v>0</v>
      </c>
      <c r="Z297" s="179">
        <f t="shared" si="29"/>
        <v>0</v>
      </c>
      <c r="AA297" s="179">
        <f t="shared" si="29"/>
        <v>0</v>
      </c>
      <c r="AB297" s="3"/>
    </row>
    <row r="298" spans="1:28" ht="3.9" customHeight="1" x14ac:dyDescent="0.25">
      <c r="A298" s="149">
        <f>1</f>
        <v>1</v>
      </c>
      <c r="B298" s="131"/>
      <c r="C298" s="2"/>
      <c r="D298" s="2"/>
      <c r="E298" s="119"/>
      <c r="F298" s="2"/>
      <c r="G298" s="119"/>
      <c r="H298" s="2"/>
      <c r="I298" s="28"/>
      <c r="J298" s="2"/>
      <c r="K298" s="28"/>
      <c r="L298" s="2"/>
      <c r="M298" s="142"/>
      <c r="N298" s="2"/>
      <c r="O298" s="2"/>
      <c r="P298" s="36"/>
      <c r="Q298" s="36"/>
      <c r="R298" s="36"/>
      <c r="S298" s="36"/>
      <c r="T298" s="36"/>
      <c r="U298" s="36"/>
      <c r="V298" s="36"/>
      <c r="W298" s="36"/>
      <c r="X298" s="36"/>
      <c r="Y298" s="36"/>
      <c r="Z298" s="36"/>
      <c r="AA298" s="36"/>
      <c r="AB298" s="2"/>
    </row>
    <row r="299" spans="1:28" ht="8.1" customHeight="1" x14ac:dyDescent="0.25">
      <c r="A299" s="149">
        <f>1</f>
        <v>1</v>
      </c>
      <c r="B299" s="131"/>
      <c r="C299" s="2"/>
      <c r="D299" s="2"/>
      <c r="E299" s="2"/>
      <c r="F299" s="2"/>
      <c r="G299" s="2"/>
      <c r="H299" s="2"/>
      <c r="I299" s="28"/>
      <c r="J299" s="2"/>
      <c r="K299" s="28"/>
      <c r="L299" s="2"/>
      <c r="M299" s="52"/>
      <c r="N299" s="2"/>
      <c r="O299" s="2"/>
      <c r="P299" s="36"/>
      <c r="Q299" s="36"/>
      <c r="R299" s="36"/>
      <c r="S299" s="36"/>
      <c r="T299" s="36"/>
      <c r="U299" s="36"/>
      <c r="V299" s="36"/>
      <c r="W299" s="36"/>
      <c r="X299" s="36"/>
      <c r="Y299" s="36"/>
      <c r="Z299" s="36"/>
      <c r="AA299" s="36"/>
      <c r="AB299" s="2"/>
    </row>
    <row r="300" spans="1:28" ht="3.9" customHeight="1" x14ac:dyDescent="0.25">
      <c r="A300" s="149">
        <f>1</f>
        <v>1</v>
      </c>
      <c r="B300" s="131"/>
      <c r="C300" s="2"/>
      <c r="D300" s="2"/>
      <c r="E300" s="2"/>
      <c r="F300" s="2"/>
      <c r="G300" s="2"/>
      <c r="H300" s="2"/>
      <c r="I300" s="28"/>
      <c r="J300" s="2"/>
      <c r="K300" s="28"/>
      <c r="L300" s="2"/>
      <c r="M300" s="52"/>
      <c r="N300" s="2"/>
      <c r="O300" s="2"/>
      <c r="P300" s="36"/>
      <c r="Q300" s="36"/>
      <c r="R300" s="36"/>
      <c r="S300" s="36"/>
      <c r="T300" s="36"/>
      <c r="U300" s="36"/>
      <c r="V300" s="36"/>
      <c r="W300" s="36"/>
      <c r="X300" s="36"/>
      <c r="Y300" s="36"/>
      <c r="Z300" s="36"/>
      <c r="AA300" s="36"/>
      <c r="AB300" s="2"/>
    </row>
    <row r="301" spans="1:28" s="5" customFormat="1" x14ac:dyDescent="0.25">
      <c r="A301" s="150">
        <f>1</f>
        <v>1</v>
      </c>
      <c r="B301" s="129" t="str">
        <f>структура!$J$12</f>
        <v>ОСНО</v>
      </c>
      <c r="C301" s="3"/>
      <c r="D301" s="3"/>
      <c r="E301" s="147" t="str">
        <f>KPI!$E$95</f>
        <v>СОБСТВЕННЫЙ КАПИТАЛ</v>
      </c>
      <c r="F301" s="147"/>
      <c r="G301" s="147" t="str">
        <f>IF($E301="","",INDEX(KPI!$G:$G,SUMIFS(KPI!$B:$B,KPI!$E:$E,$E301)))</f>
        <v>тыс.руб.</v>
      </c>
      <c r="H301" s="147"/>
      <c r="I301" s="170"/>
      <c r="J301" s="147"/>
      <c r="K301" s="170"/>
      <c r="L301" s="147"/>
      <c r="M301" s="171"/>
      <c r="N301" s="3"/>
      <c r="O301" s="3"/>
      <c r="P301" s="172">
        <f>IF(P$1="",0,капитал!$J$20+капитал!$M$102+капитал!$M$109+P$137)</f>
        <v>32399.80689674741</v>
      </c>
      <c r="Q301" s="172">
        <f t="shared" ref="Q301:AA301" si="30">IF(Q$1="",0,P301+Q137)</f>
        <v>36608.193953494818</v>
      </c>
      <c r="R301" s="172">
        <f t="shared" si="30"/>
        <v>41495.078829216589</v>
      </c>
      <c r="S301" s="172">
        <f t="shared" si="30"/>
        <v>46856.794955194768</v>
      </c>
      <c r="T301" s="172">
        <f t="shared" si="30"/>
        <v>52769.612581172943</v>
      </c>
      <c r="U301" s="172">
        <f t="shared" si="30"/>
        <v>59761.724875869069</v>
      </c>
      <c r="V301" s="172">
        <f t="shared" si="30"/>
        <v>68092.715719539556</v>
      </c>
      <c r="W301" s="172">
        <f t="shared" si="30"/>
        <v>0</v>
      </c>
      <c r="X301" s="172">
        <f t="shared" si="30"/>
        <v>0</v>
      </c>
      <c r="Y301" s="172">
        <f t="shared" si="30"/>
        <v>0</v>
      </c>
      <c r="Z301" s="172">
        <f t="shared" si="30"/>
        <v>0</v>
      </c>
      <c r="AA301" s="172">
        <f t="shared" si="30"/>
        <v>0</v>
      </c>
      <c r="AB301" s="3"/>
    </row>
    <row r="302" spans="1:28" s="5" customFormat="1" ht="3.9" customHeight="1" x14ac:dyDescent="0.25">
      <c r="A302" s="150">
        <f>1</f>
        <v>1</v>
      </c>
      <c r="B302" s="128"/>
      <c r="C302" s="3"/>
      <c r="D302" s="3"/>
      <c r="E302" s="3"/>
      <c r="F302" s="3"/>
      <c r="G302" s="3"/>
      <c r="H302" s="3"/>
      <c r="I302" s="28"/>
      <c r="J302" s="3"/>
      <c r="K302" s="28"/>
      <c r="L302" s="3"/>
      <c r="M302" s="55"/>
      <c r="N302" s="3"/>
      <c r="O302" s="3"/>
      <c r="P302" s="46"/>
      <c r="Q302" s="46"/>
      <c r="R302" s="46"/>
      <c r="S302" s="46"/>
      <c r="T302" s="46"/>
      <c r="U302" s="46"/>
      <c r="V302" s="46"/>
      <c r="W302" s="46"/>
      <c r="X302" s="46"/>
      <c r="Y302" s="46"/>
      <c r="Z302" s="46"/>
      <c r="AA302" s="46"/>
      <c r="AB302" s="3"/>
    </row>
    <row r="303" spans="1:28" s="5" customFormat="1" x14ac:dyDescent="0.25">
      <c r="A303" s="150">
        <f>1</f>
        <v>1</v>
      </c>
      <c r="B303" s="129" t="str">
        <f>структура!$J$13</f>
        <v>УСН(6%)</v>
      </c>
      <c r="C303" s="3"/>
      <c r="D303" s="3"/>
      <c r="E303" s="147" t="str">
        <f>E301</f>
        <v>СОБСТВЕННЫЙ КАПИТАЛ</v>
      </c>
      <c r="F303" s="147"/>
      <c r="G303" s="147" t="str">
        <f>IF($E303="","",INDEX(KPI!$G:$G,SUMIFS(KPI!$B:$B,KPI!$E:$E,$E303)))</f>
        <v>тыс.руб.</v>
      </c>
      <c r="H303" s="147"/>
      <c r="I303" s="170"/>
      <c r="J303" s="147"/>
      <c r="K303" s="170"/>
      <c r="L303" s="147"/>
      <c r="M303" s="171"/>
      <c r="N303" s="3"/>
      <c r="O303" s="3"/>
      <c r="P303" s="172">
        <f>IF(P$1="",0,капитал!$J$20+капитал!$M$102+капитал!$M$109+P139)</f>
        <v>34393.25464435188</v>
      </c>
      <c r="Q303" s="172">
        <f t="shared" ref="Q303:AA303" si="31">IF(Q$1="",0,P303+Q139)</f>
        <v>40755.563448703761</v>
      </c>
      <c r="R303" s="172">
        <f t="shared" si="31"/>
        <v>48106.229608440262</v>
      </c>
      <c r="S303" s="172">
        <f t="shared" si="31"/>
        <v>56151.023266638302</v>
      </c>
      <c r="T303" s="172">
        <f t="shared" si="31"/>
        <v>64993.963924836338</v>
      </c>
      <c r="U303" s="172">
        <f t="shared" si="31"/>
        <v>75408.337836111299</v>
      </c>
      <c r="V303" s="172">
        <f t="shared" si="31"/>
        <v>87084.580693924727</v>
      </c>
      <c r="W303" s="172">
        <f t="shared" si="31"/>
        <v>0</v>
      </c>
      <c r="X303" s="172">
        <f t="shared" si="31"/>
        <v>0</v>
      </c>
      <c r="Y303" s="172">
        <f t="shared" si="31"/>
        <v>0</v>
      </c>
      <c r="Z303" s="172">
        <f t="shared" si="31"/>
        <v>0</v>
      </c>
      <c r="AA303" s="172">
        <f t="shared" si="31"/>
        <v>0</v>
      </c>
      <c r="AB303" s="3"/>
    </row>
    <row r="304" spans="1:28" s="5" customFormat="1" ht="3.9" customHeight="1" x14ac:dyDescent="0.25">
      <c r="A304" s="150">
        <f>1</f>
        <v>1</v>
      </c>
      <c r="B304" s="128"/>
      <c r="C304" s="3"/>
      <c r="D304" s="3"/>
      <c r="E304" s="3"/>
      <c r="F304" s="3"/>
      <c r="G304" s="3"/>
      <c r="H304" s="3"/>
      <c r="I304" s="28"/>
      <c r="J304" s="3"/>
      <c r="K304" s="28"/>
      <c r="L304" s="3"/>
      <c r="M304" s="55"/>
      <c r="N304" s="3"/>
      <c r="O304" s="3"/>
      <c r="P304" s="46"/>
      <c r="Q304" s="46"/>
      <c r="R304" s="46"/>
      <c r="S304" s="46"/>
      <c r="T304" s="46"/>
      <c r="U304" s="46"/>
      <c r="V304" s="46"/>
      <c r="W304" s="46"/>
      <c r="X304" s="46"/>
      <c r="Y304" s="46"/>
      <c r="Z304" s="46"/>
      <c r="AA304" s="46"/>
      <c r="AB304" s="3"/>
    </row>
    <row r="305" spans="1:28" s="5" customFormat="1" x14ac:dyDescent="0.25">
      <c r="A305" s="150">
        <f>1</f>
        <v>1</v>
      </c>
      <c r="B305" s="129" t="str">
        <f>структура!$J$14</f>
        <v>УСН(15%)</v>
      </c>
      <c r="C305" s="3"/>
      <c r="D305" s="3"/>
      <c r="E305" s="147" t="str">
        <f>E301</f>
        <v>СОБСТВЕННЫЙ КАПИТАЛ</v>
      </c>
      <c r="F305" s="147"/>
      <c r="G305" s="147" t="str">
        <f>IF($E305="","",INDEX(KPI!$G:$G,SUMIFS(KPI!$B:$B,KPI!$E:$E,$E305)))</f>
        <v>тыс.руб.</v>
      </c>
      <c r="H305" s="147"/>
      <c r="I305" s="170"/>
      <c r="J305" s="147"/>
      <c r="K305" s="170"/>
      <c r="L305" s="147"/>
      <c r="M305" s="171"/>
      <c r="N305" s="3"/>
      <c r="O305" s="3"/>
      <c r="P305" s="172">
        <f>IF(P$1="",0,капитал!$J$20+капитал!$M$102+капитал!$M$109+P141)</f>
        <v>33602.581765781521</v>
      </c>
      <c r="Q305" s="172">
        <f t="shared" ref="Q305:AA305" si="32">IF(Q$1="",0,P305+Q141)</f>
        <v>39112.456316563039</v>
      </c>
      <c r="R305" s="172">
        <f t="shared" si="32"/>
        <v>45487.415586536867</v>
      </c>
      <c r="S305" s="172">
        <f t="shared" si="32"/>
        <v>52467.784700587617</v>
      </c>
      <c r="T305" s="172">
        <f t="shared" si="32"/>
        <v>60150.808227138368</v>
      </c>
      <c r="U305" s="172">
        <f t="shared" si="32"/>
        <v>69236.332456304503</v>
      </c>
      <c r="V305" s="172">
        <f t="shared" si="32"/>
        <v>80028.926835412945</v>
      </c>
      <c r="W305" s="172">
        <f t="shared" si="32"/>
        <v>0</v>
      </c>
      <c r="X305" s="172">
        <f t="shared" si="32"/>
        <v>0</v>
      </c>
      <c r="Y305" s="172">
        <f t="shared" si="32"/>
        <v>0</v>
      </c>
      <c r="Z305" s="172">
        <f t="shared" si="32"/>
        <v>0</v>
      </c>
      <c r="AA305" s="172">
        <f t="shared" si="32"/>
        <v>0</v>
      </c>
      <c r="AB305" s="3"/>
    </row>
    <row r="306" spans="1:28" s="5" customFormat="1" ht="3.9" customHeight="1" x14ac:dyDescent="0.25">
      <c r="A306" s="150">
        <f>1</f>
        <v>1</v>
      </c>
      <c r="B306" s="128"/>
      <c r="C306" s="3"/>
      <c r="D306" s="3"/>
      <c r="E306" s="3"/>
      <c r="F306" s="3"/>
      <c r="G306" s="3"/>
      <c r="H306" s="3"/>
      <c r="I306" s="28"/>
      <c r="J306" s="3"/>
      <c r="K306" s="28"/>
      <c r="L306" s="3"/>
      <c r="M306" s="55"/>
      <c r="N306" s="3"/>
      <c r="O306" s="3"/>
      <c r="P306" s="46"/>
      <c r="Q306" s="46"/>
      <c r="R306" s="46"/>
      <c r="S306" s="46"/>
      <c r="T306" s="46"/>
      <c r="U306" s="46"/>
      <c r="V306" s="46"/>
      <c r="W306" s="46"/>
      <c r="X306" s="46"/>
      <c r="Y306" s="46"/>
      <c r="Z306" s="46"/>
      <c r="AA306" s="46"/>
      <c r="AB306" s="3"/>
    </row>
    <row r="307" spans="1:28" s="5" customFormat="1" x14ac:dyDescent="0.25">
      <c r="A307" s="150">
        <f>1</f>
        <v>1</v>
      </c>
      <c r="B307" s="129" t="str">
        <f>структура!$J$15</f>
        <v>УСН(6%)-ИП</v>
      </c>
      <c r="C307" s="3"/>
      <c r="D307" s="3"/>
      <c r="E307" s="147" t="str">
        <f>E301</f>
        <v>СОБСТВЕННЫЙ КАПИТАЛ</v>
      </c>
      <c r="F307" s="147"/>
      <c r="G307" s="147" t="str">
        <f>IF($E307="","",INDEX(KPI!$G:$G,SUMIFS(KPI!$B:$B,KPI!$E:$E,$E307)))</f>
        <v>тыс.руб.</v>
      </c>
      <c r="H307" s="147"/>
      <c r="I307" s="170"/>
      <c r="J307" s="147"/>
      <c r="K307" s="170"/>
      <c r="L307" s="147"/>
      <c r="M307" s="171"/>
      <c r="N307" s="3"/>
      <c r="O307" s="3"/>
      <c r="P307" s="172">
        <f>IF(P$1="",0,капитал!$J$20+капитал!$M$102+капитал!$M$109+P143)</f>
        <v>34902.610925121116</v>
      </c>
      <c r="Q307" s="172">
        <f t="shared" ref="Q307:AA307" si="33">IF(Q$1="",0,P307+Q143)</f>
        <v>41793.279510242231</v>
      </c>
      <c r="R307" s="172">
        <f t="shared" si="33"/>
        <v>49701.694823824888</v>
      </c>
      <c r="S307" s="172">
        <f t="shared" si="33"/>
        <v>58322.357012792156</v>
      </c>
      <c r="T307" s="172">
        <f t="shared" si="33"/>
        <v>67165.2976709902</v>
      </c>
      <c r="U307" s="172">
        <f t="shared" si="33"/>
        <v>77579.67158226516</v>
      </c>
      <c r="V307" s="172">
        <f t="shared" si="33"/>
        <v>89255.914440078588</v>
      </c>
      <c r="W307" s="172">
        <f t="shared" si="33"/>
        <v>0</v>
      </c>
      <c r="X307" s="172">
        <f t="shared" si="33"/>
        <v>0</v>
      </c>
      <c r="Y307" s="172">
        <f t="shared" si="33"/>
        <v>0</v>
      </c>
      <c r="Z307" s="172">
        <f t="shared" si="33"/>
        <v>0</v>
      </c>
      <c r="AA307" s="172">
        <f t="shared" si="33"/>
        <v>0</v>
      </c>
      <c r="AB307" s="3"/>
    </row>
    <row r="308" spans="1:28" ht="3.9" customHeight="1" x14ac:dyDescent="0.25">
      <c r="A308" s="149">
        <f>1</f>
        <v>1</v>
      </c>
      <c r="B308" s="131"/>
      <c r="C308" s="2"/>
      <c r="D308" s="2"/>
      <c r="E308" s="117"/>
      <c r="F308" s="2"/>
      <c r="G308" s="117"/>
      <c r="H308" s="2"/>
      <c r="I308" s="28"/>
      <c r="J308" s="2"/>
      <c r="K308" s="28"/>
      <c r="L308" s="2"/>
      <c r="M308" s="138"/>
      <c r="N308" s="2"/>
      <c r="O308" s="2"/>
      <c r="P308" s="36"/>
      <c r="Q308" s="36"/>
      <c r="R308" s="36"/>
      <c r="S308" s="36"/>
      <c r="T308" s="36"/>
      <c r="U308" s="36"/>
      <c r="V308" s="36"/>
      <c r="W308" s="36"/>
      <c r="X308" s="36"/>
      <c r="Y308" s="36"/>
      <c r="Z308" s="36"/>
      <c r="AA308" s="36"/>
      <c r="AB308" s="2"/>
    </row>
    <row r="309" spans="1:28" ht="8.1" customHeight="1" x14ac:dyDescent="0.25">
      <c r="A309" s="149">
        <f>1</f>
        <v>1</v>
      </c>
      <c r="B309" s="131"/>
      <c r="C309" s="2"/>
      <c r="D309" s="2"/>
      <c r="E309" s="2"/>
      <c r="F309" s="2"/>
      <c r="G309" s="2"/>
      <c r="H309" s="2"/>
      <c r="I309" s="28"/>
      <c r="J309" s="2"/>
      <c r="K309" s="28"/>
      <c r="L309" s="2"/>
      <c r="M309" s="52"/>
      <c r="N309" s="2"/>
      <c r="O309" s="2"/>
      <c r="P309" s="36"/>
      <c r="Q309" s="36"/>
      <c r="R309" s="36"/>
      <c r="S309" s="36"/>
      <c r="T309" s="36"/>
      <c r="U309" s="36"/>
      <c r="V309" s="36"/>
      <c r="W309" s="36"/>
      <c r="X309" s="36"/>
      <c r="Y309" s="36"/>
      <c r="Z309" s="36"/>
      <c r="AA309" s="36"/>
      <c r="AB309" s="2"/>
    </row>
    <row r="310" spans="1:28" ht="3.9" customHeight="1" x14ac:dyDescent="0.25">
      <c r="A310" s="149">
        <f>1</f>
        <v>1</v>
      </c>
      <c r="B310" s="131"/>
      <c r="C310" s="2"/>
      <c r="D310" s="2"/>
      <c r="E310" s="2"/>
      <c r="F310" s="2"/>
      <c r="G310" s="2"/>
      <c r="H310" s="2"/>
      <c r="I310" s="28"/>
      <c r="J310" s="2"/>
      <c r="K310" s="28"/>
      <c r="L310" s="2"/>
      <c r="M310" s="52"/>
      <c r="N310" s="2"/>
      <c r="O310" s="2"/>
      <c r="P310" s="36"/>
      <c r="Q310" s="36"/>
      <c r="R310" s="36"/>
      <c r="S310" s="36"/>
      <c r="T310" s="36"/>
      <c r="U310" s="36"/>
      <c r="V310" s="36"/>
      <c r="W310" s="36"/>
      <c r="X310" s="36"/>
      <c r="Y310" s="36"/>
      <c r="Z310" s="36"/>
      <c r="AA310" s="36"/>
      <c r="AB310" s="2"/>
    </row>
    <row r="311" spans="1:28" s="5" customFormat="1" x14ac:dyDescent="0.25">
      <c r="A311" s="150">
        <f>1</f>
        <v>1</v>
      </c>
      <c r="B311" s="129" t="str">
        <f>структура!$J$12</f>
        <v>ОСНО</v>
      </c>
      <c r="C311" s="3"/>
      <c r="D311" s="3"/>
      <c r="E311" s="89" t="str">
        <f>KPI!$E$96</f>
        <v>КРЕДИТОРСКАЯ ЗАДОЛЖЕННОСТЬ</v>
      </c>
      <c r="F311" s="89"/>
      <c r="G311" s="89" t="str">
        <f>IF($E311="","",INDEX(KPI!$G:$G,SUMIFS(KPI!$B:$B,KPI!$E:$E,$E311)))</f>
        <v>тыс.руб.</v>
      </c>
      <c r="H311" s="89"/>
      <c r="I311" s="90"/>
      <c r="J311" s="89"/>
      <c r="K311" s="90"/>
      <c r="L311" s="89"/>
      <c r="M311" s="92"/>
      <c r="N311" s="3"/>
      <c r="O311" s="3"/>
      <c r="P311" s="93">
        <f>IF(P$1="",0,опер2!$P$225-опер2!$P$240+P127+P16*опер2!P$346-P107)</f>
        <v>2915.5002178975142</v>
      </c>
      <c r="Q311" s="93">
        <f>IF(Q$1="",0,опер2!$P$225-опер2!$P$240+Q127+Q16*опер2!Q$346-Q107)</f>
        <v>3094.977717897515</v>
      </c>
      <c r="R311" s="93">
        <f>IF(R$1="",0,опер2!$P$225-опер2!$P$240+R127+R16*опер2!R$346-R107)</f>
        <v>3434.2266273846944</v>
      </c>
      <c r="S311" s="93">
        <f>IF(S$1="",0,опер2!$P$225-опер2!$P$240+S127+S16*опер2!S$346-S107)</f>
        <v>3671.6422525128996</v>
      </c>
      <c r="T311" s="93">
        <f>IF(T$1="",0,опер2!$P$225-опер2!$P$240+T127+T16*опер2!T$346-T107)</f>
        <v>3947.1930025128991</v>
      </c>
      <c r="U311" s="93">
        <f>IF(U$1="",0,опер2!$P$225-опер2!$P$240+U127+U16*опер2!U$346-U107)</f>
        <v>4457.5070035385397</v>
      </c>
      <c r="V311" s="93">
        <f>IF(V$1="",0,опер2!$P$225-опер2!$P$240+V127+V16*опер2!V$346-V107)</f>
        <v>5126.9462780257181</v>
      </c>
      <c r="W311" s="93">
        <f>IF(W$1="",0,опер2!$P$225-опер2!$P$240+W127+W16*опер2!W$346-W107)</f>
        <v>0</v>
      </c>
      <c r="X311" s="93">
        <f>IF(X$1="",0,опер2!$P$225-опер2!$P$240+X127+X16*опер2!X$346-X107)</f>
        <v>0</v>
      </c>
      <c r="Y311" s="93">
        <f>IF(Y$1="",0,опер2!$P$225-опер2!$P$240+Y127+Y16*опер2!Y$346-Y107)</f>
        <v>0</v>
      </c>
      <c r="Z311" s="93">
        <f>IF(Z$1="",0,опер2!$P$225-опер2!$P$240+Z127+Z16*опер2!Z$346-Z107)</f>
        <v>0</v>
      </c>
      <c r="AA311" s="93">
        <f>IF(AA$1="",0,опер2!$P$225-опер2!$P$240+AA127+AA16*опер2!AA$346-AA107)</f>
        <v>0</v>
      </c>
      <c r="AB311" s="3"/>
    </row>
    <row r="312" spans="1:28" s="5" customFormat="1" ht="3.9" customHeight="1" x14ac:dyDescent="0.25">
      <c r="A312" s="150">
        <f>1</f>
        <v>1</v>
      </c>
      <c r="B312" s="128"/>
      <c r="C312" s="3"/>
      <c r="D312" s="3"/>
      <c r="E312" s="3"/>
      <c r="F312" s="3"/>
      <c r="G312" s="3"/>
      <c r="H312" s="3"/>
      <c r="I312" s="28"/>
      <c r="J312" s="3"/>
      <c r="K312" s="28"/>
      <c r="L312" s="3"/>
      <c r="M312" s="55"/>
      <c r="N312" s="3"/>
      <c r="O312" s="3"/>
      <c r="P312" s="46"/>
      <c r="Q312" s="46"/>
      <c r="R312" s="46"/>
      <c r="S312" s="46"/>
      <c r="T312" s="46"/>
      <c r="U312" s="46"/>
      <c r="V312" s="46"/>
      <c r="W312" s="46"/>
      <c r="X312" s="46"/>
      <c r="Y312" s="46"/>
      <c r="Z312" s="46"/>
      <c r="AA312" s="46"/>
      <c r="AB312" s="3"/>
    </row>
    <row r="313" spans="1:28" s="5" customFormat="1" x14ac:dyDescent="0.25">
      <c r="A313" s="150">
        <f>1</f>
        <v>1</v>
      </c>
      <c r="B313" s="129" t="str">
        <f>структура!$J$13</f>
        <v>УСН(6%)</v>
      </c>
      <c r="C313" s="3"/>
      <c r="D313" s="3"/>
      <c r="E313" s="89" t="str">
        <f>E311</f>
        <v>КРЕДИТОРСКАЯ ЗАДОЛЖЕННОСТЬ</v>
      </c>
      <c r="F313" s="89"/>
      <c r="G313" s="89" t="str">
        <f>IF($E313="","",INDEX(KPI!$G:$G,SUMIFS(KPI!$B:$B,KPI!$E:$E,$E313)))</f>
        <v>тыс.руб.</v>
      </c>
      <c r="H313" s="89"/>
      <c r="I313" s="90"/>
      <c r="J313" s="89"/>
      <c r="K313" s="90"/>
      <c r="L313" s="89"/>
      <c r="M313" s="92"/>
      <c r="N313" s="3"/>
      <c r="O313" s="3"/>
      <c r="P313" s="93">
        <f>IF(P$1="",0,опер2!$P$225-опер2!$P$240+P129)</f>
        <v>536.28164076923065</v>
      </c>
      <c r="Q313" s="93">
        <f>IF(Q$1="",0,опер2!$P$225-опер2!$P$240+Q129)</f>
        <v>555.28514076923057</v>
      </c>
      <c r="R313" s="93">
        <f>IF(R$1="",0,опер2!$P$225-опер2!$P$240+R129)</f>
        <v>584.67451384615379</v>
      </c>
      <c r="S313" s="93">
        <f>IF(S$1="",0,опер2!$P$225-опер2!$P$240+S129)</f>
        <v>602.79389076923076</v>
      </c>
      <c r="T313" s="93">
        <f>IF(T$1="",0,опер2!$P$225-опер2!$P$240+T129)</f>
        <v>631.29914076923069</v>
      </c>
      <c r="U313" s="93">
        <f>IF(U$1="",0,опер2!$P$225-опер2!$P$240+U129)</f>
        <v>678.80789076923065</v>
      </c>
      <c r="V313" s="93">
        <f>IF(V$1="",0,опер2!$P$225-опер2!$P$240+V129)</f>
        <v>1425.2567676923074</v>
      </c>
      <c r="W313" s="93">
        <f>IF(W$1="",0,опер2!$P$225-опер2!$P$240+W129)</f>
        <v>0</v>
      </c>
      <c r="X313" s="93">
        <f>IF(X$1="",0,опер2!$P$225-опер2!$P$240+X129)</f>
        <v>0</v>
      </c>
      <c r="Y313" s="93">
        <f>IF(Y$1="",0,опер2!$P$225-опер2!$P$240+Y129)</f>
        <v>0</v>
      </c>
      <c r="Z313" s="93">
        <f>IF(Z$1="",0,опер2!$P$225-опер2!$P$240+Z129)</f>
        <v>0</v>
      </c>
      <c r="AA313" s="93">
        <f>IF(AA$1="",0,опер2!$P$225-опер2!$P$240+AA129)</f>
        <v>0</v>
      </c>
      <c r="AB313" s="3"/>
    </row>
    <row r="314" spans="1:28" s="5" customFormat="1" ht="3.9" customHeight="1" x14ac:dyDescent="0.25">
      <c r="A314" s="150">
        <f>1</f>
        <v>1</v>
      </c>
      <c r="B314" s="128"/>
      <c r="C314" s="3"/>
      <c r="D314" s="3"/>
      <c r="E314" s="3"/>
      <c r="F314" s="3"/>
      <c r="G314" s="3"/>
      <c r="H314" s="3"/>
      <c r="I314" s="28"/>
      <c r="J314" s="3"/>
      <c r="K314" s="28"/>
      <c r="L314" s="3"/>
      <c r="M314" s="55"/>
      <c r="N314" s="3"/>
      <c r="O314" s="3"/>
      <c r="P314" s="46"/>
      <c r="Q314" s="46"/>
      <c r="R314" s="46"/>
      <c r="S314" s="46"/>
      <c r="T314" s="46"/>
      <c r="U314" s="46"/>
      <c r="V314" s="46"/>
      <c r="W314" s="46"/>
      <c r="X314" s="46"/>
      <c r="Y314" s="46"/>
      <c r="Z314" s="46"/>
      <c r="AA314" s="46"/>
      <c r="AB314" s="3"/>
    </row>
    <row r="315" spans="1:28" s="5" customFormat="1" x14ac:dyDescent="0.25">
      <c r="A315" s="150">
        <f>1</f>
        <v>1</v>
      </c>
      <c r="B315" s="129" t="str">
        <f>структура!$J$14</f>
        <v>УСН(15%)</v>
      </c>
      <c r="C315" s="3"/>
      <c r="D315" s="3"/>
      <c r="E315" s="89" t="str">
        <f>E311</f>
        <v>КРЕДИТОРСКАЯ ЗАДОЛЖЕННОСТЬ</v>
      </c>
      <c r="F315" s="89"/>
      <c r="G315" s="89" t="str">
        <f>IF($E315="","",INDEX(KPI!$G:$G,SUMIFS(KPI!$B:$B,KPI!$E:$E,$E315)))</f>
        <v>тыс.руб.</v>
      </c>
      <c r="H315" s="89"/>
      <c r="I315" s="90"/>
      <c r="J315" s="89"/>
      <c r="K315" s="90"/>
      <c r="L315" s="89"/>
      <c r="M315" s="92"/>
      <c r="N315" s="3"/>
      <c r="O315" s="3"/>
      <c r="P315" s="93">
        <f>IF(P$1="",0,опер2!$P$225-опер2!$P$240+P131)</f>
        <v>1326.9545193395957</v>
      </c>
      <c r="Q315" s="93">
        <f>IF(Q$1="",0,опер2!$P$225-опер2!$P$240+Q131)</f>
        <v>1407.7193943395955</v>
      </c>
      <c r="R315" s="93">
        <f>IF(R$1="",0,опер2!$P$225-опер2!$P$240+R131)</f>
        <v>1560.3814036088268</v>
      </c>
      <c r="S315" s="93">
        <f>IF(S$1="",0,опер2!$P$225-опер2!$P$240+S131)</f>
        <v>1667.2184349165186</v>
      </c>
      <c r="T315" s="93">
        <f>IF(T$1="",0,опер2!$P$225-опер2!$P$240+T131)</f>
        <v>1791.2162724165187</v>
      </c>
      <c r="U315" s="93">
        <f>IF(U$1="",0,опер2!$P$225-опер2!$P$240+U131)</f>
        <v>2007.6575728780567</v>
      </c>
      <c r="V315" s="93">
        <f>IF(V$1="",0,опер2!$P$225-опер2!$P$240+V131)</f>
        <v>2308.905246397288</v>
      </c>
      <c r="W315" s="93">
        <f>IF(W$1="",0,опер2!$P$225-опер2!$P$240+W131)</f>
        <v>0</v>
      </c>
      <c r="X315" s="93">
        <f>IF(X$1="",0,опер2!$P$225-опер2!$P$240+X131)</f>
        <v>0</v>
      </c>
      <c r="Y315" s="93">
        <f>IF(Y$1="",0,опер2!$P$225-опер2!$P$240+Y131)</f>
        <v>0</v>
      </c>
      <c r="Z315" s="93">
        <f>IF(Z$1="",0,опер2!$P$225-опер2!$P$240+Z131)</f>
        <v>0</v>
      </c>
      <c r="AA315" s="93">
        <f>IF(AA$1="",0,опер2!$P$225-опер2!$P$240+AA131)</f>
        <v>0</v>
      </c>
      <c r="AB315" s="3"/>
    </row>
    <row r="316" spans="1:28" s="5" customFormat="1" ht="3.9" customHeight="1" x14ac:dyDescent="0.25">
      <c r="A316" s="150">
        <f>1</f>
        <v>1</v>
      </c>
      <c r="B316" s="128"/>
      <c r="C316" s="3"/>
      <c r="D316" s="3"/>
      <c r="E316" s="3"/>
      <c r="F316" s="3"/>
      <c r="G316" s="3"/>
      <c r="H316" s="3"/>
      <c r="I316" s="28"/>
      <c r="J316" s="3"/>
      <c r="K316" s="28"/>
      <c r="L316" s="3"/>
      <c r="M316" s="55"/>
      <c r="N316" s="3"/>
      <c r="O316" s="3"/>
      <c r="P316" s="46"/>
      <c r="Q316" s="46"/>
      <c r="R316" s="46"/>
      <c r="S316" s="46"/>
      <c r="T316" s="46"/>
      <c r="U316" s="46"/>
      <c r="V316" s="46"/>
      <c r="W316" s="46"/>
      <c r="X316" s="46"/>
      <c r="Y316" s="46"/>
      <c r="Z316" s="46"/>
      <c r="AA316" s="46"/>
      <c r="AB316" s="3"/>
    </row>
    <row r="317" spans="1:28" s="5" customFormat="1" x14ac:dyDescent="0.25">
      <c r="A317" s="150">
        <f>1</f>
        <v>1</v>
      </c>
      <c r="B317" s="129" t="str">
        <f>структура!$J$15</f>
        <v>УСН(6%)-ИП</v>
      </c>
      <c r="C317" s="3"/>
      <c r="D317" s="3"/>
      <c r="E317" s="89" t="str">
        <f>E311</f>
        <v>КРЕДИТОРСКАЯ ЗАДОЛЖЕННОСТЬ</v>
      </c>
      <c r="F317" s="89"/>
      <c r="G317" s="89" t="str">
        <f>IF($E317="","",INDEX(KPI!$G:$G,SUMIFS(KPI!$B:$B,KPI!$E:$E,$E317)))</f>
        <v>тыс.руб.</v>
      </c>
      <c r="H317" s="89"/>
      <c r="I317" s="90"/>
      <c r="J317" s="89"/>
      <c r="K317" s="90"/>
      <c r="L317" s="89"/>
      <c r="M317" s="92"/>
      <c r="N317" s="3"/>
      <c r="O317" s="3"/>
      <c r="P317" s="93">
        <f>IF(P$1="",0,опер2!$P$225-опер2!$P$240+P133)</f>
        <v>26.925360000000012</v>
      </c>
      <c r="Q317" s="93">
        <f>IF(Q$1="",0,опер2!$P$225-опер2!$P$240+Q133)</f>
        <v>26.925360000000012</v>
      </c>
      <c r="R317" s="93">
        <f>IF(R$1="",0,опер2!$P$225-опер2!$P$240+R133)</f>
        <v>26.925360000000012</v>
      </c>
      <c r="S317" s="93">
        <f>IF(S$1="",0,опер2!$P$225-опер2!$P$240+S133)</f>
        <v>26.925360000000012</v>
      </c>
      <c r="T317" s="93">
        <f>IF(T$1="",0,опер2!$P$225-опер2!$P$240+T133)</f>
        <v>631.29914076923069</v>
      </c>
      <c r="U317" s="93">
        <f>IF(U$1="",0,опер2!$P$225-опер2!$P$240+U133)</f>
        <v>678.80789076923065</v>
      </c>
      <c r="V317" s="93">
        <f>IF(V$1="",0,опер2!$P$225-опер2!$P$240+V133)</f>
        <v>1425.2567676923074</v>
      </c>
      <c r="W317" s="93">
        <f>IF(W$1="",0,опер2!$P$225-опер2!$P$240+W133)</f>
        <v>0</v>
      </c>
      <c r="X317" s="93">
        <f>IF(X$1="",0,опер2!$P$225-опер2!$P$240+X133)</f>
        <v>0</v>
      </c>
      <c r="Y317" s="93">
        <f>IF(Y$1="",0,опер2!$P$225-опер2!$P$240+Y133)</f>
        <v>0</v>
      </c>
      <c r="Z317" s="93">
        <f>IF(Z$1="",0,опер2!$P$225-опер2!$P$240+Z133)</f>
        <v>0</v>
      </c>
      <c r="AA317" s="93">
        <f>IF(AA$1="",0,опер2!$P$225-опер2!$P$240+AA133)</f>
        <v>0</v>
      </c>
      <c r="AB317" s="3"/>
    </row>
    <row r="318" spans="1:28" ht="3.9" customHeight="1" x14ac:dyDescent="0.25">
      <c r="A318" s="149">
        <f>1</f>
        <v>1</v>
      </c>
      <c r="B318" s="131"/>
      <c r="C318" s="2"/>
      <c r="D318" s="2"/>
      <c r="E318" s="118"/>
      <c r="F318" s="2"/>
      <c r="G318" s="118"/>
      <c r="H318" s="2"/>
      <c r="I318" s="28"/>
      <c r="J318" s="2"/>
      <c r="K318" s="28"/>
      <c r="L318" s="2"/>
      <c r="M318" s="139"/>
      <c r="N318" s="2"/>
      <c r="O318" s="2"/>
      <c r="P318" s="36"/>
      <c r="Q318" s="36"/>
      <c r="R318" s="36"/>
      <c r="S318" s="36"/>
      <c r="T318" s="36"/>
      <c r="U318" s="36"/>
      <c r="V318" s="36"/>
      <c r="W318" s="36"/>
      <c r="X318" s="36"/>
      <c r="Y318" s="36"/>
      <c r="Z318" s="36"/>
      <c r="AA318" s="36"/>
      <c r="AB318" s="2"/>
    </row>
    <row r="319" spans="1:28" x14ac:dyDescent="0.25">
      <c r="A319" s="149">
        <f>1</f>
        <v>1</v>
      </c>
      <c r="B319" s="131"/>
      <c r="C319" s="2"/>
      <c r="D319" s="2"/>
      <c r="E319" s="2"/>
      <c r="F319" s="2"/>
      <c r="G319" s="2"/>
      <c r="H319" s="2"/>
      <c r="I319" s="28"/>
      <c r="J319" s="2"/>
      <c r="K319" s="28"/>
      <c r="L319" s="2"/>
      <c r="M319" s="52"/>
      <c r="N319" s="2"/>
      <c r="O319" s="2"/>
      <c r="P319" s="36"/>
      <c r="Q319" s="36"/>
      <c r="R319" s="36"/>
      <c r="S319" s="36"/>
      <c r="T319" s="36"/>
      <c r="U319" s="36"/>
      <c r="V319" s="36"/>
      <c r="W319" s="36"/>
      <c r="X319" s="36"/>
      <c r="Y319" s="36"/>
      <c r="Z319" s="36"/>
      <c r="AA319" s="36"/>
      <c r="AB319" s="2"/>
    </row>
    <row r="320" spans="1:28" x14ac:dyDescent="0.25">
      <c r="A320" s="149">
        <f>1</f>
        <v>1</v>
      </c>
      <c r="B320" s="131"/>
      <c r="C320" s="2"/>
      <c r="D320" s="2"/>
      <c r="E320" s="2"/>
      <c r="F320" s="2"/>
      <c r="G320" s="2"/>
      <c r="H320" s="2"/>
      <c r="I320" s="28"/>
      <c r="J320" s="2"/>
      <c r="K320" s="28"/>
      <c r="L320" s="2"/>
      <c r="M320" s="52"/>
      <c r="N320" s="2"/>
      <c r="O320" s="2"/>
      <c r="P320" s="36"/>
      <c r="Q320" s="36"/>
      <c r="R320" s="36"/>
      <c r="S320" s="36"/>
      <c r="T320" s="36"/>
      <c r="U320" s="36"/>
      <c r="V320" s="36"/>
      <c r="W320" s="36"/>
      <c r="X320" s="36"/>
      <c r="Y320" s="36"/>
      <c r="Z320" s="36"/>
      <c r="AA320" s="36"/>
      <c r="AB320" s="2"/>
    </row>
    <row r="321" spans="1:28" x14ac:dyDescent="0.25">
      <c r="A321" s="149">
        <f>1</f>
        <v>1</v>
      </c>
      <c r="B321" s="131"/>
      <c r="C321" s="2"/>
      <c r="D321" s="2"/>
      <c r="E321" s="2"/>
      <c r="F321" s="2"/>
      <c r="G321" s="2"/>
      <c r="H321" s="2"/>
      <c r="I321" s="28"/>
      <c r="J321" s="2"/>
      <c r="K321" s="28"/>
      <c r="L321" s="2"/>
      <c r="M321" s="52"/>
      <c r="N321" s="2"/>
      <c r="O321" s="2"/>
      <c r="P321" s="36"/>
      <c r="Q321" s="36"/>
      <c r="R321" s="36"/>
      <c r="S321" s="36"/>
      <c r="T321" s="36"/>
      <c r="U321" s="36"/>
      <c r="V321" s="36"/>
      <c r="W321" s="36"/>
      <c r="X321" s="36"/>
      <c r="Y321" s="36"/>
      <c r="Z321" s="36"/>
      <c r="AA321" s="36"/>
      <c r="AB321" s="2"/>
    </row>
    <row r="322" spans="1:28" x14ac:dyDescent="0.25">
      <c r="A322" s="149">
        <f>1</f>
        <v>1</v>
      </c>
      <c r="B322" s="131"/>
      <c r="C322" s="2"/>
      <c r="D322" s="2"/>
      <c r="E322" s="2"/>
      <c r="F322" s="2"/>
      <c r="G322" s="2"/>
      <c r="H322" s="2"/>
      <c r="I322" s="28"/>
      <c r="J322" s="2"/>
      <c r="K322" s="28"/>
      <c r="L322" s="2"/>
      <c r="M322" s="52"/>
      <c r="N322" s="2"/>
      <c r="O322" s="2"/>
      <c r="P322" s="36"/>
      <c r="Q322" s="36"/>
      <c r="R322" s="36"/>
      <c r="S322" s="36"/>
      <c r="T322" s="36"/>
      <c r="U322" s="36"/>
      <c r="V322" s="36"/>
      <c r="W322" s="36"/>
      <c r="X322" s="36"/>
      <c r="Y322" s="36"/>
      <c r="Z322" s="36"/>
      <c r="AA322" s="36"/>
      <c r="AB322" s="2"/>
    </row>
    <row r="323" spans="1:28" x14ac:dyDescent="0.25">
      <c r="A323" s="149">
        <f>1</f>
        <v>1</v>
      </c>
      <c r="B323" s="131"/>
      <c r="C323" s="2"/>
      <c r="D323" s="2"/>
      <c r="E323" s="2"/>
      <c r="F323" s="2"/>
      <c r="G323" s="2"/>
      <c r="H323" s="2"/>
      <c r="I323" s="28"/>
      <c r="J323" s="2"/>
      <c r="K323" s="28"/>
      <c r="L323" s="2"/>
      <c r="M323" s="52"/>
      <c r="N323" s="2"/>
      <c r="O323" s="2"/>
      <c r="P323" s="36"/>
      <c r="Q323" s="36"/>
      <c r="R323" s="36"/>
      <c r="S323" s="36"/>
      <c r="T323" s="36"/>
      <c r="U323" s="36"/>
      <c r="V323" s="36"/>
      <c r="W323" s="36"/>
      <c r="X323" s="36"/>
      <c r="Y323" s="36"/>
      <c r="Z323" s="36"/>
      <c r="AA323" s="36"/>
      <c r="AB323" s="2"/>
    </row>
    <row r="324" spans="1:28" x14ac:dyDescent="0.25">
      <c r="A324" s="149">
        <f>1</f>
        <v>1</v>
      </c>
      <c r="B324" s="131"/>
      <c r="C324" s="2"/>
      <c r="D324" s="2"/>
      <c r="E324" s="2"/>
      <c r="F324" s="2"/>
      <c r="G324" s="2"/>
      <c r="H324" s="2"/>
      <c r="I324" s="28"/>
      <c r="J324" s="2"/>
      <c r="K324" s="28"/>
      <c r="L324" s="2"/>
      <c r="M324" s="52"/>
      <c r="N324" s="2"/>
      <c r="O324" s="2"/>
      <c r="P324" s="36"/>
      <c r="Q324" s="36"/>
      <c r="R324" s="36"/>
      <c r="S324" s="36"/>
      <c r="T324" s="36"/>
      <c r="U324" s="36"/>
      <c r="V324" s="36"/>
      <c r="W324" s="36"/>
      <c r="X324" s="36"/>
      <c r="Y324" s="36"/>
      <c r="Z324" s="36"/>
      <c r="AA324" s="36"/>
      <c r="AB324" s="2"/>
    </row>
    <row r="325" spans="1:28" x14ac:dyDescent="0.25">
      <c r="A325" s="149">
        <f>1</f>
        <v>1</v>
      </c>
      <c r="B325" s="131"/>
      <c r="C325" s="2"/>
      <c r="D325" s="2"/>
      <c r="E325" s="2"/>
      <c r="F325" s="2"/>
      <c r="G325" s="2"/>
      <c r="H325" s="2"/>
      <c r="I325" s="28"/>
      <c r="J325" s="2"/>
      <c r="K325" s="28"/>
      <c r="L325" s="2"/>
      <c r="M325" s="52"/>
      <c r="N325" s="2"/>
      <c r="O325" s="2"/>
      <c r="P325" s="36"/>
      <c r="Q325" s="36"/>
      <c r="R325" s="36"/>
      <c r="S325" s="36"/>
      <c r="T325" s="36"/>
      <c r="U325" s="36"/>
      <c r="V325" s="36"/>
      <c r="W325" s="36"/>
      <c r="X325" s="36"/>
      <c r="Y325" s="36"/>
      <c r="Z325" s="36"/>
      <c r="AA325" s="36"/>
      <c r="AB325" s="2"/>
    </row>
    <row r="326" spans="1:28" x14ac:dyDescent="0.25">
      <c r="A326" s="149">
        <f>1</f>
        <v>1</v>
      </c>
      <c r="B326" s="131"/>
      <c r="C326" s="2"/>
      <c r="D326" s="2"/>
      <c r="E326" s="2"/>
      <c r="F326" s="2"/>
      <c r="G326" s="2"/>
      <c r="H326" s="2"/>
      <c r="I326" s="28"/>
      <c r="J326" s="2"/>
      <c r="K326" s="28"/>
      <c r="L326" s="2"/>
      <c r="M326" s="52"/>
      <c r="N326" s="2"/>
      <c r="O326" s="2"/>
      <c r="P326" s="36"/>
      <c r="Q326" s="36"/>
      <c r="R326" s="36"/>
      <c r="S326" s="36"/>
      <c r="T326" s="36"/>
      <c r="U326" s="36"/>
      <c r="V326" s="36"/>
      <c r="W326" s="36"/>
      <c r="X326" s="36"/>
      <c r="Y326" s="36"/>
      <c r="Z326" s="36"/>
      <c r="AA326" s="36"/>
      <c r="AB326" s="2"/>
    </row>
    <row r="327" spans="1:28" x14ac:dyDescent="0.25">
      <c r="A327" s="149">
        <f>1</f>
        <v>1</v>
      </c>
      <c r="B327" s="131"/>
      <c r="C327" s="2"/>
      <c r="D327" s="2"/>
      <c r="E327" s="2"/>
      <c r="F327" s="2"/>
      <c r="G327" s="2"/>
      <c r="H327" s="2"/>
      <c r="I327" s="28"/>
      <c r="J327" s="2"/>
      <c r="K327" s="28"/>
      <c r="L327" s="2"/>
      <c r="M327" s="52"/>
      <c r="N327" s="2"/>
      <c r="O327" s="2"/>
      <c r="P327" s="36"/>
      <c r="Q327" s="36"/>
      <c r="R327" s="36"/>
      <c r="S327" s="36"/>
      <c r="T327" s="36"/>
      <c r="U327" s="36"/>
      <c r="V327" s="36"/>
      <c r="W327" s="36"/>
      <c r="X327" s="36"/>
      <c r="Y327" s="36"/>
      <c r="Z327" s="36"/>
      <c r="AA327" s="36"/>
      <c r="AB327" s="2"/>
    </row>
    <row r="328" spans="1:28" x14ac:dyDescent="0.25">
      <c r="A328" s="149">
        <f>1</f>
        <v>1</v>
      </c>
      <c r="B328" s="131"/>
      <c r="C328" s="2"/>
      <c r="D328" s="2"/>
      <c r="E328" s="2"/>
      <c r="F328" s="2"/>
      <c r="G328" s="2"/>
      <c r="H328" s="2"/>
      <c r="I328" s="28"/>
      <c r="J328" s="2"/>
      <c r="K328" s="28"/>
      <c r="L328" s="2"/>
      <c r="M328" s="52"/>
      <c r="N328" s="2"/>
      <c r="O328" s="2"/>
      <c r="P328" s="36"/>
      <c r="Q328" s="36"/>
      <c r="R328" s="36"/>
      <c r="S328" s="36"/>
      <c r="T328" s="36"/>
      <c r="U328" s="36"/>
      <c r="V328" s="36"/>
      <c r="W328" s="36"/>
      <c r="X328" s="36"/>
      <c r="Y328" s="36"/>
      <c r="Z328" s="36"/>
      <c r="AA328" s="36"/>
      <c r="AB328" s="2"/>
    </row>
    <row r="329" spans="1:28" x14ac:dyDescent="0.25">
      <c r="A329" s="149">
        <f>1</f>
        <v>1</v>
      </c>
      <c r="B329" s="131"/>
      <c r="C329" s="2"/>
      <c r="D329" s="2"/>
      <c r="E329" s="2"/>
      <c r="F329" s="2"/>
      <c r="G329" s="2"/>
      <c r="H329" s="2"/>
      <c r="I329" s="28"/>
      <c r="J329" s="2"/>
      <c r="K329" s="28"/>
      <c r="L329" s="2"/>
      <c r="M329" s="52"/>
      <c r="N329" s="2"/>
      <c r="O329" s="2"/>
      <c r="P329" s="36"/>
      <c r="Q329" s="36"/>
      <c r="R329" s="36"/>
      <c r="S329" s="36"/>
      <c r="T329" s="36"/>
      <c r="U329" s="36"/>
      <c r="V329" s="36"/>
      <c r="W329" s="36"/>
      <c r="X329" s="36"/>
      <c r="Y329" s="36"/>
      <c r="Z329" s="36"/>
      <c r="AA329" s="36"/>
      <c r="AB329" s="2"/>
    </row>
    <row r="330" spans="1:28" x14ac:dyDescent="0.25">
      <c r="A330" s="149">
        <f>1</f>
        <v>1</v>
      </c>
      <c r="B330" s="131"/>
      <c r="C330" s="2"/>
      <c r="D330" s="2"/>
      <c r="E330" s="2"/>
      <c r="F330" s="2"/>
      <c r="G330" s="2"/>
      <c r="H330" s="2"/>
      <c r="I330" s="28"/>
      <c r="J330" s="2"/>
      <c r="K330" s="28"/>
      <c r="L330" s="2"/>
      <c r="M330" s="52"/>
      <c r="N330" s="2"/>
      <c r="O330" s="2"/>
      <c r="P330" s="36"/>
      <c r="Q330" s="36"/>
      <c r="R330" s="36"/>
      <c r="S330" s="36"/>
      <c r="T330" s="36"/>
      <c r="U330" s="36"/>
      <c r="V330" s="36"/>
      <c r="W330" s="36"/>
      <c r="X330" s="36"/>
      <c r="Y330" s="36"/>
      <c r="Z330" s="36"/>
      <c r="AA330" s="36"/>
      <c r="AB330" s="2"/>
    </row>
    <row r="331" spans="1:28" x14ac:dyDescent="0.25">
      <c r="P331" s="57"/>
      <c r="Q331" s="57"/>
      <c r="R331" s="57"/>
      <c r="S331" s="57"/>
      <c r="T331" s="57"/>
      <c r="U331" s="57"/>
      <c r="V331" s="57"/>
      <c r="W331" s="57"/>
      <c r="X331" s="57"/>
      <c r="Y331" s="57"/>
      <c r="Z331" s="57"/>
      <c r="AA331" s="57"/>
    </row>
  </sheetData>
  <autoFilter ref="A8:B8"/>
  <conditionalFormatting sqref="A2:XFD2 A7:XFD253 A3:B6 F3:XFD5 F6 H6:XFD6 E1:XFD1 A264:XFD1048576">
    <cfRule type="cellIs" dxfId="3466" priority="1663" operator="equal">
      <formula>0</formula>
    </cfRule>
  </conditionalFormatting>
  <conditionalFormatting sqref="P16:AA16">
    <cfRule type="expression" dxfId="3465" priority="1662">
      <formula>P$1=""</formula>
    </cfRule>
  </conditionalFormatting>
  <conditionalFormatting sqref="P18:AA18">
    <cfRule type="expression" dxfId="3464" priority="1661">
      <formula>P$1=""</formula>
    </cfRule>
  </conditionalFormatting>
  <conditionalFormatting sqref="P20:AA20">
    <cfRule type="expression" dxfId="3463" priority="1660">
      <formula>P$1=""</formula>
    </cfRule>
  </conditionalFormatting>
  <conditionalFormatting sqref="P22:AA22">
    <cfRule type="expression" dxfId="3462" priority="1659">
      <formula>P$1=""</formula>
    </cfRule>
  </conditionalFormatting>
  <conditionalFormatting sqref="P26:AA26">
    <cfRule type="expression" dxfId="3461" priority="1658">
      <formula>P$1=""</formula>
    </cfRule>
  </conditionalFormatting>
  <conditionalFormatting sqref="P28:AA28">
    <cfRule type="expression" dxfId="3460" priority="1657">
      <formula>P$1=""</formula>
    </cfRule>
  </conditionalFormatting>
  <conditionalFormatting sqref="P30:AA30">
    <cfRule type="expression" dxfId="3459" priority="1656">
      <formula>P$1=""</formula>
    </cfRule>
  </conditionalFormatting>
  <conditionalFormatting sqref="P32:AA32">
    <cfRule type="expression" dxfId="3458" priority="1655">
      <formula>P$1=""</formula>
    </cfRule>
  </conditionalFormatting>
  <conditionalFormatting sqref="P36:AA36">
    <cfRule type="expression" dxfId="3457" priority="1654">
      <formula>P$1=""</formula>
    </cfRule>
  </conditionalFormatting>
  <conditionalFormatting sqref="P38:AA38">
    <cfRule type="expression" dxfId="3456" priority="1653">
      <formula>P$1=""</formula>
    </cfRule>
  </conditionalFormatting>
  <conditionalFormatting sqref="P40:AA40">
    <cfRule type="expression" dxfId="3455" priority="1652">
      <formula>P$1=""</formula>
    </cfRule>
  </conditionalFormatting>
  <conditionalFormatting sqref="P42:AA42">
    <cfRule type="expression" dxfId="3454" priority="1651">
      <formula>P$1=""</formula>
    </cfRule>
  </conditionalFormatting>
  <conditionalFormatting sqref="P42:AA42 P40:AA40 P38:AA38">
    <cfRule type="expression" dxfId="3453" priority="1650">
      <formula>P$1=""</formula>
    </cfRule>
  </conditionalFormatting>
  <conditionalFormatting sqref="P46:AA46">
    <cfRule type="expression" dxfId="3452" priority="1649">
      <formula>P$1=""</formula>
    </cfRule>
  </conditionalFormatting>
  <conditionalFormatting sqref="P48:AA48">
    <cfRule type="expression" dxfId="3451" priority="1648">
      <formula>P$1=""</formula>
    </cfRule>
  </conditionalFormatting>
  <conditionalFormatting sqref="P50:AA50">
    <cfRule type="expression" dxfId="3450" priority="1647">
      <formula>P$1=""</formula>
    </cfRule>
  </conditionalFormatting>
  <conditionalFormatting sqref="P52:AA52">
    <cfRule type="expression" dxfId="3449" priority="1646">
      <formula>P$1=""</formula>
    </cfRule>
  </conditionalFormatting>
  <conditionalFormatting sqref="P52:AA52 P50:AA50 P48:AA48">
    <cfRule type="expression" dxfId="3448" priority="1645">
      <formula>P$1=""</formula>
    </cfRule>
  </conditionalFormatting>
  <conditionalFormatting sqref="P52:AA52 P50:AA50 P48:AA48">
    <cfRule type="expression" dxfId="3447" priority="1644">
      <formula>P$1=""</formula>
    </cfRule>
  </conditionalFormatting>
  <conditionalFormatting sqref="P56:AA56">
    <cfRule type="expression" dxfId="3446" priority="1643">
      <formula>P$1=""</formula>
    </cfRule>
  </conditionalFormatting>
  <conditionalFormatting sqref="P58:AA58">
    <cfRule type="expression" dxfId="3445" priority="1642">
      <formula>P$1=""</formula>
    </cfRule>
  </conditionalFormatting>
  <conditionalFormatting sqref="P60:AA60">
    <cfRule type="expression" dxfId="3444" priority="1641">
      <formula>P$1=""</formula>
    </cfRule>
  </conditionalFormatting>
  <conditionalFormatting sqref="P62:AA62">
    <cfRule type="expression" dxfId="3443" priority="1640">
      <formula>P$1=""</formula>
    </cfRule>
  </conditionalFormatting>
  <conditionalFormatting sqref="P62:AA62 P60:AA60 P58:AA58">
    <cfRule type="expression" dxfId="3442" priority="1639">
      <formula>P$1=""</formula>
    </cfRule>
  </conditionalFormatting>
  <conditionalFormatting sqref="P62:AA62 P60:AA60 P58:AA58">
    <cfRule type="expression" dxfId="3441" priority="1638">
      <formula>P$1=""</formula>
    </cfRule>
  </conditionalFormatting>
  <conditionalFormatting sqref="P62:AA62 P60:AA60 P58:AA58">
    <cfRule type="expression" dxfId="3440" priority="1637">
      <formula>P$1=""</formula>
    </cfRule>
  </conditionalFormatting>
  <conditionalFormatting sqref="P66:AA66">
    <cfRule type="expression" dxfId="3439" priority="1636">
      <formula>P$1=""</formula>
    </cfRule>
  </conditionalFormatting>
  <conditionalFormatting sqref="P68:AA68">
    <cfRule type="expression" dxfId="3438" priority="1635">
      <formula>P$1=""</formula>
    </cfRule>
  </conditionalFormatting>
  <conditionalFormatting sqref="P70:AA70">
    <cfRule type="expression" dxfId="3437" priority="1634">
      <formula>P$1=""</formula>
    </cfRule>
  </conditionalFormatting>
  <conditionalFormatting sqref="P72:AA72">
    <cfRule type="expression" dxfId="3436" priority="1633">
      <formula>P$1=""</formula>
    </cfRule>
  </conditionalFormatting>
  <conditionalFormatting sqref="P72:AA72 P70:AA70 P68:AA68">
    <cfRule type="expression" dxfId="3435" priority="1632">
      <formula>P$1=""</formula>
    </cfRule>
  </conditionalFormatting>
  <conditionalFormatting sqref="P72:AA72 P70:AA70 P68:AA68">
    <cfRule type="expression" dxfId="3434" priority="1631">
      <formula>P$1=""</formula>
    </cfRule>
  </conditionalFormatting>
  <conditionalFormatting sqref="P72:AA72 P70:AA70 P68:AA68">
    <cfRule type="expression" dxfId="3433" priority="1630">
      <formula>P$1=""</formula>
    </cfRule>
  </conditionalFormatting>
  <conditionalFormatting sqref="P72:AA72 P70:AA70 P68:AA68">
    <cfRule type="expression" dxfId="3432" priority="1629">
      <formula>P$1=""</formula>
    </cfRule>
  </conditionalFormatting>
  <conditionalFormatting sqref="P76:AA76">
    <cfRule type="expression" dxfId="3431" priority="1628">
      <formula>P$1=""</formula>
    </cfRule>
  </conditionalFormatting>
  <conditionalFormatting sqref="P78:AA78">
    <cfRule type="expression" dxfId="3430" priority="1627">
      <formula>P$1=""</formula>
    </cfRule>
  </conditionalFormatting>
  <conditionalFormatting sqref="P80:AA80">
    <cfRule type="expression" dxfId="3429" priority="1626">
      <formula>P$1=""</formula>
    </cfRule>
  </conditionalFormatting>
  <conditionalFormatting sqref="P82:AA82">
    <cfRule type="expression" dxfId="3428" priority="1625">
      <formula>P$1=""</formula>
    </cfRule>
  </conditionalFormatting>
  <conditionalFormatting sqref="P82:AA82 P80:AA80 P78:AA78">
    <cfRule type="expression" dxfId="3427" priority="1624">
      <formula>P$1=""</formula>
    </cfRule>
  </conditionalFormatting>
  <conditionalFormatting sqref="P82:AA82 P80:AA80 P78:AA78">
    <cfRule type="expression" dxfId="3426" priority="1623">
      <formula>P$1=""</formula>
    </cfRule>
  </conditionalFormatting>
  <conditionalFormatting sqref="P82:AA82 P80:AA80 P78:AA78">
    <cfRule type="expression" dxfId="3425" priority="1622">
      <formula>P$1=""</formula>
    </cfRule>
  </conditionalFormatting>
  <conditionalFormatting sqref="P82:AA82 P80:AA80 P78:AA78">
    <cfRule type="expression" dxfId="3424" priority="1621">
      <formula>P$1=""</formula>
    </cfRule>
  </conditionalFormatting>
  <conditionalFormatting sqref="P82:AA82 P80:AA80 P78:AA78">
    <cfRule type="expression" dxfId="3423" priority="1620">
      <formula>P$1=""</formula>
    </cfRule>
  </conditionalFormatting>
  <conditionalFormatting sqref="P85:AA85">
    <cfRule type="expression" dxfId="3422" priority="1619">
      <formula>P$1=""</formula>
    </cfRule>
  </conditionalFormatting>
  <conditionalFormatting sqref="P87:AA87">
    <cfRule type="expression" dxfId="3421" priority="1618">
      <formula>P$1=""</formula>
    </cfRule>
  </conditionalFormatting>
  <conditionalFormatting sqref="P89:AA89">
    <cfRule type="expression" dxfId="3420" priority="1617">
      <formula>P$1=""</formula>
    </cfRule>
  </conditionalFormatting>
  <conditionalFormatting sqref="P91:AA91">
    <cfRule type="expression" dxfId="3419" priority="1616">
      <formula>P$1=""</formula>
    </cfRule>
  </conditionalFormatting>
  <conditionalFormatting sqref="P91:AA91 P89:AA89 P87:AA87">
    <cfRule type="expression" dxfId="3418" priority="1615">
      <formula>P$1=""</formula>
    </cfRule>
  </conditionalFormatting>
  <conditionalFormatting sqref="P91:AA91 P89:AA89 P87:AA87">
    <cfRule type="expression" dxfId="3417" priority="1614">
      <formula>P$1=""</formula>
    </cfRule>
  </conditionalFormatting>
  <conditionalFormatting sqref="P91:AA91 P89:AA89 P87:AA87">
    <cfRule type="expression" dxfId="3416" priority="1613">
      <formula>P$1=""</formula>
    </cfRule>
  </conditionalFormatting>
  <conditionalFormatting sqref="P91:AA91 P89:AA89 P87:AA87">
    <cfRule type="expression" dxfId="3415" priority="1612">
      <formula>P$1=""</formula>
    </cfRule>
  </conditionalFormatting>
  <conditionalFormatting sqref="P95:AA95">
    <cfRule type="expression" dxfId="3414" priority="1611">
      <formula>P$1=""</formula>
    </cfRule>
  </conditionalFormatting>
  <conditionalFormatting sqref="P97:AA97">
    <cfRule type="expression" dxfId="3413" priority="1610">
      <formula>P$1=""</formula>
    </cfRule>
  </conditionalFormatting>
  <conditionalFormatting sqref="P99:AA99">
    <cfRule type="expression" dxfId="3412" priority="1609">
      <formula>P$1=""</formula>
    </cfRule>
  </conditionalFormatting>
  <conditionalFormatting sqref="P101:AA101">
    <cfRule type="expression" dxfId="3411" priority="1608">
      <formula>P$1=""</formula>
    </cfRule>
  </conditionalFormatting>
  <conditionalFormatting sqref="P101:AA101 P99:AA99 P97:AA97">
    <cfRule type="expression" dxfId="3410" priority="1607">
      <formula>P$1=""</formula>
    </cfRule>
  </conditionalFormatting>
  <conditionalFormatting sqref="P101:AA101 P99:AA99 P97:AA97">
    <cfRule type="expression" dxfId="3409" priority="1606">
      <formula>P$1=""</formula>
    </cfRule>
  </conditionalFormatting>
  <conditionalFormatting sqref="P101:AA101 P99:AA99 P97:AA97">
    <cfRule type="expression" dxfId="3408" priority="1605">
      <formula>P$1=""</formula>
    </cfRule>
  </conditionalFormatting>
  <conditionalFormatting sqref="P101:AA101 P99:AA99 P97:AA97">
    <cfRule type="expression" dxfId="3407" priority="1604">
      <formula>P$1=""</formula>
    </cfRule>
  </conditionalFormatting>
  <conditionalFormatting sqref="P101:AA101 P99:AA99 P97:AA97">
    <cfRule type="expression" dxfId="3406" priority="1603">
      <formula>P$1=""</formula>
    </cfRule>
  </conditionalFormatting>
  <conditionalFormatting sqref="P105:AA105">
    <cfRule type="expression" dxfId="3405" priority="1602">
      <formula>P$1=""</formula>
    </cfRule>
  </conditionalFormatting>
  <conditionalFormatting sqref="P107:AA107">
    <cfRule type="expression" dxfId="3404" priority="1601">
      <formula>P$1=""</formula>
    </cfRule>
  </conditionalFormatting>
  <conditionalFormatting sqref="P109:AA109">
    <cfRule type="expression" dxfId="3403" priority="1600">
      <formula>P$1=""</formula>
    </cfRule>
  </conditionalFormatting>
  <conditionalFormatting sqref="P111:AA111">
    <cfRule type="expression" dxfId="3402" priority="1599">
      <formula>P$1=""</formula>
    </cfRule>
  </conditionalFormatting>
  <conditionalFormatting sqref="P107:AA107 P109:AA109 P111:AA111">
    <cfRule type="expression" dxfId="3401" priority="1598">
      <formula>P$1=""</formula>
    </cfRule>
  </conditionalFormatting>
  <conditionalFormatting sqref="P107:AA107 P109:AA109 P111:AA111">
    <cfRule type="expression" dxfId="3400" priority="1597">
      <formula>P$1=""</formula>
    </cfRule>
  </conditionalFormatting>
  <conditionalFormatting sqref="P107:AA107 P109:AA109 P111:AA111">
    <cfRule type="expression" dxfId="3399" priority="1596">
      <formula>P$1=""</formula>
    </cfRule>
  </conditionalFormatting>
  <conditionalFormatting sqref="P107:AA107 P109:AA109 P111:AA111">
    <cfRule type="expression" dxfId="3398" priority="1595">
      <formula>P$1=""</formula>
    </cfRule>
  </conditionalFormatting>
  <conditionalFormatting sqref="P107:AA107 P109:AA109 P111:AA111">
    <cfRule type="expression" dxfId="3397" priority="1594">
      <formula>P$1=""</formula>
    </cfRule>
  </conditionalFormatting>
  <conditionalFormatting sqref="P111:AA111 P109:AA109">
    <cfRule type="expression" dxfId="3396" priority="1593">
      <formula>P$1=""</formula>
    </cfRule>
  </conditionalFormatting>
  <conditionalFormatting sqref="P117:AA117">
    <cfRule type="expression" dxfId="3395" priority="1592">
      <formula>P$1=""</formula>
    </cfRule>
  </conditionalFormatting>
  <conditionalFormatting sqref="P119:AA119">
    <cfRule type="expression" dxfId="3394" priority="1591">
      <formula>P$1=""</formula>
    </cfRule>
  </conditionalFormatting>
  <conditionalFormatting sqref="P121:AA121">
    <cfRule type="expression" dxfId="3393" priority="1590">
      <formula>P$1=""</formula>
    </cfRule>
  </conditionalFormatting>
  <conditionalFormatting sqref="P123:AA123">
    <cfRule type="expression" dxfId="3392" priority="1589">
      <formula>P$1=""</formula>
    </cfRule>
  </conditionalFormatting>
  <conditionalFormatting sqref="P119:AA119 P121:AA121 P123:AA123">
    <cfRule type="expression" dxfId="3391" priority="1588">
      <formula>P$1=""</formula>
    </cfRule>
  </conditionalFormatting>
  <conditionalFormatting sqref="P119:AA119 P121:AA121 P123:AA123">
    <cfRule type="expression" dxfId="3390" priority="1587">
      <formula>P$1=""</formula>
    </cfRule>
  </conditionalFormatting>
  <conditionalFormatting sqref="P119:AA119 P121:AA121 P123:AA123">
    <cfRule type="expression" dxfId="3389" priority="1586">
      <formula>P$1=""</formula>
    </cfRule>
  </conditionalFormatting>
  <conditionalFormatting sqref="P119:AA119 P121:AA121 P123:AA123">
    <cfRule type="expression" dxfId="3388" priority="1585">
      <formula>P$1=""</formula>
    </cfRule>
  </conditionalFormatting>
  <conditionalFormatting sqref="P119:AA119 P121:AA121 P123:AA123">
    <cfRule type="expression" dxfId="3387" priority="1584">
      <formula>P$1=""</formula>
    </cfRule>
  </conditionalFormatting>
  <conditionalFormatting sqref="P123:AA123 P121:AA121">
    <cfRule type="expression" dxfId="3386" priority="1583">
      <formula>P$1=""</formula>
    </cfRule>
  </conditionalFormatting>
  <conditionalFormatting sqref="P32:AA32 P30:AA30 P28:AA28">
    <cfRule type="expression" dxfId="3385" priority="1582">
      <formula>P$1=""</formula>
    </cfRule>
  </conditionalFormatting>
  <conditionalFormatting sqref="P119:AA119">
    <cfRule type="expression" dxfId="3384" priority="1581">
      <formula>P$1=""</formula>
    </cfRule>
  </conditionalFormatting>
  <conditionalFormatting sqref="P123:AA123 P121:AA121">
    <cfRule type="expression" dxfId="3383" priority="1580">
      <formula>P$1=""</formula>
    </cfRule>
  </conditionalFormatting>
  <conditionalFormatting sqref="P123:AA123 P121:AA121">
    <cfRule type="expression" dxfId="3382" priority="1579">
      <formula>P$1=""</formula>
    </cfRule>
  </conditionalFormatting>
  <conditionalFormatting sqref="P127:AA127">
    <cfRule type="expression" dxfId="3381" priority="1578">
      <formula>P$1=""</formula>
    </cfRule>
  </conditionalFormatting>
  <conditionalFormatting sqref="P129:AA129">
    <cfRule type="expression" dxfId="3380" priority="1577">
      <formula>P$1=""</formula>
    </cfRule>
  </conditionalFormatting>
  <conditionalFormatting sqref="P131:AA131">
    <cfRule type="expression" dxfId="3379" priority="1576">
      <formula>P$1=""</formula>
    </cfRule>
  </conditionalFormatting>
  <conditionalFormatting sqref="P133:AA133">
    <cfRule type="expression" dxfId="3378" priority="1575">
      <formula>P$1=""</formula>
    </cfRule>
  </conditionalFormatting>
  <conditionalFormatting sqref="P131:AA131 P129:AA129 P133:AA133">
    <cfRule type="expression" dxfId="3377" priority="1574">
      <formula>P$1=""</formula>
    </cfRule>
  </conditionalFormatting>
  <conditionalFormatting sqref="P131:AA131 P129:AA129 P133:AA133">
    <cfRule type="expression" dxfId="3376" priority="1573">
      <formula>P$1=""</formula>
    </cfRule>
  </conditionalFormatting>
  <conditionalFormatting sqref="P131:AA131 P129:AA129 P133:AA133">
    <cfRule type="expression" dxfId="3375" priority="1572">
      <formula>P$1=""</formula>
    </cfRule>
  </conditionalFormatting>
  <conditionalFormatting sqref="P131:AA131 P129:AA129 P133:AA133">
    <cfRule type="expression" dxfId="3374" priority="1571">
      <formula>P$1=""</formula>
    </cfRule>
  </conditionalFormatting>
  <conditionalFormatting sqref="P131:AA131 P129:AA129 P133:AA133">
    <cfRule type="expression" dxfId="3373" priority="1570">
      <formula>P$1=""</formula>
    </cfRule>
  </conditionalFormatting>
  <conditionalFormatting sqref="P131:AA131 P133:AA133">
    <cfRule type="expression" dxfId="3372" priority="1569">
      <formula>P$1=""</formula>
    </cfRule>
  </conditionalFormatting>
  <conditionalFormatting sqref="P129:AA129">
    <cfRule type="expression" dxfId="3371" priority="1568">
      <formula>P$1=""</formula>
    </cfRule>
  </conditionalFormatting>
  <conditionalFormatting sqref="P131:AA131 P133:AA133">
    <cfRule type="expression" dxfId="3370" priority="1567">
      <formula>P$1=""</formula>
    </cfRule>
  </conditionalFormatting>
  <conditionalFormatting sqref="P131:AA131 P133:AA133">
    <cfRule type="expression" dxfId="3369" priority="1566">
      <formula>P$1=""</formula>
    </cfRule>
  </conditionalFormatting>
  <conditionalFormatting sqref="P133:AA133">
    <cfRule type="expression" dxfId="3368" priority="1565">
      <formula>P$1=""</formula>
    </cfRule>
  </conditionalFormatting>
  <conditionalFormatting sqref="P133:AA133">
    <cfRule type="expression" dxfId="3367" priority="1564">
      <formula>P$1=""</formula>
    </cfRule>
  </conditionalFormatting>
  <conditionalFormatting sqref="P133:AA133">
    <cfRule type="expression" dxfId="3366" priority="1563">
      <formula>P$1=""</formula>
    </cfRule>
  </conditionalFormatting>
  <conditionalFormatting sqref="P133:AA133">
    <cfRule type="expression" dxfId="3365" priority="1562">
      <formula>P$1=""</formula>
    </cfRule>
  </conditionalFormatting>
  <conditionalFormatting sqref="P137:AA137">
    <cfRule type="expression" dxfId="3364" priority="1561">
      <formula>P$1=""</formula>
    </cfRule>
  </conditionalFormatting>
  <conditionalFormatting sqref="P139:AA139">
    <cfRule type="expression" dxfId="3363" priority="1560">
      <formula>P$1=""</formula>
    </cfRule>
  </conditionalFormatting>
  <conditionalFormatting sqref="P141:AA141">
    <cfRule type="expression" dxfId="3362" priority="1559">
      <formula>P$1=""</formula>
    </cfRule>
  </conditionalFormatting>
  <conditionalFormatting sqref="P143:AA143">
    <cfRule type="expression" dxfId="3361" priority="1558">
      <formula>P$1=""</formula>
    </cfRule>
  </conditionalFormatting>
  <conditionalFormatting sqref="P139:AA139 P141:AA141 P143:AA143">
    <cfRule type="expression" dxfId="3360" priority="1557">
      <formula>P$1=""</formula>
    </cfRule>
  </conditionalFormatting>
  <conditionalFormatting sqref="P139:AA139 P141:AA141 P143:AA143">
    <cfRule type="expression" dxfId="3359" priority="1556">
      <formula>P$1=""</formula>
    </cfRule>
  </conditionalFormatting>
  <conditionalFormatting sqref="P139:AA139 P141:AA141 P143:AA143">
    <cfRule type="expression" dxfId="3358" priority="1555">
      <formula>P$1=""</formula>
    </cfRule>
  </conditionalFormatting>
  <conditionalFormatting sqref="P139:AA139 P141:AA141 P143:AA143">
    <cfRule type="expression" dxfId="3357" priority="1554">
      <formula>P$1=""</formula>
    </cfRule>
  </conditionalFormatting>
  <conditionalFormatting sqref="P139:AA139 P141:AA141 P143:AA143">
    <cfRule type="expression" dxfId="3356" priority="1553">
      <formula>P$1=""</formula>
    </cfRule>
  </conditionalFormatting>
  <conditionalFormatting sqref="P141:AA141 P143:AA143">
    <cfRule type="expression" dxfId="3355" priority="1552">
      <formula>P$1=""</formula>
    </cfRule>
  </conditionalFormatting>
  <conditionalFormatting sqref="P139:AA139">
    <cfRule type="expression" dxfId="3354" priority="1551">
      <formula>P$1=""</formula>
    </cfRule>
  </conditionalFormatting>
  <conditionalFormatting sqref="P141:AA141 P143:AA143">
    <cfRule type="expression" dxfId="3353" priority="1550">
      <formula>P$1=""</formula>
    </cfRule>
  </conditionalFormatting>
  <conditionalFormatting sqref="P141:AA141 P143:AA143">
    <cfRule type="expression" dxfId="3352" priority="1549">
      <formula>P$1=""</formula>
    </cfRule>
  </conditionalFormatting>
  <conditionalFormatting sqref="P143:AA143">
    <cfRule type="expression" dxfId="3351" priority="1548">
      <formula>P$1=""</formula>
    </cfRule>
  </conditionalFormatting>
  <conditionalFormatting sqref="P143:AA143">
    <cfRule type="expression" dxfId="3350" priority="1547">
      <formula>P$1=""</formula>
    </cfRule>
  </conditionalFormatting>
  <conditionalFormatting sqref="P143:AA143">
    <cfRule type="expression" dxfId="3349" priority="1546">
      <formula>P$1=""</formula>
    </cfRule>
  </conditionalFormatting>
  <conditionalFormatting sqref="P143:AA143">
    <cfRule type="expression" dxfId="3348" priority="1545">
      <formula>P$1=""</formula>
    </cfRule>
  </conditionalFormatting>
  <conditionalFormatting sqref="P137:AA137">
    <cfRule type="expression" dxfId="3347" priority="1544">
      <formula>P$1=""</formula>
    </cfRule>
  </conditionalFormatting>
  <conditionalFormatting sqref="P137:AA137">
    <cfRule type="expression" dxfId="3346" priority="1543">
      <formula>P$1=""</formula>
    </cfRule>
  </conditionalFormatting>
  <conditionalFormatting sqref="P137:AA137">
    <cfRule type="expression" dxfId="3345" priority="1542">
      <formula>P$1=""</formula>
    </cfRule>
  </conditionalFormatting>
  <conditionalFormatting sqref="P137:AA137">
    <cfRule type="expression" dxfId="3344" priority="1541">
      <formula>P$1=""</formula>
    </cfRule>
  </conditionalFormatting>
  <conditionalFormatting sqref="P137:AA137">
    <cfRule type="expression" dxfId="3343" priority="1540">
      <formula>P$1=""</formula>
    </cfRule>
  </conditionalFormatting>
  <conditionalFormatting sqref="P137:AA137">
    <cfRule type="expression" dxfId="3342" priority="1539">
      <formula>P$1=""</formula>
    </cfRule>
  </conditionalFormatting>
  <conditionalFormatting sqref="P137:AA137">
    <cfRule type="expression" dxfId="3341" priority="1538">
      <formula>P$1=""</formula>
    </cfRule>
  </conditionalFormatting>
  <conditionalFormatting sqref="P143:AA143 P141:AA141">
    <cfRule type="expression" dxfId="3340" priority="1537">
      <formula>P$1=""</formula>
    </cfRule>
  </conditionalFormatting>
  <conditionalFormatting sqref="P143:AA143 P141:AA141">
    <cfRule type="expression" dxfId="3339" priority="1536">
      <formula>P$1=""</formula>
    </cfRule>
  </conditionalFormatting>
  <conditionalFormatting sqref="P155:AA155">
    <cfRule type="expression" dxfId="3338" priority="1535">
      <formula>P$1=""</formula>
    </cfRule>
  </conditionalFormatting>
  <conditionalFormatting sqref="P157:AA157">
    <cfRule type="expression" dxfId="3337" priority="1534">
      <formula>P$1=""</formula>
    </cfRule>
  </conditionalFormatting>
  <conditionalFormatting sqref="P159:AA159">
    <cfRule type="expression" dxfId="3336" priority="1533">
      <formula>P$1=""</formula>
    </cfRule>
  </conditionalFormatting>
  <conditionalFormatting sqref="P161:AA161">
    <cfRule type="expression" dxfId="3335" priority="1532">
      <formula>P$1=""</formula>
    </cfRule>
  </conditionalFormatting>
  <conditionalFormatting sqref="P157:AA157 P159:AA159 P161:AA161">
    <cfRule type="expression" dxfId="3334" priority="1531">
      <formula>P$1=""</formula>
    </cfRule>
  </conditionalFormatting>
  <conditionalFormatting sqref="P157:AA157 P159:AA159 P161:AA161">
    <cfRule type="expression" dxfId="3333" priority="1530">
      <formula>P$1=""</formula>
    </cfRule>
  </conditionalFormatting>
  <conditionalFormatting sqref="P157:AA157 P159:AA159 P161:AA161">
    <cfRule type="expression" dxfId="3332" priority="1529">
      <formula>P$1=""</formula>
    </cfRule>
  </conditionalFormatting>
  <conditionalFormatting sqref="P157:AA157 P159:AA159 P161:AA161">
    <cfRule type="expression" dxfId="3331" priority="1528">
      <formula>P$1=""</formula>
    </cfRule>
  </conditionalFormatting>
  <conditionalFormatting sqref="P157:AA157 P159:AA159 P161:AA161">
    <cfRule type="expression" dxfId="3330" priority="1527">
      <formula>P$1=""</formula>
    </cfRule>
  </conditionalFormatting>
  <conditionalFormatting sqref="P159:AA159 P161:AA161">
    <cfRule type="expression" dxfId="3329" priority="1526">
      <formula>P$1=""</formula>
    </cfRule>
  </conditionalFormatting>
  <conditionalFormatting sqref="P157:AA157">
    <cfRule type="expression" dxfId="3328" priority="1525">
      <formula>P$1=""</formula>
    </cfRule>
  </conditionalFormatting>
  <conditionalFormatting sqref="P159:AA159 P161:AA161">
    <cfRule type="expression" dxfId="3327" priority="1524">
      <formula>P$1=""</formula>
    </cfRule>
  </conditionalFormatting>
  <conditionalFormatting sqref="P159:AA159 P161:AA161">
    <cfRule type="expression" dxfId="3326" priority="1523">
      <formula>P$1=""</formula>
    </cfRule>
  </conditionalFormatting>
  <conditionalFormatting sqref="P161:AA161">
    <cfRule type="expression" dxfId="3325" priority="1522">
      <formula>P$1=""</formula>
    </cfRule>
  </conditionalFormatting>
  <conditionalFormatting sqref="P161:AA161">
    <cfRule type="expression" dxfId="3324" priority="1521">
      <formula>P$1=""</formula>
    </cfRule>
  </conditionalFormatting>
  <conditionalFormatting sqref="P161:AA161">
    <cfRule type="expression" dxfId="3323" priority="1520">
      <formula>P$1=""</formula>
    </cfRule>
  </conditionalFormatting>
  <conditionalFormatting sqref="P161:AA161">
    <cfRule type="expression" dxfId="3322" priority="1519">
      <formula>P$1=""</formula>
    </cfRule>
  </conditionalFormatting>
  <conditionalFormatting sqref="P155:AA155">
    <cfRule type="expression" dxfId="3321" priority="1518">
      <formula>P$1=""</formula>
    </cfRule>
  </conditionalFormatting>
  <conditionalFormatting sqref="P155:AA155">
    <cfRule type="expression" dxfId="3320" priority="1517">
      <formula>P$1=""</formula>
    </cfRule>
  </conditionalFormatting>
  <conditionalFormatting sqref="P155:AA155">
    <cfRule type="expression" dxfId="3319" priority="1516">
      <formula>P$1=""</formula>
    </cfRule>
  </conditionalFormatting>
  <conditionalFormatting sqref="P155:AA155">
    <cfRule type="expression" dxfId="3318" priority="1515">
      <formula>P$1=""</formula>
    </cfRule>
  </conditionalFormatting>
  <conditionalFormatting sqref="P155:AA155">
    <cfRule type="expression" dxfId="3317" priority="1514">
      <formula>P$1=""</formula>
    </cfRule>
  </conditionalFormatting>
  <conditionalFormatting sqref="P155:AA155">
    <cfRule type="expression" dxfId="3316" priority="1513">
      <formula>P$1=""</formula>
    </cfRule>
  </conditionalFormatting>
  <conditionalFormatting sqref="P155:AA155">
    <cfRule type="expression" dxfId="3315" priority="1512">
      <formula>P$1=""</formula>
    </cfRule>
  </conditionalFormatting>
  <conditionalFormatting sqref="P161:AA161 P159:AA159">
    <cfRule type="expression" dxfId="3314" priority="1511">
      <formula>P$1=""</formula>
    </cfRule>
  </conditionalFormatting>
  <conditionalFormatting sqref="P161:AA161 P159:AA159">
    <cfRule type="expression" dxfId="3313" priority="1510">
      <formula>P$1=""</formula>
    </cfRule>
  </conditionalFormatting>
  <conditionalFormatting sqref="P161:AA161 P159:AA159">
    <cfRule type="expression" dxfId="3312" priority="1509">
      <formula>P$1=""</formula>
    </cfRule>
  </conditionalFormatting>
  <conditionalFormatting sqref="P161:AA161 P159:AA159">
    <cfRule type="expression" dxfId="3311" priority="1508">
      <formula>P$1=""</formula>
    </cfRule>
  </conditionalFormatting>
  <conditionalFormatting sqref="P165:AA165">
    <cfRule type="expression" dxfId="3310" priority="1507">
      <formula>P$1=""</formula>
    </cfRule>
  </conditionalFormatting>
  <conditionalFormatting sqref="P167:AA167">
    <cfRule type="expression" dxfId="3309" priority="1506">
      <formula>P$1=""</formula>
    </cfRule>
  </conditionalFormatting>
  <conditionalFormatting sqref="P169:AA169">
    <cfRule type="expression" dxfId="3308" priority="1505">
      <formula>P$1=""</formula>
    </cfRule>
  </conditionalFormatting>
  <conditionalFormatting sqref="P171:AA171">
    <cfRule type="expression" dxfId="3307" priority="1504">
      <formula>P$1=""</formula>
    </cfRule>
  </conditionalFormatting>
  <conditionalFormatting sqref="P167:AA167 P169:AA169 P171:AA171">
    <cfRule type="expression" dxfId="3306" priority="1503">
      <formula>P$1=""</formula>
    </cfRule>
  </conditionalFormatting>
  <conditionalFormatting sqref="P167:AA167 P169:AA169 P171:AA171">
    <cfRule type="expression" dxfId="3305" priority="1502">
      <formula>P$1=""</formula>
    </cfRule>
  </conditionalFormatting>
  <conditionalFormatting sqref="P167:AA167 P169:AA169 P171:AA171">
    <cfRule type="expression" dxfId="3304" priority="1501">
      <formula>P$1=""</formula>
    </cfRule>
  </conditionalFormatting>
  <conditionalFormatting sqref="P167:AA167 P169:AA169 P171:AA171">
    <cfRule type="expression" dxfId="3303" priority="1500">
      <formula>P$1=""</formula>
    </cfRule>
  </conditionalFormatting>
  <conditionalFormatting sqref="P167:AA167 P169:AA169 P171:AA171">
    <cfRule type="expression" dxfId="3302" priority="1499">
      <formula>P$1=""</formula>
    </cfRule>
  </conditionalFormatting>
  <conditionalFormatting sqref="P169:AA169 P171:AA171">
    <cfRule type="expression" dxfId="3301" priority="1498">
      <formula>P$1=""</formula>
    </cfRule>
  </conditionalFormatting>
  <conditionalFormatting sqref="P167:AA167">
    <cfRule type="expression" dxfId="3300" priority="1497">
      <formula>P$1=""</formula>
    </cfRule>
  </conditionalFormatting>
  <conditionalFormatting sqref="P169:AA169 P171:AA171">
    <cfRule type="expression" dxfId="3299" priority="1496">
      <formula>P$1=""</formula>
    </cfRule>
  </conditionalFormatting>
  <conditionalFormatting sqref="P169:AA169 P171:AA171">
    <cfRule type="expression" dxfId="3298" priority="1495">
      <formula>P$1=""</formula>
    </cfRule>
  </conditionalFormatting>
  <conditionalFormatting sqref="P171:AA171">
    <cfRule type="expression" dxfId="3297" priority="1494">
      <formula>P$1=""</formula>
    </cfRule>
  </conditionalFormatting>
  <conditionalFormatting sqref="P171:AA171">
    <cfRule type="expression" dxfId="3296" priority="1493">
      <formula>P$1=""</formula>
    </cfRule>
  </conditionalFormatting>
  <conditionalFormatting sqref="P171:AA171">
    <cfRule type="expression" dxfId="3295" priority="1492">
      <formula>P$1=""</formula>
    </cfRule>
  </conditionalFormatting>
  <conditionalFormatting sqref="P171:AA171">
    <cfRule type="expression" dxfId="3294" priority="1491">
      <formula>P$1=""</formula>
    </cfRule>
  </conditionalFormatting>
  <conditionalFormatting sqref="P165:AA165">
    <cfRule type="expression" dxfId="3293" priority="1490">
      <formula>P$1=""</formula>
    </cfRule>
  </conditionalFormatting>
  <conditionalFormatting sqref="P165:AA165">
    <cfRule type="expression" dxfId="3292" priority="1489">
      <formula>P$1=""</formula>
    </cfRule>
  </conditionalFormatting>
  <conditionalFormatting sqref="P165:AA165">
    <cfRule type="expression" dxfId="3291" priority="1488">
      <formula>P$1=""</formula>
    </cfRule>
  </conditionalFormatting>
  <conditionalFormatting sqref="P165:AA165">
    <cfRule type="expression" dxfId="3290" priority="1487">
      <formula>P$1=""</formula>
    </cfRule>
  </conditionalFormatting>
  <conditionalFormatting sqref="P165:AA165">
    <cfRule type="expression" dxfId="3289" priority="1486">
      <formula>P$1=""</formula>
    </cfRule>
  </conditionalFormatting>
  <conditionalFormatting sqref="P165:AA165">
    <cfRule type="expression" dxfId="3288" priority="1485">
      <formula>P$1=""</formula>
    </cfRule>
  </conditionalFormatting>
  <conditionalFormatting sqref="P165:AA165">
    <cfRule type="expression" dxfId="3287" priority="1484">
      <formula>P$1=""</formula>
    </cfRule>
  </conditionalFormatting>
  <conditionalFormatting sqref="P169:AA169 P171:AA171">
    <cfRule type="expression" dxfId="3286" priority="1483">
      <formula>P$1=""</formula>
    </cfRule>
  </conditionalFormatting>
  <conditionalFormatting sqref="P169:AA169 P171:AA171">
    <cfRule type="expression" dxfId="3285" priority="1482">
      <formula>P$1=""</formula>
    </cfRule>
  </conditionalFormatting>
  <conditionalFormatting sqref="P169:AA169 P171:AA171">
    <cfRule type="expression" dxfId="3284" priority="1481">
      <formula>P$1=""</formula>
    </cfRule>
  </conditionalFormatting>
  <conditionalFormatting sqref="P169:AA169 P171:AA171">
    <cfRule type="expression" dxfId="3283" priority="1480">
      <formula>P$1=""</formula>
    </cfRule>
  </conditionalFormatting>
  <conditionalFormatting sqref="P171 P169 P167">
    <cfRule type="expression" dxfId="3282" priority="1479">
      <formula>P$1=""</formula>
    </cfRule>
  </conditionalFormatting>
  <conditionalFormatting sqref="P171 P169 P167">
    <cfRule type="expression" dxfId="3281" priority="1478">
      <formula>P$1=""</formula>
    </cfRule>
  </conditionalFormatting>
  <conditionalFormatting sqref="P171 P169 P167">
    <cfRule type="expression" dxfId="3280" priority="1477">
      <formula>P$1=""</formula>
    </cfRule>
  </conditionalFormatting>
  <conditionalFormatting sqref="P171 P169 P167">
    <cfRule type="expression" dxfId="3279" priority="1476">
      <formula>P$1=""</formula>
    </cfRule>
  </conditionalFormatting>
  <conditionalFormatting sqref="P171 P169 P167">
    <cfRule type="expression" dxfId="3278" priority="1475">
      <formula>P$1=""</formula>
    </cfRule>
  </conditionalFormatting>
  <conditionalFormatting sqref="P171 P169 P167">
    <cfRule type="expression" dxfId="3277" priority="1474">
      <formula>P$1=""</formula>
    </cfRule>
  </conditionalFormatting>
  <conditionalFormatting sqref="P171 P169 P167">
    <cfRule type="expression" dxfId="3276" priority="1473">
      <formula>P$1=""</formula>
    </cfRule>
  </conditionalFormatting>
  <conditionalFormatting sqref="P171 P169 P167">
    <cfRule type="expression" dxfId="3275" priority="1472">
      <formula>P$1=""</formula>
    </cfRule>
  </conditionalFormatting>
  <conditionalFormatting sqref="Q167:AA167">
    <cfRule type="expression" dxfId="3274" priority="1471">
      <formula>Q$1=""</formula>
    </cfRule>
  </conditionalFormatting>
  <conditionalFormatting sqref="Q167:AA167">
    <cfRule type="expression" dxfId="3273" priority="1470">
      <formula>Q$1=""</formula>
    </cfRule>
  </conditionalFormatting>
  <conditionalFormatting sqref="Q167:AA167">
    <cfRule type="expression" dxfId="3272" priority="1469">
      <formula>Q$1=""</formula>
    </cfRule>
  </conditionalFormatting>
  <conditionalFormatting sqref="Q167:AA167">
    <cfRule type="expression" dxfId="3271" priority="1468">
      <formula>Q$1=""</formula>
    </cfRule>
  </conditionalFormatting>
  <conditionalFormatting sqref="Q167:AA167">
    <cfRule type="expression" dxfId="3270" priority="1467">
      <formula>Q$1=""</formula>
    </cfRule>
  </conditionalFormatting>
  <conditionalFormatting sqref="Q167:AA167">
    <cfRule type="expression" dxfId="3269" priority="1466">
      <formula>Q$1=""</formula>
    </cfRule>
  </conditionalFormatting>
  <conditionalFormatting sqref="Q167:AA167">
    <cfRule type="expression" dxfId="3268" priority="1465">
      <formula>Q$1=""</formula>
    </cfRule>
  </conditionalFormatting>
  <conditionalFormatting sqref="Q167:AA167">
    <cfRule type="expression" dxfId="3267" priority="1464">
      <formula>Q$1=""</formula>
    </cfRule>
  </conditionalFormatting>
  <conditionalFormatting sqref="Q169:AA169 Q171:AA171">
    <cfRule type="expression" dxfId="3266" priority="1463">
      <formula>Q$1=""</formula>
    </cfRule>
  </conditionalFormatting>
  <conditionalFormatting sqref="Q169:AA169 Q171:AA171">
    <cfRule type="expression" dxfId="3265" priority="1462">
      <formula>Q$1=""</formula>
    </cfRule>
  </conditionalFormatting>
  <conditionalFormatting sqref="Q169:AA169 Q171:AA171">
    <cfRule type="expression" dxfId="3264" priority="1461">
      <formula>Q$1=""</formula>
    </cfRule>
  </conditionalFormatting>
  <conditionalFormatting sqref="Q169:AA169 Q171:AA171">
    <cfRule type="expression" dxfId="3263" priority="1460">
      <formula>Q$1=""</formula>
    </cfRule>
  </conditionalFormatting>
  <conditionalFormatting sqref="Q169:AA169 Q171:AA171">
    <cfRule type="expression" dxfId="3262" priority="1459">
      <formula>Q$1=""</formula>
    </cfRule>
  </conditionalFormatting>
  <conditionalFormatting sqref="Q169:AA169 Q171:AA171">
    <cfRule type="expression" dxfId="3261" priority="1458">
      <formula>Q$1=""</formula>
    </cfRule>
  </conditionalFormatting>
  <conditionalFormatting sqref="Q169:AA169 Q171:AA171">
    <cfRule type="expression" dxfId="3260" priority="1457">
      <formula>Q$1=""</formula>
    </cfRule>
  </conditionalFormatting>
  <conditionalFormatting sqref="Q169:AA169 Q171:AA171">
    <cfRule type="expression" dxfId="3259" priority="1456">
      <formula>Q$1=""</formula>
    </cfRule>
  </conditionalFormatting>
  <conditionalFormatting sqref="Q169:AA169 Q171:AA171">
    <cfRule type="expression" dxfId="3258" priority="1455">
      <formula>Q$1=""</formula>
    </cfRule>
  </conditionalFormatting>
  <conditionalFormatting sqref="Q169:AA169 Q171:AA171">
    <cfRule type="expression" dxfId="3257" priority="1454">
      <formula>Q$1=""</formula>
    </cfRule>
  </conditionalFormatting>
  <conditionalFormatting sqref="P175:AA175">
    <cfRule type="expression" dxfId="3256" priority="1453">
      <formula>P$1=""</formula>
    </cfRule>
  </conditionalFormatting>
  <conditionalFormatting sqref="P177:AA177">
    <cfRule type="expression" dxfId="3255" priority="1452">
      <formula>P$1=""</formula>
    </cfRule>
  </conditionalFormatting>
  <conditionalFormatting sqref="P179:AA179">
    <cfRule type="expression" dxfId="3254" priority="1451">
      <formula>P$1=""</formula>
    </cfRule>
  </conditionalFormatting>
  <conditionalFormatting sqref="P181:AA181">
    <cfRule type="expression" dxfId="3253" priority="1450">
      <formula>P$1=""</formula>
    </cfRule>
  </conditionalFormatting>
  <conditionalFormatting sqref="P177:AA177 P179:AA179 P181:AA181">
    <cfRule type="expression" dxfId="3252" priority="1449">
      <formula>P$1=""</formula>
    </cfRule>
  </conditionalFormatting>
  <conditionalFormatting sqref="P177:AA177 P179:AA179 P181:AA181">
    <cfRule type="expression" dxfId="3251" priority="1448">
      <formula>P$1=""</formula>
    </cfRule>
  </conditionalFormatting>
  <conditionalFormatting sqref="P177:AA177 P179:AA179 P181:AA181">
    <cfRule type="expression" dxfId="3250" priority="1447">
      <formula>P$1=""</formula>
    </cfRule>
  </conditionalFormatting>
  <conditionalFormatting sqref="P177:AA177 P179:AA179 P181:AA181">
    <cfRule type="expression" dxfId="3249" priority="1446">
      <formula>P$1=""</formula>
    </cfRule>
  </conditionalFormatting>
  <conditionalFormatting sqref="P177:AA177 P179:AA179 P181:AA181">
    <cfRule type="expression" dxfId="3248" priority="1445">
      <formula>P$1=""</formula>
    </cfRule>
  </conditionalFormatting>
  <conditionalFormatting sqref="P179:AA179 P181:AA181">
    <cfRule type="expression" dxfId="3247" priority="1444">
      <formula>P$1=""</formula>
    </cfRule>
  </conditionalFormatting>
  <conditionalFormatting sqref="P177:AA177">
    <cfRule type="expression" dxfId="3246" priority="1443">
      <formula>P$1=""</formula>
    </cfRule>
  </conditionalFormatting>
  <conditionalFormatting sqref="P179:AA179 P181:AA181">
    <cfRule type="expression" dxfId="3245" priority="1442">
      <formula>P$1=""</formula>
    </cfRule>
  </conditionalFormatting>
  <conditionalFormatting sqref="P179:AA179 P181:AA181">
    <cfRule type="expression" dxfId="3244" priority="1441">
      <formula>P$1=""</formula>
    </cfRule>
  </conditionalFormatting>
  <conditionalFormatting sqref="P181:AA181">
    <cfRule type="expression" dxfId="3243" priority="1440">
      <formula>P$1=""</formula>
    </cfRule>
  </conditionalFormatting>
  <conditionalFormatting sqref="P181:AA181">
    <cfRule type="expression" dxfId="3242" priority="1439">
      <formula>P$1=""</formula>
    </cfRule>
  </conditionalFormatting>
  <conditionalFormatting sqref="P181:AA181">
    <cfRule type="expression" dxfId="3241" priority="1438">
      <formula>P$1=""</formula>
    </cfRule>
  </conditionalFormatting>
  <conditionalFormatting sqref="P181:AA181">
    <cfRule type="expression" dxfId="3240" priority="1437">
      <formula>P$1=""</formula>
    </cfRule>
  </conditionalFormatting>
  <conditionalFormatting sqref="P175:AA175">
    <cfRule type="expression" dxfId="3239" priority="1436">
      <formula>P$1=""</formula>
    </cfRule>
  </conditionalFormatting>
  <conditionalFormatting sqref="P175:AA175">
    <cfRule type="expression" dxfId="3238" priority="1435">
      <formula>P$1=""</formula>
    </cfRule>
  </conditionalFormatting>
  <conditionalFormatting sqref="P175:AA175">
    <cfRule type="expression" dxfId="3237" priority="1434">
      <formula>P$1=""</formula>
    </cfRule>
  </conditionalFormatting>
  <conditionalFormatting sqref="P175:AA175">
    <cfRule type="expression" dxfId="3236" priority="1433">
      <formula>P$1=""</formula>
    </cfRule>
  </conditionalFormatting>
  <conditionalFormatting sqref="P175:AA175">
    <cfRule type="expression" dxfId="3235" priority="1432">
      <formula>P$1=""</formula>
    </cfRule>
  </conditionalFormatting>
  <conditionalFormatting sqref="P175:AA175">
    <cfRule type="expression" dxfId="3234" priority="1431">
      <formula>P$1=""</formula>
    </cfRule>
  </conditionalFormatting>
  <conditionalFormatting sqref="P175:AA175">
    <cfRule type="expression" dxfId="3233" priority="1430">
      <formula>P$1=""</formula>
    </cfRule>
  </conditionalFormatting>
  <conditionalFormatting sqref="P179:AA179 P181:AA181">
    <cfRule type="expression" dxfId="3232" priority="1429">
      <formula>P$1=""</formula>
    </cfRule>
  </conditionalFormatting>
  <conditionalFormatting sqref="P179:AA179 P181:AA181">
    <cfRule type="expression" dxfId="3231" priority="1428">
      <formula>P$1=""</formula>
    </cfRule>
  </conditionalFormatting>
  <conditionalFormatting sqref="P179:AA179 P181:AA181">
    <cfRule type="expression" dxfId="3230" priority="1427">
      <formula>P$1=""</formula>
    </cfRule>
  </conditionalFormatting>
  <conditionalFormatting sqref="P179:AA179 P181:AA181">
    <cfRule type="expression" dxfId="3229" priority="1426">
      <formula>P$1=""</formula>
    </cfRule>
  </conditionalFormatting>
  <conditionalFormatting sqref="P177:AA177 P179:AA179 P181:AA181">
    <cfRule type="expression" dxfId="3228" priority="1425">
      <formula>P$1=""</formula>
    </cfRule>
  </conditionalFormatting>
  <conditionalFormatting sqref="P177:AA177 P179:AA179 P181:AA181">
    <cfRule type="expression" dxfId="3227" priority="1424">
      <formula>P$1=""</formula>
    </cfRule>
  </conditionalFormatting>
  <conditionalFormatting sqref="P177:AA177 P179:AA179 P181:AA181">
    <cfRule type="expression" dxfId="3226" priority="1423">
      <formula>P$1=""</formula>
    </cfRule>
  </conditionalFormatting>
  <conditionalFormatting sqref="P177:AA177 P179:AA179 P181:AA181">
    <cfRule type="expression" dxfId="3225" priority="1422">
      <formula>P$1=""</formula>
    </cfRule>
  </conditionalFormatting>
  <conditionalFormatting sqref="P177:AA177 P179:AA179 P181:AA181">
    <cfRule type="expression" dxfId="3224" priority="1421">
      <formula>P$1=""</formula>
    </cfRule>
  </conditionalFormatting>
  <conditionalFormatting sqref="P177:AA177 P179:AA179 P181:AA181">
    <cfRule type="expression" dxfId="3223" priority="1420">
      <formula>P$1=""</formula>
    </cfRule>
  </conditionalFormatting>
  <conditionalFormatting sqref="P177:AA177 P179:AA179 P181:AA181">
    <cfRule type="expression" dxfId="3222" priority="1419">
      <formula>P$1=""</formula>
    </cfRule>
  </conditionalFormatting>
  <conditionalFormatting sqref="P177:AA177 P179:AA179 P181:AA181">
    <cfRule type="expression" dxfId="3221" priority="1418">
      <formula>P$1=""</formula>
    </cfRule>
  </conditionalFormatting>
  <conditionalFormatting sqref="Q177:AA177">
    <cfRule type="expression" dxfId="3220" priority="1417">
      <formula>Q$1=""</formula>
    </cfRule>
  </conditionalFormatting>
  <conditionalFormatting sqref="Q177:AA177">
    <cfRule type="expression" dxfId="3219" priority="1416">
      <formula>Q$1=""</formula>
    </cfRule>
  </conditionalFormatting>
  <conditionalFormatting sqref="Q177:AA177">
    <cfRule type="expression" dxfId="3218" priority="1415">
      <formula>Q$1=""</formula>
    </cfRule>
  </conditionalFormatting>
  <conditionalFormatting sqref="Q177:AA177">
    <cfRule type="expression" dxfId="3217" priority="1414">
      <formula>Q$1=""</formula>
    </cfRule>
  </conditionalFormatting>
  <conditionalFormatting sqref="Q177:AA177">
    <cfRule type="expression" dxfId="3216" priority="1413">
      <formula>Q$1=""</formula>
    </cfRule>
  </conditionalFormatting>
  <conditionalFormatting sqref="Q177:AA177">
    <cfRule type="expression" dxfId="3215" priority="1412">
      <formula>Q$1=""</formula>
    </cfRule>
  </conditionalFormatting>
  <conditionalFormatting sqref="Q177:AA177">
    <cfRule type="expression" dxfId="3214" priority="1411">
      <formula>Q$1=""</formula>
    </cfRule>
  </conditionalFormatting>
  <conditionalFormatting sqref="Q177:AA177">
    <cfRule type="expression" dxfId="3213" priority="1410">
      <formula>Q$1=""</formula>
    </cfRule>
  </conditionalFormatting>
  <conditionalFormatting sqref="Q179:AA179 Q181:AA181">
    <cfRule type="expression" dxfId="3212" priority="1409">
      <formula>Q$1=""</formula>
    </cfRule>
  </conditionalFormatting>
  <conditionalFormatting sqref="Q179:AA179 Q181:AA181">
    <cfRule type="expression" dxfId="3211" priority="1408">
      <formula>Q$1=""</formula>
    </cfRule>
  </conditionalFormatting>
  <conditionalFormatting sqref="Q179:AA179 Q181:AA181">
    <cfRule type="expression" dxfId="3210" priority="1407">
      <formula>Q$1=""</formula>
    </cfRule>
  </conditionalFormatting>
  <conditionalFormatting sqref="Q179:AA179 Q181:AA181">
    <cfRule type="expression" dxfId="3209" priority="1406">
      <formula>Q$1=""</formula>
    </cfRule>
  </conditionalFormatting>
  <conditionalFormatting sqref="Q179:AA179 Q181:AA181">
    <cfRule type="expression" dxfId="3208" priority="1405">
      <formula>Q$1=""</formula>
    </cfRule>
  </conditionalFormatting>
  <conditionalFormatting sqref="Q179:AA179 Q181:AA181">
    <cfRule type="expression" dxfId="3207" priority="1404">
      <formula>Q$1=""</formula>
    </cfRule>
  </conditionalFormatting>
  <conditionalFormatting sqref="Q179:AA179 Q181:AA181">
    <cfRule type="expression" dxfId="3206" priority="1403">
      <formula>Q$1=""</formula>
    </cfRule>
  </conditionalFormatting>
  <conditionalFormatting sqref="Q179:AA179 Q181:AA181">
    <cfRule type="expression" dxfId="3205" priority="1402">
      <formula>Q$1=""</formula>
    </cfRule>
  </conditionalFormatting>
  <conditionalFormatting sqref="Q179:AA179 Q181:AA181">
    <cfRule type="expression" dxfId="3204" priority="1401">
      <formula>Q$1=""</formula>
    </cfRule>
  </conditionalFormatting>
  <conditionalFormatting sqref="Q179:AA179 Q181:AA181">
    <cfRule type="expression" dxfId="3203" priority="1400">
      <formula>Q$1=""</formula>
    </cfRule>
  </conditionalFormatting>
  <conditionalFormatting sqref="P175:AA175 P179:AA179 P181:AA181">
    <cfRule type="expression" dxfId="3202" priority="1399">
      <formula>P$1=""</formula>
    </cfRule>
  </conditionalFormatting>
  <conditionalFormatting sqref="P175:AA175">
    <cfRule type="expression" dxfId="3201" priority="1398">
      <formula>P$1=""</formula>
    </cfRule>
  </conditionalFormatting>
  <conditionalFormatting sqref="P175:AA175">
    <cfRule type="expression" dxfId="3200" priority="1397">
      <formula>P$1=""</formula>
    </cfRule>
  </conditionalFormatting>
  <conditionalFormatting sqref="P175:AA175">
    <cfRule type="expression" dxfId="3199" priority="1396">
      <formula>P$1=""</formula>
    </cfRule>
  </conditionalFormatting>
  <conditionalFormatting sqref="P175:AA175">
    <cfRule type="expression" dxfId="3198" priority="1395">
      <formula>P$1=""</formula>
    </cfRule>
  </conditionalFormatting>
  <conditionalFormatting sqref="P175:AA175">
    <cfRule type="expression" dxfId="3197" priority="1394">
      <formula>P$1=""</formula>
    </cfRule>
  </conditionalFormatting>
  <conditionalFormatting sqref="P175:AA175 P179:AA179 P181:AA181">
    <cfRule type="expression" dxfId="3196" priority="1393">
      <formula>P$1=""</formula>
    </cfRule>
  </conditionalFormatting>
  <conditionalFormatting sqref="P175:AA175">
    <cfRule type="expression" dxfId="3195" priority="1392">
      <formula>P$1=""</formula>
    </cfRule>
  </conditionalFormatting>
  <conditionalFormatting sqref="P175:AA175">
    <cfRule type="expression" dxfId="3194" priority="1391">
      <formula>P$1=""</formula>
    </cfRule>
  </conditionalFormatting>
  <conditionalFormatting sqref="P175:AA175">
    <cfRule type="expression" dxfId="3193" priority="1390">
      <formula>P$1=""</formula>
    </cfRule>
  </conditionalFormatting>
  <conditionalFormatting sqref="P175:AA175">
    <cfRule type="expression" dxfId="3192" priority="1389">
      <formula>P$1=""</formula>
    </cfRule>
  </conditionalFormatting>
  <conditionalFormatting sqref="P175:AA175">
    <cfRule type="expression" dxfId="3191" priority="1388">
      <formula>P$1=""</formula>
    </cfRule>
  </conditionalFormatting>
  <conditionalFormatting sqref="P175:AA175">
    <cfRule type="expression" dxfId="3190" priority="1387">
      <formula>P$1=""</formula>
    </cfRule>
  </conditionalFormatting>
  <conditionalFormatting sqref="P175:AA175">
    <cfRule type="expression" dxfId="3189" priority="1386">
      <formula>P$1=""</formula>
    </cfRule>
  </conditionalFormatting>
  <conditionalFormatting sqref="P175:AA175">
    <cfRule type="expression" dxfId="3188" priority="1385">
      <formula>P$1=""</formula>
    </cfRule>
  </conditionalFormatting>
  <conditionalFormatting sqref="P271:AA271">
    <cfRule type="expression" dxfId="3187" priority="1384">
      <formula>P$1=""</formula>
    </cfRule>
  </conditionalFormatting>
  <conditionalFormatting sqref="P273:AA273">
    <cfRule type="expression" dxfId="3186" priority="1383">
      <formula>P$1=""</formula>
    </cfRule>
  </conditionalFormatting>
  <conditionalFormatting sqref="P275:AA275">
    <cfRule type="expression" dxfId="3185" priority="1382">
      <formula>P$1=""</formula>
    </cfRule>
  </conditionalFormatting>
  <conditionalFormatting sqref="P277:AA277">
    <cfRule type="expression" dxfId="3184" priority="1381">
      <formula>P$1=""</formula>
    </cfRule>
  </conditionalFormatting>
  <conditionalFormatting sqref="P273:AA273 P275:AA275 P277:AA277">
    <cfRule type="expression" dxfId="3183" priority="1380">
      <formula>P$1=""</formula>
    </cfRule>
  </conditionalFormatting>
  <conditionalFormatting sqref="P273:AA273 P275:AA275 P277:AA277">
    <cfRule type="expression" dxfId="3182" priority="1379">
      <formula>P$1=""</formula>
    </cfRule>
  </conditionalFormatting>
  <conditionalFormatting sqref="P273:AA273 P275:AA275 P277:AA277">
    <cfRule type="expression" dxfId="3181" priority="1378">
      <formula>P$1=""</formula>
    </cfRule>
  </conditionalFormatting>
  <conditionalFormatting sqref="P273:AA273 P275:AA275 P277:AA277">
    <cfRule type="expression" dxfId="3180" priority="1377">
      <formula>P$1=""</formula>
    </cfRule>
  </conditionalFormatting>
  <conditionalFormatting sqref="P273:AA273 P275:AA275 P277:AA277">
    <cfRule type="expression" dxfId="3179" priority="1376">
      <formula>P$1=""</formula>
    </cfRule>
  </conditionalFormatting>
  <conditionalFormatting sqref="P275:AA275 P277:AA277">
    <cfRule type="expression" dxfId="3178" priority="1375">
      <formula>P$1=""</formula>
    </cfRule>
  </conditionalFormatting>
  <conditionalFormatting sqref="P273:AA273">
    <cfRule type="expression" dxfId="3177" priority="1374">
      <formula>P$1=""</formula>
    </cfRule>
  </conditionalFormatting>
  <conditionalFormatting sqref="P275:AA275 P277:AA277">
    <cfRule type="expression" dxfId="3176" priority="1373">
      <formula>P$1=""</formula>
    </cfRule>
  </conditionalFormatting>
  <conditionalFormatting sqref="P275:AA275 P277:AA277">
    <cfRule type="expression" dxfId="3175" priority="1372">
      <formula>P$1=""</formula>
    </cfRule>
  </conditionalFormatting>
  <conditionalFormatting sqref="P277:AA277">
    <cfRule type="expression" dxfId="3174" priority="1371">
      <formula>P$1=""</formula>
    </cfRule>
  </conditionalFormatting>
  <conditionalFormatting sqref="P277:AA277">
    <cfRule type="expression" dxfId="3173" priority="1370">
      <formula>P$1=""</formula>
    </cfRule>
  </conditionalFormatting>
  <conditionalFormatting sqref="P277:AA277">
    <cfRule type="expression" dxfId="3172" priority="1369">
      <formula>P$1=""</formula>
    </cfRule>
  </conditionalFormatting>
  <conditionalFormatting sqref="P277:AA277">
    <cfRule type="expression" dxfId="3171" priority="1368">
      <formula>P$1=""</formula>
    </cfRule>
  </conditionalFormatting>
  <conditionalFormatting sqref="P271:AA271">
    <cfRule type="expression" dxfId="3170" priority="1367">
      <formula>P$1=""</formula>
    </cfRule>
  </conditionalFormatting>
  <conditionalFormatting sqref="P271:AA271">
    <cfRule type="expression" dxfId="3169" priority="1366">
      <formula>P$1=""</formula>
    </cfRule>
  </conditionalFormatting>
  <conditionalFormatting sqref="P271:AA271">
    <cfRule type="expression" dxfId="3168" priority="1365">
      <formula>P$1=""</formula>
    </cfRule>
  </conditionalFormatting>
  <conditionalFormatting sqref="P271:AA271">
    <cfRule type="expression" dxfId="3167" priority="1364">
      <formula>P$1=""</formula>
    </cfRule>
  </conditionalFormatting>
  <conditionalFormatting sqref="P271:AA271">
    <cfRule type="expression" dxfId="3166" priority="1363">
      <formula>P$1=""</formula>
    </cfRule>
  </conditionalFormatting>
  <conditionalFormatting sqref="P271:AA271">
    <cfRule type="expression" dxfId="3165" priority="1362">
      <formula>P$1=""</formula>
    </cfRule>
  </conditionalFormatting>
  <conditionalFormatting sqref="P271:AA271">
    <cfRule type="expression" dxfId="3164" priority="1361">
      <formula>P$1=""</formula>
    </cfRule>
  </conditionalFormatting>
  <conditionalFormatting sqref="P277:AA277 P275:AA275">
    <cfRule type="expression" dxfId="3163" priority="1360">
      <formula>P$1=""</formula>
    </cfRule>
  </conditionalFormatting>
  <conditionalFormatting sqref="P277:AA277 P275:AA275">
    <cfRule type="expression" dxfId="3162" priority="1359">
      <formula>P$1=""</formula>
    </cfRule>
  </conditionalFormatting>
  <conditionalFormatting sqref="P277:AA277 P275:AA275">
    <cfRule type="expression" dxfId="3161" priority="1358">
      <formula>P$1=""</formula>
    </cfRule>
  </conditionalFormatting>
  <conditionalFormatting sqref="P277:AA277 P275:AA275">
    <cfRule type="expression" dxfId="3160" priority="1357">
      <formula>P$1=""</formula>
    </cfRule>
  </conditionalFormatting>
  <conditionalFormatting sqref="P281:AA281">
    <cfRule type="expression" dxfId="3159" priority="1356">
      <formula>P$1=""</formula>
    </cfRule>
  </conditionalFormatting>
  <conditionalFormatting sqref="P283:AA283">
    <cfRule type="expression" dxfId="3158" priority="1355">
      <formula>P$1=""</formula>
    </cfRule>
  </conditionalFormatting>
  <conditionalFormatting sqref="P285:AA285">
    <cfRule type="expression" dxfId="3157" priority="1354">
      <formula>P$1=""</formula>
    </cfRule>
  </conditionalFormatting>
  <conditionalFormatting sqref="P287:AA287">
    <cfRule type="expression" dxfId="3156" priority="1353">
      <formula>P$1=""</formula>
    </cfRule>
  </conditionalFormatting>
  <conditionalFormatting sqref="P283:AA283 P285:AA285 P287:AA287">
    <cfRule type="expression" dxfId="3155" priority="1352">
      <formula>P$1=""</formula>
    </cfRule>
  </conditionalFormatting>
  <conditionalFormatting sqref="P283:AA283 P285:AA285 P287:AA287">
    <cfRule type="expression" dxfId="3154" priority="1351">
      <formula>P$1=""</formula>
    </cfRule>
  </conditionalFormatting>
  <conditionalFormatting sqref="P283:AA283 P285:AA285 P287:AA287">
    <cfRule type="expression" dxfId="3153" priority="1350">
      <formula>P$1=""</formula>
    </cfRule>
  </conditionalFormatting>
  <conditionalFormatting sqref="P283:AA283 P285:AA285 P287:AA287">
    <cfRule type="expression" dxfId="3152" priority="1349">
      <formula>P$1=""</formula>
    </cfRule>
  </conditionalFormatting>
  <conditionalFormatting sqref="P283:AA283 P285:AA285 P287:AA287">
    <cfRule type="expression" dxfId="3151" priority="1348">
      <formula>P$1=""</formula>
    </cfRule>
  </conditionalFormatting>
  <conditionalFormatting sqref="P285:AA285 P287:AA287">
    <cfRule type="expression" dxfId="3150" priority="1347">
      <formula>P$1=""</formula>
    </cfRule>
  </conditionalFormatting>
  <conditionalFormatting sqref="P283:AA283">
    <cfRule type="expression" dxfId="3149" priority="1346">
      <formula>P$1=""</formula>
    </cfRule>
  </conditionalFormatting>
  <conditionalFormatting sqref="P285:AA285 P287:AA287">
    <cfRule type="expression" dxfId="3148" priority="1345">
      <formula>P$1=""</formula>
    </cfRule>
  </conditionalFormatting>
  <conditionalFormatting sqref="P285:AA285 P287:AA287">
    <cfRule type="expression" dxfId="3147" priority="1344">
      <formula>P$1=""</formula>
    </cfRule>
  </conditionalFormatting>
  <conditionalFormatting sqref="P287:AA287">
    <cfRule type="expression" dxfId="3146" priority="1343">
      <formula>P$1=""</formula>
    </cfRule>
  </conditionalFormatting>
  <conditionalFormatting sqref="P287:AA287">
    <cfRule type="expression" dxfId="3145" priority="1342">
      <formula>P$1=""</formula>
    </cfRule>
  </conditionalFormatting>
  <conditionalFormatting sqref="P287:AA287">
    <cfRule type="expression" dxfId="3144" priority="1341">
      <formula>P$1=""</formula>
    </cfRule>
  </conditionalFormatting>
  <conditionalFormatting sqref="P287:AA287">
    <cfRule type="expression" dxfId="3143" priority="1340">
      <formula>P$1=""</formula>
    </cfRule>
  </conditionalFormatting>
  <conditionalFormatting sqref="P281:AA281">
    <cfRule type="expression" dxfId="3142" priority="1339">
      <formula>P$1=""</formula>
    </cfRule>
  </conditionalFormatting>
  <conditionalFormatting sqref="P281:AA281">
    <cfRule type="expression" dxfId="3141" priority="1338">
      <formula>P$1=""</formula>
    </cfRule>
  </conditionalFormatting>
  <conditionalFormatting sqref="P281:AA281">
    <cfRule type="expression" dxfId="3140" priority="1337">
      <formula>P$1=""</formula>
    </cfRule>
  </conditionalFormatting>
  <conditionalFormatting sqref="P281:AA281">
    <cfRule type="expression" dxfId="3139" priority="1336">
      <formula>P$1=""</formula>
    </cfRule>
  </conditionalFormatting>
  <conditionalFormatting sqref="P281:AA281">
    <cfRule type="expression" dxfId="3138" priority="1335">
      <formula>P$1=""</formula>
    </cfRule>
  </conditionalFormatting>
  <conditionalFormatting sqref="P281:AA281">
    <cfRule type="expression" dxfId="3137" priority="1334">
      <formula>P$1=""</formula>
    </cfRule>
  </conditionalFormatting>
  <conditionalFormatting sqref="P281:AA281">
    <cfRule type="expression" dxfId="3136" priority="1333">
      <formula>P$1=""</formula>
    </cfRule>
  </conditionalFormatting>
  <conditionalFormatting sqref="P285:AA285 P287:AA287">
    <cfRule type="expression" dxfId="3135" priority="1332">
      <formula>P$1=""</formula>
    </cfRule>
  </conditionalFormatting>
  <conditionalFormatting sqref="P285:AA285 P287:AA287">
    <cfRule type="expression" dxfId="3134" priority="1331">
      <formula>P$1=""</formula>
    </cfRule>
  </conditionalFormatting>
  <conditionalFormatting sqref="P285:AA285 P287:AA287">
    <cfRule type="expression" dxfId="3133" priority="1330">
      <formula>P$1=""</formula>
    </cfRule>
  </conditionalFormatting>
  <conditionalFormatting sqref="P285:AA285 P287:AA287">
    <cfRule type="expression" dxfId="3132" priority="1329">
      <formula>P$1=""</formula>
    </cfRule>
  </conditionalFormatting>
  <conditionalFormatting sqref="P285 P287 P283:AA283">
    <cfRule type="expression" dxfId="3131" priority="1328">
      <formula>P$1=""</formula>
    </cfRule>
  </conditionalFormatting>
  <conditionalFormatting sqref="P285 P287 P283:AA283">
    <cfRule type="expression" dxfId="3130" priority="1327">
      <formula>P$1=""</formula>
    </cfRule>
  </conditionalFormatting>
  <conditionalFormatting sqref="P285 P287 P283:AA283">
    <cfRule type="expression" dxfId="3129" priority="1326">
      <formula>P$1=""</formula>
    </cfRule>
  </conditionalFormatting>
  <conditionalFormatting sqref="P285 P287 P283:AA283">
    <cfRule type="expression" dxfId="3128" priority="1325">
      <formula>P$1=""</formula>
    </cfRule>
  </conditionalFormatting>
  <conditionalFormatting sqref="P285 P287 P283:AA283">
    <cfRule type="expression" dxfId="3127" priority="1324">
      <formula>P$1=""</formula>
    </cfRule>
  </conditionalFormatting>
  <conditionalFormatting sqref="P285 P287 P283:AA283">
    <cfRule type="expression" dxfId="3126" priority="1323">
      <formula>P$1=""</formula>
    </cfRule>
  </conditionalFormatting>
  <conditionalFormatting sqref="P285 P287 P283:AA283">
    <cfRule type="expression" dxfId="3125" priority="1322">
      <formula>P$1=""</formula>
    </cfRule>
  </conditionalFormatting>
  <conditionalFormatting sqref="P285 P287 P283:AA283">
    <cfRule type="expression" dxfId="3124" priority="1321">
      <formula>P$1=""</formula>
    </cfRule>
  </conditionalFormatting>
  <conditionalFormatting sqref="Q283:AA283">
    <cfRule type="expression" dxfId="3123" priority="1320">
      <formula>Q$1=""</formula>
    </cfRule>
  </conditionalFormatting>
  <conditionalFormatting sqref="Q283:AA283">
    <cfRule type="expression" dxfId="3122" priority="1319">
      <formula>Q$1=""</formula>
    </cfRule>
  </conditionalFormatting>
  <conditionalFormatting sqref="Q283:AA283">
    <cfRule type="expression" dxfId="3121" priority="1318">
      <formula>Q$1=""</formula>
    </cfRule>
  </conditionalFormatting>
  <conditionalFormatting sqref="Q283:AA283">
    <cfRule type="expression" dxfId="3120" priority="1317">
      <formula>Q$1=""</formula>
    </cfRule>
  </conditionalFormatting>
  <conditionalFormatting sqref="Q283:AA283">
    <cfRule type="expression" dxfId="3119" priority="1316">
      <formula>Q$1=""</formula>
    </cfRule>
  </conditionalFormatting>
  <conditionalFormatting sqref="Q283:AA283">
    <cfRule type="expression" dxfId="3118" priority="1315">
      <formula>Q$1=""</formula>
    </cfRule>
  </conditionalFormatting>
  <conditionalFormatting sqref="Q283:AA283">
    <cfRule type="expression" dxfId="3117" priority="1314">
      <formula>Q$1=""</formula>
    </cfRule>
  </conditionalFormatting>
  <conditionalFormatting sqref="Q283:AA283">
    <cfRule type="expression" dxfId="3116" priority="1313">
      <formula>Q$1=""</formula>
    </cfRule>
  </conditionalFormatting>
  <conditionalFormatting sqref="Q285:AA285 Q287:AA287">
    <cfRule type="expression" dxfId="3115" priority="1312">
      <formula>Q$1=""</formula>
    </cfRule>
  </conditionalFormatting>
  <conditionalFormatting sqref="Q285:AA285 Q287:AA287">
    <cfRule type="expression" dxfId="3114" priority="1311">
      <formula>Q$1=""</formula>
    </cfRule>
  </conditionalFormatting>
  <conditionalFormatting sqref="Q285:AA285 Q287:AA287">
    <cfRule type="expression" dxfId="3113" priority="1310">
      <formula>Q$1=""</formula>
    </cfRule>
  </conditionalFormatting>
  <conditionalFormatting sqref="Q285:AA285 Q287:AA287">
    <cfRule type="expression" dxfId="3112" priority="1309">
      <formula>Q$1=""</formula>
    </cfRule>
  </conditionalFormatting>
  <conditionalFormatting sqref="Q285:AA285 Q287:AA287">
    <cfRule type="expression" dxfId="3111" priority="1308">
      <formula>Q$1=""</formula>
    </cfRule>
  </conditionalFormatting>
  <conditionalFormatting sqref="Q285:AA285 Q287:AA287">
    <cfRule type="expression" dxfId="3110" priority="1307">
      <formula>Q$1=""</formula>
    </cfRule>
  </conditionalFormatting>
  <conditionalFormatting sqref="Q285:AA285 Q287:AA287">
    <cfRule type="expression" dxfId="3109" priority="1306">
      <formula>Q$1=""</formula>
    </cfRule>
  </conditionalFormatting>
  <conditionalFormatting sqref="Q285:AA285 Q287:AA287">
    <cfRule type="expression" dxfId="3108" priority="1305">
      <formula>Q$1=""</formula>
    </cfRule>
  </conditionalFormatting>
  <conditionalFormatting sqref="Q285:AA285 Q287:AA287">
    <cfRule type="expression" dxfId="3107" priority="1304">
      <formula>Q$1=""</formula>
    </cfRule>
  </conditionalFormatting>
  <conditionalFormatting sqref="Q285:AA285 Q287:AA287">
    <cfRule type="expression" dxfId="3106" priority="1303">
      <formula>Q$1=""</formula>
    </cfRule>
  </conditionalFormatting>
  <conditionalFormatting sqref="P291:AA291">
    <cfRule type="expression" dxfId="3105" priority="1302">
      <formula>P$1=""</formula>
    </cfRule>
  </conditionalFormatting>
  <conditionalFormatting sqref="P293:AA293">
    <cfRule type="expression" dxfId="3104" priority="1301">
      <formula>P$1=""</formula>
    </cfRule>
  </conditionalFormatting>
  <conditionalFormatting sqref="P295:AA295">
    <cfRule type="expression" dxfId="3103" priority="1300">
      <formula>P$1=""</formula>
    </cfRule>
  </conditionalFormatting>
  <conditionalFormatting sqref="P297:AA297">
    <cfRule type="expression" dxfId="3102" priority="1299">
      <formula>P$1=""</formula>
    </cfRule>
  </conditionalFormatting>
  <conditionalFormatting sqref="P293:AA293 P295:AA295 P297:AA297">
    <cfRule type="expression" dxfId="3101" priority="1298">
      <formula>P$1=""</formula>
    </cfRule>
  </conditionalFormatting>
  <conditionalFormatting sqref="P293:AA293 P295:AA295 P297:AA297">
    <cfRule type="expression" dxfId="3100" priority="1297">
      <formula>P$1=""</formula>
    </cfRule>
  </conditionalFormatting>
  <conditionalFormatting sqref="P293:AA293 P295:AA295 P297:AA297">
    <cfRule type="expression" dxfId="3099" priority="1296">
      <formula>P$1=""</formula>
    </cfRule>
  </conditionalFormatting>
  <conditionalFormatting sqref="P293:AA293 P295:AA295 P297:AA297">
    <cfRule type="expression" dxfId="3098" priority="1295">
      <formula>P$1=""</formula>
    </cfRule>
  </conditionalFormatting>
  <conditionalFormatting sqref="P293:AA293 P295:AA295 P297:AA297">
    <cfRule type="expression" dxfId="3097" priority="1294">
      <formula>P$1=""</formula>
    </cfRule>
  </conditionalFormatting>
  <conditionalFormatting sqref="P295:AA295 P297:AA297">
    <cfRule type="expression" dxfId="3096" priority="1293">
      <formula>P$1=""</formula>
    </cfRule>
  </conditionalFormatting>
  <conditionalFormatting sqref="P293:AA293">
    <cfRule type="expression" dxfId="3095" priority="1292">
      <formula>P$1=""</formula>
    </cfRule>
  </conditionalFormatting>
  <conditionalFormatting sqref="P295:AA295 P297:AA297">
    <cfRule type="expression" dxfId="3094" priority="1291">
      <formula>P$1=""</formula>
    </cfRule>
  </conditionalFormatting>
  <conditionalFormatting sqref="P295:AA295 P297:AA297">
    <cfRule type="expression" dxfId="3093" priority="1290">
      <formula>P$1=""</formula>
    </cfRule>
  </conditionalFormatting>
  <conditionalFormatting sqref="P297:AA297">
    <cfRule type="expression" dxfId="3092" priority="1289">
      <formula>P$1=""</formula>
    </cfRule>
  </conditionalFormatting>
  <conditionalFormatting sqref="P297:AA297">
    <cfRule type="expression" dxfId="3091" priority="1288">
      <formula>P$1=""</formula>
    </cfRule>
  </conditionalFormatting>
  <conditionalFormatting sqref="P297:AA297">
    <cfRule type="expression" dxfId="3090" priority="1287">
      <formula>P$1=""</formula>
    </cfRule>
  </conditionalFormatting>
  <conditionalFormatting sqref="P297:AA297">
    <cfRule type="expression" dxfId="3089" priority="1286">
      <formula>P$1=""</formula>
    </cfRule>
  </conditionalFormatting>
  <conditionalFormatting sqref="P291:AA291">
    <cfRule type="expression" dxfId="3088" priority="1285">
      <formula>P$1=""</formula>
    </cfRule>
  </conditionalFormatting>
  <conditionalFormatting sqref="P291:AA291">
    <cfRule type="expression" dxfId="3087" priority="1284">
      <formula>P$1=""</formula>
    </cfRule>
  </conditionalFormatting>
  <conditionalFormatting sqref="P291:AA291">
    <cfRule type="expression" dxfId="3086" priority="1283">
      <formula>P$1=""</formula>
    </cfRule>
  </conditionalFormatting>
  <conditionalFormatting sqref="P291:AA291">
    <cfRule type="expression" dxfId="3085" priority="1282">
      <formula>P$1=""</formula>
    </cfRule>
  </conditionalFormatting>
  <conditionalFormatting sqref="P291:AA291">
    <cfRule type="expression" dxfId="3084" priority="1281">
      <formula>P$1=""</formula>
    </cfRule>
  </conditionalFormatting>
  <conditionalFormatting sqref="P291:AA291">
    <cfRule type="expression" dxfId="3083" priority="1280">
      <formula>P$1=""</formula>
    </cfRule>
  </conditionalFormatting>
  <conditionalFormatting sqref="P291:AA291">
    <cfRule type="expression" dxfId="3082" priority="1279">
      <formula>P$1=""</formula>
    </cfRule>
  </conditionalFormatting>
  <conditionalFormatting sqref="P295:AA295 P297:AA297">
    <cfRule type="expression" dxfId="3081" priority="1278">
      <formula>P$1=""</formula>
    </cfRule>
  </conditionalFormatting>
  <conditionalFormatting sqref="P295:AA295 P297:AA297">
    <cfRule type="expression" dxfId="3080" priority="1277">
      <formula>P$1=""</formula>
    </cfRule>
  </conditionalFormatting>
  <conditionalFormatting sqref="P295:AA295 P297:AA297">
    <cfRule type="expression" dxfId="3079" priority="1276">
      <formula>P$1=""</formula>
    </cfRule>
  </conditionalFormatting>
  <conditionalFormatting sqref="P295:AA295 P297:AA297">
    <cfRule type="expression" dxfId="3078" priority="1275">
      <formula>P$1=""</formula>
    </cfRule>
  </conditionalFormatting>
  <conditionalFormatting sqref="P293:AA293 P295:AA295 P297:AA297">
    <cfRule type="expression" dxfId="3077" priority="1274">
      <formula>P$1=""</formula>
    </cfRule>
  </conditionalFormatting>
  <conditionalFormatting sqref="P293:AA293 P295:AA295 P297:AA297">
    <cfRule type="expression" dxfId="3076" priority="1273">
      <formula>P$1=""</formula>
    </cfRule>
  </conditionalFormatting>
  <conditionalFormatting sqref="P293:AA293 P295:AA295 P297:AA297">
    <cfRule type="expression" dxfId="3075" priority="1272">
      <formula>P$1=""</formula>
    </cfRule>
  </conditionalFormatting>
  <conditionalFormatting sqref="P293:AA293 P295:AA295 P297:AA297">
    <cfRule type="expression" dxfId="3074" priority="1271">
      <formula>P$1=""</formula>
    </cfRule>
  </conditionalFormatting>
  <conditionalFormatting sqref="P293:AA293 P295:AA295 P297:AA297">
    <cfRule type="expression" dxfId="3073" priority="1270">
      <formula>P$1=""</formula>
    </cfRule>
  </conditionalFormatting>
  <conditionalFormatting sqref="P293:AA293 P295:AA295 P297:AA297">
    <cfRule type="expression" dxfId="3072" priority="1269">
      <formula>P$1=""</formula>
    </cfRule>
  </conditionalFormatting>
  <conditionalFormatting sqref="P293:AA293 P295:AA295 P297:AA297">
    <cfRule type="expression" dxfId="3071" priority="1268">
      <formula>P$1=""</formula>
    </cfRule>
  </conditionalFormatting>
  <conditionalFormatting sqref="P293:AA293 P295:AA295 P297:AA297">
    <cfRule type="expression" dxfId="3070" priority="1267">
      <formula>P$1=""</formula>
    </cfRule>
  </conditionalFormatting>
  <conditionalFormatting sqref="Q293:AA293">
    <cfRule type="expression" dxfId="3069" priority="1266">
      <formula>Q$1=""</formula>
    </cfRule>
  </conditionalFormatting>
  <conditionalFormatting sqref="Q293:AA293">
    <cfRule type="expression" dxfId="3068" priority="1265">
      <formula>Q$1=""</formula>
    </cfRule>
  </conditionalFormatting>
  <conditionalFormatting sqref="Q293:AA293">
    <cfRule type="expression" dxfId="3067" priority="1264">
      <formula>Q$1=""</formula>
    </cfRule>
  </conditionalFormatting>
  <conditionalFormatting sqref="Q293:AA293">
    <cfRule type="expression" dxfId="3066" priority="1263">
      <formula>Q$1=""</formula>
    </cfRule>
  </conditionalFormatting>
  <conditionalFormatting sqref="Q293:AA293">
    <cfRule type="expression" dxfId="3065" priority="1262">
      <formula>Q$1=""</formula>
    </cfRule>
  </conditionalFormatting>
  <conditionalFormatting sqref="Q293:AA293">
    <cfRule type="expression" dxfId="3064" priority="1261">
      <formula>Q$1=""</formula>
    </cfRule>
  </conditionalFormatting>
  <conditionalFormatting sqref="Q293:AA293">
    <cfRule type="expression" dxfId="3063" priority="1260">
      <formula>Q$1=""</formula>
    </cfRule>
  </conditionalFormatting>
  <conditionalFormatting sqref="Q293:AA293">
    <cfRule type="expression" dxfId="3062" priority="1259">
      <formula>Q$1=""</formula>
    </cfRule>
  </conditionalFormatting>
  <conditionalFormatting sqref="Q295:AA295 Q297:AA297">
    <cfRule type="expression" dxfId="3061" priority="1258">
      <formula>Q$1=""</formula>
    </cfRule>
  </conditionalFormatting>
  <conditionalFormatting sqref="Q295:AA295 Q297:AA297">
    <cfRule type="expression" dxfId="3060" priority="1257">
      <formula>Q$1=""</formula>
    </cfRule>
  </conditionalFormatting>
  <conditionalFormatting sqref="Q295:AA295 Q297:AA297">
    <cfRule type="expression" dxfId="3059" priority="1256">
      <formula>Q$1=""</formula>
    </cfRule>
  </conditionalFormatting>
  <conditionalFormatting sqref="Q295:AA295 Q297:AA297">
    <cfRule type="expression" dxfId="3058" priority="1255">
      <formula>Q$1=""</formula>
    </cfRule>
  </conditionalFormatting>
  <conditionalFormatting sqref="Q295:AA295 Q297:AA297">
    <cfRule type="expression" dxfId="3057" priority="1254">
      <formula>Q$1=""</formula>
    </cfRule>
  </conditionalFormatting>
  <conditionalFormatting sqref="Q295:AA295 Q297:AA297">
    <cfRule type="expression" dxfId="3056" priority="1253">
      <formula>Q$1=""</formula>
    </cfRule>
  </conditionalFormatting>
  <conditionalFormatting sqref="Q295:AA295 Q297:AA297">
    <cfRule type="expression" dxfId="3055" priority="1252">
      <formula>Q$1=""</formula>
    </cfRule>
  </conditionalFormatting>
  <conditionalFormatting sqref="Q295:AA295 Q297:AA297">
    <cfRule type="expression" dxfId="3054" priority="1251">
      <formula>Q$1=""</formula>
    </cfRule>
  </conditionalFormatting>
  <conditionalFormatting sqref="Q295:AA295 Q297:AA297">
    <cfRule type="expression" dxfId="3053" priority="1250">
      <formula>Q$1=""</formula>
    </cfRule>
  </conditionalFormatting>
  <conditionalFormatting sqref="Q295:AA295 Q297:AA297">
    <cfRule type="expression" dxfId="3052" priority="1249">
      <formula>Q$1=""</formula>
    </cfRule>
  </conditionalFormatting>
  <conditionalFormatting sqref="P295:AA295 P297:AA297 P291:AA291">
    <cfRule type="expression" dxfId="3051" priority="1248">
      <formula>P$1=""</formula>
    </cfRule>
  </conditionalFormatting>
  <conditionalFormatting sqref="P291:AA291">
    <cfRule type="expression" dxfId="3050" priority="1247">
      <formula>P$1=""</formula>
    </cfRule>
  </conditionalFormatting>
  <conditionalFormatting sqref="P291:AA291">
    <cfRule type="expression" dxfId="3049" priority="1246">
      <formula>P$1=""</formula>
    </cfRule>
  </conditionalFormatting>
  <conditionalFormatting sqref="P291:AA291">
    <cfRule type="expression" dxfId="3048" priority="1245">
      <formula>P$1=""</formula>
    </cfRule>
  </conditionalFormatting>
  <conditionalFormatting sqref="P291:AA291">
    <cfRule type="expression" dxfId="3047" priority="1244">
      <formula>P$1=""</formula>
    </cfRule>
  </conditionalFormatting>
  <conditionalFormatting sqref="P291:AA291">
    <cfRule type="expression" dxfId="3046" priority="1243">
      <formula>P$1=""</formula>
    </cfRule>
  </conditionalFormatting>
  <conditionalFormatting sqref="P295:AA295 P297:AA297 P291:AA291">
    <cfRule type="expression" dxfId="3045" priority="1242">
      <formula>P$1=""</formula>
    </cfRule>
  </conditionalFormatting>
  <conditionalFormatting sqref="P291:AA291">
    <cfRule type="expression" dxfId="3044" priority="1241">
      <formula>P$1=""</formula>
    </cfRule>
  </conditionalFormatting>
  <conditionalFormatting sqref="P291:AA291">
    <cfRule type="expression" dxfId="3043" priority="1240">
      <formula>P$1=""</formula>
    </cfRule>
  </conditionalFormatting>
  <conditionalFormatting sqref="P291:AA291">
    <cfRule type="expression" dxfId="3042" priority="1239">
      <formula>P$1=""</formula>
    </cfRule>
  </conditionalFormatting>
  <conditionalFormatting sqref="P291:AA291">
    <cfRule type="expression" dxfId="3041" priority="1238">
      <formula>P$1=""</formula>
    </cfRule>
  </conditionalFormatting>
  <conditionalFormatting sqref="P291:AA291">
    <cfRule type="expression" dxfId="3040" priority="1237">
      <formula>P$1=""</formula>
    </cfRule>
  </conditionalFormatting>
  <conditionalFormatting sqref="P291:AA291">
    <cfRule type="expression" dxfId="3039" priority="1236">
      <formula>P$1=""</formula>
    </cfRule>
  </conditionalFormatting>
  <conditionalFormatting sqref="P291:AA291">
    <cfRule type="expression" dxfId="3038" priority="1235">
      <formula>P$1=""</formula>
    </cfRule>
  </conditionalFormatting>
  <conditionalFormatting sqref="P291:AA291">
    <cfRule type="expression" dxfId="3037" priority="1234">
      <formula>P$1=""</formula>
    </cfRule>
  </conditionalFormatting>
  <conditionalFormatting sqref="P152:AA152">
    <cfRule type="expression" dxfId="3036" priority="1233">
      <formula>P$1=""</formula>
    </cfRule>
  </conditionalFormatting>
  <conditionalFormatting sqref="P152:AA152">
    <cfRule type="expression" dxfId="3035" priority="1232">
      <formula>P$1=""</formula>
    </cfRule>
  </conditionalFormatting>
  <conditionalFormatting sqref="P152:AA152">
    <cfRule type="expression" dxfId="3034" priority="1231">
      <formula>P$1=""</formula>
    </cfRule>
  </conditionalFormatting>
  <conditionalFormatting sqref="P152:AA152">
    <cfRule type="expression" dxfId="3033" priority="1230">
      <formula>P$1=""</formula>
    </cfRule>
  </conditionalFormatting>
  <conditionalFormatting sqref="P152:AA152">
    <cfRule type="expression" dxfId="3032" priority="1229">
      <formula>P$1=""</formula>
    </cfRule>
  </conditionalFormatting>
  <conditionalFormatting sqref="P152:AA152">
    <cfRule type="expression" dxfId="3031" priority="1228">
      <formula>P$1=""</formula>
    </cfRule>
  </conditionalFormatting>
  <conditionalFormatting sqref="P152:AA152">
    <cfRule type="expression" dxfId="3030" priority="1227">
      <formula>P$1=""</formula>
    </cfRule>
  </conditionalFormatting>
  <conditionalFormatting sqref="P152:AA152">
    <cfRule type="expression" dxfId="3029" priority="1226">
      <formula>P$1=""</formula>
    </cfRule>
  </conditionalFormatting>
  <conditionalFormatting sqref="P281:AA281">
    <cfRule type="expression" dxfId="3028" priority="1225">
      <formula>P$1=""</formula>
    </cfRule>
  </conditionalFormatting>
  <conditionalFormatting sqref="P281:AA281">
    <cfRule type="expression" dxfId="3027" priority="1224">
      <formula>P$1=""</formula>
    </cfRule>
  </conditionalFormatting>
  <conditionalFormatting sqref="P281:AA281">
    <cfRule type="expression" dxfId="3026" priority="1223">
      <formula>P$1=""</formula>
    </cfRule>
  </conditionalFormatting>
  <conditionalFormatting sqref="P281:AA281">
    <cfRule type="expression" dxfId="3025" priority="1222">
      <formula>P$1=""</formula>
    </cfRule>
  </conditionalFormatting>
  <conditionalFormatting sqref="P281:AA281">
    <cfRule type="expression" dxfId="3024" priority="1221">
      <formula>P$1=""</formula>
    </cfRule>
  </conditionalFormatting>
  <conditionalFormatting sqref="P281:AA281">
    <cfRule type="expression" dxfId="3023" priority="1220">
      <formula>P$1=""</formula>
    </cfRule>
  </conditionalFormatting>
  <conditionalFormatting sqref="P281:AA281">
    <cfRule type="expression" dxfId="3022" priority="1219">
      <formula>P$1=""</formula>
    </cfRule>
  </conditionalFormatting>
  <conditionalFormatting sqref="P281:AA281">
    <cfRule type="expression" dxfId="3021" priority="1218">
      <formula>P$1=""</formula>
    </cfRule>
  </conditionalFormatting>
  <conditionalFormatting sqref="P283:AA283">
    <cfRule type="expression" dxfId="3020" priority="1217">
      <formula>P$1=""</formula>
    </cfRule>
  </conditionalFormatting>
  <conditionalFormatting sqref="P283:AA283">
    <cfRule type="expression" dxfId="3019" priority="1216">
      <formula>P$1=""</formula>
    </cfRule>
  </conditionalFormatting>
  <conditionalFormatting sqref="P283:AA283">
    <cfRule type="expression" dxfId="3018" priority="1215">
      <formula>P$1=""</formula>
    </cfRule>
  </conditionalFormatting>
  <conditionalFormatting sqref="P283:AA283">
    <cfRule type="expression" dxfId="3017" priority="1214">
      <formula>P$1=""</formula>
    </cfRule>
  </conditionalFormatting>
  <conditionalFormatting sqref="P283:AA283">
    <cfRule type="expression" dxfId="3016" priority="1213">
      <formula>P$1=""</formula>
    </cfRule>
  </conditionalFormatting>
  <conditionalFormatting sqref="P283:AA283">
    <cfRule type="expression" dxfId="3015" priority="1212">
      <formula>P$1=""</formula>
    </cfRule>
  </conditionalFormatting>
  <conditionalFormatting sqref="P283:AA283">
    <cfRule type="expression" dxfId="3014" priority="1211">
      <formula>P$1=""</formula>
    </cfRule>
  </conditionalFormatting>
  <conditionalFormatting sqref="P283:AA283">
    <cfRule type="expression" dxfId="3013" priority="1210">
      <formula>P$1=""</formula>
    </cfRule>
  </conditionalFormatting>
  <conditionalFormatting sqref="P283:AA283">
    <cfRule type="expression" dxfId="3012" priority="1209">
      <formula>P$1=""</formula>
    </cfRule>
  </conditionalFormatting>
  <conditionalFormatting sqref="P283:AA283">
    <cfRule type="expression" dxfId="3011" priority="1208">
      <formula>P$1=""</formula>
    </cfRule>
  </conditionalFormatting>
  <conditionalFormatting sqref="P283:AA283">
    <cfRule type="expression" dxfId="3010" priority="1207">
      <formula>P$1=""</formula>
    </cfRule>
  </conditionalFormatting>
  <conditionalFormatting sqref="P283:AA283">
    <cfRule type="expression" dxfId="3009" priority="1206">
      <formula>P$1=""</formula>
    </cfRule>
  </conditionalFormatting>
  <conditionalFormatting sqref="P283:AA283">
    <cfRule type="expression" dxfId="3008" priority="1205">
      <formula>P$1=""</formula>
    </cfRule>
  </conditionalFormatting>
  <conditionalFormatting sqref="P283:AA283">
    <cfRule type="expression" dxfId="3007" priority="1204">
      <formula>P$1=""</formula>
    </cfRule>
  </conditionalFormatting>
  <conditionalFormatting sqref="P283:AA283">
    <cfRule type="expression" dxfId="3006" priority="1203">
      <formula>P$1=""</formula>
    </cfRule>
  </conditionalFormatting>
  <conditionalFormatting sqref="P283:AA283">
    <cfRule type="expression" dxfId="3005" priority="1202">
      <formula>P$1=""</formula>
    </cfRule>
  </conditionalFormatting>
  <conditionalFormatting sqref="P287 P285">
    <cfRule type="expression" dxfId="3004" priority="1201">
      <formula>P$1=""</formula>
    </cfRule>
  </conditionalFormatting>
  <conditionalFormatting sqref="P287 P285">
    <cfRule type="expression" dxfId="3003" priority="1200">
      <formula>P$1=""</formula>
    </cfRule>
  </conditionalFormatting>
  <conditionalFormatting sqref="P287 P285">
    <cfRule type="expression" dxfId="3002" priority="1199">
      <formula>P$1=""</formula>
    </cfRule>
  </conditionalFormatting>
  <conditionalFormatting sqref="P287 P285">
    <cfRule type="expression" dxfId="3001" priority="1198">
      <formula>P$1=""</formula>
    </cfRule>
  </conditionalFormatting>
  <conditionalFormatting sqref="P287 P285">
    <cfRule type="expression" dxfId="3000" priority="1197">
      <formula>P$1=""</formula>
    </cfRule>
  </conditionalFormatting>
  <conditionalFormatting sqref="P287 P285">
    <cfRule type="expression" dxfId="2999" priority="1196">
      <formula>P$1=""</formula>
    </cfRule>
  </conditionalFormatting>
  <conditionalFormatting sqref="P287 P285">
    <cfRule type="expression" dxfId="2998" priority="1195">
      <formula>P$1=""</formula>
    </cfRule>
  </conditionalFormatting>
  <conditionalFormatting sqref="P287 P285">
    <cfRule type="expression" dxfId="2997" priority="1194">
      <formula>P$1=""</formula>
    </cfRule>
  </conditionalFormatting>
  <conditionalFormatting sqref="P287 P285">
    <cfRule type="expression" dxfId="2996" priority="1193">
      <formula>P$1=""</formula>
    </cfRule>
  </conditionalFormatting>
  <conditionalFormatting sqref="P287 P285">
    <cfRule type="expression" dxfId="2995" priority="1192">
      <formula>P$1=""</formula>
    </cfRule>
  </conditionalFormatting>
  <conditionalFormatting sqref="P287 P285">
    <cfRule type="expression" dxfId="2994" priority="1191">
      <formula>P$1=""</formula>
    </cfRule>
  </conditionalFormatting>
  <conditionalFormatting sqref="P287 P285">
    <cfRule type="expression" dxfId="2993" priority="1190">
      <formula>P$1=""</formula>
    </cfRule>
  </conditionalFormatting>
  <conditionalFormatting sqref="P287 P285">
    <cfRule type="expression" dxfId="2992" priority="1189">
      <formula>P$1=""</formula>
    </cfRule>
  </conditionalFormatting>
  <conditionalFormatting sqref="P287 P285">
    <cfRule type="expression" dxfId="2991" priority="1188">
      <formula>P$1=""</formula>
    </cfRule>
  </conditionalFormatting>
  <conditionalFormatting sqref="P287 P285">
    <cfRule type="expression" dxfId="2990" priority="1187">
      <formula>P$1=""</formula>
    </cfRule>
  </conditionalFormatting>
  <conditionalFormatting sqref="P287 P285">
    <cfRule type="expression" dxfId="2989" priority="1186">
      <formula>P$1=""</formula>
    </cfRule>
  </conditionalFormatting>
  <conditionalFormatting sqref="P287 P285">
    <cfRule type="expression" dxfId="2988" priority="1185">
      <formula>P$1=""</formula>
    </cfRule>
  </conditionalFormatting>
  <conditionalFormatting sqref="P287 P285">
    <cfRule type="expression" dxfId="2987" priority="1184">
      <formula>P$1=""</formula>
    </cfRule>
  </conditionalFormatting>
  <conditionalFormatting sqref="Q287:AA287 Q285:AA285">
    <cfRule type="expression" dxfId="2986" priority="1183">
      <formula>Q$1=""</formula>
    </cfRule>
  </conditionalFormatting>
  <conditionalFormatting sqref="Q287:AA287 Q285:AA285">
    <cfRule type="expression" dxfId="2985" priority="1182">
      <formula>Q$1=""</formula>
    </cfRule>
  </conditionalFormatting>
  <conditionalFormatting sqref="Q287:AA287 Q285:AA285">
    <cfRule type="expression" dxfId="2984" priority="1181">
      <formula>Q$1=""</formula>
    </cfRule>
  </conditionalFormatting>
  <conditionalFormatting sqref="Q287:AA287 Q285:AA285">
    <cfRule type="expression" dxfId="2983" priority="1180">
      <formula>Q$1=""</formula>
    </cfRule>
  </conditionalFormatting>
  <conditionalFormatting sqref="Q287:AA287 Q285:AA285">
    <cfRule type="expression" dxfId="2982" priority="1179">
      <formula>Q$1=""</formula>
    </cfRule>
  </conditionalFormatting>
  <conditionalFormatting sqref="Q287:AA287 Q285:AA285">
    <cfRule type="expression" dxfId="2981" priority="1178">
      <formula>Q$1=""</formula>
    </cfRule>
  </conditionalFormatting>
  <conditionalFormatting sqref="Q287:AA287 Q285:AA285">
    <cfRule type="expression" dxfId="2980" priority="1177">
      <formula>Q$1=""</formula>
    </cfRule>
  </conditionalFormatting>
  <conditionalFormatting sqref="Q287:AA287 Q285:AA285">
    <cfRule type="expression" dxfId="2979" priority="1176">
      <formula>Q$1=""</formula>
    </cfRule>
  </conditionalFormatting>
  <conditionalFormatting sqref="Q287:AA287 Q285:AA285">
    <cfRule type="expression" dxfId="2978" priority="1175">
      <formula>Q$1=""</formula>
    </cfRule>
  </conditionalFormatting>
  <conditionalFormatting sqref="Q287:AA287 Q285:AA285">
    <cfRule type="expression" dxfId="2977" priority="1174">
      <formula>Q$1=""</formula>
    </cfRule>
  </conditionalFormatting>
  <conditionalFormatting sqref="Q287:AA287 Q285:AA285">
    <cfRule type="expression" dxfId="2976" priority="1173">
      <formula>Q$1=""</formula>
    </cfRule>
  </conditionalFormatting>
  <conditionalFormatting sqref="Q287:AA287 Q285:AA285">
    <cfRule type="expression" dxfId="2975" priority="1172">
      <formula>Q$1=""</formula>
    </cfRule>
  </conditionalFormatting>
  <conditionalFormatting sqref="Q287:AA287 Q285:AA285">
    <cfRule type="expression" dxfId="2974" priority="1171">
      <formula>Q$1=""</formula>
    </cfRule>
  </conditionalFormatting>
  <conditionalFormatting sqref="Q287:AA287 Q285:AA285">
    <cfRule type="expression" dxfId="2973" priority="1170">
      <formula>Q$1=""</formula>
    </cfRule>
  </conditionalFormatting>
  <conditionalFormatting sqref="Q287:AA287 Q285:AA285">
    <cfRule type="expression" dxfId="2972" priority="1169">
      <formula>Q$1=""</formula>
    </cfRule>
  </conditionalFormatting>
  <conditionalFormatting sqref="Q287:AA287 Q285:AA285">
    <cfRule type="expression" dxfId="2971" priority="1168">
      <formula>Q$1=""</formula>
    </cfRule>
  </conditionalFormatting>
  <conditionalFormatting sqref="Q287:AA287 Q285:AA285">
    <cfRule type="expression" dxfId="2970" priority="1167">
      <formula>Q$1=""</formula>
    </cfRule>
  </conditionalFormatting>
  <conditionalFormatting sqref="Q287:AA287 Q285:AA285">
    <cfRule type="expression" dxfId="2969" priority="1166">
      <formula>Q$1=""</formula>
    </cfRule>
  </conditionalFormatting>
  <conditionalFormatting sqref="Q287:AA287 Q285:AA285">
    <cfRule type="expression" dxfId="2968" priority="1165">
      <formula>Q$1=""</formula>
    </cfRule>
  </conditionalFormatting>
  <conditionalFormatting sqref="Q287:AA287 Q285:AA285">
    <cfRule type="expression" dxfId="2967" priority="1164">
      <formula>Q$1=""</formula>
    </cfRule>
  </conditionalFormatting>
  <conditionalFormatting sqref="Q287:AA287 Q285:AA285">
    <cfRule type="expression" dxfId="2966" priority="1163">
      <formula>Q$1=""</formula>
    </cfRule>
  </conditionalFormatting>
  <conditionalFormatting sqref="Q287:AA287 Q285:AA285">
    <cfRule type="expression" dxfId="2965" priority="1162">
      <formula>Q$1=""</formula>
    </cfRule>
  </conditionalFormatting>
  <conditionalFormatting sqref="Q287:AA287 Q285:AA285">
    <cfRule type="expression" dxfId="2964" priority="1161">
      <formula>Q$1=""</formula>
    </cfRule>
  </conditionalFormatting>
  <conditionalFormatting sqref="Q287:AA287 Q285:AA285">
    <cfRule type="expression" dxfId="2963" priority="1160">
      <formula>Q$1=""</formula>
    </cfRule>
  </conditionalFormatting>
  <conditionalFormatting sqref="Q287:AA287 Q285:AA285">
    <cfRule type="expression" dxfId="2962" priority="1159">
      <formula>Q$1=""</formula>
    </cfRule>
  </conditionalFormatting>
  <conditionalFormatting sqref="Q287:AA287 Q285:AA285">
    <cfRule type="expression" dxfId="2961" priority="1158">
      <formula>Q$1=""</formula>
    </cfRule>
  </conditionalFormatting>
  <conditionalFormatting sqref="Q287:AA287 Q285:AA285">
    <cfRule type="expression" dxfId="2960" priority="1157">
      <formula>Q$1=""</formula>
    </cfRule>
  </conditionalFormatting>
  <conditionalFormatting sqref="Q287:AA287 Q285:AA285">
    <cfRule type="expression" dxfId="2959" priority="1156">
      <formula>Q$1=""</formula>
    </cfRule>
  </conditionalFormatting>
  <conditionalFormatting sqref="Q287:AA287 Q285:AA285">
    <cfRule type="expression" dxfId="2958" priority="1155">
      <formula>Q$1=""</formula>
    </cfRule>
  </conditionalFormatting>
  <conditionalFormatting sqref="Q287:AA287 Q285:AA285">
    <cfRule type="expression" dxfId="2957" priority="1154">
      <formula>Q$1=""</formula>
    </cfRule>
  </conditionalFormatting>
  <conditionalFormatting sqref="Q287:AA287 Q285:AA285">
    <cfRule type="expression" dxfId="2956" priority="1153">
      <formula>Q$1=""</formula>
    </cfRule>
  </conditionalFormatting>
  <conditionalFormatting sqref="Q287:AA287 Q285:AA285">
    <cfRule type="expression" dxfId="2955" priority="1152">
      <formula>Q$1=""</formula>
    </cfRule>
  </conditionalFormatting>
  <conditionalFormatting sqref="Q287:AA287 Q285:AA285">
    <cfRule type="expression" dxfId="2954" priority="1151">
      <formula>Q$1=""</formula>
    </cfRule>
  </conditionalFormatting>
  <conditionalFormatting sqref="Q287:AA287 Q285:AA285">
    <cfRule type="expression" dxfId="2953" priority="1150">
      <formula>Q$1=""</formula>
    </cfRule>
  </conditionalFormatting>
  <conditionalFormatting sqref="P297 P295 P293">
    <cfRule type="expression" dxfId="2952" priority="1149">
      <formula>P$1=""</formula>
    </cfRule>
  </conditionalFormatting>
  <conditionalFormatting sqref="P297 P295 P293">
    <cfRule type="expression" dxfId="2951" priority="1148">
      <formula>P$1=""</formula>
    </cfRule>
  </conditionalFormatting>
  <conditionalFormatting sqref="P297 P295 P293">
    <cfRule type="expression" dxfId="2950" priority="1147">
      <formula>P$1=""</formula>
    </cfRule>
  </conditionalFormatting>
  <conditionalFormatting sqref="P297 P295 P293">
    <cfRule type="expression" dxfId="2949" priority="1146">
      <formula>P$1=""</formula>
    </cfRule>
  </conditionalFormatting>
  <conditionalFormatting sqref="P297 P295 P293">
    <cfRule type="expression" dxfId="2948" priority="1145">
      <formula>P$1=""</formula>
    </cfRule>
  </conditionalFormatting>
  <conditionalFormatting sqref="P297 P295 P293">
    <cfRule type="expression" dxfId="2947" priority="1144">
      <formula>P$1=""</formula>
    </cfRule>
  </conditionalFormatting>
  <conditionalFormatting sqref="P297 P295 P293">
    <cfRule type="expression" dxfId="2946" priority="1143">
      <formula>P$1=""</formula>
    </cfRule>
  </conditionalFormatting>
  <conditionalFormatting sqref="P297 P295 P293">
    <cfRule type="expression" dxfId="2945" priority="1142">
      <formula>P$1=""</formula>
    </cfRule>
  </conditionalFormatting>
  <conditionalFormatting sqref="P293">
    <cfRule type="expression" dxfId="2944" priority="1141">
      <formula>P$1=""</formula>
    </cfRule>
  </conditionalFormatting>
  <conditionalFormatting sqref="P297 P295 P293">
    <cfRule type="expression" dxfId="2943" priority="1140">
      <formula>P$1=""</formula>
    </cfRule>
  </conditionalFormatting>
  <conditionalFormatting sqref="P297 P295 P293">
    <cfRule type="expression" dxfId="2942" priority="1139">
      <formula>P$1=""</formula>
    </cfRule>
  </conditionalFormatting>
  <conditionalFormatting sqref="P297 P295 P293">
    <cfRule type="expression" dxfId="2941" priority="1138">
      <formula>P$1=""</formula>
    </cfRule>
  </conditionalFormatting>
  <conditionalFormatting sqref="P297 P295 P293">
    <cfRule type="expression" dxfId="2940" priority="1137">
      <formula>P$1=""</formula>
    </cfRule>
  </conditionalFormatting>
  <conditionalFormatting sqref="P297 P295 P293">
    <cfRule type="expression" dxfId="2939" priority="1136">
      <formula>P$1=""</formula>
    </cfRule>
  </conditionalFormatting>
  <conditionalFormatting sqref="P293">
    <cfRule type="expression" dxfId="2938" priority="1135">
      <formula>P$1=""</formula>
    </cfRule>
  </conditionalFormatting>
  <conditionalFormatting sqref="P297 P295 P293">
    <cfRule type="expression" dxfId="2937" priority="1134">
      <formula>P$1=""</formula>
    </cfRule>
  </conditionalFormatting>
  <conditionalFormatting sqref="P297 P295 P293">
    <cfRule type="expression" dxfId="2936" priority="1133">
      <formula>P$1=""</formula>
    </cfRule>
  </conditionalFormatting>
  <conditionalFormatting sqref="P297 P295 P293">
    <cfRule type="expression" dxfId="2935" priority="1132">
      <formula>P$1=""</formula>
    </cfRule>
  </conditionalFormatting>
  <conditionalFormatting sqref="P297 P295 P293">
    <cfRule type="expression" dxfId="2934" priority="1131">
      <formula>P$1=""</formula>
    </cfRule>
  </conditionalFormatting>
  <conditionalFormatting sqref="P297 P295 P293">
    <cfRule type="expression" dxfId="2933" priority="1130">
      <formula>P$1=""</formula>
    </cfRule>
  </conditionalFormatting>
  <conditionalFormatting sqref="P297 P295 P293">
    <cfRule type="expression" dxfId="2932" priority="1129">
      <formula>P$1=""</formula>
    </cfRule>
  </conditionalFormatting>
  <conditionalFormatting sqref="P297 P295 P293">
    <cfRule type="expression" dxfId="2931" priority="1128">
      <formula>P$1=""</formula>
    </cfRule>
  </conditionalFormatting>
  <conditionalFormatting sqref="P297 P295 P293">
    <cfRule type="expression" dxfId="2930" priority="1127">
      <formula>P$1=""</formula>
    </cfRule>
  </conditionalFormatting>
  <conditionalFormatting sqref="Q297:AA297 Q295:AA295 Q293:AA293">
    <cfRule type="expression" dxfId="2929" priority="1126">
      <formula>Q$1=""</formula>
    </cfRule>
  </conditionalFormatting>
  <conditionalFormatting sqref="Q297:AA297 Q295:AA295 Q293:AA293">
    <cfRule type="expression" dxfId="2928" priority="1125">
      <formula>Q$1=""</formula>
    </cfRule>
  </conditionalFormatting>
  <conditionalFormatting sqref="Q297:AA297 Q295:AA295 Q293:AA293">
    <cfRule type="expression" dxfId="2927" priority="1124">
      <formula>Q$1=""</formula>
    </cfRule>
  </conditionalFormatting>
  <conditionalFormatting sqref="Q297:AA297 Q295:AA295 Q293:AA293">
    <cfRule type="expression" dxfId="2926" priority="1123">
      <formula>Q$1=""</formula>
    </cfRule>
  </conditionalFormatting>
  <conditionalFormatting sqref="Q297:AA297 Q295:AA295 Q293:AA293">
    <cfRule type="expression" dxfId="2925" priority="1122">
      <formula>Q$1=""</formula>
    </cfRule>
  </conditionalFormatting>
  <conditionalFormatting sqref="Q297:AA297 Q295:AA295 Q293:AA293">
    <cfRule type="expression" dxfId="2924" priority="1121">
      <formula>Q$1=""</formula>
    </cfRule>
  </conditionalFormatting>
  <conditionalFormatting sqref="Q297:AA297 Q295:AA295 Q293:AA293">
    <cfRule type="expression" dxfId="2923" priority="1120">
      <formula>Q$1=""</formula>
    </cfRule>
  </conditionalFormatting>
  <conditionalFormatting sqref="Q297:AA297 Q295:AA295 Q293:AA293">
    <cfRule type="expression" dxfId="2922" priority="1119">
      <formula>Q$1=""</formula>
    </cfRule>
  </conditionalFormatting>
  <conditionalFormatting sqref="Q293:AA293">
    <cfRule type="expression" dxfId="2921" priority="1118">
      <formula>Q$1=""</formula>
    </cfRule>
  </conditionalFormatting>
  <conditionalFormatting sqref="Q297:AA297 Q295:AA295 Q293:AA293">
    <cfRule type="expression" dxfId="2920" priority="1117">
      <formula>Q$1=""</formula>
    </cfRule>
  </conditionalFormatting>
  <conditionalFormatting sqref="Q297:AA297 Q295:AA295 Q293:AA293">
    <cfRule type="expression" dxfId="2919" priority="1116">
      <formula>Q$1=""</formula>
    </cfRule>
  </conditionalFormatting>
  <conditionalFormatting sqref="Q297:AA297 Q295:AA295 Q293:AA293">
    <cfRule type="expression" dxfId="2918" priority="1115">
      <formula>Q$1=""</formula>
    </cfRule>
  </conditionalFormatting>
  <conditionalFormatting sqref="Q297:AA297 Q295:AA295 Q293:AA293">
    <cfRule type="expression" dxfId="2917" priority="1114">
      <formula>Q$1=""</formula>
    </cfRule>
  </conditionalFormatting>
  <conditionalFormatting sqref="Q297:AA297 Q295:AA295 Q293:AA293">
    <cfRule type="expression" dxfId="2916" priority="1113">
      <formula>Q$1=""</formula>
    </cfRule>
  </conditionalFormatting>
  <conditionalFormatting sqref="Q293:AA293">
    <cfRule type="expression" dxfId="2915" priority="1112">
      <formula>Q$1=""</formula>
    </cfRule>
  </conditionalFormatting>
  <conditionalFormatting sqref="Q297:AA297 Q295:AA295 Q293:AA293">
    <cfRule type="expression" dxfId="2914" priority="1111">
      <formula>Q$1=""</formula>
    </cfRule>
  </conditionalFormatting>
  <conditionalFormatting sqref="Q297:AA297 Q295:AA295 Q293:AA293">
    <cfRule type="expression" dxfId="2913" priority="1110">
      <formula>Q$1=""</formula>
    </cfRule>
  </conditionalFormatting>
  <conditionalFormatting sqref="Q297:AA297 Q295:AA295 Q293:AA293">
    <cfRule type="expression" dxfId="2912" priority="1109">
      <formula>Q$1=""</formula>
    </cfRule>
  </conditionalFormatting>
  <conditionalFormatting sqref="Q297:AA297 Q295:AA295 Q293:AA293">
    <cfRule type="expression" dxfId="2911" priority="1108">
      <formula>Q$1=""</formula>
    </cfRule>
  </conditionalFormatting>
  <conditionalFormatting sqref="Q297:AA297 Q295:AA295 Q293:AA293">
    <cfRule type="expression" dxfId="2910" priority="1107">
      <formula>Q$1=""</formula>
    </cfRule>
  </conditionalFormatting>
  <conditionalFormatting sqref="Q297:AA297 Q295:AA295 Q293:AA293">
    <cfRule type="expression" dxfId="2909" priority="1106">
      <formula>Q$1=""</formula>
    </cfRule>
  </conditionalFormatting>
  <conditionalFormatting sqref="Q297:AA297 Q295:AA295 Q293:AA293">
    <cfRule type="expression" dxfId="2908" priority="1105">
      <formula>Q$1=""</formula>
    </cfRule>
  </conditionalFormatting>
  <conditionalFormatting sqref="Q297:AA297 Q295:AA295 Q293:AA293">
    <cfRule type="expression" dxfId="2907" priority="1104">
      <formula>Q$1=""</formula>
    </cfRule>
  </conditionalFormatting>
  <conditionalFormatting sqref="Q297:AA297 Q295:AA295 Q293:AA293">
    <cfRule type="expression" dxfId="2906" priority="1103">
      <formula>Q$1=""</formula>
    </cfRule>
  </conditionalFormatting>
  <conditionalFormatting sqref="Q297:AA297 Q295:AA295 Q293:AA293">
    <cfRule type="expression" dxfId="2905" priority="1102">
      <formula>Q$1=""</formula>
    </cfRule>
  </conditionalFormatting>
  <conditionalFormatting sqref="Q297:AA297 Q295:AA295 Q293:AA293">
    <cfRule type="expression" dxfId="2904" priority="1101">
      <formula>Q$1=""</formula>
    </cfRule>
  </conditionalFormatting>
  <conditionalFormatting sqref="Q297:AA297 Q295:AA295 Q293:AA293">
    <cfRule type="expression" dxfId="2903" priority="1100">
      <formula>Q$1=""</formula>
    </cfRule>
  </conditionalFormatting>
  <conditionalFormatting sqref="Q297:AA297 Q295:AA295 Q293:AA293">
    <cfRule type="expression" dxfId="2902" priority="1099">
      <formula>Q$1=""</formula>
    </cfRule>
  </conditionalFormatting>
  <conditionalFormatting sqref="Q297:AA297 Q295:AA295 Q293:AA293">
    <cfRule type="expression" dxfId="2901" priority="1098">
      <formula>Q$1=""</formula>
    </cfRule>
  </conditionalFormatting>
  <conditionalFormatting sqref="Q297:AA297 Q295:AA295 Q293:AA293">
    <cfRule type="expression" dxfId="2900" priority="1097">
      <formula>Q$1=""</formula>
    </cfRule>
  </conditionalFormatting>
  <conditionalFormatting sqref="Q297:AA297 Q295:AA295 Q293:AA293">
    <cfRule type="expression" dxfId="2899" priority="1096">
      <formula>Q$1=""</formula>
    </cfRule>
  </conditionalFormatting>
  <conditionalFormatting sqref="Q293:AA293">
    <cfRule type="expression" dxfId="2898" priority="1095">
      <formula>Q$1=""</formula>
    </cfRule>
  </conditionalFormatting>
  <conditionalFormatting sqref="Q297:AA297 Q295:AA295 Q293:AA293">
    <cfRule type="expression" dxfId="2897" priority="1094">
      <formula>Q$1=""</formula>
    </cfRule>
  </conditionalFormatting>
  <conditionalFormatting sqref="Q297:AA297 Q295:AA295 Q293:AA293">
    <cfRule type="expression" dxfId="2896" priority="1093">
      <formula>Q$1=""</formula>
    </cfRule>
  </conditionalFormatting>
  <conditionalFormatting sqref="Q297:AA297 Q295:AA295 Q293:AA293">
    <cfRule type="expression" dxfId="2895" priority="1092">
      <formula>Q$1=""</formula>
    </cfRule>
  </conditionalFormatting>
  <conditionalFormatting sqref="Q297:AA297 Q295:AA295 Q293:AA293">
    <cfRule type="expression" dxfId="2894" priority="1091">
      <formula>Q$1=""</formula>
    </cfRule>
  </conditionalFormatting>
  <conditionalFormatting sqref="Q297:AA297 Q295:AA295 Q293:AA293">
    <cfRule type="expression" dxfId="2893" priority="1090">
      <formula>Q$1=""</formula>
    </cfRule>
  </conditionalFormatting>
  <conditionalFormatting sqref="Q293:AA293">
    <cfRule type="expression" dxfId="2892" priority="1089">
      <formula>Q$1=""</formula>
    </cfRule>
  </conditionalFormatting>
  <conditionalFormatting sqref="Q297:AA297 Q295:AA295 Q293:AA293">
    <cfRule type="expression" dxfId="2891" priority="1088">
      <formula>Q$1=""</formula>
    </cfRule>
  </conditionalFormatting>
  <conditionalFormatting sqref="Q297:AA297 Q295:AA295 Q293:AA293">
    <cfRule type="expression" dxfId="2890" priority="1087">
      <formula>Q$1=""</formula>
    </cfRule>
  </conditionalFormatting>
  <conditionalFormatting sqref="Q297:AA297 Q295:AA295 Q293:AA293">
    <cfRule type="expression" dxfId="2889" priority="1086">
      <formula>Q$1=""</formula>
    </cfRule>
  </conditionalFormatting>
  <conditionalFormatting sqref="Q297:AA297 Q295:AA295 Q293:AA293">
    <cfRule type="expression" dxfId="2888" priority="1085">
      <formula>Q$1=""</formula>
    </cfRule>
  </conditionalFormatting>
  <conditionalFormatting sqref="Q297:AA297 Q295:AA295 Q293:AA293">
    <cfRule type="expression" dxfId="2887" priority="1084">
      <formula>Q$1=""</formula>
    </cfRule>
  </conditionalFormatting>
  <conditionalFormatting sqref="Q297:AA297 Q295:AA295 Q293:AA293">
    <cfRule type="expression" dxfId="2886" priority="1083">
      <formula>Q$1=""</formula>
    </cfRule>
  </conditionalFormatting>
  <conditionalFormatting sqref="Q297:AA297 Q295:AA295 Q293:AA293">
    <cfRule type="expression" dxfId="2885" priority="1082">
      <formula>Q$1=""</formula>
    </cfRule>
  </conditionalFormatting>
  <conditionalFormatting sqref="Q297:AA297 Q295:AA295 Q293:AA293">
    <cfRule type="expression" dxfId="2884" priority="1081">
      <formula>Q$1=""</formula>
    </cfRule>
  </conditionalFormatting>
  <conditionalFormatting sqref="P297 P295 P293">
    <cfRule type="expression" dxfId="2883" priority="1080">
      <formula>P$1=""</formula>
    </cfRule>
  </conditionalFormatting>
  <conditionalFormatting sqref="P297 P295 P293">
    <cfRule type="expression" dxfId="2882" priority="1079">
      <formula>P$1=""</formula>
    </cfRule>
  </conditionalFormatting>
  <conditionalFormatting sqref="P297 P295 P293">
    <cfRule type="expression" dxfId="2881" priority="1078">
      <formula>P$1=""</formula>
    </cfRule>
  </conditionalFormatting>
  <conditionalFormatting sqref="P297 P295 P293">
    <cfRule type="expression" dxfId="2880" priority="1077">
      <formula>P$1=""</formula>
    </cfRule>
  </conditionalFormatting>
  <conditionalFormatting sqref="P297 P295 P293">
    <cfRule type="expression" dxfId="2879" priority="1076">
      <formula>P$1=""</formula>
    </cfRule>
  </conditionalFormatting>
  <conditionalFormatting sqref="P297 P295 P293">
    <cfRule type="expression" dxfId="2878" priority="1075">
      <formula>P$1=""</formula>
    </cfRule>
  </conditionalFormatting>
  <conditionalFormatting sqref="P297 P295 P293">
    <cfRule type="expression" dxfId="2877" priority="1074">
      <formula>P$1=""</formula>
    </cfRule>
  </conditionalFormatting>
  <conditionalFormatting sqref="P297 P295 P293">
    <cfRule type="expression" dxfId="2876" priority="1073">
      <formula>P$1=""</formula>
    </cfRule>
  </conditionalFormatting>
  <conditionalFormatting sqref="P293">
    <cfRule type="expression" dxfId="2875" priority="1072">
      <formula>P$1=""</formula>
    </cfRule>
  </conditionalFormatting>
  <conditionalFormatting sqref="P297 P295 P293">
    <cfRule type="expression" dxfId="2874" priority="1071">
      <formula>P$1=""</formula>
    </cfRule>
  </conditionalFormatting>
  <conditionalFormatting sqref="P297 P295 P293">
    <cfRule type="expression" dxfId="2873" priority="1070">
      <formula>P$1=""</formula>
    </cfRule>
  </conditionalFormatting>
  <conditionalFormatting sqref="P297 P295 P293">
    <cfRule type="expression" dxfId="2872" priority="1069">
      <formula>P$1=""</formula>
    </cfRule>
  </conditionalFormatting>
  <conditionalFormatting sqref="P297 P295 P293">
    <cfRule type="expression" dxfId="2871" priority="1068">
      <formula>P$1=""</formula>
    </cfRule>
  </conditionalFormatting>
  <conditionalFormatting sqref="P297 P295 P293">
    <cfRule type="expression" dxfId="2870" priority="1067">
      <formula>P$1=""</formula>
    </cfRule>
  </conditionalFormatting>
  <conditionalFormatting sqref="P293">
    <cfRule type="expression" dxfId="2869" priority="1066">
      <formula>P$1=""</formula>
    </cfRule>
  </conditionalFormatting>
  <conditionalFormatting sqref="P297 P295 P293">
    <cfRule type="expression" dxfId="2868" priority="1065">
      <formula>P$1=""</formula>
    </cfRule>
  </conditionalFormatting>
  <conditionalFormatting sqref="P297 P295 P293">
    <cfRule type="expression" dxfId="2867" priority="1064">
      <formula>P$1=""</formula>
    </cfRule>
  </conditionalFormatting>
  <conditionalFormatting sqref="P297 P295 P293">
    <cfRule type="expression" dxfId="2866" priority="1063">
      <formula>P$1=""</formula>
    </cfRule>
  </conditionalFormatting>
  <conditionalFormatting sqref="P297 P295 P293">
    <cfRule type="expression" dxfId="2865" priority="1062">
      <formula>P$1=""</formula>
    </cfRule>
  </conditionalFormatting>
  <conditionalFormatting sqref="P297 P295 P293">
    <cfRule type="expression" dxfId="2864" priority="1061">
      <formula>P$1=""</formula>
    </cfRule>
  </conditionalFormatting>
  <conditionalFormatting sqref="P297 P295 P293">
    <cfRule type="expression" dxfId="2863" priority="1060">
      <formula>P$1=""</formula>
    </cfRule>
  </conditionalFormatting>
  <conditionalFormatting sqref="P297 P295 P293">
    <cfRule type="expression" dxfId="2862" priority="1059">
      <formula>P$1=""</formula>
    </cfRule>
  </conditionalFormatting>
  <conditionalFormatting sqref="P297 P295 P293">
    <cfRule type="expression" dxfId="2861" priority="1058">
      <formula>P$1=""</formula>
    </cfRule>
  </conditionalFormatting>
  <conditionalFormatting sqref="Q297:AA297 Q295:AA295 Q293:AA293">
    <cfRule type="expression" dxfId="2860" priority="1057">
      <formula>Q$1=""</formula>
    </cfRule>
  </conditionalFormatting>
  <conditionalFormatting sqref="Q297:AA297 Q295:AA295 Q293:AA293">
    <cfRule type="expression" dxfId="2859" priority="1056">
      <formula>Q$1=""</formula>
    </cfRule>
  </conditionalFormatting>
  <conditionalFormatting sqref="Q297:AA297 Q295:AA295 Q293:AA293">
    <cfRule type="expression" dxfId="2858" priority="1055">
      <formula>Q$1=""</formula>
    </cfRule>
  </conditionalFormatting>
  <conditionalFormatting sqref="Q297:AA297 Q295:AA295 Q293:AA293">
    <cfRule type="expression" dxfId="2857" priority="1054">
      <formula>Q$1=""</formula>
    </cfRule>
  </conditionalFormatting>
  <conditionalFormatting sqref="Q297:AA297 Q295:AA295 Q293:AA293">
    <cfRule type="expression" dxfId="2856" priority="1053">
      <formula>Q$1=""</formula>
    </cfRule>
  </conditionalFormatting>
  <conditionalFormatting sqref="Q297:AA297 Q295:AA295 Q293:AA293">
    <cfRule type="expression" dxfId="2855" priority="1052">
      <formula>Q$1=""</formula>
    </cfRule>
  </conditionalFormatting>
  <conditionalFormatting sqref="Q297:AA297 Q295:AA295 Q293:AA293">
    <cfRule type="expression" dxfId="2854" priority="1051">
      <formula>Q$1=""</formula>
    </cfRule>
  </conditionalFormatting>
  <conditionalFormatting sqref="Q297:AA297 Q295:AA295 Q293:AA293">
    <cfRule type="expression" dxfId="2853" priority="1050">
      <formula>Q$1=""</formula>
    </cfRule>
  </conditionalFormatting>
  <conditionalFormatting sqref="Q293:AA293">
    <cfRule type="expression" dxfId="2852" priority="1049">
      <formula>Q$1=""</formula>
    </cfRule>
  </conditionalFormatting>
  <conditionalFormatting sqref="Q297:AA297 Q295:AA295 Q293:AA293">
    <cfRule type="expression" dxfId="2851" priority="1048">
      <formula>Q$1=""</formula>
    </cfRule>
  </conditionalFormatting>
  <conditionalFormatting sqref="Q297:AA297 Q295:AA295 Q293:AA293">
    <cfRule type="expression" dxfId="2850" priority="1047">
      <formula>Q$1=""</formula>
    </cfRule>
  </conditionalFormatting>
  <conditionalFormatting sqref="Q297:AA297 Q295:AA295 Q293:AA293">
    <cfRule type="expression" dxfId="2849" priority="1046">
      <formula>Q$1=""</formula>
    </cfRule>
  </conditionalFormatting>
  <conditionalFormatting sqref="Q297:AA297 Q295:AA295 Q293:AA293">
    <cfRule type="expression" dxfId="2848" priority="1045">
      <formula>Q$1=""</formula>
    </cfRule>
  </conditionalFormatting>
  <conditionalFormatting sqref="Q297:AA297 Q295:AA295 Q293:AA293">
    <cfRule type="expression" dxfId="2847" priority="1044">
      <formula>Q$1=""</formula>
    </cfRule>
  </conditionalFormatting>
  <conditionalFormatting sqref="Q293:AA293">
    <cfRule type="expression" dxfId="2846" priority="1043">
      <formula>Q$1=""</formula>
    </cfRule>
  </conditionalFormatting>
  <conditionalFormatting sqref="Q297:AA297 Q295:AA295 Q293:AA293">
    <cfRule type="expression" dxfId="2845" priority="1042">
      <formula>Q$1=""</formula>
    </cfRule>
  </conditionalFormatting>
  <conditionalFormatting sqref="Q297:AA297 Q295:AA295 Q293:AA293">
    <cfRule type="expression" dxfId="2844" priority="1041">
      <formula>Q$1=""</formula>
    </cfRule>
  </conditionalFormatting>
  <conditionalFormatting sqref="Q297:AA297 Q295:AA295 Q293:AA293">
    <cfRule type="expression" dxfId="2843" priority="1040">
      <formula>Q$1=""</formula>
    </cfRule>
  </conditionalFormatting>
  <conditionalFormatting sqref="Q297:AA297 Q295:AA295 Q293:AA293">
    <cfRule type="expression" dxfId="2842" priority="1039">
      <formula>Q$1=""</formula>
    </cfRule>
  </conditionalFormatting>
  <conditionalFormatting sqref="Q297:AA297 Q295:AA295 Q293:AA293">
    <cfRule type="expression" dxfId="2841" priority="1038">
      <formula>Q$1=""</formula>
    </cfRule>
  </conditionalFormatting>
  <conditionalFormatting sqref="Q297:AA297 Q295:AA295 Q293:AA293">
    <cfRule type="expression" dxfId="2840" priority="1037">
      <formula>Q$1=""</formula>
    </cfRule>
  </conditionalFormatting>
  <conditionalFormatting sqref="Q297:AA297 Q295:AA295 Q293:AA293">
    <cfRule type="expression" dxfId="2839" priority="1036">
      <formula>Q$1=""</formula>
    </cfRule>
  </conditionalFormatting>
  <conditionalFormatting sqref="Q297:AA297 Q295:AA295 Q293:AA293">
    <cfRule type="expression" dxfId="2838" priority="1035">
      <formula>Q$1=""</formula>
    </cfRule>
  </conditionalFormatting>
  <conditionalFormatting sqref="Q297:AA297 Q295:AA295 Q293:AA293">
    <cfRule type="expression" dxfId="2837" priority="1034">
      <formula>Q$1=""</formula>
    </cfRule>
  </conditionalFormatting>
  <conditionalFormatting sqref="Q297:AA297 Q295:AA295 Q293:AA293">
    <cfRule type="expression" dxfId="2836" priority="1033">
      <formula>Q$1=""</formula>
    </cfRule>
  </conditionalFormatting>
  <conditionalFormatting sqref="Q297:AA297 Q295:AA295 Q293:AA293">
    <cfRule type="expression" dxfId="2835" priority="1032">
      <formula>Q$1=""</formula>
    </cfRule>
  </conditionalFormatting>
  <conditionalFormatting sqref="Q297:AA297 Q295:AA295 Q293:AA293">
    <cfRule type="expression" dxfId="2834" priority="1031">
      <formula>Q$1=""</formula>
    </cfRule>
  </conditionalFormatting>
  <conditionalFormatting sqref="Q297:AA297 Q295:AA295 Q293:AA293">
    <cfRule type="expression" dxfId="2833" priority="1030">
      <formula>Q$1=""</formula>
    </cfRule>
  </conditionalFormatting>
  <conditionalFormatting sqref="Q297:AA297 Q295:AA295 Q293:AA293">
    <cfRule type="expression" dxfId="2832" priority="1029">
      <formula>Q$1=""</formula>
    </cfRule>
  </conditionalFormatting>
  <conditionalFormatting sqref="Q297:AA297 Q295:AA295 Q293:AA293">
    <cfRule type="expression" dxfId="2831" priority="1028">
      <formula>Q$1=""</formula>
    </cfRule>
  </conditionalFormatting>
  <conditionalFormatting sqref="Q297:AA297 Q295:AA295 Q293:AA293">
    <cfRule type="expression" dxfId="2830" priority="1027">
      <formula>Q$1=""</formula>
    </cfRule>
  </conditionalFormatting>
  <conditionalFormatting sqref="Q293:AA293">
    <cfRule type="expression" dxfId="2829" priority="1026">
      <formula>Q$1=""</formula>
    </cfRule>
  </conditionalFormatting>
  <conditionalFormatting sqref="Q297:AA297 Q295:AA295 Q293:AA293">
    <cfRule type="expression" dxfId="2828" priority="1025">
      <formula>Q$1=""</formula>
    </cfRule>
  </conditionalFormatting>
  <conditionalFormatting sqref="Q297:AA297 Q295:AA295 Q293:AA293">
    <cfRule type="expression" dxfId="2827" priority="1024">
      <formula>Q$1=""</formula>
    </cfRule>
  </conditionalFormatting>
  <conditionalFormatting sqref="Q297:AA297 Q295:AA295 Q293:AA293">
    <cfRule type="expression" dxfId="2826" priority="1023">
      <formula>Q$1=""</formula>
    </cfRule>
  </conditionalFormatting>
  <conditionalFormatting sqref="Q297:AA297 Q295:AA295 Q293:AA293">
    <cfRule type="expression" dxfId="2825" priority="1022">
      <formula>Q$1=""</formula>
    </cfRule>
  </conditionalFormatting>
  <conditionalFormatting sqref="Q297:AA297 Q295:AA295 Q293:AA293">
    <cfRule type="expression" dxfId="2824" priority="1021">
      <formula>Q$1=""</formula>
    </cfRule>
  </conditionalFormatting>
  <conditionalFormatting sqref="Q293:AA293">
    <cfRule type="expression" dxfId="2823" priority="1020">
      <formula>Q$1=""</formula>
    </cfRule>
  </conditionalFormatting>
  <conditionalFormatting sqref="Q297:AA297 Q295:AA295 Q293:AA293">
    <cfRule type="expression" dxfId="2822" priority="1019">
      <formula>Q$1=""</formula>
    </cfRule>
  </conditionalFormatting>
  <conditionalFormatting sqref="Q297:AA297 Q295:AA295 Q293:AA293">
    <cfRule type="expression" dxfId="2821" priority="1018">
      <formula>Q$1=""</formula>
    </cfRule>
  </conditionalFormatting>
  <conditionalFormatting sqref="Q297:AA297 Q295:AA295 Q293:AA293">
    <cfRule type="expression" dxfId="2820" priority="1017">
      <formula>Q$1=""</formula>
    </cfRule>
  </conditionalFormatting>
  <conditionalFormatting sqref="Q297:AA297 Q295:AA295 Q293:AA293">
    <cfRule type="expression" dxfId="2819" priority="1016">
      <formula>Q$1=""</formula>
    </cfRule>
  </conditionalFormatting>
  <conditionalFormatting sqref="Q297:AA297 Q295:AA295 Q293:AA293">
    <cfRule type="expression" dxfId="2818" priority="1015">
      <formula>Q$1=""</formula>
    </cfRule>
  </conditionalFormatting>
  <conditionalFormatting sqref="Q297:AA297 Q295:AA295 Q293:AA293">
    <cfRule type="expression" dxfId="2817" priority="1014">
      <formula>Q$1=""</formula>
    </cfRule>
  </conditionalFormatting>
  <conditionalFormatting sqref="Q297:AA297 Q295:AA295 Q293:AA293">
    <cfRule type="expression" dxfId="2816" priority="1013">
      <formula>Q$1=""</formula>
    </cfRule>
  </conditionalFormatting>
  <conditionalFormatting sqref="Q297:AA297 Q295:AA295 Q293:AA293">
    <cfRule type="expression" dxfId="2815" priority="1012">
      <formula>Q$1=""</formula>
    </cfRule>
  </conditionalFormatting>
  <conditionalFormatting sqref="P301:AA301">
    <cfRule type="expression" dxfId="2814" priority="1011">
      <formula>P$1=""</formula>
    </cfRule>
  </conditionalFormatting>
  <conditionalFormatting sqref="P303:AA303">
    <cfRule type="expression" dxfId="2813" priority="1010">
      <formula>P$1=""</formula>
    </cfRule>
  </conditionalFormatting>
  <conditionalFormatting sqref="P305:AA305">
    <cfRule type="expression" dxfId="2812" priority="1009">
      <formula>P$1=""</formula>
    </cfRule>
  </conditionalFormatting>
  <conditionalFormatting sqref="P307:AA307">
    <cfRule type="expression" dxfId="2811" priority="1008">
      <formula>P$1=""</formula>
    </cfRule>
  </conditionalFormatting>
  <conditionalFormatting sqref="P303:AA303 P305:AA305 P307:AA307">
    <cfRule type="expression" dxfId="2810" priority="1007">
      <formula>P$1=""</formula>
    </cfRule>
  </conditionalFormatting>
  <conditionalFormatting sqref="P303:AA303 P305:AA305 P307:AA307">
    <cfRule type="expression" dxfId="2809" priority="1006">
      <formula>P$1=""</formula>
    </cfRule>
  </conditionalFormatting>
  <conditionalFormatting sqref="P303:AA303 P305:AA305 P307:AA307">
    <cfRule type="expression" dxfId="2808" priority="1005">
      <formula>P$1=""</formula>
    </cfRule>
  </conditionalFormatting>
  <conditionalFormatting sqref="P303:AA303 P305:AA305 P307:AA307">
    <cfRule type="expression" dxfId="2807" priority="1004">
      <formula>P$1=""</formula>
    </cfRule>
  </conditionalFormatting>
  <conditionalFormatting sqref="P303:AA303 P305:AA305 P307:AA307">
    <cfRule type="expression" dxfId="2806" priority="1003">
      <formula>P$1=""</formula>
    </cfRule>
  </conditionalFormatting>
  <conditionalFormatting sqref="P305:AA305 P307:AA307">
    <cfRule type="expression" dxfId="2805" priority="1002">
      <formula>P$1=""</formula>
    </cfRule>
  </conditionalFormatting>
  <conditionalFormatting sqref="P303:AA303">
    <cfRule type="expression" dxfId="2804" priority="1001">
      <formula>P$1=""</formula>
    </cfRule>
  </conditionalFormatting>
  <conditionalFormatting sqref="P305:AA305 P307:AA307">
    <cfRule type="expression" dxfId="2803" priority="1000">
      <formula>P$1=""</formula>
    </cfRule>
  </conditionalFormatting>
  <conditionalFormatting sqref="P305:AA305 P307:AA307">
    <cfRule type="expression" dxfId="2802" priority="999">
      <formula>P$1=""</formula>
    </cfRule>
  </conditionalFormatting>
  <conditionalFormatting sqref="P307:AA307">
    <cfRule type="expression" dxfId="2801" priority="998">
      <formula>P$1=""</formula>
    </cfRule>
  </conditionalFormatting>
  <conditionalFormatting sqref="P307:AA307">
    <cfRule type="expression" dxfId="2800" priority="997">
      <formula>P$1=""</formula>
    </cfRule>
  </conditionalFormatting>
  <conditionalFormatting sqref="P307:AA307">
    <cfRule type="expression" dxfId="2799" priority="996">
      <formula>P$1=""</formula>
    </cfRule>
  </conditionalFormatting>
  <conditionalFormatting sqref="P307:AA307">
    <cfRule type="expression" dxfId="2798" priority="995">
      <formula>P$1=""</formula>
    </cfRule>
  </conditionalFormatting>
  <conditionalFormatting sqref="P301:AA301">
    <cfRule type="expression" dxfId="2797" priority="994">
      <formula>P$1=""</formula>
    </cfRule>
  </conditionalFormatting>
  <conditionalFormatting sqref="P301:AA301">
    <cfRule type="expression" dxfId="2796" priority="993">
      <formula>P$1=""</formula>
    </cfRule>
  </conditionalFormatting>
  <conditionalFormatting sqref="P301:AA301">
    <cfRule type="expression" dxfId="2795" priority="992">
      <formula>P$1=""</formula>
    </cfRule>
  </conditionalFormatting>
  <conditionalFormatting sqref="P301:AA301">
    <cfRule type="expression" dxfId="2794" priority="991">
      <formula>P$1=""</formula>
    </cfRule>
  </conditionalFormatting>
  <conditionalFormatting sqref="P301:AA301">
    <cfRule type="expression" dxfId="2793" priority="990">
      <formula>P$1=""</formula>
    </cfRule>
  </conditionalFormatting>
  <conditionalFormatting sqref="P301:AA301">
    <cfRule type="expression" dxfId="2792" priority="989">
      <formula>P$1=""</formula>
    </cfRule>
  </conditionalFormatting>
  <conditionalFormatting sqref="P301:AA301">
    <cfRule type="expression" dxfId="2791" priority="988">
      <formula>P$1=""</formula>
    </cfRule>
  </conditionalFormatting>
  <conditionalFormatting sqref="P305:AA305 P307:AA307">
    <cfRule type="expression" dxfId="2790" priority="987">
      <formula>P$1=""</formula>
    </cfRule>
  </conditionalFormatting>
  <conditionalFormatting sqref="P305:AA305 P307:AA307">
    <cfRule type="expression" dxfId="2789" priority="986">
      <formula>P$1=""</formula>
    </cfRule>
  </conditionalFormatting>
  <conditionalFormatting sqref="P305:AA305 P307:AA307">
    <cfRule type="expression" dxfId="2788" priority="985">
      <formula>P$1=""</formula>
    </cfRule>
  </conditionalFormatting>
  <conditionalFormatting sqref="P305:AA305 P307:AA307">
    <cfRule type="expression" dxfId="2787" priority="984">
      <formula>P$1=""</formula>
    </cfRule>
  </conditionalFormatting>
  <conditionalFormatting sqref="P303:AA303 P305 P307">
    <cfRule type="expression" dxfId="2786" priority="983">
      <formula>P$1=""</formula>
    </cfRule>
  </conditionalFormatting>
  <conditionalFormatting sqref="P303:AA303 P305 P307">
    <cfRule type="expression" dxfId="2785" priority="982">
      <formula>P$1=""</formula>
    </cfRule>
  </conditionalFormatting>
  <conditionalFormatting sqref="P303:AA303 P305 P307">
    <cfRule type="expression" dxfId="2784" priority="981">
      <formula>P$1=""</formula>
    </cfRule>
  </conditionalFormatting>
  <conditionalFormatting sqref="P303:AA303 P305 P307">
    <cfRule type="expression" dxfId="2783" priority="980">
      <formula>P$1=""</formula>
    </cfRule>
  </conditionalFormatting>
  <conditionalFormatting sqref="P303:AA303 P305 P307">
    <cfRule type="expression" dxfId="2782" priority="979">
      <formula>P$1=""</formula>
    </cfRule>
  </conditionalFormatting>
  <conditionalFormatting sqref="P303:AA303 P305 P307">
    <cfRule type="expression" dxfId="2781" priority="978">
      <formula>P$1=""</formula>
    </cfRule>
  </conditionalFormatting>
  <conditionalFormatting sqref="P303:AA303 P305 P307">
    <cfRule type="expression" dxfId="2780" priority="977">
      <formula>P$1=""</formula>
    </cfRule>
  </conditionalFormatting>
  <conditionalFormatting sqref="P303:AA303 P305 P307">
    <cfRule type="expression" dxfId="2779" priority="976">
      <formula>P$1=""</formula>
    </cfRule>
  </conditionalFormatting>
  <conditionalFormatting sqref="Q303:AA303">
    <cfRule type="expression" dxfId="2778" priority="975">
      <formula>Q$1=""</formula>
    </cfRule>
  </conditionalFormatting>
  <conditionalFormatting sqref="Q303:AA303">
    <cfRule type="expression" dxfId="2777" priority="974">
      <formula>Q$1=""</formula>
    </cfRule>
  </conditionalFormatting>
  <conditionalFormatting sqref="Q303:AA303">
    <cfRule type="expression" dxfId="2776" priority="973">
      <formula>Q$1=""</formula>
    </cfRule>
  </conditionalFormatting>
  <conditionalFormatting sqref="Q303:AA303">
    <cfRule type="expression" dxfId="2775" priority="972">
      <formula>Q$1=""</formula>
    </cfRule>
  </conditionalFormatting>
  <conditionalFormatting sqref="Q303:AA303">
    <cfRule type="expression" dxfId="2774" priority="971">
      <formula>Q$1=""</formula>
    </cfRule>
  </conditionalFormatting>
  <conditionalFormatting sqref="Q303:AA303">
    <cfRule type="expression" dxfId="2773" priority="970">
      <formula>Q$1=""</formula>
    </cfRule>
  </conditionalFormatting>
  <conditionalFormatting sqref="Q303:AA303">
    <cfRule type="expression" dxfId="2772" priority="969">
      <formula>Q$1=""</formula>
    </cfRule>
  </conditionalFormatting>
  <conditionalFormatting sqref="Q303:AA303">
    <cfRule type="expression" dxfId="2771" priority="968">
      <formula>Q$1=""</formula>
    </cfRule>
  </conditionalFormatting>
  <conditionalFormatting sqref="Q305:AA305 Q307:AA307">
    <cfRule type="expression" dxfId="2770" priority="967">
      <formula>Q$1=""</formula>
    </cfRule>
  </conditionalFormatting>
  <conditionalFormatting sqref="Q305:AA305 Q307:AA307">
    <cfRule type="expression" dxfId="2769" priority="966">
      <formula>Q$1=""</formula>
    </cfRule>
  </conditionalFormatting>
  <conditionalFormatting sqref="Q305:AA305 Q307:AA307">
    <cfRule type="expression" dxfId="2768" priority="965">
      <formula>Q$1=""</formula>
    </cfRule>
  </conditionalFormatting>
  <conditionalFormatting sqref="Q305:AA305 Q307:AA307">
    <cfRule type="expression" dxfId="2767" priority="964">
      <formula>Q$1=""</formula>
    </cfRule>
  </conditionalFormatting>
  <conditionalFormatting sqref="Q305:AA305 Q307:AA307">
    <cfRule type="expression" dxfId="2766" priority="963">
      <formula>Q$1=""</formula>
    </cfRule>
  </conditionalFormatting>
  <conditionalFormatting sqref="Q305:AA305 Q307:AA307">
    <cfRule type="expression" dxfId="2765" priority="962">
      <formula>Q$1=""</formula>
    </cfRule>
  </conditionalFormatting>
  <conditionalFormatting sqref="Q305:AA305 Q307:AA307">
    <cfRule type="expression" dxfId="2764" priority="961">
      <formula>Q$1=""</formula>
    </cfRule>
  </conditionalFormatting>
  <conditionalFormatting sqref="Q305:AA305 Q307:AA307">
    <cfRule type="expression" dxfId="2763" priority="960">
      <formula>Q$1=""</formula>
    </cfRule>
  </conditionalFormatting>
  <conditionalFormatting sqref="Q305:AA305 Q307:AA307">
    <cfRule type="expression" dxfId="2762" priority="959">
      <formula>Q$1=""</formula>
    </cfRule>
  </conditionalFormatting>
  <conditionalFormatting sqref="Q305:AA305 Q307:AA307">
    <cfRule type="expression" dxfId="2761" priority="958">
      <formula>Q$1=""</formula>
    </cfRule>
  </conditionalFormatting>
  <conditionalFormatting sqref="P301:AA301">
    <cfRule type="expression" dxfId="2760" priority="957">
      <formula>P$1=""</formula>
    </cfRule>
  </conditionalFormatting>
  <conditionalFormatting sqref="P301:AA301">
    <cfRule type="expression" dxfId="2759" priority="956">
      <formula>P$1=""</formula>
    </cfRule>
  </conditionalFormatting>
  <conditionalFormatting sqref="P301:AA301">
    <cfRule type="expression" dxfId="2758" priority="955">
      <formula>P$1=""</formula>
    </cfRule>
  </conditionalFormatting>
  <conditionalFormatting sqref="P301:AA301">
    <cfRule type="expression" dxfId="2757" priority="954">
      <formula>P$1=""</formula>
    </cfRule>
  </conditionalFormatting>
  <conditionalFormatting sqref="P301:AA301">
    <cfRule type="expression" dxfId="2756" priority="953">
      <formula>P$1=""</formula>
    </cfRule>
  </conditionalFormatting>
  <conditionalFormatting sqref="P301:AA301">
    <cfRule type="expression" dxfId="2755" priority="952">
      <formula>P$1=""</formula>
    </cfRule>
  </conditionalFormatting>
  <conditionalFormatting sqref="P301:AA301">
    <cfRule type="expression" dxfId="2754" priority="951">
      <formula>P$1=""</formula>
    </cfRule>
  </conditionalFormatting>
  <conditionalFormatting sqref="P301:AA301">
    <cfRule type="expression" dxfId="2753" priority="950">
      <formula>P$1=""</formula>
    </cfRule>
  </conditionalFormatting>
  <conditionalFormatting sqref="P303:AA303">
    <cfRule type="expression" dxfId="2752" priority="949">
      <formula>P$1=""</formula>
    </cfRule>
  </conditionalFormatting>
  <conditionalFormatting sqref="P303:AA303">
    <cfRule type="expression" dxfId="2751" priority="948">
      <formula>P$1=""</formula>
    </cfRule>
  </conditionalFormatting>
  <conditionalFormatting sqref="P303:AA303">
    <cfRule type="expression" dxfId="2750" priority="947">
      <formula>P$1=""</formula>
    </cfRule>
  </conditionalFormatting>
  <conditionalFormatting sqref="P303:AA303">
    <cfRule type="expression" dxfId="2749" priority="946">
      <formula>P$1=""</formula>
    </cfRule>
  </conditionalFormatting>
  <conditionalFormatting sqref="P303:AA303">
    <cfRule type="expression" dxfId="2748" priority="945">
      <formula>P$1=""</formula>
    </cfRule>
  </conditionalFormatting>
  <conditionalFormatting sqref="P303:AA303">
    <cfRule type="expression" dxfId="2747" priority="944">
      <formula>P$1=""</formula>
    </cfRule>
  </conditionalFormatting>
  <conditionalFormatting sqref="P303:AA303">
    <cfRule type="expression" dxfId="2746" priority="943">
      <formula>P$1=""</formula>
    </cfRule>
  </conditionalFormatting>
  <conditionalFormatting sqref="P303:AA303">
    <cfRule type="expression" dxfId="2745" priority="942">
      <formula>P$1=""</formula>
    </cfRule>
  </conditionalFormatting>
  <conditionalFormatting sqref="P303:AA303">
    <cfRule type="expression" dxfId="2744" priority="941">
      <formula>P$1=""</formula>
    </cfRule>
  </conditionalFormatting>
  <conditionalFormatting sqref="P303:AA303">
    <cfRule type="expression" dxfId="2743" priority="940">
      <formula>P$1=""</formula>
    </cfRule>
  </conditionalFormatting>
  <conditionalFormatting sqref="P303:AA303">
    <cfRule type="expression" dxfId="2742" priority="939">
      <formula>P$1=""</formula>
    </cfRule>
  </conditionalFormatting>
  <conditionalFormatting sqref="P303:AA303">
    <cfRule type="expression" dxfId="2741" priority="938">
      <formula>P$1=""</formula>
    </cfRule>
  </conditionalFormatting>
  <conditionalFormatting sqref="P303:AA303">
    <cfRule type="expression" dxfId="2740" priority="937">
      <formula>P$1=""</formula>
    </cfRule>
  </conditionalFormatting>
  <conditionalFormatting sqref="P303:AA303">
    <cfRule type="expression" dxfId="2739" priority="936">
      <formula>P$1=""</formula>
    </cfRule>
  </conditionalFormatting>
  <conditionalFormatting sqref="P303:AA303">
    <cfRule type="expression" dxfId="2738" priority="935">
      <formula>P$1=""</formula>
    </cfRule>
  </conditionalFormatting>
  <conditionalFormatting sqref="P303:AA303">
    <cfRule type="expression" dxfId="2737" priority="934">
      <formula>P$1=""</formula>
    </cfRule>
  </conditionalFormatting>
  <conditionalFormatting sqref="P307 P305">
    <cfRule type="expression" dxfId="2736" priority="933">
      <formula>P$1=""</formula>
    </cfRule>
  </conditionalFormatting>
  <conditionalFormatting sqref="P307 P305">
    <cfRule type="expression" dxfId="2735" priority="932">
      <formula>P$1=""</formula>
    </cfRule>
  </conditionalFormatting>
  <conditionalFormatting sqref="P307 P305">
    <cfRule type="expression" dxfId="2734" priority="931">
      <formula>P$1=""</formula>
    </cfRule>
  </conditionalFormatting>
  <conditionalFormatting sqref="P307 P305">
    <cfRule type="expression" dxfId="2733" priority="930">
      <formula>P$1=""</formula>
    </cfRule>
  </conditionalFormatting>
  <conditionalFormatting sqref="P307 P305">
    <cfRule type="expression" dxfId="2732" priority="929">
      <formula>P$1=""</formula>
    </cfRule>
  </conditionalFormatting>
  <conditionalFormatting sqref="P307 P305">
    <cfRule type="expression" dxfId="2731" priority="928">
      <formula>P$1=""</formula>
    </cfRule>
  </conditionalFormatting>
  <conditionalFormatting sqref="P307 P305">
    <cfRule type="expression" dxfId="2730" priority="927">
      <formula>P$1=""</formula>
    </cfRule>
  </conditionalFormatting>
  <conditionalFormatting sqref="P307 P305">
    <cfRule type="expression" dxfId="2729" priority="926">
      <formula>P$1=""</formula>
    </cfRule>
  </conditionalFormatting>
  <conditionalFormatting sqref="P307 P305">
    <cfRule type="expression" dxfId="2728" priority="925">
      <formula>P$1=""</formula>
    </cfRule>
  </conditionalFormatting>
  <conditionalFormatting sqref="P307 P305">
    <cfRule type="expression" dxfId="2727" priority="924">
      <formula>P$1=""</formula>
    </cfRule>
  </conditionalFormatting>
  <conditionalFormatting sqref="P307 P305">
    <cfRule type="expression" dxfId="2726" priority="923">
      <formula>P$1=""</formula>
    </cfRule>
  </conditionalFormatting>
  <conditionalFormatting sqref="P307 P305">
    <cfRule type="expression" dxfId="2725" priority="922">
      <formula>P$1=""</formula>
    </cfRule>
  </conditionalFormatting>
  <conditionalFormatting sqref="P307 P305">
    <cfRule type="expression" dxfId="2724" priority="921">
      <formula>P$1=""</formula>
    </cfRule>
  </conditionalFormatting>
  <conditionalFormatting sqref="P307 P305">
    <cfRule type="expression" dxfId="2723" priority="920">
      <formula>P$1=""</formula>
    </cfRule>
  </conditionalFormatting>
  <conditionalFormatting sqref="P307 P305">
    <cfRule type="expression" dxfId="2722" priority="919">
      <formula>P$1=""</formula>
    </cfRule>
  </conditionalFormatting>
  <conditionalFormatting sqref="P307 P305">
    <cfRule type="expression" dxfId="2721" priority="918">
      <formula>P$1=""</formula>
    </cfRule>
  </conditionalFormatting>
  <conditionalFormatting sqref="P307 P305">
    <cfRule type="expression" dxfId="2720" priority="917">
      <formula>P$1=""</formula>
    </cfRule>
  </conditionalFormatting>
  <conditionalFormatting sqref="P307 P305">
    <cfRule type="expression" dxfId="2719" priority="916">
      <formula>P$1=""</formula>
    </cfRule>
  </conditionalFormatting>
  <conditionalFormatting sqref="Q307:AA307 Q305:AA305">
    <cfRule type="expression" dxfId="2718" priority="915">
      <formula>Q$1=""</formula>
    </cfRule>
  </conditionalFormatting>
  <conditionalFormatting sqref="Q307:AA307 Q305:AA305">
    <cfRule type="expression" dxfId="2717" priority="914">
      <formula>Q$1=""</formula>
    </cfRule>
  </conditionalFormatting>
  <conditionalFormatting sqref="Q307:AA307 Q305:AA305">
    <cfRule type="expression" dxfId="2716" priority="913">
      <formula>Q$1=""</formula>
    </cfRule>
  </conditionalFormatting>
  <conditionalFormatting sqref="Q307:AA307 Q305:AA305">
    <cfRule type="expression" dxfId="2715" priority="912">
      <formula>Q$1=""</formula>
    </cfRule>
  </conditionalFormatting>
  <conditionalFormatting sqref="Q307:AA307 Q305:AA305">
    <cfRule type="expression" dxfId="2714" priority="911">
      <formula>Q$1=""</formula>
    </cfRule>
  </conditionalFormatting>
  <conditionalFormatting sqref="Q307:AA307 Q305:AA305">
    <cfRule type="expression" dxfId="2713" priority="910">
      <formula>Q$1=""</formula>
    </cfRule>
  </conditionalFormatting>
  <conditionalFormatting sqref="Q307:AA307 Q305:AA305">
    <cfRule type="expression" dxfId="2712" priority="909">
      <formula>Q$1=""</formula>
    </cfRule>
  </conditionalFormatting>
  <conditionalFormatting sqref="Q307:AA307 Q305:AA305">
    <cfRule type="expression" dxfId="2711" priority="908">
      <formula>Q$1=""</formula>
    </cfRule>
  </conditionalFormatting>
  <conditionalFormatting sqref="Q307:AA307 Q305:AA305">
    <cfRule type="expression" dxfId="2710" priority="907">
      <formula>Q$1=""</formula>
    </cfRule>
  </conditionalFormatting>
  <conditionalFormatting sqref="Q307:AA307 Q305:AA305">
    <cfRule type="expression" dxfId="2709" priority="906">
      <formula>Q$1=""</formula>
    </cfRule>
  </conditionalFormatting>
  <conditionalFormatting sqref="Q307:AA307 Q305:AA305">
    <cfRule type="expression" dxfId="2708" priority="905">
      <formula>Q$1=""</formula>
    </cfRule>
  </conditionalFormatting>
  <conditionalFormatting sqref="Q307:AA307 Q305:AA305">
    <cfRule type="expression" dxfId="2707" priority="904">
      <formula>Q$1=""</formula>
    </cfRule>
  </conditionalFormatting>
  <conditionalFormatting sqref="Q307:AA307 Q305:AA305">
    <cfRule type="expression" dxfId="2706" priority="903">
      <formula>Q$1=""</formula>
    </cfRule>
  </conditionalFormatting>
  <conditionalFormatting sqref="Q307:AA307 Q305:AA305">
    <cfRule type="expression" dxfId="2705" priority="902">
      <formula>Q$1=""</formula>
    </cfRule>
  </conditionalFormatting>
  <conditionalFormatting sqref="Q307:AA307 Q305:AA305">
    <cfRule type="expression" dxfId="2704" priority="901">
      <formula>Q$1=""</formula>
    </cfRule>
  </conditionalFormatting>
  <conditionalFormatting sqref="Q307:AA307 Q305:AA305">
    <cfRule type="expression" dxfId="2703" priority="900">
      <formula>Q$1=""</formula>
    </cfRule>
  </conditionalFormatting>
  <conditionalFormatting sqref="Q307:AA307 Q305:AA305">
    <cfRule type="expression" dxfId="2702" priority="899">
      <formula>Q$1=""</formula>
    </cfRule>
  </conditionalFormatting>
  <conditionalFormatting sqref="Q307:AA307 Q305:AA305">
    <cfRule type="expression" dxfId="2701" priority="898">
      <formula>Q$1=""</formula>
    </cfRule>
  </conditionalFormatting>
  <conditionalFormatting sqref="Q307:AA307 Q305:AA305">
    <cfRule type="expression" dxfId="2700" priority="897">
      <formula>Q$1=""</formula>
    </cfRule>
  </conditionalFormatting>
  <conditionalFormatting sqref="Q307:AA307 Q305:AA305">
    <cfRule type="expression" dxfId="2699" priority="896">
      <formula>Q$1=""</formula>
    </cfRule>
  </conditionalFormatting>
  <conditionalFormatting sqref="Q307:AA307 Q305:AA305">
    <cfRule type="expression" dxfId="2698" priority="895">
      <formula>Q$1=""</formula>
    </cfRule>
  </conditionalFormatting>
  <conditionalFormatting sqref="Q307:AA307 Q305:AA305">
    <cfRule type="expression" dxfId="2697" priority="894">
      <formula>Q$1=""</formula>
    </cfRule>
  </conditionalFormatting>
  <conditionalFormatting sqref="Q307:AA307 Q305:AA305">
    <cfRule type="expression" dxfId="2696" priority="893">
      <formula>Q$1=""</formula>
    </cfRule>
  </conditionalFormatting>
  <conditionalFormatting sqref="Q307:AA307 Q305:AA305">
    <cfRule type="expression" dxfId="2695" priority="892">
      <formula>Q$1=""</formula>
    </cfRule>
  </conditionalFormatting>
  <conditionalFormatting sqref="Q307:AA307 Q305:AA305">
    <cfRule type="expression" dxfId="2694" priority="891">
      <formula>Q$1=""</formula>
    </cfRule>
  </conditionalFormatting>
  <conditionalFormatting sqref="Q307:AA307 Q305:AA305">
    <cfRule type="expression" dxfId="2693" priority="890">
      <formula>Q$1=""</formula>
    </cfRule>
  </conditionalFormatting>
  <conditionalFormatting sqref="Q307:AA307 Q305:AA305">
    <cfRule type="expression" dxfId="2692" priority="889">
      <formula>Q$1=""</formula>
    </cfRule>
  </conditionalFormatting>
  <conditionalFormatting sqref="Q307:AA307 Q305:AA305">
    <cfRule type="expression" dxfId="2691" priority="888">
      <formula>Q$1=""</formula>
    </cfRule>
  </conditionalFormatting>
  <conditionalFormatting sqref="Q307:AA307 Q305:AA305">
    <cfRule type="expression" dxfId="2690" priority="887">
      <formula>Q$1=""</formula>
    </cfRule>
  </conditionalFormatting>
  <conditionalFormatting sqref="Q307:AA307 Q305:AA305">
    <cfRule type="expression" dxfId="2689" priority="886">
      <formula>Q$1=""</formula>
    </cfRule>
  </conditionalFormatting>
  <conditionalFormatting sqref="Q307:AA307 Q305:AA305">
    <cfRule type="expression" dxfId="2688" priority="885">
      <formula>Q$1=""</formula>
    </cfRule>
  </conditionalFormatting>
  <conditionalFormatting sqref="Q307:AA307 Q305:AA305">
    <cfRule type="expression" dxfId="2687" priority="884">
      <formula>Q$1=""</formula>
    </cfRule>
  </conditionalFormatting>
  <conditionalFormatting sqref="Q307:AA307 Q305:AA305">
    <cfRule type="expression" dxfId="2686" priority="883">
      <formula>Q$1=""</formula>
    </cfRule>
  </conditionalFormatting>
  <conditionalFormatting sqref="Q307:AA307 Q305:AA305">
    <cfRule type="expression" dxfId="2685" priority="882">
      <formula>Q$1=""</formula>
    </cfRule>
  </conditionalFormatting>
  <conditionalFormatting sqref="P301:AA301">
    <cfRule type="expression" dxfId="2684" priority="881">
      <formula>P$1=""</formula>
    </cfRule>
  </conditionalFormatting>
  <conditionalFormatting sqref="P301:AA301">
    <cfRule type="expression" dxfId="2683" priority="880">
      <formula>P$1=""</formula>
    </cfRule>
  </conditionalFormatting>
  <conditionalFormatting sqref="P301:AA301">
    <cfRule type="expression" dxfId="2682" priority="879">
      <formula>P$1=""</formula>
    </cfRule>
  </conditionalFormatting>
  <conditionalFormatting sqref="P301:AA301">
    <cfRule type="expression" dxfId="2681" priority="878">
      <formula>P$1=""</formula>
    </cfRule>
  </conditionalFormatting>
  <conditionalFormatting sqref="P301:AA301">
    <cfRule type="expression" dxfId="2680" priority="877">
      <formula>P$1=""</formula>
    </cfRule>
  </conditionalFormatting>
  <conditionalFormatting sqref="P301:AA301">
    <cfRule type="expression" dxfId="2679" priority="876">
      <formula>P$1=""</formula>
    </cfRule>
  </conditionalFormatting>
  <conditionalFormatting sqref="P301:AA301">
    <cfRule type="expression" dxfId="2678" priority="875">
      <formula>P$1=""</formula>
    </cfRule>
  </conditionalFormatting>
  <conditionalFormatting sqref="P301:AA301">
    <cfRule type="expression" dxfId="2677" priority="874">
      <formula>P$1=""</formula>
    </cfRule>
  </conditionalFormatting>
  <conditionalFormatting sqref="P301:AA301">
    <cfRule type="expression" dxfId="2676" priority="873">
      <formula>P$1=""</formula>
    </cfRule>
  </conditionalFormatting>
  <conditionalFormatting sqref="P301:AA301">
    <cfRule type="expression" dxfId="2675" priority="872">
      <formula>P$1=""</formula>
    </cfRule>
  </conditionalFormatting>
  <conditionalFormatting sqref="P301:AA301">
    <cfRule type="expression" dxfId="2674" priority="871">
      <formula>P$1=""</formula>
    </cfRule>
  </conditionalFormatting>
  <conditionalFormatting sqref="P301:AA301">
    <cfRule type="expression" dxfId="2673" priority="870">
      <formula>P$1=""</formula>
    </cfRule>
  </conditionalFormatting>
  <conditionalFormatting sqref="P301:AA301">
    <cfRule type="expression" dxfId="2672" priority="869">
      <formula>P$1=""</formula>
    </cfRule>
  </conditionalFormatting>
  <conditionalFormatting sqref="P301:AA301">
    <cfRule type="expression" dxfId="2671" priority="868">
      <formula>P$1=""</formula>
    </cfRule>
  </conditionalFormatting>
  <conditionalFormatting sqref="P301:AA301">
    <cfRule type="expression" dxfId="2670" priority="867">
      <formula>P$1=""</formula>
    </cfRule>
  </conditionalFormatting>
  <conditionalFormatting sqref="P301:AA301">
    <cfRule type="expression" dxfId="2669" priority="866">
      <formula>P$1=""</formula>
    </cfRule>
  </conditionalFormatting>
  <conditionalFormatting sqref="P311:AA311">
    <cfRule type="expression" dxfId="2668" priority="865">
      <formula>P$1=""</formula>
    </cfRule>
  </conditionalFormatting>
  <conditionalFormatting sqref="P313:AA313">
    <cfRule type="expression" dxfId="2667" priority="864">
      <formula>P$1=""</formula>
    </cfRule>
  </conditionalFormatting>
  <conditionalFormatting sqref="P315:AA315">
    <cfRule type="expression" dxfId="2666" priority="863">
      <formula>P$1=""</formula>
    </cfRule>
  </conditionalFormatting>
  <conditionalFormatting sqref="P317:AA317">
    <cfRule type="expression" dxfId="2665" priority="862">
      <formula>P$1=""</formula>
    </cfRule>
  </conditionalFormatting>
  <conditionalFormatting sqref="P313:AA313 P315:AA315 P317:AA317">
    <cfRule type="expression" dxfId="2664" priority="861">
      <formula>P$1=""</formula>
    </cfRule>
  </conditionalFormatting>
  <conditionalFormatting sqref="P313:AA313 P315:AA315 P317:AA317">
    <cfRule type="expression" dxfId="2663" priority="860">
      <formula>P$1=""</formula>
    </cfRule>
  </conditionalFormatting>
  <conditionalFormatting sqref="P313:AA313 P315:AA315 P317:AA317">
    <cfRule type="expression" dxfId="2662" priority="859">
      <formula>P$1=""</formula>
    </cfRule>
  </conditionalFormatting>
  <conditionalFormatting sqref="P313:AA313 P315:AA315 P317:AA317">
    <cfRule type="expression" dxfId="2661" priority="858">
      <formula>P$1=""</formula>
    </cfRule>
  </conditionalFormatting>
  <conditionalFormatting sqref="P313:AA313 P315:AA315 P317:AA317">
    <cfRule type="expression" dxfId="2660" priority="857">
      <formula>P$1=""</formula>
    </cfRule>
  </conditionalFormatting>
  <conditionalFormatting sqref="P315:AA315 P317:AA317">
    <cfRule type="expression" dxfId="2659" priority="856">
      <formula>P$1=""</formula>
    </cfRule>
  </conditionalFormatting>
  <conditionalFormatting sqref="P313:AA313">
    <cfRule type="expression" dxfId="2658" priority="855">
      <formula>P$1=""</formula>
    </cfRule>
  </conditionalFormatting>
  <conditionalFormatting sqref="P315:AA315 P317:AA317">
    <cfRule type="expression" dxfId="2657" priority="854">
      <formula>P$1=""</formula>
    </cfRule>
  </conditionalFormatting>
  <conditionalFormatting sqref="P315:AA315 P317:AA317">
    <cfRule type="expression" dxfId="2656" priority="853">
      <formula>P$1=""</formula>
    </cfRule>
  </conditionalFormatting>
  <conditionalFormatting sqref="P317:AA317">
    <cfRule type="expression" dxfId="2655" priority="852">
      <formula>P$1=""</formula>
    </cfRule>
  </conditionalFormatting>
  <conditionalFormatting sqref="P317:AA317">
    <cfRule type="expression" dxfId="2654" priority="851">
      <formula>P$1=""</formula>
    </cfRule>
  </conditionalFormatting>
  <conditionalFormatting sqref="P317:AA317">
    <cfRule type="expression" dxfId="2653" priority="850">
      <formula>P$1=""</formula>
    </cfRule>
  </conditionalFormatting>
  <conditionalFormatting sqref="P317:AA317">
    <cfRule type="expression" dxfId="2652" priority="849">
      <formula>P$1=""</formula>
    </cfRule>
  </conditionalFormatting>
  <conditionalFormatting sqref="P311:AA311">
    <cfRule type="expression" dxfId="2651" priority="848">
      <formula>P$1=""</formula>
    </cfRule>
  </conditionalFormatting>
  <conditionalFormatting sqref="P311:AA311">
    <cfRule type="expression" dxfId="2650" priority="847">
      <formula>P$1=""</formula>
    </cfRule>
  </conditionalFormatting>
  <conditionalFormatting sqref="P311:AA311">
    <cfRule type="expression" dxfId="2649" priority="846">
      <formula>P$1=""</formula>
    </cfRule>
  </conditionalFormatting>
  <conditionalFormatting sqref="P311:AA311">
    <cfRule type="expression" dxfId="2648" priority="845">
      <formula>P$1=""</formula>
    </cfRule>
  </conditionalFormatting>
  <conditionalFormatting sqref="P311:AA311">
    <cfRule type="expression" dxfId="2647" priority="844">
      <formula>P$1=""</formula>
    </cfRule>
  </conditionalFormatting>
  <conditionalFormatting sqref="P311:AA311">
    <cfRule type="expression" dxfId="2646" priority="843">
      <formula>P$1=""</formula>
    </cfRule>
  </conditionalFormatting>
  <conditionalFormatting sqref="P311:AA311">
    <cfRule type="expression" dxfId="2645" priority="842">
      <formula>P$1=""</formula>
    </cfRule>
  </conditionalFormatting>
  <conditionalFormatting sqref="P315:AA315 P317:AA317">
    <cfRule type="expression" dxfId="2644" priority="841">
      <formula>P$1=""</formula>
    </cfRule>
  </conditionalFormatting>
  <conditionalFormatting sqref="P315:AA315 P317:AA317">
    <cfRule type="expression" dxfId="2643" priority="840">
      <formula>P$1=""</formula>
    </cfRule>
  </conditionalFormatting>
  <conditionalFormatting sqref="P315:AA315 P317:AA317">
    <cfRule type="expression" dxfId="2642" priority="839">
      <formula>P$1=""</formula>
    </cfRule>
  </conditionalFormatting>
  <conditionalFormatting sqref="P315:AA315 P317:AA317">
    <cfRule type="expression" dxfId="2641" priority="838">
      <formula>P$1=""</formula>
    </cfRule>
  </conditionalFormatting>
  <conditionalFormatting sqref="P313:AA313 P315:AA315 P317:AA317">
    <cfRule type="expression" dxfId="2640" priority="837">
      <formula>P$1=""</formula>
    </cfRule>
  </conditionalFormatting>
  <conditionalFormatting sqref="P313:AA313 P315:AA315 P317:AA317">
    <cfRule type="expression" dxfId="2639" priority="836">
      <formula>P$1=""</formula>
    </cfRule>
  </conditionalFormatting>
  <conditionalFormatting sqref="P313:AA313 P315:AA315 P317:AA317">
    <cfRule type="expression" dxfId="2638" priority="835">
      <formula>P$1=""</formula>
    </cfRule>
  </conditionalFormatting>
  <conditionalFormatting sqref="P313:AA313 P315:AA315 P317:AA317">
    <cfRule type="expression" dxfId="2637" priority="834">
      <formula>P$1=""</formula>
    </cfRule>
  </conditionalFormatting>
  <conditionalFormatting sqref="P313:AA313 P315:AA315 P317:AA317">
    <cfRule type="expression" dxfId="2636" priority="833">
      <formula>P$1=""</formula>
    </cfRule>
  </conditionalFormatting>
  <conditionalFormatting sqref="P313:AA313 P315:AA315 P317:AA317">
    <cfRule type="expression" dxfId="2635" priority="832">
      <formula>P$1=""</formula>
    </cfRule>
  </conditionalFormatting>
  <conditionalFormatting sqref="P313:AA313 P315:AA315 P317:AA317">
    <cfRule type="expression" dxfId="2634" priority="831">
      <formula>P$1=""</formula>
    </cfRule>
  </conditionalFormatting>
  <conditionalFormatting sqref="P313:AA313 P315:AA315 P317:AA317">
    <cfRule type="expression" dxfId="2633" priority="830">
      <formula>P$1=""</formula>
    </cfRule>
  </conditionalFormatting>
  <conditionalFormatting sqref="Q313:AA313">
    <cfRule type="expression" dxfId="2632" priority="829">
      <formula>Q$1=""</formula>
    </cfRule>
  </conditionalFormatting>
  <conditionalFormatting sqref="Q313:AA313">
    <cfRule type="expression" dxfId="2631" priority="828">
      <formula>Q$1=""</formula>
    </cfRule>
  </conditionalFormatting>
  <conditionalFormatting sqref="Q313:AA313">
    <cfRule type="expression" dxfId="2630" priority="827">
      <formula>Q$1=""</formula>
    </cfRule>
  </conditionalFormatting>
  <conditionalFormatting sqref="Q313:AA313">
    <cfRule type="expression" dxfId="2629" priority="826">
      <formula>Q$1=""</formula>
    </cfRule>
  </conditionalFormatting>
  <conditionalFormatting sqref="Q313:AA313">
    <cfRule type="expression" dxfId="2628" priority="825">
      <formula>Q$1=""</formula>
    </cfRule>
  </conditionalFormatting>
  <conditionalFormatting sqref="Q313:AA313">
    <cfRule type="expression" dxfId="2627" priority="824">
      <formula>Q$1=""</formula>
    </cfRule>
  </conditionalFormatting>
  <conditionalFormatting sqref="Q313:AA313">
    <cfRule type="expression" dxfId="2626" priority="823">
      <formula>Q$1=""</formula>
    </cfRule>
  </conditionalFormatting>
  <conditionalFormatting sqref="Q313:AA313">
    <cfRule type="expression" dxfId="2625" priority="822">
      <formula>Q$1=""</formula>
    </cfRule>
  </conditionalFormatting>
  <conditionalFormatting sqref="Q315:AA315 Q317:AA317">
    <cfRule type="expression" dxfId="2624" priority="821">
      <formula>Q$1=""</formula>
    </cfRule>
  </conditionalFormatting>
  <conditionalFormatting sqref="Q315:AA315 Q317:AA317">
    <cfRule type="expression" dxfId="2623" priority="820">
      <formula>Q$1=""</formula>
    </cfRule>
  </conditionalFormatting>
  <conditionalFormatting sqref="Q315:AA315 Q317:AA317">
    <cfRule type="expression" dxfId="2622" priority="819">
      <formula>Q$1=""</formula>
    </cfRule>
  </conditionalFormatting>
  <conditionalFormatting sqref="Q315:AA315 Q317:AA317">
    <cfRule type="expression" dxfId="2621" priority="818">
      <formula>Q$1=""</formula>
    </cfRule>
  </conditionalFormatting>
  <conditionalFormatting sqref="Q315:AA315 Q317:AA317">
    <cfRule type="expression" dxfId="2620" priority="817">
      <formula>Q$1=""</formula>
    </cfRule>
  </conditionalFormatting>
  <conditionalFormatting sqref="Q315:AA315 Q317:AA317">
    <cfRule type="expression" dxfId="2619" priority="816">
      <formula>Q$1=""</formula>
    </cfRule>
  </conditionalFormatting>
  <conditionalFormatting sqref="Q315:AA315 Q317:AA317">
    <cfRule type="expression" dxfId="2618" priority="815">
      <formula>Q$1=""</formula>
    </cfRule>
  </conditionalFormatting>
  <conditionalFormatting sqref="Q315:AA315 Q317:AA317">
    <cfRule type="expression" dxfId="2617" priority="814">
      <formula>Q$1=""</formula>
    </cfRule>
  </conditionalFormatting>
  <conditionalFormatting sqref="Q315:AA315 Q317:AA317">
    <cfRule type="expression" dxfId="2616" priority="813">
      <formula>Q$1=""</formula>
    </cfRule>
  </conditionalFormatting>
  <conditionalFormatting sqref="Q315:AA315 Q317:AA317">
    <cfRule type="expression" dxfId="2615" priority="812">
      <formula>Q$1=""</formula>
    </cfRule>
  </conditionalFormatting>
  <conditionalFormatting sqref="P311:AA311">
    <cfRule type="expression" dxfId="2614" priority="811">
      <formula>P$1=""</formula>
    </cfRule>
  </conditionalFormatting>
  <conditionalFormatting sqref="P311:AA311">
    <cfRule type="expression" dxfId="2613" priority="810">
      <formula>P$1=""</formula>
    </cfRule>
  </conditionalFormatting>
  <conditionalFormatting sqref="P311:AA311">
    <cfRule type="expression" dxfId="2612" priority="809">
      <formula>P$1=""</formula>
    </cfRule>
  </conditionalFormatting>
  <conditionalFormatting sqref="P311:AA311">
    <cfRule type="expression" dxfId="2611" priority="808">
      <formula>P$1=""</formula>
    </cfRule>
  </conditionalFormatting>
  <conditionalFormatting sqref="P311:AA311">
    <cfRule type="expression" dxfId="2610" priority="807">
      <formula>P$1=""</formula>
    </cfRule>
  </conditionalFormatting>
  <conditionalFormatting sqref="P311:AA311">
    <cfRule type="expression" dxfId="2609" priority="806">
      <formula>P$1=""</formula>
    </cfRule>
  </conditionalFormatting>
  <conditionalFormatting sqref="P311:AA311">
    <cfRule type="expression" dxfId="2608" priority="805">
      <formula>P$1=""</formula>
    </cfRule>
  </conditionalFormatting>
  <conditionalFormatting sqref="P311:AA311">
    <cfRule type="expression" dxfId="2607" priority="804">
      <formula>P$1=""</formula>
    </cfRule>
  </conditionalFormatting>
  <conditionalFormatting sqref="P313:AA313">
    <cfRule type="expression" dxfId="2606" priority="803">
      <formula>P$1=""</formula>
    </cfRule>
  </conditionalFormatting>
  <conditionalFormatting sqref="P313:AA313">
    <cfRule type="expression" dxfId="2605" priority="802">
      <formula>P$1=""</formula>
    </cfRule>
  </conditionalFormatting>
  <conditionalFormatting sqref="P313:AA313">
    <cfRule type="expression" dxfId="2604" priority="801">
      <formula>P$1=""</formula>
    </cfRule>
  </conditionalFormatting>
  <conditionalFormatting sqref="P313:AA313">
    <cfRule type="expression" dxfId="2603" priority="800">
      <formula>P$1=""</formula>
    </cfRule>
  </conditionalFormatting>
  <conditionalFormatting sqref="P313:AA313">
    <cfRule type="expression" dxfId="2602" priority="799">
      <formula>P$1=""</formula>
    </cfRule>
  </conditionalFormatting>
  <conditionalFormatting sqref="P313:AA313">
    <cfRule type="expression" dxfId="2601" priority="798">
      <formula>P$1=""</formula>
    </cfRule>
  </conditionalFormatting>
  <conditionalFormatting sqref="P313:AA313">
    <cfRule type="expression" dxfId="2600" priority="797">
      <formula>P$1=""</formula>
    </cfRule>
  </conditionalFormatting>
  <conditionalFormatting sqref="P313:AA313">
    <cfRule type="expression" dxfId="2599" priority="796">
      <formula>P$1=""</formula>
    </cfRule>
  </conditionalFormatting>
  <conditionalFormatting sqref="P313:AA313">
    <cfRule type="expression" dxfId="2598" priority="795">
      <formula>P$1=""</formula>
    </cfRule>
  </conditionalFormatting>
  <conditionalFormatting sqref="P313:AA313">
    <cfRule type="expression" dxfId="2597" priority="794">
      <formula>P$1=""</formula>
    </cfRule>
  </conditionalFormatting>
  <conditionalFormatting sqref="P313:AA313">
    <cfRule type="expression" dxfId="2596" priority="793">
      <formula>P$1=""</formula>
    </cfRule>
  </conditionalFormatting>
  <conditionalFormatting sqref="P313:AA313">
    <cfRule type="expression" dxfId="2595" priority="792">
      <formula>P$1=""</formula>
    </cfRule>
  </conditionalFormatting>
  <conditionalFormatting sqref="P313:AA313">
    <cfRule type="expression" dxfId="2594" priority="791">
      <formula>P$1=""</formula>
    </cfRule>
  </conditionalFormatting>
  <conditionalFormatting sqref="P313:AA313">
    <cfRule type="expression" dxfId="2593" priority="790">
      <formula>P$1=""</formula>
    </cfRule>
  </conditionalFormatting>
  <conditionalFormatting sqref="P313:AA313">
    <cfRule type="expression" dxfId="2592" priority="789">
      <formula>P$1=""</formula>
    </cfRule>
  </conditionalFormatting>
  <conditionalFormatting sqref="P313:AA313">
    <cfRule type="expression" dxfId="2591" priority="788">
      <formula>P$1=""</formula>
    </cfRule>
  </conditionalFormatting>
  <conditionalFormatting sqref="P317 P315">
    <cfRule type="expression" dxfId="2590" priority="787">
      <formula>P$1=""</formula>
    </cfRule>
  </conditionalFormatting>
  <conditionalFormatting sqref="P317 P315">
    <cfRule type="expression" dxfId="2589" priority="786">
      <formula>P$1=""</formula>
    </cfRule>
  </conditionalFormatting>
  <conditionalFormatting sqref="P317 P315">
    <cfRule type="expression" dxfId="2588" priority="785">
      <formula>P$1=""</formula>
    </cfRule>
  </conditionalFormatting>
  <conditionalFormatting sqref="P317 P315">
    <cfRule type="expression" dxfId="2587" priority="784">
      <formula>P$1=""</formula>
    </cfRule>
  </conditionalFormatting>
  <conditionalFormatting sqref="P317 P315">
    <cfRule type="expression" dxfId="2586" priority="783">
      <formula>P$1=""</formula>
    </cfRule>
  </conditionalFormatting>
  <conditionalFormatting sqref="P317 P315">
    <cfRule type="expression" dxfId="2585" priority="782">
      <formula>P$1=""</formula>
    </cfRule>
  </conditionalFormatting>
  <conditionalFormatting sqref="P317 P315">
    <cfRule type="expression" dxfId="2584" priority="781">
      <formula>P$1=""</formula>
    </cfRule>
  </conditionalFormatting>
  <conditionalFormatting sqref="P317 P315">
    <cfRule type="expression" dxfId="2583" priority="780">
      <formula>P$1=""</formula>
    </cfRule>
  </conditionalFormatting>
  <conditionalFormatting sqref="P317 P315">
    <cfRule type="expression" dxfId="2582" priority="779">
      <formula>P$1=""</formula>
    </cfRule>
  </conditionalFormatting>
  <conditionalFormatting sqref="P317 P315">
    <cfRule type="expression" dxfId="2581" priority="778">
      <formula>P$1=""</formula>
    </cfRule>
  </conditionalFormatting>
  <conditionalFormatting sqref="P317 P315">
    <cfRule type="expression" dxfId="2580" priority="777">
      <formula>P$1=""</formula>
    </cfRule>
  </conditionalFormatting>
  <conditionalFormatting sqref="P317 P315">
    <cfRule type="expression" dxfId="2579" priority="776">
      <formula>P$1=""</formula>
    </cfRule>
  </conditionalFormatting>
  <conditionalFormatting sqref="P317 P315">
    <cfRule type="expression" dxfId="2578" priority="775">
      <formula>P$1=""</formula>
    </cfRule>
  </conditionalFormatting>
  <conditionalFormatting sqref="P317 P315">
    <cfRule type="expression" dxfId="2577" priority="774">
      <formula>P$1=""</formula>
    </cfRule>
  </conditionalFormatting>
  <conditionalFormatting sqref="P317 P315">
    <cfRule type="expression" dxfId="2576" priority="773">
      <formula>P$1=""</formula>
    </cfRule>
  </conditionalFormatting>
  <conditionalFormatting sqref="P317 P315">
    <cfRule type="expression" dxfId="2575" priority="772">
      <formula>P$1=""</formula>
    </cfRule>
  </conditionalFormatting>
  <conditionalFormatting sqref="P317 P315">
    <cfRule type="expression" dxfId="2574" priority="771">
      <formula>P$1=""</formula>
    </cfRule>
  </conditionalFormatting>
  <conditionalFormatting sqref="P317 P315">
    <cfRule type="expression" dxfId="2573" priority="770">
      <formula>P$1=""</formula>
    </cfRule>
  </conditionalFormatting>
  <conditionalFormatting sqref="Q317:AA317 Q315:AA315">
    <cfRule type="expression" dxfId="2572" priority="769">
      <formula>Q$1=""</formula>
    </cfRule>
  </conditionalFormatting>
  <conditionalFormatting sqref="Q317:AA317 Q315:AA315">
    <cfRule type="expression" dxfId="2571" priority="768">
      <formula>Q$1=""</formula>
    </cfRule>
  </conditionalFormatting>
  <conditionalFormatting sqref="Q317:AA317 Q315:AA315">
    <cfRule type="expression" dxfId="2570" priority="767">
      <formula>Q$1=""</formula>
    </cfRule>
  </conditionalFormatting>
  <conditionalFormatting sqref="Q317:AA317 Q315:AA315">
    <cfRule type="expression" dxfId="2569" priority="766">
      <formula>Q$1=""</formula>
    </cfRule>
  </conditionalFormatting>
  <conditionalFormatting sqref="Q317:AA317 Q315:AA315">
    <cfRule type="expression" dxfId="2568" priority="765">
      <formula>Q$1=""</formula>
    </cfRule>
  </conditionalFormatting>
  <conditionalFormatting sqref="Q317:AA317 Q315:AA315">
    <cfRule type="expression" dxfId="2567" priority="764">
      <formula>Q$1=""</formula>
    </cfRule>
  </conditionalFormatting>
  <conditionalFormatting sqref="Q317:AA317 Q315:AA315">
    <cfRule type="expression" dxfId="2566" priority="763">
      <formula>Q$1=""</formula>
    </cfRule>
  </conditionalFormatting>
  <conditionalFormatting sqref="Q317:AA317 Q315:AA315">
    <cfRule type="expression" dxfId="2565" priority="762">
      <formula>Q$1=""</formula>
    </cfRule>
  </conditionalFormatting>
  <conditionalFormatting sqref="Q317:AA317 Q315:AA315">
    <cfRule type="expression" dxfId="2564" priority="761">
      <formula>Q$1=""</formula>
    </cfRule>
  </conditionalFormatting>
  <conditionalFormatting sqref="Q317:AA317 Q315:AA315">
    <cfRule type="expression" dxfId="2563" priority="760">
      <formula>Q$1=""</formula>
    </cfRule>
  </conditionalFormatting>
  <conditionalFormatting sqref="Q317:AA317 Q315:AA315">
    <cfRule type="expression" dxfId="2562" priority="759">
      <formula>Q$1=""</formula>
    </cfRule>
  </conditionalFormatting>
  <conditionalFormatting sqref="Q317:AA317 Q315:AA315">
    <cfRule type="expression" dxfId="2561" priority="758">
      <formula>Q$1=""</formula>
    </cfRule>
  </conditionalFormatting>
  <conditionalFormatting sqref="Q317:AA317 Q315:AA315">
    <cfRule type="expression" dxfId="2560" priority="757">
      <formula>Q$1=""</formula>
    </cfRule>
  </conditionalFormatting>
  <conditionalFormatting sqref="Q317:AA317 Q315:AA315">
    <cfRule type="expression" dxfId="2559" priority="756">
      <formula>Q$1=""</formula>
    </cfRule>
  </conditionalFormatting>
  <conditionalFormatting sqref="Q317:AA317 Q315:AA315">
    <cfRule type="expression" dxfId="2558" priority="755">
      <formula>Q$1=""</formula>
    </cfRule>
  </conditionalFormatting>
  <conditionalFormatting sqref="Q317:AA317 Q315:AA315">
    <cfRule type="expression" dxfId="2557" priority="754">
      <formula>Q$1=""</formula>
    </cfRule>
  </conditionalFormatting>
  <conditionalFormatting sqref="Q317:AA317 Q315:AA315">
    <cfRule type="expression" dxfId="2556" priority="753">
      <formula>Q$1=""</formula>
    </cfRule>
  </conditionalFormatting>
  <conditionalFormatting sqref="Q317:AA317 Q315:AA315">
    <cfRule type="expression" dxfId="2555" priority="752">
      <formula>Q$1=""</formula>
    </cfRule>
  </conditionalFormatting>
  <conditionalFormatting sqref="Q317:AA317 Q315:AA315">
    <cfRule type="expression" dxfId="2554" priority="751">
      <formula>Q$1=""</formula>
    </cfRule>
  </conditionalFormatting>
  <conditionalFormatting sqref="Q317:AA317 Q315:AA315">
    <cfRule type="expression" dxfId="2553" priority="750">
      <formula>Q$1=""</formula>
    </cfRule>
  </conditionalFormatting>
  <conditionalFormatting sqref="Q317:AA317 Q315:AA315">
    <cfRule type="expression" dxfId="2552" priority="749">
      <formula>Q$1=""</formula>
    </cfRule>
  </conditionalFormatting>
  <conditionalFormatting sqref="Q317:AA317 Q315:AA315">
    <cfRule type="expression" dxfId="2551" priority="748">
      <formula>Q$1=""</formula>
    </cfRule>
  </conditionalFormatting>
  <conditionalFormatting sqref="Q317:AA317 Q315:AA315">
    <cfRule type="expression" dxfId="2550" priority="747">
      <formula>Q$1=""</formula>
    </cfRule>
  </conditionalFormatting>
  <conditionalFormatting sqref="Q317:AA317 Q315:AA315">
    <cfRule type="expression" dxfId="2549" priority="746">
      <formula>Q$1=""</formula>
    </cfRule>
  </conditionalFormatting>
  <conditionalFormatting sqref="Q317:AA317 Q315:AA315">
    <cfRule type="expression" dxfId="2548" priority="745">
      <formula>Q$1=""</formula>
    </cfRule>
  </conditionalFormatting>
  <conditionalFormatting sqref="Q317:AA317 Q315:AA315">
    <cfRule type="expression" dxfId="2547" priority="744">
      <formula>Q$1=""</formula>
    </cfRule>
  </conditionalFormatting>
  <conditionalFormatting sqref="Q317:AA317 Q315:AA315">
    <cfRule type="expression" dxfId="2546" priority="743">
      <formula>Q$1=""</formula>
    </cfRule>
  </conditionalFormatting>
  <conditionalFormatting sqref="Q317:AA317 Q315:AA315">
    <cfRule type="expression" dxfId="2545" priority="742">
      <formula>Q$1=""</formula>
    </cfRule>
  </conditionalFormatting>
  <conditionalFormatting sqref="Q317:AA317 Q315:AA315">
    <cfRule type="expression" dxfId="2544" priority="741">
      <formula>Q$1=""</formula>
    </cfRule>
  </conditionalFormatting>
  <conditionalFormatting sqref="Q317:AA317 Q315:AA315">
    <cfRule type="expression" dxfId="2543" priority="740">
      <formula>Q$1=""</formula>
    </cfRule>
  </conditionalFormatting>
  <conditionalFormatting sqref="Q317:AA317 Q315:AA315">
    <cfRule type="expression" dxfId="2542" priority="739">
      <formula>Q$1=""</formula>
    </cfRule>
  </conditionalFormatting>
  <conditionalFormatting sqref="Q317:AA317 Q315:AA315">
    <cfRule type="expression" dxfId="2541" priority="738">
      <formula>Q$1=""</formula>
    </cfRule>
  </conditionalFormatting>
  <conditionalFormatting sqref="Q317:AA317 Q315:AA315">
    <cfRule type="expression" dxfId="2540" priority="737">
      <formula>Q$1=""</formula>
    </cfRule>
  </conditionalFormatting>
  <conditionalFormatting sqref="Q317:AA317 Q315:AA315">
    <cfRule type="expression" dxfId="2539" priority="736">
      <formula>Q$1=""</formula>
    </cfRule>
  </conditionalFormatting>
  <conditionalFormatting sqref="P311:AA311">
    <cfRule type="expression" dxfId="2538" priority="735">
      <formula>P$1=""</formula>
    </cfRule>
  </conditionalFormatting>
  <conditionalFormatting sqref="P311:AA311">
    <cfRule type="expression" dxfId="2537" priority="734">
      <formula>P$1=""</formula>
    </cfRule>
  </conditionalFormatting>
  <conditionalFormatting sqref="P311:AA311">
    <cfRule type="expression" dxfId="2536" priority="733">
      <formula>P$1=""</formula>
    </cfRule>
  </conditionalFormatting>
  <conditionalFormatting sqref="P311:AA311">
    <cfRule type="expression" dxfId="2535" priority="732">
      <formula>P$1=""</formula>
    </cfRule>
  </conditionalFormatting>
  <conditionalFormatting sqref="P311:AA311">
    <cfRule type="expression" dxfId="2534" priority="731">
      <formula>P$1=""</formula>
    </cfRule>
  </conditionalFormatting>
  <conditionalFormatting sqref="P311:AA311">
    <cfRule type="expression" dxfId="2533" priority="730">
      <formula>P$1=""</formula>
    </cfRule>
  </conditionalFormatting>
  <conditionalFormatting sqref="P311:AA311">
    <cfRule type="expression" dxfId="2532" priority="729">
      <formula>P$1=""</formula>
    </cfRule>
  </conditionalFormatting>
  <conditionalFormatting sqref="P311:AA311">
    <cfRule type="expression" dxfId="2531" priority="728">
      <formula>P$1=""</formula>
    </cfRule>
  </conditionalFormatting>
  <conditionalFormatting sqref="P311:AA311">
    <cfRule type="expression" dxfId="2530" priority="727">
      <formula>P$1=""</formula>
    </cfRule>
  </conditionalFormatting>
  <conditionalFormatting sqref="P311:AA311">
    <cfRule type="expression" dxfId="2529" priority="726">
      <formula>P$1=""</formula>
    </cfRule>
  </conditionalFormatting>
  <conditionalFormatting sqref="P311:AA311">
    <cfRule type="expression" dxfId="2528" priority="725">
      <formula>P$1=""</formula>
    </cfRule>
  </conditionalFormatting>
  <conditionalFormatting sqref="P311:AA311">
    <cfRule type="expression" dxfId="2527" priority="724">
      <formula>P$1=""</formula>
    </cfRule>
  </conditionalFormatting>
  <conditionalFormatting sqref="P311:AA311">
    <cfRule type="expression" dxfId="2526" priority="723">
      <formula>P$1=""</formula>
    </cfRule>
  </conditionalFormatting>
  <conditionalFormatting sqref="P311:AA311">
    <cfRule type="expression" dxfId="2525" priority="722">
      <formula>P$1=""</formula>
    </cfRule>
  </conditionalFormatting>
  <conditionalFormatting sqref="P311:AA311">
    <cfRule type="expression" dxfId="2524" priority="721">
      <formula>P$1=""</formula>
    </cfRule>
  </conditionalFormatting>
  <conditionalFormatting sqref="P311:AA311">
    <cfRule type="expression" dxfId="2523" priority="720">
      <formula>P$1=""</formula>
    </cfRule>
  </conditionalFormatting>
  <conditionalFormatting sqref="P277:AA277 P275:AA275 P273:AA273">
    <cfRule type="expression" dxfId="2522" priority="719">
      <formula>P$1=""</formula>
    </cfRule>
  </conditionalFormatting>
  <conditionalFormatting sqref="P277:AA277 P275:AA275 P273:AA273">
    <cfRule type="expression" dxfId="2521" priority="718">
      <formula>P$1=""</formula>
    </cfRule>
  </conditionalFormatting>
  <conditionalFormatting sqref="P277:AA277 P275:AA275 P273:AA273">
    <cfRule type="expression" dxfId="2520" priority="717">
      <formula>P$1=""</formula>
    </cfRule>
  </conditionalFormatting>
  <conditionalFormatting sqref="P277:AA277 P275:AA275 P273:AA273">
    <cfRule type="expression" dxfId="2519" priority="716">
      <formula>P$1=""</formula>
    </cfRule>
  </conditionalFormatting>
  <conditionalFormatting sqref="P277:AA277 P275:AA275 P273:AA273">
    <cfRule type="expression" dxfId="2518" priority="715">
      <formula>P$1=""</formula>
    </cfRule>
  </conditionalFormatting>
  <conditionalFormatting sqref="P277:AA277 P275:AA275 P273:AA273">
    <cfRule type="expression" dxfId="2517" priority="714">
      <formula>P$1=""</formula>
    </cfRule>
  </conditionalFormatting>
  <conditionalFormatting sqref="P277:AA277 P275:AA275 P273:AA273">
    <cfRule type="expression" dxfId="2516" priority="713">
      <formula>P$1=""</formula>
    </cfRule>
  </conditionalFormatting>
  <conditionalFormatting sqref="P277:AA277 P275:AA275 P273:AA273">
    <cfRule type="expression" dxfId="2515" priority="712">
      <formula>P$1=""</formula>
    </cfRule>
  </conditionalFormatting>
  <conditionalFormatting sqref="Q307:AA307 Q305:AA305 Q303:AA303">
    <cfRule type="expression" dxfId="2514" priority="711">
      <formula>Q$1=""</formula>
    </cfRule>
  </conditionalFormatting>
  <conditionalFormatting sqref="Q307:AA307 Q305:AA305 Q303:AA303">
    <cfRule type="expression" dxfId="2513" priority="710">
      <formula>Q$1=""</formula>
    </cfRule>
  </conditionalFormatting>
  <conditionalFormatting sqref="Q307:AA307 Q305:AA305 Q303:AA303">
    <cfRule type="expression" dxfId="2512" priority="709">
      <formula>Q$1=""</formula>
    </cfRule>
  </conditionalFormatting>
  <conditionalFormatting sqref="Q307:AA307 Q305:AA305 Q303:AA303">
    <cfRule type="expression" dxfId="2511" priority="708">
      <formula>Q$1=""</formula>
    </cfRule>
  </conditionalFormatting>
  <conditionalFormatting sqref="Q307:AA307 Q305:AA305 Q303:AA303">
    <cfRule type="expression" dxfId="2510" priority="707">
      <formula>Q$1=""</formula>
    </cfRule>
  </conditionalFormatting>
  <conditionalFormatting sqref="Q307:AA307 Q305:AA305 Q303:AA303">
    <cfRule type="expression" dxfId="2509" priority="706">
      <formula>Q$1=""</formula>
    </cfRule>
  </conditionalFormatting>
  <conditionalFormatting sqref="Q307:AA307 Q305:AA305 Q303:AA303">
    <cfRule type="expression" dxfId="2508" priority="705">
      <formula>Q$1=""</formula>
    </cfRule>
  </conditionalFormatting>
  <conditionalFormatting sqref="Q307:AA307 Q305:AA305 Q303:AA303">
    <cfRule type="expression" dxfId="2507" priority="704">
      <formula>Q$1=""</formula>
    </cfRule>
  </conditionalFormatting>
  <conditionalFormatting sqref="Q307:AA307 Q305:AA305 Q303:AA303">
    <cfRule type="expression" dxfId="2506" priority="703">
      <formula>Q$1=""</formula>
    </cfRule>
  </conditionalFormatting>
  <conditionalFormatting sqref="Q307:AA307 Q305:AA305 Q303:AA303">
    <cfRule type="expression" dxfId="2505" priority="702">
      <formula>Q$1=""</formula>
    </cfRule>
  </conditionalFormatting>
  <conditionalFormatting sqref="Q307:AA307 Q305:AA305 Q303:AA303">
    <cfRule type="expression" dxfId="2504" priority="701">
      <formula>Q$1=""</formula>
    </cfRule>
  </conditionalFormatting>
  <conditionalFormatting sqref="Q307:AA307 Q305:AA305 Q303:AA303">
    <cfRule type="expression" dxfId="2503" priority="700">
      <formula>Q$1=""</formula>
    </cfRule>
  </conditionalFormatting>
  <conditionalFormatting sqref="Q307:AA307 Q305:AA305 Q303:AA303">
    <cfRule type="expression" dxfId="2502" priority="699">
      <formula>Q$1=""</formula>
    </cfRule>
  </conditionalFormatting>
  <conditionalFormatting sqref="Q307:AA307 Q305:AA305 Q303:AA303">
    <cfRule type="expression" dxfId="2501" priority="698">
      <formula>Q$1=""</formula>
    </cfRule>
  </conditionalFormatting>
  <conditionalFormatting sqref="Q307:AA307 Q305:AA305 Q303:AA303">
    <cfRule type="expression" dxfId="2500" priority="697">
      <formula>Q$1=""</formula>
    </cfRule>
  </conditionalFormatting>
  <conditionalFormatting sqref="Q307:AA307 Q305:AA305 Q303:AA303">
    <cfRule type="expression" dxfId="2499" priority="696">
      <formula>Q$1=""</formula>
    </cfRule>
  </conditionalFormatting>
  <conditionalFormatting sqref="Q307:AA307 Q305:AA305 Q303:AA303">
    <cfRule type="expression" dxfId="2498" priority="695">
      <formula>Q$1=""</formula>
    </cfRule>
  </conditionalFormatting>
  <conditionalFormatting sqref="Q307:AA307 Q305:AA305 Q303:AA303">
    <cfRule type="expression" dxfId="2497" priority="694">
      <formula>Q$1=""</formula>
    </cfRule>
  </conditionalFormatting>
  <conditionalFormatting sqref="Q307:AA307 Q305:AA305 Q303:AA303">
    <cfRule type="expression" dxfId="2496" priority="693">
      <formula>Q$1=""</formula>
    </cfRule>
  </conditionalFormatting>
  <conditionalFormatting sqref="Q307:AA307 Q305:AA305 Q303:AA303">
    <cfRule type="expression" dxfId="2495" priority="692">
      <formula>Q$1=""</formula>
    </cfRule>
  </conditionalFormatting>
  <conditionalFormatting sqref="Q307:AA307 Q305:AA305 Q303:AA303">
    <cfRule type="expression" dxfId="2494" priority="691">
      <formula>Q$1=""</formula>
    </cfRule>
  </conditionalFormatting>
  <conditionalFormatting sqref="Q307:AA307 Q305:AA305 Q303:AA303">
    <cfRule type="expression" dxfId="2493" priority="690">
      <formula>Q$1=""</formula>
    </cfRule>
  </conditionalFormatting>
  <conditionalFormatting sqref="Q307:AA307 Q305:AA305 Q303:AA303">
    <cfRule type="expression" dxfId="2492" priority="689">
      <formula>Q$1=""</formula>
    </cfRule>
  </conditionalFormatting>
  <conditionalFormatting sqref="Q307:AA307 Q305:AA305 Q303:AA303">
    <cfRule type="expression" dxfId="2491" priority="688">
      <formula>Q$1=""</formula>
    </cfRule>
  </conditionalFormatting>
  <conditionalFormatting sqref="Q307:AA307 Q305:AA305 Q303:AA303">
    <cfRule type="expression" dxfId="2490" priority="687">
      <formula>Q$1=""</formula>
    </cfRule>
  </conditionalFormatting>
  <conditionalFormatting sqref="Q307:AA307 Q305:AA305 Q303:AA303">
    <cfRule type="expression" dxfId="2489" priority="686">
      <formula>Q$1=""</formula>
    </cfRule>
  </conditionalFormatting>
  <conditionalFormatting sqref="Q307:AA307 Q305:AA305 Q303:AA303">
    <cfRule type="expression" dxfId="2488" priority="685">
      <formula>Q$1=""</formula>
    </cfRule>
  </conditionalFormatting>
  <conditionalFormatting sqref="Q307:AA307 Q305:AA305 Q303:AA303">
    <cfRule type="expression" dxfId="2487" priority="684">
      <formula>Q$1=""</formula>
    </cfRule>
  </conditionalFormatting>
  <conditionalFormatting sqref="Q307:AA307 Q305:AA305 Q303:AA303">
    <cfRule type="expression" dxfId="2486" priority="683">
      <formula>Q$1=""</formula>
    </cfRule>
  </conditionalFormatting>
  <conditionalFormatting sqref="Q307:AA307 Q305:AA305 Q303:AA303">
    <cfRule type="expression" dxfId="2485" priority="682">
      <formula>Q$1=""</formula>
    </cfRule>
  </conditionalFormatting>
  <conditionalFormatting sqref="Q307:AA307 Q305:AA305 Q303:AA303">
    <cfRule type="expression" dxfId="2484" priority="681">
      <formula>Q$1=""</formula>
    </cfRule>
  </conditionalFormatting>
  <conditionalFormatting sqref="Q307:AA307 Q305:AA305 Q303:AA303">
    <cfRule type="expression" dxfId="2483" priority="680">
      <formula>Q$1=""</formula>
    </cfRule>
  </conditionalFormatting>
  <conditionalFormatting sqref="P307 P305">
    <cfRule type="expression" dxfId="2482" priority="679">
      <formula>P$1=""</formula>
    </cfRule>
  </conditionalFormatting>
  <conditionalFormatting sqref="P307 P305">
    <cfRule type="expression" dxfId="2481" priority="678">
      <formula>P$1=""</formula>
    </cfRule>
  </conditionalFormatting>
  <conditionalFormatting sqref="P307 P305">
    <cfRule type="expression" dxfId="2480" priority="677">
      <formula>P$1=""</formula>
    </cfRule>
  </conditionalFormatting>
  <conditionalFormatting sqref="P307 P305">
    <cfRule type="expression" dxfId="2479" priority="676">
      <formula>P$1=""</formula>
    </cfRule>
  </conditionalFormatting>
  <conditionalFormatting sqref="P307 P305">
    <cfRule type="expression" dxfId="2478" priority="675">
      <formula>P$1=""</formula>
    </cfRule>
  </conditionalFormatting>
  <conditionalFormatting sqref="P307 P305">
    <cfRule type="expression" dxfId="2477" priority="674">
      <formula>P$1=""</formula>
    </cfRule>
  </conditionalFormatting>
  <conditionalFormatting sqref="P307 P305">
    <cfRule type="expression" dxfId="2476" priority="673">
      <formula>P$1=""</formula>
    </cfRule>
  </conditionalFormatting>
  <conditionalFormatting sqref="P307 P305">
    <cfRule type="expression" dxfId="2475" priority="672">
      <formula>P$1=""</formula>
    </cfRule>
  </conditionalFormatting>
  <conditionalFormatting sqref="P307 P305">
    <cfRule type="expression" dxfId="2474" priority="671">
      <formula>P$1=""</formula>
    </cfRule>
  </conditionalFormatting>
  <conditionalFormatting sqref="P307 P305">
    <cfRule type="expression" dxfId="2473" priority="670">
      <formula>P$1=""</formula>
    </cfRule>
  </conditionalFormatting>
  <conditionalFormatting sqref="P307 P305">
    <cfRule type="expression" dxfId="2472" priority="669">
      <formula>P$1=""</formula>
    </cfRule>
  </conditionalFormatting>
  <conditionalFormatting sqref="P307 P305">
    <cfRule type="expression" dxfId="2471" priority="668">
      <formula>P$1=""</formula>
    </cfRule>
  </conditionalFormatting>
  <conditionalFormatting sqref="P307 P305">
    <cfRule type="expression" dxfId="2470" priority="667">
      <formula>P$1=""</formula>
    </cfRule>
  </conditionalFormatting>
  <conditionalFormatting sqref="P307 P305">
    <cfRule type="expression" dxfId="2469" priority="666">
      <formula>P$1=""</formula>
    </cfRule>
  </conditionalFormatting>
  <conditionalFormatting sqref="P307 P305">
    <cfRule type="expression" dxfId="2468" priority="665">
      <formula>P$1=""</formula>
    </cfRule>
  </conditionalFormatting>
  <conditionalFormatting sqref="P307 P305">
    <cfRule type="expression" dxfId="2467" priority="664">
      <formula>P$1=""</formula>
    </cfRule>
  </conditionalFormatting>
  <conditionalFormatting sqref="P307 P305">
    <cfRule type="expression" dxfId="2466" priority="663">
      <formula>P$1=""</formula>
    </cfRule>
  </conditionalFormatting>
  <conditionalFormatting sqref="P307 P305">
    <cfRule type="expression" dxfId="2465" priority="662">
      <formula>P$1=""</formula>
    </cfRule>
  </conditionalFormatting>
  <conditionalFormatting sqref="P313:AA313">
    <cfRule type="expression" dxfId="2464" priority="661">
      <formula>P$1=""</formula>
    </cfRule>
  </conditionalFormatting>
  <conditionalFormatting sqref="P313:AA313">
    <cfRule type="expression" dxfId="2463" priority="660">
      <formula>P$1=""</formula>
    </cfRule>
  </conditionalFormatting>
  <conditionalFormatting sqref="P313:AA313">
    <cfRule type="expression" dxfId="2462" priority="659">
      <formula>P$1=""</formula>
    </cfRule>
  </conditionalFormatting>
  <conditionalFormatting sqref="P313:AA313">
    <cfRule type="expression" dxfId="2461" priority="658">
      <formula>P$1=""</formula>
    </cfRule>
  </conditionalFormatting>
  <conditionalFormatting sqref="P313:AA313">
    <cfRule type="expression" dxfId="2460" priority="657">
      <formula>P$1=""</formula>
    </cfRule>
  </conditionalFormatting>
  <conditionalFormatting sqref="P313:AA313">
    <cfRule type="expression" dxfId="2459" priority="656">
      <formula>P$1=""</formula>
    </cfRule>
  </conditionalFormatting>
  <conditionalFormatting sqref="P313:AA313">
    <cfRule type="expression" dxfId="2458" priority="655">
      <formula>P$1=""</formula>
    </cfRule>
  </conditionalFormatting>
  <conditionalFormatting sqref="P313:AA313">
    <cfRule type="expression" dxfId="2457" priority="654">
      <formula>P$1=""</formula>
    </cfRule>
  </conditionalFormatting>
  <conditionalFormatting sqref="P313:AA313">
    <cfRule type="expression" dxfId="2456" priority="653">
      <formula>P$1=""</formula>
    </cfRule>
  </conditionalFormatting>
  <conditionalFormatting sqref="P313:AA313">
    <cfRule type="expression" dxfId="2455" priority="652">
      <formula>P$1=""</formula>
    </cfRule>
  </conditionalFormatting>
  <conditionalFormatting sqref="P313:AA313">
    <cfRule type="expression" dxfId="2454" priority="651">
      <formula>P$1=""</formula>
    </cfRule>
  </conditionalFormatting>
  <conditionalFormatting sqref="P313:AA313">
    <cfRule type="expression" dxfId="2453" priority="650">
      <formula>P$1=""</formula>
    </cfRule>
  </conditionalFormatting>
  <conditionalFormatting sqref="P313:AA313">
    <cfRule type="expression" dxfId="2452" priority="649">
      <formula>P$1=""</formula>
    </cfRule>
  </conditionalFormatting>
  <conditionalFormatting sqref="P313:AA313">
    <cfRule type="expression" dxfId="2451" priority="648">
      <formula>P$1=""</formula>
    </cfRule>
  </conditionalFormatting>
  <conditionalFormatting sqref="P313:AA313">
    <cfRule type="expression" dxfId="2450" priority="647">
      <formula>P$1=""</formula>
    </cfRule>
  </conditionalFormatting>
  <conditionalFormatting sqref="P313:AA313">
    <cfRule type="expression" dxfId="2449" priority="646">
      <formula>P$1=""</formula>
    </cfRule>
  </conditionalFormatting>
  <conditionalFormatting sqref="P313:AA313">
    <cfRule type="expression" dxfId="2448" priority="645">
      <formula>P$1=""</formula>
    </cfRule>
  </conditionalFormatting>
  <conditionalFormatting sqref="P313:AA313">
    <cfRule type="expression" dxfId="2447" priority="644">
      <formula>P$1=""</formula>
    </cfRule>
  </conditionalFormatting>
  <conditionalFormatting sqref="P313:AA313">
    <cfRule type="expression" dxfId="2446" priority="643">
      <formula>P$1=""</formula>
    </cfRule>
  </conditionalFormatting>
  <conditionalFormatting sqref="P313:AA313">
    <cfRule type="expression" dxfId="2445" priority="642">
      <formula>P$1=""</formula>
    </cfRule>
  </conditionalFormatting>
  <conditionalFormatting sqref="P313:AA313">
    <cfRule type="expression" dxfId="2444" priority="641">
      <formula>P$1=""</formula>
    </cfRule>
  </conditionalFormatting>
  <conditionalFormatting sqref="P313:AA313">
    <cfRule type="expression" dxfId="2443" priority="640">
      <formula>P$1=""</formula>
    </cfRule>
  </conditionalFormatting>
  <conditionalFormatting sqref="P313:AA313">
    <cfRule type="expression" dxfId="2442" priority="639">
      <formula>P$1=""</formula>
    </cfRule>
  </conditionalFormatting>
  <conditionalFormatting sqref="P313:AA313">
    <cfRule type="expression" dxfId="2441" priority="638">
      <formula>P$1=""</formula>
    </cfRule>
  </conditionalFormatting>
  <conditionalFormatting sqref="P313:AA313">
    <cfRule type="expression" dxfId="2440" priority="637">
      <formula>P$1=""</formula>
    </cfRule>
  </conditionalFormatting>
  <conditionalFormatting sqref="P313:AA313">
    <cfRule type="expression" dxfId="2439" priority="636">
      <formula>P$1=""</formula>
    </cfRule>
  </conditionalFormatting>
  <conditionalFormatting sqref="P313:AA313">
    <cfRule type="expression" dxfId="2438" priority="635">
      <formula>P$1=""</formula>
    </cfRule>
  </conditionalFormatting>
  <conditionalFormatting sqref="P313:AA313">
    <cfRule type="expression" dxfId="2437" priority="634">
      <formula>P$1=""</formula>
    </cfRule>
  </conditionalFormatting>
  <conditionalFormatting sqref="P313:AA313">
    <cfRule type="expression" dxfId="2436" priority="633">
      <formula>P$1=""</formula>
    </cfRule>
  </conditionalFormatting>
  <conditionalFormatting sqref="P313:AA313">
    <cfRule type="expression" dxfId="2435" priority="632">
      <formula>P$1=""</formula>
    </cfRule>
  </conditionalFormatting>
  <conditionalFormatting sqref="P313:AA313">
    <cfRule type="expression" dxfId="2434" priority="631">
      <formula>P$1=""</formula>
    </cfRule>
  </conditionalFormatting>
  <conditionalFormatting sqref="P313:AA313">
    <cfRule type="expression" dxfId="2433" priority="630">
      <formula>P$1=""</formula>
    </cfRule>
  </conditionalFormatting>
  <conditionalFormatting sqref="P313:AA313">
    <cfRule type="expression" dxfId="2432" priority="629">
      <formula>P$1=""</formula>
    </cfRule>
  </conditionalFormatting>
  <conditionalFormatting sqref="P313:AA313">
    <cfRule type="expression" dxfId="2431" priority="628">
      <formula>P$1=""</formula>
    </cfRule>
  </conditionalFormatting>
  <conditionalFormatting sqref="P313:AA313">
    <cfRule type="expression" dxfId="2430" priority="627">
      <formula>P$1=""</formula>
    </cfRule>
  </conditionalFormatting>
  <conditionalFormatting sqref="P313:AA313">
    <cfRule type="expression" dxfId="2429" priority="626">
      <formula>P$1=""</formula>
    </cfRule>
  </conditionalFormatting>
  <conditionalFormatting sqref="P313:AA313">
    <cfRule type="expression" dxfId="2428" priority="625">
      <formula>P$1=""</formula>
    </cfRule>
  </conditionalFormatting>
  <conditionalFormatting sqref="P313:AA313">
    <cfRule type="expression" dxfId="2427" priority="624">
      <formula>P$1=""</formula>
    </cfRule>
  </conditionalFormatting>
  <conditionalFormatting sqref="P313:AA313">
    <cfRule type="expression" dxfId="2426" priority="623">
      <formula>P$1=""</formula>
    </cfRule>
  </conditionalFormatting>
  <conditionalFormatting sqref="P313:AA313">
    <cfRule type="expression" dxfId="2425" priority="622">
      <formula>P$1=""</formula>
    </cfRule>
  </conditionalFormatting>
  <conditionalFormatting sqref="P313:AA313">
    <cfRule type="expression" dxfId="2424" priority="621">
      <formula>P$1=""</formula>
    </cfRule>
  </conditionalFormatting>
  <conditionalFormatting sqref="P313:AA313">
    <cfRule type="expression" dxfId="2423" priority="620">
      <formula>P$1=""</formula>
    </cfRule>
  </conditionalFormatting>
  <conditionalFormatting sqref="P313:AA313">
    <cfRule type="expression" dxfId="2422" priority="619">
      <formula>P$1=""</formula>
    </cfRule>
  </conditionalFormatting>
  <conditionalFormatting sqref="P313:AA313">
    <cfRule type="expression" dxfId="2421" priority="618">
      <formula>P$1=""</formula>
    </cfRule>
  </conditionalFormatting>
  <conditionalFormatting sqref="P313:AA313">
    <cfRule type="expression" dxfId="2420" priority="617">
      <formula>P$1=""</formula>
    </cfRule>
  </conditionalFormatting>
  <conditionalFormatting sqref="P313:AA313">
    <cfRule type="expression" dxfId="2419" priority="616">
      <formula>P$1=""</formula>
    </cfRule>
  </conditionalFormatting>
  <conditionalFormatting sqref="P313:AA313">
    <cfRule type="expression" dxfId="2418" priority="615">
      <formula>P$1=""</formula>
    </cfRule>
  </conditionalFormatting>
  <conditionalFormatting sqref="P313:AA313">
    <cfRule type="expression" dxfId="2417" priority="614">
      <formula>P$1=""</formula>
    </cfRule>
  </conditionalFormatting>
  <conditionalFormatting sqref="P313:AA313">
    <cfRule type="expression" dxfId="2416" priority="613">
      <formula>P$1=""</formula>
    </cfRule>
  </conditionalFormatting>
  <conditionalFormatting sqref="P313:AA313">
    <cfRule type="expression" dxfId="2415" priority="612">
      <formula>P$1=""</formula>
    </cfRule>
  </conditionalFormatting>
  <conditionalFormatting sqref="P313:AA313">
    <cfRule type="expression" dxfId="2414" priority="611">
      <formula>P$1=""</formula>
    </cfRule>
  </conditionalFormatting>
  <conditionalFormatting sqref="P313:AA313">
    <cfRule type="expression" dxfId="2413" priority="610">
      <formula>P$1=""</formula>
    </cfRule>
  </conditionalFormatting>
  <conditionalFormatting sqref="P313:AA313">
    <cfRule type="expression" dxfId="2412" priority="609">
      <formula>P$1=""</formula>
    </cfRule>
  </conditionalFormatting>
  <conditionalFormatting sqref="P313:AA313">
    <cfRule type="expression" dxfId="2411" priority="608">
      <formula>P$1=""</formula>
    </cfRule>
  </conditionalFormatting>
  <conditionalFormatting sqref="P313:AA313">
    <cfRule type="expression" dxfId="2410" priority="607">
      <formula>P$1=""</formula>
    </cfRule>
  </conditionalFormatting>
  <conditionalFormatting sqref="P313:AA313">
    <cfRule type="expression" dxfId="2409" priority="606">
      <formula>P$1=""</formula>
    </cfRule>
  </conditionalFormatting>
  <conditionalFormatting sqref="P313:AA313">
    <cfRule type="expression" dxfId="2408" priority="605">
      <formula>P$1=""</formula>
    </cfRule>
  </conditionalFormatting>
  <conditionalFormatting sqref="P313:AA313">
    <cfRule type="expression" dxfId="2407" priority="604">
      <formula>P$1=""</formula>
    </cfRule>
  </conditionalFormatting>
  <conditionalFormatting sqref="P313:AA313">
    <cfRule type="expression" dxfId="2406" priority="603">
      <formula>P$1=""</formula>
    </cfRule>
  </conditionalFormatting>
  <conditionalFormatting sqref="P313:AA313">
    <cfRule type="expression" dxfId="2405" priority="602">
      <formula>P$1=""</formula>
    </cfRule>
  </conditionalFormatting>
  <conditionalFormatting sqref="P313:AA313">
    <cfRule type="expression" dxfId="2404" priority="601">
      <formula>P$1=""</formula>
    </cfRule>
  </conditionalFormatting>
  <conditionalFormatting sqref="P313:AA313">
    <cfRule type="expression" dxfId="2403" priority="600">
      <formula>P$1=""</formula>
    </cfRule>
  </conditionalFormatting>
  <conditionalFormatting sqref="P313:AA313">
    <cfRule type="expression" dxfId="2402" priority="599">
      <formula>P$1=""</formula>
    </cfRule>
  </conditionalFormatting>
  <conditionalFormatting sqref="P313:AA313">
    <cfRule type="expression" dxfId="2401" priority="598">
      <formula>P$1=""</formula>
    </cfRule>
  </conditionalFormatting>
  <conditionalFormatting sqref="P317:AA317 P315:AA315">
    <cfRule type="expression" dxfId="2400" priority="597">
      <formula>P$1=""</formula>
    </cfRule>
  </conditionalFormatting>
  <conditionalFormatting sqref="P317:AA317 P315:AA315">
    <cfRule type="expression" dxfId="2399" priority="596">
      <formula>P$1=""</formula>
    </cfRule>
  </conditionalFormatting>
  <conditionalFormatting sqref="Q317:AA317 Q315:AA315">
    <cfRule type="expression" dxfId="2398" priority="595">
      <formula>Q$1=""</formula>
    </cfRule>
  </conditionalFormatting>
  <conditionalFormatting sqref="Q317:AA317 Q315:AA315">
    <cfRule type="expression" dxfId="2397" priority="594">
      <formula>Q$1=""</formula>
    </cfRule>
  </conditionalFormatting>
  <conditionalFormatting sqref="Q317:AA317 Q315:AA315">
    <cfRule type="expression" dxfId="2396" priority="593">
      <formula>Q$1=""</formula>
    </cfRule>
  </conditionalFormatting>
  <conditionalFormatting sqref="Q317:AA317 Q315:AA315">
    <cfRule type="expression" dxfId="2395" priority="592">
      <formula>Q$1=""</formula>
    </cfRule>
  </conditionalFormatting>
  <conditionalFormatting sqref="Q317:AA317 Q315:AA315">
    <cfRule type="expression" dxfId="2394" priority="591">
      <formula>Q$1=""</formula>
    </cfRule>
  </conditionalFormatting>
  <conditionalFormatting sqref="Q317:AA317 Q315:AA315">
    <cfRule type="expression" dxfId="2393" priority="590">
      <formula>Q$1=""</formula>
    </cfRule>
  </conditionalFormatting>
  <conditionalFormatting sqref="Q317:AA317 Q315:AA315">
    <cfRule type="expression" dxfId="2392" priority="589">
      <formula>Q$1=""</formula>
    </cfRule>
  </conditionalFormatting>
  <conditionalFormatting sqref="Q317:AA317 Q315:AA315">
    <cfRule type="expression" dxfId="2391" priority="588">
      <formula>Q$1=""</formula>
    </cfRule>
  </conditionalFormatting>
  <conditionalFormatting sqref="P317:AA317 P315:AA315">
    <cfRule type="expression" dxfId="2390" priority="587">
      <formula>P$1=""</formula>
    </cfRule>
  </conditionalFormatting>
  <conditionalFormatting sqref="P317:AA317 P315:AA315">
    <cfRule type="expression" dxfId="2389" priority="586">
      <formula>P$1=""</formula>
    </cfRule>
  </conditionalFormatting>
  <conditionalFormatting sqref="P317:AA317 P315:AA315">
    <cfRule type="expression" dxfId="2388" priority="585">
      <formula>P$1=""</formula>
    </cfRule>
  </conditionalFormatting>
  <conditionalFormatting sqref="P317:AA317 P315:AA315">
    <cfRule type="expression" dxfId="2387" priority="584">
      <formula>P$1=""</formula>
    </cfRule>
  </conditionalFormatting>
  <conditionalFormatting sqref="P317:AA317 P315:AA315">
    <cfRule type="expression" dxfId="2386" priority="583">
      <formula>P$1=""</formula>
    </cfRule>
  </conditionalFormatting>
  <conditionalFormatting sqref="P317:AA317 P315:AA315">
    <cfRule type="expression" dxfId="2385" priority="582">
      <formula>P$1=""</formula>
    </cfRule>
  </conditionalFormatting>
  <conditionalFormatting sqref="P317:AA317 P315:AA315">
    <cfRule type="expression" dxfId="2384" priority="581">
      <formula>P$1=""</formula>
    </cfRule>
  </conditionalFormatting>
  <conditionalFormatting sqref="P317:AA317 P315:AA315">
    <cfRule type="expression" dxfId="2383" priority="580">
      <formula>P$1=""</formula>
    </cfRule>
  </conditionalFormatting>
  <conditionalFormatting sqref="P317:AA317 P315:AA315">
    <cfRule type="expression" dxfId="2382" priority="579">
      <formula>P$1=""</formula>
    </cfRule>
  </conditionalFormatting>
  <conditionalFormatting sqref="P317:AA317 P315:AA315">
    <cfRule type="expression" dxfId="2381" priority="578">
      <formula>P$1=""</formula>
    </cfRule>
  </conditionalFormatting>
  <conditionalFormatting sqref="P317:AA317 P315:AA315">
    <cfRule type="expression" dxfId="2380" priority="577">
      <formula>P$1=""</formula>
    </cfRule>
  </conditionalFormatting>
  <conditionalFormatting sqref="P317:AA317 P315:AA315">
    <cfRule type="expression" dxfId="2379" priority="576">
      <formula>P$1=""</formula>
    </cfRule>
  </conditionalFormatting>
  <conditionalFormatting sqref="P317:AA317 P315:AA315">
    <cfRule type="expression" dxfId="2378" priority="575">
      <formula>P$1=""</formula>
    </cfRule>
  </conditionalFormatting>
  <conditionalFormatting sqref="P317:AA317 P315:AA315">
    <cfRule type="expression" dxfId="2377" priority="574">
      <formula>P$1=""</formula>
    </cfRule>
  </conditionalFormatting>
  <conditionalFormatting sqref="P317:AA317 P315:AA315">
    <cfRule type="expression" dxfId="2376" priority="573">
      <formula>P$1=""</formula>
    </cfRule>
  </conditionalFormatting>
  <conditionalFormatting sqref="P317:AA317 P315:AA315">
    <cfRule type="expression" dxfId="2375" priority="572">
      <formula>P$1=""</formula>
    </cfRule>
  </conditionalFormatting>
  <conditionalFormatting sqref="P317:AA317 P315:AA315">
    <cfRule type="expression" dxfId="2374" priority="571">
      <formula>P$1=""</formula>
    </cfRule>
  </conditionalFormatting>
  <conditionalFormatting sqref="P317:AA317 P315:AA315">
    <cfRule type="expression" dxfId="2373" priority="570">
      <formula>P$1=""</formula>
    </cfRule>
  </conditionalFormatting>
  <conditionalFormatting sqref="P317:AA317 P315:AA315">
    <cfRule type="expression" dxfId="2372" priority="569">
      <formula>P$1=""</formula>
    </cfRule>
  </conditionalFormatting>
  <conditionalFormatting sqref="P317:AA317 P315:AA315">
    <cfRule type="expression" dxfId="2371" priority="568">
      <formula>P$1=""</formula>
    </cfRule>
  </conditionalFormatting>
  <conditionalFormatting sqref="P317:AA317 P315:AA315">
    <cfRule type="expression" dxfId="2370" priority="567">
      <formula>P$1=""</formula>
    </cfRule>
  </conditionalFormatting>
  <conditionalFormatting sqref="P317:AA317 P315:AA315">
    <cfRule type="expression" dxfId="2369" priority="566">
      <formula>P$1=""</formula>
    </cfRule>
  </conditionalFormatting>
  <conditionalFormatting sqref="P317:AA317 P315:AA315">
    <cfRule type="expression" dxfId="2368" priority="565">
      <formula>P$1=""</formula>
    </cfRule>
  </conditionalFormatting>
  <conditionalFormatting sqref="P317:AA317 P315:AA315">
    <cfRule type="expression" dxfId="2367" priority="564">
      <formula>P$1=""</formula>
    </cfRule>
  </conditionalFormatting>
  <conditionalFormatting sqref="P317:AA317 P315:AA315">
    <cfRule type="expression" dxfId="2366" priority="563">
      <formula>P$1=""</formula>
    </cfRule>
  </conditionalFormatting>
  <conditionalFormatting sqref="P317:AA317 P315:AA315">
    <cfRule type="expression" dxfId="2365" priority="562">
      <formula>P$1=""</formula>
    </cfRule>
  </conditionalFormatting>
  <conditionalFormatting sqref="P317:AA317 P315:AA315">
    <cfRule type="expression" dxfId="2364" priority="561">
      <formula>P$1=""</formula>
    </cfRule>
  </conditionalFormatting>
  <conditionalFormatting sqref="P317:AA317 P315:AA315">
    <cfRule type="expression" dxfId="2363" priority="560">
      <formula>P$1=""</formula>
    </cfRule>
  </conditionalFormatting>
  <conditionalFormatting sqref="P317:AA317 P315:AA315">
    <cfRule type="expression" dxfId="2362" priority="559">
      <formula>P$1=""</formula>
    </cfRule>
  </conditionalFormatting>
  <conditionalFormatting sqref="P317:AA317 P315:AA315">
    <cfRule type="expression" dxfId="2361" priority="558">
      <formula>P$1=""</formula>
    </cfRule>
  </conditionalFormatting>
  <conditionalFormatting sqref="P317:AA317 P315:AA315">
    <cfRule type="expression" dxfId="2360" priority="557">
      <formula>P$1=""</formula>
    </cfRule>
  </conditionalFormatting>
  <conditionalFormatting sqref="P317:AA317 P315:AA315">
    <cfRule type="expression" dxfId="2359" priority="556">
      <formula>P$1=""</formula>
    </cfRule>
  </conditionalFormatting>
  <conditionalFormatting sqref="P317:AA317 P315:AA315">
    <cfRule type="expression" dxfId="2358" priority="555">
      <formula>P$1=""</formula>
    </cfRule>
  </conditionalFormatting>
  <conditionalFormatting sqref="P317:AA317 P315:AA315">
    <cfRule type="expression" dxfId="2357" priority="554">
      <formula>P$1=""</formula>
    </cfRule>
  </conditionalFormatting>
  <conditionalFormatting sqref="P317:AA317 P315:AA315">
    <cfRule type="expression" dxfId="2356" priority="553">
      <formula>P$1=""</formula>
    </cfRule>
  </conditionalFormatting>
  <conditionalFormatting sqref="P317:AA317 P315:AA315">
    <cfRule type="expression" dxfId="2355" priority="552">
      <formula>P$1=""</formula>
    </cfRule>
  </conditionalFormatting>
  <conditionalFormatting sqref="P317:AA317 P315:AA315">
    <cfRule type="expression" dxfId="2354" priority="551">
      <formula>P$1=""</formula>
    </cfRule>
  </conditionalFormatting>
  <conditionalFormatting sqref="P317:AA317 P315:AA315">
    <cfRule type="expression" dxfId="2353" priority="550">
      <formula>P$1=""</formula>
    </cfRule>
  </conditionalFormatting>
  <conditionalFormatting sqref="P317:AA317 P315:AA315">
    <cfRule type="expression" dxfId="2352" priority="549">
      <formula>P$1=""</formula>
    </cfRule>
  </conditionalFormatting>
  <conditionalFormatting sqref="P317:AA317 P315:AA315">
    <cfRule type="expression" dxfId="2351" priority="548">
      <formula>P$1=""</formula>
    </cfRule>
  </conditionalFormatting>
  <conditionalFormatting sqref="P317:AA317 P315:AA315">
    <cfRule type="expression" dxfId="2350" priority="547">
      <formula>P$1=""</formula>
    </cfRule>
  </conditionalFormatting>
  <conditionalFormatting sqref="P317:AA317 P315:AA315">
    <cfRule type="expression" dxfId="2349" priority="546">
      <formula>P$1=""</formula>
    </cfRule>
  </conditionalFormatting>
  <conditionalFormatting sqref="P317:AA317 P315:AA315">
    <cfRule type="expression" dxfId="2348" priority="545">
      <formula>P$1=""</formula>
    </cfRule>
  </conditionalFormatting>
  <conditionalFormatting sqref="P317:AA317 P315:AA315">
    <cfRule type="expression" dxfId="2347" priority="544">
      <formula>P$1=""</formula>
    </cfRule>
  </conditionalFormatting>
  <conditionalFormatting sqref="P317:AA317 P315:AA315">
    <cfRule type="expression" dxfId="2346" priority="543">
      <formula>P$1=""</formula>
    </cfRule>
  </conditionalFormatting>
  <conditionalFormatting sqref="P317:AA317 P315:AA315">
    <cfRule type="expression" dxfId="2345" priority="542">
      <formula>P$1=""</formula>
    </cfRule>
  </conditionalFormatting>
  <conditionalFormatting sqref="P317:AA317 P315:AA315">
    <cfRule type="expression" dxfId="2344" priority="541">
      <formula>P$1=""</formula>
    </cfRule>
  </conditionalFormatting>
  <conditionalFormatting sqref="P317:AA317 P315:AA315">
    <cfRule type="expression" dxfId="2343" priority="540">
      <formula>P$1=""</formula>
    </cfRule>
  </conditionalFormatting>
  <conditionalFormatting sqref="P317:AA317 P315:AA315">
    <cfRule type="expression" dxfId="2342" priority="539">
      <formula>P$1=""</formula>
    </cfRule>
  </conditionalFormatting>
  <conditionalFormatting sqref="P317:AA317 P315:AA315">
    <cfRule type="expression" dxfId="2341" priority="538">
      <formula>P$1=""</formula>
    </cfRule>
  </conditionalFormatting>
  <conditionalFormatting sqref="P317:AA317 P315:AA315">
    <cfRule type="expression" dxfId="2340" priority="537">
      <formula>P$1=""</formula>
    </cfRule>
  </conditionalFormatting>
  <conditionalFormatting sqref="P317:AA317 P315:AA315">
    <cfRule type="expression" dxfId="2339" priority="536">
      <formula>P$1=""</formula>
    </cfRule>
  </conditionalFormatting>
  <conditionalFormatting sqref="P317:AA317 P315:AA315">
    <cfRule type="expression" dxfId="2338" priority="535">
      <formula>P$1=""</formula>
    </cfRule>
  </conditionalFormatting>
  <conditionalFormatting sqref="P317:AA317 P315:AA315">
    <cfRule type="expression" dxfId="2337" priority="534">
      <formula>P$1=""</formula>
    </cfRule>
  </conditionalFormatting>
  <conditionalFormatting sqref="P317:AA317 P315:AA315">
    <cfRule type="expression" dxfId="2336" priority="533">
      <formula>P$1=""</formula>
    </cfRule>
  </conditionalFormatting>
  <conditionalFormatting sqref="P317:AA317 P315:AA315">
    <cfRule type="expression" dxfId="2335" priority="532">
      <formula>P$1=""</formula>
    </cfRule>
  </conditionalFormatting>
  <conditionalFormatting sqref="P317:AA317 P315:AA315">
    <cfRule type="expression" dxfId="2334" priority="531">
      <formula>P$1=""</formula>
    </cfRule>
  </conditionalFormatting>
  <conditionalFormatting sqref="P317:AA317 P315:AA315">
    <cfRule type="expression" dxfId="2333" priority="530">
      <formula>P$1=""</formula>
    </cfRule>
  </conditionalFormatting>
  <conditionalFormatting sqref="P317:AA317 P315:AA315">
    <cfRule type="expression" dxfId="2332" priority="529">
      <formula>P$1=""</formula>
    </cfRule>
  </conditionalFormatting>
  <conditionalFormatting sqref="P317:AA317 P315:AA315">
    <cfRule type="expression" dxfId="2331" priority="528">
      <formula>P$1=""</formula>
    </cfRule>
  </conditionalFormatting>
  <conditionalFormatting sqref="P317:AA317 P315:AA315">
    <cfRule type="expression" dxfId="2330" priority="527">
      <formula>P$1=""</formula>
    </cfRule>
  </conditionalFormatting>
  <conditionalFormatting sqref="P317:AA317 P315:AA315">
    <cfRule type="expression" dxfId="2329" priority="526">
      <formula>P$1=""</formula>
    </cfRule>
  </conditionalFormatting>
  <conditionalFormatting sqref="P317:AA317 P315:AA315">
    <cfRule type="expression" dxfId="2328" priority="525">
      <formula>P$1=""</formula>
    </cfRule>
  </conditionalFormatting>
  <conditionalFormatting sqref="P317:AA317 P315:AA315">
    <cfRule type="expression" dxfId="2327" priority="524">
      <formula>P$1=""</formula>
    </cfRule>
  </conditionalFormatting>
  <conditionalFormatting sqref="P317:AA317 P315:AA315">
    <cfRule type="expression" dxfId="2326" priority="523">
      <formula>P$1=""</formula>
    </cfRule>
  </conditionalFormatting>
  <conditionalFormatting sqref="P317:AA317 P315:AA315">
    <cfRule type="expression" dxfId="2325" priority="522">
      <formula>P$1=""</formula>
    </cfRule>
  </conditionalFormatting>
  <conditionalFormatting sqref="P317:AA317 P315:AA315">
    <cfRule type="expression" dxfId="2324" priority="521">
      <formula>P$1=""</formula>
    </cfRule>
  </conditionalFormatting>
  <conditionalFormatting sqref="P317:AA317 P315:AA315">
    <cfRule type="expression" dxfId="2323" priority="520">
      <formula>P$1=""</formula>
    </cfRule>
  </conditionalFormatting>
  <conditionalFormatting sqref="P317:AA317 P315:AA315">
    <cfRule type="expression" dxfId="2322" priority="519">
      <formula>P$1=""</formula>
    </cfRule>
  </conditionalFormatting>
  <conditionalFormatting sqref="P317:AA317 P315:AA315">
    <cfRule type="expression" dxfId="2321" priority="518">
      <formula>P$1=""</formula>
    </cfRule>
  </conditionalFormatting>
  <conditionalFormatting sqref="P317:AA317 P315:AA315">
    <cfRule type="expression" dxfId="2320" priority="517">
      <formula>P$1=""</formula>
    </cfRule>
  </conditionalFormatting>
  <conditionalFormatting sqref="P317:AA317 P315:AA315">
    <cfRule type="expression" dxfId="2319" priority="516">
      <formula>P$1=""</formula>
    </cfRule>
  </conditionalFormatting>
  <conditionalFormatting sqref="P317:AA317 P315:AA315">
    <cfRule type="expression" dxfId="2318" priority="515">
      <formula>P$1=""</formula>
    </cfRule>
  </conditionalFormatting>
  <conditionalFormatting sqref="P317:AA317 P315:AA315">
    <cfRule type="expression" dxfId="2317" priority="514">
      <formula>P$1=""</formula>
    </cfRule>
  </conditionalFormatting>
  <conditionalFormatting sqref="P317:AA317 P315:AA315">
    <cfRule type="expression" dxfId="2316" priority="513">
      <formula>P$1=""</formula>
    </cfRule>
  </conditionalFormatting>
  <conditionalFormatting sqref="P317:AA317 P315:AA315">
    <cfRule type="expression" dxfId="2315" priority="512">
      <formula>P$1=""</formula>
    </cfRule>
  </conditionalFormatting>
  <conditionalFormatting sqref="P317:AA317 P315:AA315">
    <cfRule type="expression" dxfId="2314" priority="511">
      <formula>P$1=""</formula>
    </cfRule>
  </conditionalFormatting>
  <conditionalFormatting sqref="P317:AA317 P315:AA315">
    <cfRule type="expression" dxfId="2313" priority="510">
      <formula>P$1=""</formula>
    </cfRule>
  </conditionalFormatting>
  <conditionalFormatting sqref="P317:AA317 P315:AA315">
    <cfRule type="expression" dxfId="2312" priority="509">
      <formula>P$1=""</formula>
    </cfRule>
  </conditionalFormatting>
  <conditionalFormatting sqref="P317:AA317 P315:AA315">
    <cfRule type="expression" dxfId="2311" priority="508">
      <formula>P$1=""</formula>
    </cfRule>
  </conditionalFormatting>
  <conditionalFormatting sqref="P161:AA161 P159:AA159 P157:AA157">
    <cfRule type="expression" dxfId="2310" priority="507">
      <formula>P$1=""</formula>
    </cfRule>
  </conditionalFormatting>
  <conditionalFormatting sqref="P161:AA161 P159:AA159 P157:AA157">
    <cfRule type="expression" dxfId="2309" priority="506">
      <formula>P$1=""</formula>
    </cfRule>
  </conditionalFormatting>
  <conditionalFormatting sqref="P161:AA161 P159:AA159 P157:AA157">
    <cfRule type="expression" dxfId="2308" priority="505">
      <formula>P$1=""</formula>
    </cfRule>
  </conditionalFormatting>
  <conditionalFormatting sqref="P161:AA161 P159:AA159 P157:AA157">
    <cfRule type="expression" dxfId="2307" priority="504">
      <formula>P$1=""</formula>
    </cfRule>
  </conditionalFormatting>
  <conditionalFormatting sqref="P161:AA161 P159:AA159 P157:AA157">
    <cfRule type="expression" dxfId="2306" priority="503">
      <formula>P$1=""</formula>
    </cfRule>
  </conditionalFormatting>
  <conditionalFormatting sqref="P161:AA161 P159:AA159 P157:AA157">
    <cfRule type="expression" dxfId="2305" priority="502">
      <formula>P$1=""</formula>
    </cfRule>
  </conditionalFormatting>
  <conditionalFormatting sqref="P161:AA161 P159:AA159 P157:AA157">
    <cfRule type="expression" dxfId="2304" priority="501">
      <formula>P$1=""</formula>
    </cfRule>
  </conditionalFormatting>
  <conditionalFormatting sqref="P161:AA161 P159:AA159 P157:AA157">
    <cfRule type="expression" dxfId="2303" priority="500">
      <formula>P$1=""</formula>
    </cfRule>
  </conditionalFormatting>
  <conditionalFormatting sqref="P171:AA171 P169:AA169 P167:AA167">
    <cfRule type="expression" dxfId="2302" priority="499">
      <formula>P$1=""</formula>
    </cfRule>
  </conditionalFormatting>
  <conditionalFormatting sqref="P171:AA171 P169:AA169 P167:AA167">
    <cfRule type="expression" dxfId="2301" priority="498">
      <formula>P$1=""</formula>
    </cfRule>
  </conditionalFormatting>
  <conditionalFormatting sqref="P171:AA171 P169:AA169 P167:AA167">
    <cfRule type="expression" dxfId="2300" priority="497">
      <formula>P$1=""</formula>
    </cfRule>
  </conditionalFormatting>
  <conditionalFormatting sqref="P171:AA171 P169:AA169 P167:AA167">
    <cfRule type="expression" dxfId="2299" priority="496">
      <formula>P$1=""</formula>
    </cfRule>
  </conditionalFormatting>
  <conditionalFormatting sqref="P171:AA171 P169:AA169 P167:AA167">
    <cfRule type="expression" dxfId="2298" priority="495">
      <formula>P$1=""</formula>
    </cfRule>
  </conditionalFormatting>
  <conditionalFormatting sqref="P171:AA171 P169:AA169 P167:AA167">
    <cfRule type="expression" dxfId="2297" priority="494">
      <formula>P$1=""</formula>
    </cfRule>
  </conditionalFormatting>
  <conditionalFormatting sqref="P171:AA171 P169:AA169 P167:AA167">
    <cfRule type="expression" dxfId="2296" priority="493">
      <formula>P$1=""</formula>
    </cfRule>
  </conditionalFormatting>
  <conditionalFormatting sqref="P171:AA171 P169:AA169 P167:AA167">
    <cfRule type="expression" dxfId="2295" priority="492">
      <formula>P$1=""</formula>
    </cfRule>
  </conditionalFormatting>
  <conditionalFormatting sqref="P177:AA177 P179:AA179 P181:AA181">
    <cfRule type="expression" dxfId="2294" priority="491">
      <formula>P$1=""</formula>
    </cfRule>
  </conditionalFormatting>
  <conditionalFormatting sqref="P177:AA177 P179:AA179 P181:AA181">
    <cfRule type="expression" dxfId="2293" priority="490">
      <formula>P$1=""</formula>
    </cfRule>
  </conditionalFormatting>
  <conditionalFormatting sqref="P177:AA177 P179:AA179 P181:AA181">
    <cfRule type="expression" dxfId="2292" priority="489">
      <formula>P$1=""</formula>
    </cfRule>
  </conditionalFormatting>
  <conditionalFormatting sqref="P177:AA177 P179:AA179 P181:AA181">
    <cfRule type="expression" dxfId="2291" priority="488">
      <formula>P$1=""</formula>
    </cfRule>
  </conditionalFormatting>
  <conditionalFormatting sqref="P177:AA177 P179:AA179 P181:AA181">
    <cfRule type="expression" dxfId="2290" priority="487">
      <formula>P$1=""</formula>
    </cfRule>
  </conditionalFormatting>
  <conditionalFormatting sqref="P177:AA177 P179:AA179 P181:AA181">
    <cfRule type="expression" dxfId="2289" priority="486">
      <formula>P$1=""</formula>
    </cfRule>
  </conditionalFormatting>
  <conditionalFormatting sqref="P177:AA177 P179:AA179 P181:AA181">
    <cfRule type="expression" dxfId="2288" priority="485">
      <formula>P$1=""</formula>
    </cfRule>
  </conditionalFormatting>
  <conditionalFormatting sqref="P177:AA177 P179:AA179 P181:AA181">
    <cfRule type="expression" dxfId="2287" priority="484">
      <formula>P$1=""</formula>
    </cfRule>
  </conditionalFormatting>
  <conditionalFormatting sqref="P177:AA177">
    <cfRule type="expression" dxfId="2286" priority="483">
      <formula>P$1=""</formula>
    </cfRule>
  </conditionalFormatting>
  <conditionalFormatting sqref="P177:AA177 P179:AA179 P181:AA181">
    <cfRule type="expression" dxfId="2285" priority="482">
      <formula>P$1=""</formula>
    </cfRule>
  </conditionalFormatting>
  <conditionalFormatting sqref="P177:AA177 P179:AA179 P181:AA181">
    <cfRule type="expression" dxfId="2284" priority="481">
      <formula>P$1=""</formula>
    </cfRule>
  </conditionalFormatting>
  <conditionalFormatting sqref="P177:AA177 P179:AA179 P181:AA181">
    <cfRule type="expression" dxfId="2283" priority="480">
      <formula>P$1=""</formula>
    </cfRule>
  </conditionalFormatting>
  <conditionalFormatting sqref="P177:AA177 P179:AA179 P181:AA181">
    <cfRule type="expression" dxfId="2282" priority="479">
      <formula>P$1=""</formula>
    </cfRule>
  </conditionalFormatting>
  <conditionalFormatting sqref="P177:AA177 P179:AA179 P181:AA181">
    <cfRule type="expression" dxfId="2281" priority="478">
      <formula>P$1=""</formula>
    </cfRule>
  </conditionalFormatting>
  <conditionalFormatting sqref="P177:AA177">
    <cfRule type="expression" dxfId="2280" priority="477">
      <formula>P$1=""</formula>
    </cfRule>
  </conditionalFormatting>
  <conditionalFormatting sqref="P177:AA177 P179:AA179 P181:AA181">
    <cfRule type="expression" dxfId="2279" priority="476">
      <formula>P$1=""</formula>
    </cfRule>
  </conditionalFormatting>
  <conditionalFormatting sqref="P177:AA177 P179:AA179 P181:AA181">
    <cfRule type="expression" dxfId="2278" priority="475">
      <formula>P$1=""</formula>
    </cfRule>
  </conditionalFormatting>
  <conditionalFormatting sqref="P177:AA177 P179:AA179 P181:AA181">
    <cfRule type="expression" dxfId="2277" priority="474">
      <formula>P$1=""</formula>
    </cfRule>
  </conditionalFormatting>
  <conditionalFormatting sqref="P177:AA177 P179:AA179 P181:AA181">
    <cfRule type="expression" dxfId="2276" priority="473">
      <formula>P$1=""</formula>
    </cfRule>
  </conditionalFormatting>
  <conditionalFormatting sqref="P177:AA177 P179:AA179 P181:AA181">
    <cfRule type="expression" dxfId="2275" priority="472">
      <formula>P$1=""</formula>
    </cfRule>
  </conditionalFormatting>
  <conditionalFormatting sqref="P177:AA177 P179:AA179 P181:AA181">
    <cfRule type="expression" dxfId="2274" priority="471">
      <formula>P$1=""</formula>
    </cfRule>
  </conditionalFormatting>
  <conditionalFormatting sqref="P177:AA177 P179:AA179 P181:AA181">
    <cfRule type="expression" dxfId="2273" priority="470">
      <formula>P$1=""</formula>
    </cfRule>
  </conditionalFormatting>
  <conditionalFormatting sqref="P177:AA177 P179:AA179 P181:AA181">
    <cfRule type="expression" dxfId="2272" priority="469">
      <formula>P$1=""</formula>
    </cfRule>
  </conditionalFormatting>
  <conditionalFormatting sqref="P181:AA181 P179:AA179">
    <cfRule type="expression" dxfId="2271" priority="468">
      <formula>P$1=""</formula>
    </cfRule>
  </conditionalFormatting>
  <conditionalFormatting sqref="P181:AA181 P179:AA179">
    <cfRule type="expression" dxfId="2270" priority="467">
      <formula>P$1=""</formula>
    </cfRule>
  </conditionalFormatting>
  <conditionalFormatting sqref="Q181:AA181 Q179:AA179">
    <cfRule type="expression" dxfId="2269" priority="466">
      <formula>Q$1=""</formula>
    </cfRule>
  </conditionalFormatting>
  <conditionalFormatting sqref="Q181:AA181 Q179:AA179">
    <cfRule type="expression" dxfId="2268" priority="465">
      <formula>Q$1=""</formula>
    </cfRule>
  </conditionalFormatting>
  <conditionalFormatting sqref="Q181:AA181 Q179:AA179">
    <cfRule type="expression" dxfId="2267" priority="464">
      <formula>Q$1=""</formula>
    </cfRule>
  </conditionalFormatting>
  <conditionalFormatting sqref="Q181:AA181 Q179:AA179">
    <cfRule type="expression" dxfId="2266" priority="463">
      <formula>Q$1=""</formula>
    </cfRule>
  </conditionalFormatting>
  <conditionalFormatting sqref="Q181:AA181 Q179:AA179">
    <cfRule type="expression" dxfId="2265" priority="462">
      <formula>Q$1=""</formula>
    </cfRule>
  </conditionalFormatting>
  <conditionalFormatting sqref="Q181:AA181 Q179:AA179">
    <cfRule type="expression" dxfId="2264" priority="461">
      <formula>Q$1=""</formula>
    </cfRule>
  </conditionalFormatting>
  <conditionalFormatting sqref="Q181:AA181 Q179:AA179">
    <cfRule type="expression" dxfId="2263" priority="460">
      <formula>Q$1=""</formula>
    </cfRule>
  </conditionalFormatting>
  <conditionalFormatting sqref="Q181:AA181 Q179:AA179">
    <cfRule type="expression" dxfId="2262" priority="459">
      <formula>Q$1=""</formula>
    </cfRule>
  </conditionalFormatting>
  <conditionalFormatting sqref="P181:AA181 P179:AA179">
    <cfRule type="expression" dxfId="2261" priority="458">
      <formula>P$1=""</formula>
    </cfRule>
  </conditionalFormatting>
  <conditionalFormatting sqref="P181:AA181 P179:AA179">
    <cfRule type="expression" dxfId="2260" priority="457">
      <formula>P$1=""</formula>
    </cfRule>
  </conditionalFormatting>
  <conditionalFormatting sqref="P297:AA297 P295:AA295 P293:AA293 P291:AA291">
    <cfRule type="expression" dxfId="2259" priority="456">
      <formula>P$1=""</formula>
    </cfRule>
  </conditionalFormatting>
  <conditionalFormatting sqref="P297:AA297 P295:AA295 P293:AA293 P291:AA291">
    <cfRule type="expression" dxfId="2258" priority="455">
      <formula>P$1=""</formula>
    </cfRule>
  </conditionalFormatting>
  <conditionalFormatting sqref="P297:AA297 P295:AA295 P293:AA293 P291:AA291">
    <cfRule type="expression" dxfId="2257" priority="454">
      <formula>P$1=""</formula>
    </cfRule>
  </conditionalFormatting>
  <conditionalFormatting sqref="P297:AA297 P295:AA295 P293:AA293 P291:AA291">
    <cfRule type="expression" dxfId="2256" priority="453">
      <formula>P$1=""</formula>
    </cfRule>
  </conditionalFormatting>
  <conditionalFormatting sqref="P297:AA297 P295:AA295 P293:AA293 P291:AA291">
    <cfRule type="expression" dxfId="2255" priority="452">
      <formula>P$1=""</formula>
    </cfRule>
  </conditionalFormatting>
  <conditionalFormatting sqref="P297:AA297 P295:AA295 P293:AA293 P291:AA291">
    <cfRule type="expression" dxfId="2254" priority="451">
      <formula>P$1=""</formula>
    </cfRule>
  </conditionalFormatting>
  <conditionalFormatting sqref="P297:AA297 P295:AA295 P293:AA293 P291:AA291">
    <cfRule type="expression" dxfId="2253" priority="450">
      <formula>P$1=""</formula>
    </cfRule>
  </conditionalFormatting>
  <conditionalFormatting sqref="P297:AA297 P295:AA295 P293:AA293 P291:AA291">
    <cfRule type="expression" dxfId="2252" priority="449">
      <formula>P$1=""</formula>
    </cfRule>
  </conditionalFormatting>
  <conditionalFormatting sqref="P297:AA297 P295:AA295 P293:AA293 P291:AA291">
    <cfRule type="expression" dxfId="2251" priority="448">
      <formula>P$1=""</formula>
    </cfRule>
  </conditionalFormatting>
  <conditionalFormatting sqref="P297:AA297 P295:AA295 P293:AA293 P291:AA291">
    <cfRule type="expression" dxfId="2250" priority="447">
      <formula>P$1=""</formula>
    </cfRule>
  </conditionalFormatting>
  <conditionalFormatting sqref="P297:AA297 P295:AA295 P293:AA293 P291:AA291">
    <cfRule type="expression" dxfId="2249" priority="446">
      <formula>P$1=""</formula>
    </cfRule>
  </conditionalFormatting>
  <conditionalFormatting sqref="P297:AA297 P295:AA295 P293:AA293 P291:AA291">
    <cfRule type="expression" dxfId="2248" priority="445">
      <formula>P$1=""</formula>
    </cfRule>
  </conditionalFormatting>
  <conditionalFormatting sqref="P297:AA297 P295:AA295 P293:AA293 P291:AA291">
    <cfRule type="expression" dxfId="2247" priority="444">
      <formula>P$1=""</formula>
    </cfRule>
  </conditionalFormatting>
  <conditionalFormatting sqref="P297:AA297 P295:AA295 P293:AA293 P291:AA291">
    <cfRule type="expression" dxfId="2246" priority="443">
      <formula>P$1=""</formula>
    </cfRule>
  </conditionalFormatting>
  <conditionalFormatting sqref="P297:AA297 P295:AA295 P293:AA293 P291:AA291">
    <cfRule type="expression" dxfId="2245" priority="442">
      <formula>P$1=""</formula>
    </cfRule>
  </conditionalFormatting>
  <conditionalFormatting sqref="P297:AA297 P295:AA295 P293:AA293 P291:AA291">
    <cfRule type="expression" dxfId="2244" priority="441">
      <formula>P$1=""</formula>
    </cfRule>
  </conditionalFormatting>
  <conditionalFormatting sqref="P297:AA297 P295:AA295 P293:AA293 P291:AA291">
    <cfRule type="expression" dxfId="2243" priority="440">
      <formula>P$1=""</formula>
    </cfRule>
  </conditionalFormatting>
  <conditionalFormatting sqref="P297:AA297 P295:AA295 P293:AA293 P291:AA291">
    <cfRule type="expression" dxfId="2242" priority="439">
      <formula>P$1=""</formula>
    </cfRule>
  </conditionalFormatting>
  <conditionalFormatting sqref="P297:AA297 P295:AA295 P293:AA293 P291:AA291">
    <cfRule type="expression" dxfId="2241" priority="438">
      <formula>P$1=""</formula>
    </cfRule>
  </conditionalFormatting>
  <conditionalFormatting sqref="P297:AA297 P295:AA295 P293:AA293 P291:AA291">
    <cfRule type="expression" dxfId="2240" priority="437">
      <formula>P$1=""</formula>
    </cfRule>
  </conditionalFormatting>
  <conditionalFormatting sqref="P297:AA297 P295:AA295 P293:AA293 P291:AA291">
    <cfRule type="expression" dxfId="2239" priority="436">
      <formula>P$1=""</formula>
    </cfRule>
  </conditionalFormatting>
  <conditionalFormatting sqref="P297:AA297 P295:AA295 P293:AA293 P291:AA291">
    <cfRule type="expression" dxfId="2238" priority="435">
      <formula>P$1=""</formula>
    </cfRule>
  </conditionalFormatting>
  <conditionalFormatting sqref="P297:AA297 P295:AA295 P293:AA293 P291:AA291">
    <cfRule type="expression" dxfId="2237" priority="434">
      <formula>P$1=""</formula>
    </cfRule>
  </conditionalFormatting>
  <conditionalFormatting sqref="P193:AA193">
    <cfRule type="expression" dxfId="2236" priority="433">
      <formula>P$1=""</formula>
    </cfRule>
  </conditionalFormatting>
  <conditionalFormatting sqref="P193:AA193">
    <cfRule type="expression" dxfId="2235" priority="432">
      <formula>P$1=""</formula>
    </cfRule>
  </conditionalFormatting>
  <conditionalFormatting sqref="P193:AA193">
    <cfRule type="expression" dxfId="2234" priority="431">
      <formula>P$1=""</formula>
    </cfRule>
  </conditionalFormatting>
  <conditionalFormatting sqref="P193:AA193">
    <cfRule type="expression" dxfId="2233" priority="430">
      <formula>P$1=""</formula>
    </cfRule>
  </conditionalFormatting>
  <conditionalFormatting sqref="P193:AA193">
    <cfRule type="expression" dxfId="2232" priority="429">
      <formula>P$1=""</formula>
    </cfRule>
  </conditionalFormatting>
  <conditionalFormatting sqref="P193:AA193">
    <cfRule type="expression" dxfId="2231" priority="428">
      <formula>P$1=""</formula>
    </cfRule>
  </conditionalFormatting>
  <conditionalFormatting sqref="P193:AA193">
    <cfRule type="expression" dxfId="2230" priority="427">
      <formula>P$1=""</formula>
    </cfRule>
  </conditionalFormatting>
  <conditionalFormatting sqref="P193:AA193">
    <cfRule type="expression" dxfId="2229" priority="426">
      <formula>P$1=""</formula>
    </cfRule>
  </conditionalFormatting>
  <conditionalFormatting sqref="P206:AA206">
    <cfRule type="expression" dxfId="2228" priority="425">
      <formula>P$1=""</formula>
    </cfRule>
  </conditionalFormatting>
  <conditionalFormatting sqref="P208:AA208">
    <cfRule type="expression" dxfId="2227" priority="424">
      <formula>P$1=""</formula>
    </cfRule>
  </conditionalFormatting>
  <conditionalFormatting sqref="P210:AA210">
    <cfRule type="expression" dxfId="2226" priority="423">
      <formula>P$1=""</formula>
    </cfRule>
  </conditionalFormatting>
  <conditionalFormatting sqref="P212:AA212">
    <cfRule type="expression" dxfId="2225" priority="422">
      <formula>P$1=""</formula>
    </cfRule>
  </conditionalFormatting>
  <conditionalFormatting sqref="P208:AA208 P210:AA210 P212:AA212">
    <cfRule type="expression" dxfId="2224" priority="421">
      <formula>P$1=""</formula>
    </cfRule>
  </conditionalFormatting>
  <conditionalFormatting sqref="P208:AA208 P210:AA210 P212:AA212">
    <cfRule type="expression" dxfId="2223" priority="420">
      <formula>P$1=""</formula>
    </cfRule>
  </conditionalFormatting>
  <conditionalFormatting sqref="P208:AA208 P210:AA210 P212:AA212">
    <cfRule type="expression" dxfId="2222" priority="419">
      <formula>P$1=""</formula>
    </cfRule>
  </conditionalFormatting>
  <conditionalFormatting sqref="P208:AA208 P210:AA210 P212:AA212">
    <cfRule type="expression" dxfId="2221" priority="418">
      <formula>P$1=""</formula>
    </cfRule>
  </conditionalFormatting>
  <conditionalFormatting sqref="P208:AA208 P210:AA210 P212:AA212">
    <cfRule type="expression" dxfId="2220" priority="417">
      <formula>P$1=""</formula>
    </cfRule>
  </conditionalFormatting>
  <conditionalFormatting sqref="P210:AA210 P212:AA212">
    <cfRule type="expression" dxfId="2219" priority="416">
      <formula>P$1=""</formula>
    </cfRule>
  </conditionalFormatting>
  <conditionalFormatting sqref="P208:AA208">
    <cfRule type="expression" dxfId="2218" priority="415">
      <formula>P$1=""</formula>
    </cfRule>
  </conditionalFormatting>
  <conditionalFormatting sqref="P210:AA210 P212:AA212">
    <cfRule type="expression" dxfId="2217" priority="414">
      <formula>P$1=""</formula>
    </cfRule>
  </conditionalFormatting>
  <conditionalFormatting sqref="P210:AA210 P212:AA212">
    <cfRule type="expression" dxfId="2216" priority="413">
      <formula>P$1=""</formula>
    </cfRule>
  </conditionalFormatting>
  <conditionalFormatting sqref="P212:AA212">
    <cfRule type="expression" dxfId="2215" priority="412">
      <formula>P$1=""</formula>
    </cfRule>
  </conditionalFormatting>
  <conditionalFormatting sqref="P212:AA212">
    <cfRule type="expression" dxfId="2214" priority="411">
      <formula>P$1=""</formula>
    </cfRule>
  </conditionalFormatting>
  <conditionalFormatting sqref="P212:AA212">
    <cfRule type="expression" dxfId="2213" priority="410">
      <formula>P$1=""</formula>
    </cfRule>
  </conditionalFormatting>
  <conditionalFormatting sqref="P212:AA212">
    <cfRule type="expression" dxfId="2212" priority="409">
      <formula>P$1=""</formula>
    </cfRule>
  </conditionalFormatting>
  <conditionalFormatting sqref="P206:AA206">
    <cfRule type="expression" dxfId="2211" priority="408">
      <formula>P$1=""</formula>
    </cfRule>
  </conditionalFormatting>
  <conditionalFormatting sqref="P206:AA206">
    <cfRule type="expression" dxfId="2210" priority="407">
      <formula>P$1=""</formula>
    </cfRule>
  </conditionalFormatting>
  <conditionalFormatting sqref="P206:AA206">
    <cfRule type="expression" dxfId="2209" priority="406">
      <formula>P$1=""</formula>
    </cfRule>
  </conditionalFormatting>
  <conditionalFormatting sqref="P206:AA206">
    <cfRule type="expression" dxfId="2208" priority="405">
      <formula>P$1=""</formula>
    </cfRule>
  </conditionalFormatting>
  <conditionalFormatting sqref="P206:AA206">
    <cfRule type="expression" dxfId="2207" priority="404">
      <formula>P$1=""</formula>
    </cfRule>
  </conditionalFormatting>
  <conditionalFormatting sqref="P206:AA206">
    <cfRule type="expression" dxfId="2206" priority="403">
      <formula>P$1=""</formula>
    </cfRule>
  </conditionalFormatting>
  <conditionalFormatting sqref="P206:AA206">
    <cfRule type="expression" dxfId="2205" priority="402">
      <formula>P$1=""</formula>
    </cfRule>
  </conditionalFormatting>
  <conditionalFormatting sqref="P210:AA210 P212:AA212">
    <cfRule type="expression" dxfId="2204" priority="401">
      <formula>P$1=""</formula>
    </cfRule>
  </conditionalFormatting>
  <conditionalFormatting sqref="P210:AA210 P212:AA212">
    <cfRule type="expression" dxfId="2203" priority="400">
      <formula>P$1=""</formula>
    </cfRule>
  </conditionalFormatting>
  <conditionalFormatting sqref="P210:AA210 P212:AA212">
    <cfRule type="expression" dxfId="2202" priority="399">
      <formula>P$1=""</formula>
    </cfRule>
  </conditionalFormatting>
  <conditionalFormatting sqref="P210:AA210 P212:AA212">
    <cfRule type="expression" dxfId="2201" priority="398">
      <formula>P$1=""</formula>
    </cfRule>
  </conditionalFormatting>
  <conditionalFormatting sqref="P212 P210 P208">
    <cfRule type="expression" dxfId="2200" priority="397">
      <formula>P$1=""</formula>
    </cfRule>
  </conditionalFormatting>
  <conditionalFormatting sqref="P212 P210 P208">
    <cfRule type="expression" dxfId="2199" priority="396">
      <formula>P$1=""</formula>
    </cfRule>
  </conditionalFormatting>
  <conditionalFormatting sqref="P212 P210 P208">
    <cfRule type="expression" dxfId="2198" priority="395">
      <formula>P$1=""</formula>
    </cfRule>
  </conditionalFormatting>
  <conditionalFormatting sqref="P236:AA236">
    <cfRule type="expression" dxfId="2197" priority="394">
      <formula>P$1=""</formula>
    </cfRule>
  </conditionalFormatting>
  <conditionalFormatting sqref="P238:AA238">
    <cfRule type="expression" dxfId="2196" priority="393">
      <formula>P$1=""</formula>
    </cfRule>
  </conditionalFormatting>
  <conditionalFormatting sqref="P240:AA240">
    <cfRule type="expression" dxfId="2195" priority="392">
      <formula>P$1=""</formula>
    </cfRule>
  </conditionalFormatting>
  <conditionalFormatting sqref="P242:AA242">
    <cfRule type="expression" dxfId="2194" priority="391">
      <formula>P$1=""</formula>
    </cfRule>
  </conditionalFormatting>
  <conditionalFormatting sqref="P238:AA238 P240:AA240 P242:AA242">
    <cfRule type="expression" dxfId="2193" priority="390">
      <formula>P$1=""</formula>
    </cfRule>
  </conditionalFormatting>
  <conditionalFormatting sqref="P238:AA238 P240:AA240 P242:AA242">
    <cfRule type="expression" dxfId="2192" priority="389">
      <formula>P$1=""</formula>
    </cfRule>
  </conditionalFormatting>
  <conditionalFormatting sqref="P238:AA238 P240:AA240 P242:AA242">
    <cfRule type="expression" dxfId="2191" priority="388">
      <formula>P$1=""</formula>
    </cfRule>
  </conditionalFormatting>
  <conditionalFormatting sqref="P238:AA238 P240:AA240 P242:AA242">
    <cfRule type="expression" dxfId="2190" priority="387">
      <formula>P$1=""</formula>
    </cfRule>
  </conditionalFormatting>
  <conditionalFormatting sqref="P238:AA238 P240:AA240 P242:AA242">
    <cfRule type="expression" dxfId="2189" priority="386">
      <formula>P$1=""</formula>
    </cfRule>
  </conditionalFormatting>
  <conditionalFormatting sqref="P240:AA240 P242:AA242">
    <cfRule type="expression" dxfId="2188" priority="385">
      <formula>P$1=""</formula>
    </cfRule>
  </conditionalFormatting>
  <conditionalFormatting sqref="P238:AA238">
    <cfRule type="expression" dxfId="2187" priority="384">
      <formula>P$1=""</formula>
    </cfRule>
  </conditionalFormatting>
  <conditionalFormatting sqref="P240:AA240 P242:AA242">
    <cfRule type="expression" dxfId="2186" priority="383">
      <formula>P$1=""</formula>
    </cfRule>
  </conditionalFormatting>
  <conditionalFormatting sqref="P240:AA240 P242:AA242">
    <cfRule type="expression" dxfId="2185" priority="382">
      <formula>P$1=""</formula>
    </cfRule>
  </conditionalFormatting>
  <conditionalFormatting sqref="P242:AA242">
    <cfRule type="expression" dxfId="2184" priority="381">
      <formula>P$1=""</formula>
    </cfRule>
  </conditionalFormatting>
  <conditionalFormatting sqref="P242:AA242">
    <cfRule type="expression" dxfId="2183" priority="380">
      <formula>P$1=""</formula>
    </cfRule>
  </conditionalFormatting>
  <conditionalFormatting sqref="P242:AA242">
    <cfRule type="expression" dxfId="2182" priority="379">
      <formula>P$1=""</formula>
    </cfRule>
  </conditionalFormatting>
  <conditionalFormatting sqref="P242:AA242">
    <cfRule type="expression" dxfId="2181" priority="378">
      <formula>P$1=""</formula>
    </cfRule>
  </conditionalFormatting>
  <conditionalFormatting sqref="P236:AA236">
    <cfRule type="expression" dxfId="2180" priority="377">
      <formula>P$1=""</formula>
    </cfRule>
  </conditionalFormatting>
  <conditionalFormatting sqref="P236:AA236">
    <cfRule type="expression" dxfId="2179" priority="376">
      <formula>P$1=""</formula>
    </cfRule>
  </conditionalFormatting>
  <conditionalFormatting sqref="P236:AA236">
    <cfRule type="expression" dxfId="2178" priority="375">
      <formula>P$1=""</formula>
    </cfRule>
  </conditionalFormatting>
  <conditionalFormatting sqref="P236:AA236">
    <cfRule type="expression" dxfId="2177" priority="374">
      <formula>P$1=""</formula>
    </cfRule>
  </conditionalFormatting>
  <conditionalFormatting sqref="P236:AA236">
    <cfRule type="expression" dxfId="2176" priority="373">
      <formula>P$1=""</formula>
    </cfRule>
  </conditionalFormatting>
  <conditionalFormatting sqref="P236:AA236">
    <cfRule type="expression" dxfId="2175" priority="372">
      <formula>P$1=""</formula>
    </cfRule>
  </conditionalFormatting>
  <conditionalFormatting sqref="P236:AA236">
    <cfRule type="expression" dxfId="2174" priority="371">
      <formula>P$1=""</formula>
    </cfRule>
  </conditionalFormatting>
  <conditionalFormatting sqref="P240:AA240 P242:AA242">
    <cfRule type="expression" dxfId="2173" priority="370">
      <formula>P$1=""</formula>
    </cfRule>
  </conditionalFormatting>
  <conditionalFormatting sqref="P240:AA240 P242:AA242">
    <cfRule type="expression" dxfId="2172" priority="369">
      <formula>P$1=""</formula>
    </cfRule>
  </conditionalFormatting>
  <conditionalFormatting sqref="P240:AA240 P242:AA242">
    <cfRule type="expression" dxfId="2171" priority="368">
      <formula>P$1=""</formula>
    </cfRule>
  </conditionalFormatting>
  <conditionalFormatting sqref="P240:AA240 P242:AA242">
    <cfRule type="expression" dxfId="2170" priority="367">
      <formula>P$1=""</formula>
    </cfRule>
  </conditionalFormatting>
  <conditionalFormatting sqref="P238:AA238 P240:AA240 P242:AA242">
    <cfRule type="expression" dxfId="2169" priority="366">
      <formula>P$1=""</formula>
    </cfRule>
  </conditionalFormatting>
  <conditionalFormatting sqref="P238:AA238 P240:AA240 P242:AA242">
    <cfRule type="expression" dxfId="2168" priority="365">
      <formula>P$1=""</formula>
    </cfRule>
  </conditionalFormatting>
  <conditionalFormatting sqref="P238:AA238 P240:AA240 P242:AA242">
    <cfRule type="expression" dxfId="2167" priority="364">
      <formula>P$1=""</formula>
    </cfRule>
  </conditionalFormatting>
  <conditionalFormatting sqref="P238:AA238 P240:AA240 P242:AA242">
    <cfRule type="expression" dxfId="2166" priority="363">
      <formula>P$1=""</formula>
    </cfRule>
  </conditionalFormatting>
  <conditionalFormatting sqref="P238:AA238 P240:AA240 P242:AA242">
    <cfRule type="expression" dxfId="2165" priority="362">
      <formula>P$1=""</formula>
    </cfRule>
  </conditionalFormatting>
  <conditionalFormatting sqref="P238:AA238 P240:AA240 P242:AA242">
    <cfRule type="expression" dxfId="2164" priority="361">
      <formula>P$1=""</formula>
    </cfRule>
  </conditionalFormatting>
  <conditionalFormatting sqref="P238:AA238 P240:AA240 P242:AA242">
    <cfRule type="expression" dxfId="2163" priority="360">
      <formula>P$1=""</formula>
    </cfRule>
  </conditionalFormatting>
  <conditionalFormatting sqref="P238:AA238 P240:AA240 P242:AA242">
    <cfRule type="expression" dxfId="2162" priority="359">
      <formula>P$1=""</formula>
    </cfRule>
  </conditionalFormatting>
  <conditionalFormatting sqref="Q238:AA238">
    <cfRule type="expression" dxfId="2161" priority="358">
      <formula>Q$1=""</formula>
    </cfRule>
  </conditionalFormatting>
  <conditionalFormatting sqref="Q238:AA238">
    <cfRule type="expression" dxfId="2160" priority="357">
      <formula>Q$1=""</formula>
    </cfRule>
  </conditionalFormatting>
  <conditionalFormatting sqref="Q238:AA238">
    <cfRule type="expression" dxfId="2159" priority="356">
      <formula>Q$1=""</formula>
    </cfRule>
  </conditionalFormatting>
  <conditionalFormatting sqref="Q238:AA238">
    <cfRule type="expression" dxfId="2158" priority="355">
      <formula>Q$1=""</formula>
    </cfRule>
  </conditionalFormatting>
  <conditionalFormatting sqref="Q238:AA238">
    <cfRule type="expression" dxfId="2157" priority="354">
      <formula>Q$1=""</formula>
    </cfRule>
  </conditionalFormatting>
  <conditionalFormatting sqref="Q238:AA238">
    <cfRule type="expression" dxfId="2156" priority="353">
      <formula>Q$1=""</formula>
    </cfRule>
  </conditionalFormatting>
  <conditionalFormatting sqref="Q238:AA238">
    <cfRule type="expression" dxfId="2155" priority="352">
      <formula>Q$1=""</formula>
    </cfRule>
  </conditionalFormatting>
  <conditionalFormatting sqref="Q238:AA238">
    <cfRule type="expression" dxfId="2154" priority="351">
      <formula>Q$1=""</formula>
    </cfRule>
  </conditionalFormatting>
  <conditionalFormatting sqref="Q240:AA240 Q242:AA242">
    <cfRule type="expression" dxfId="2153" priority="350">
      <formula>Q$1=""</formula>
    </cfRule>
  </conditionalFormatting>
  <conditionalFormatting sqref="Q240:AA240 Q242:AA242">
    <cfRule type="expression" dxfId="2152" priority="349">
      <formula>Q$1=""</formula>
    </cfRule>
  </conditionalFormatting>
  <conditionalFormatting sqref="Q240:AA240 Q242:AA242">
    <cfRule type="expression" dxfId="2151" priority="348">
      <formula>Q$1=""</formula>
    </cfRule>
  </conditionalFormatting>
  <conditionalFormatting sqref="Q240:AA240 Q242:AA242">
    <cfRule type="expression" dxfId="2150" priority="347">
      <formula>Q$1=""</formula>
    </cfRule>
  </conditionalFormatting>
  <conditionalFormatting sqref="Q240:AA240 Q242:AA242">
    <cfRule type="expression" dxfId="2149" priority="346">
      <formula>Q$1=""</formula>
    </cfRule>
  </conditionalFormatting>
  <conditionalFormatting sqref="Q240:AA240 Q242:AA242">
    <cfRule type="expression" dxfId="2148" priority="345">
      <formula>Q$1=""</formula>
    </cfRule>
  </conditionalFormatting>
  <conditionalFormatting sqref="Q240:AA240 Q242:AA242">
    <cfRule type="expression" dxfId="2147" priority="344">
      <formula>Q$1=""</formula>
    </cfRule>
  </conditionalFormatting>
  <conditionalFormatting sqref="Q240:AA240 Q242:AA242">
    <cfRule type="expression" dxfId="2146" priority="343">
      <formula>Q$1=""</formula>
    </cfRule>
  </conditionalFormatting>
  <conditionalFormatting sqref="Q240:AA240 Q242:AA242">
    <cfRule type="expression" dxfId="2145" priority="342">
      <formula>Q$1=""</formula>
    </cfRule>
  </conditionalFormatting>
  <conditionalFormatting sqref="Q240:AA240 Q242:AA242">
    <cfRule type="expression" dxfId="2144" priority="341">
      <formula>Q$1=""</formula>
    </cfRule>
  </conditionalFormatting>
  <conditionalFormatting sqref="P236:AA236 P240:AA240 P242:AA242">
    <cfRule type="expression" dxfId="2143" priority="340">
      <formula>P$1=""</formula>
    </cfRule>
  </conditionalFormatting>
  <conditionalFormatting sqref="P236:AA236">
    <cfRule type="expression" dxfId="2142" priority="339">
      <formula>P$1=""</formula>
    </cfRule>
  </conditionalFormatting>
  <conditionalFormatting sqref="P236:AA236">
    <cfRule type="expression" dxfId="2141" priority="338">
      <formula>P$1=""</formula>
    </cfRule>
  </conditionalFormatting>
  <conditionalFormatting sqref="P236:AA236">
    <cfRule type="expression" dxfId="2140" priority="337">
      <formula>P$1=""</formula>
    </cfRule>
  </conditionalFormatting>
  <conditionalFormatting sqref="P236:AA236">
    <cfRule type="expression" dxfId="2139" priority="336">
      <formula>P$1=""</formula>
    </cfRule>
  </conditionalFormatting>
  <conditionalFormatting sqref="P236:AA236">
    <cfRule type="expression" dxfId="2138" priority="335">
      <formula>P$1=""</formula>
    </cfRule>
  </conditionalFormatting>
  <conditionalFormatting sqref="P236:AA236 P240:AA240 P242:AA242">
    <cfRule type="expression" dxfId="2137" priority="334">
      <formula>P$1=""</formula>
    </cfRule>
  </conditionalFormatting>
  <conditionalFormatting sqref="P236:AA236">
    <cfRule type="expression" dxfId="2136" priority="333">
      <formula>P$1=""</formula>
    </cfRule>
  </conditionalFormatting>
  <conditionalFormatting sqref="P236:AA236">
    <cfRule type="expression" dxfId="2135" priority="332">
      <formula>P$1=""</formula>
    </cfRule>
  </conditionalFormatting>
  <conditionalFormatting sqref="P236:AA236">
    <cfRule type="expression" dxfId="2134" priority="331">
      <formula>P$1=""</formula>
    </cfRule>
  </conditionalFormatting>
  <conditionalFormatting sqref="P236:AA236">
    <cfRule type="expression" dxfId="2133" priority="330">
      <formula>P$1=""</formula>
    </cfRule>
  </conditionalFormatting>
  <conditionalFormatting sqref="P236:AA236">
    <cfRule type="expression" dxfId="2132" priority="329">
      <formula>P$1=""</formula>
    </cfRule>
  </conditionalFormatting>
  <conditionalFormatting sqref="P236:AA236">
    <cfRule type="expression" dxfId="2131" priority="328">
      <formula>P$1=""</formula>
    </cfRule>
  </conditionalFormatting>
  <conditionalFormatting sqref="P236:AA236">
    <cfRule type="expression" dxfId="2130" priority="327">
      <formula>P$1=""</formula>
    </cfRule>
  </conditionalFormatting>
  <conditionalFormatting sqref="P236:AA236">
    <cfRule type="expression" dxfId="2129" priority="326">
      <formula>P$1=""</formula>
    </cfRule>
  </conditionalFormatting>
  <conditionalFormatting sqref="P238:AA238 P240:AA240 P242:AA242">
    <cfRule type="expression" dxfId="2128" priority="325">
      <formula>P$1=""</formula>
    </cfRule>
  </conditionalFormatting>
  <conditionalFormatting sqref="P238:AA238 P240:AA240 P242:AA242">
    <cfRule type="expression" dxfId="2127" priority="324">
      <formula>P$1=""</formula>
    </cfRule>
  </conditionalFormatting>
  <conditionalFormatting sqref="P238:AA238 P240:AA240 P242:AA242">
    <cfRule type="expression" dxfId="2126" priority="323">
      <formula>P$1=""</formula>
    </cfRule>
  </conditionalFormatting>
  <conditionalFormatting sqref="P238:AA238 P240:AA240 P242:AA242">
    <cfRule type="expression" dxfId="2125" priority="322">
      <formula>P$1=""</formula>
    </cfRule>
  </conditionalFormatting>
  <conditionalFormatting sqref="P238:AA238 P240:AA240 P242:AA242">
    <cfRule type="expression" dxfId="2124" priority="321">
      <formula>P$1=""</formula>
    </cfRule>
  </conditionalFormatting>
  <conditionalFormatting sqref="P238:AA238 P240:AA240 P242:AA242">
    <cfRule type="expression" dxfId="2123" priority="320">
      <formula>P$1=""</formula>
    </cfRule>
  </conditionalFormatting>
  <conditionalFormatting sqref="P238:AA238 P240:AA240 P242:AA242">
    <cfRule type="expression" dxfId="2122" priority="319">
      <formula>P$1=""</formula>
    </cfRule>
  </conditionalFormatting>
  <conditionalFormatting sqref="P238:AA238 P240:AA240 P242:AA242">
    <cfRule type="expression" dxfId="2121" priority="318">
      <formula>P$1=""</formula>
    </cfRule>
  </conditionalFormatting>
  <conditionalFormatting sqref="P238:AA238">
    <cfRule type="expression" dxfId="2120" priority="317">
      <formula>P$1=""</formula>
    </cfRule>
  </conditionalFormatting>
  <conditionalFormatting sqref="P238:AA238 P240:AA240 P242:AA242">
    <cfRule type="expression" dxfId="2119" priority="316">
      <formula>P$1=""</formula>
    </cfRule>
  </conditionalFormatting>
  <conditionalFormatting sqref="P238:AA238 P240:AA240 P242:AA242">
    <cfRule type="expression" dxfId="2118" priority="315">
      <formula>P$1=""</formula>
    </cfRule>
  </conditionalFormatting>
  <conditionalFormatting sqref="P238:AA238 P240:AA240 P242:AA242">
    <cfRule type="expression" dxfId="2117" priority="314">
      <formula>P$1=""</formula>
    </cfRule>
  </conditionalFormatting>
  <conditionalFormatting sqref="P238:AA238 P240:AA240 P242:AA242">
    <cfRule type="expression" dxfId="2116" priority="313">
      <formula>P$1=""</formula>
    </cfRule>
  </conditionalFormatting>
  <conditionalFormatting sqref="P238:AA238 P240:AA240 P242:AA242">
    <cfRule type="expression" dxfId="2115" priority="312">
      <formula>P$1=""</formula>
    </cfRule>
  </conditionalFormatting>
  <conditionalFormatting sqref="P238:AA238">
    <cfRule type="expression" dxfId="2114" priority="311">
      <formula>P$1=""</formula>
    </cfRule>
  </conditionalFormatting>
  <conditionalFormatting sqref="P238:AA238 P240:AA240 P242:AA242">
    <cfRule type="expression" dxfId="2113" priority="310">
      <formula>P$1=""</formula>
    </cfRule>
  </conditionalFormatting>
  <conditionalFormatting sqref="P238:AA238 P240:AA240 P242:AA242">
    <cfRule type="expression" dxfId="2112" priority="309">
      <formula>P$1=""</formula>
    </cfRule>
  </conditionalFormatting>
  <conditionalFormatting sqref="P238:AA238 P240:AA240 P242:AA242">
    <cfRule type="expression" dxfId="2111" priority="308">
      <formula>P$1=""</formula>
    </cfRule>
  </conditionalFormatting>
  <conditionalFormatting sqref="P238:AA238 P240:AA240 P242:AA242">
    <cfRule type="expression" dxfId="2110" priority="307">
      <formula>P$1=""</formula>
    </cfRule>
  </conditionalFormatting>
  <conditionalFormatting sqref="P238:AA238 P240:AA240 P242:AA242">
    <cfRule type="expression" dxfId="2109" priority="306">
      <formula>P$1=""</formula>
    </cfRule>
  </conditionalFormatting>
  <conditionalFormatting sqref="P238:AA238 P240:AA240 P242:AA242">
    <cfRule type="expression" dxfId="2108" priority="305">
      <formula>P$1=""</formula>
    </cfRule>
  </conditionalFormatting>
  <conditionalFormatting sqref="P238:AA238 P240:AA240 P242:AA242">
    <cfRule type="expression" dxfId="2107" priority="304">
      <formula>P$1=""</formula>
    </cfRule>
  </conditionalFormatting>
  <conditionalFormatting sqref="P238:AA238 P240:AA240 P242:AA242">
    <cfRule type="expression" dxfId="2106" priority="303">
      <formula>P$1=""</formula>
    </cfRule>
  </conditionalFormatting>
  <conditionalFormatting sqref="P242:AA242 P240:AA240">
    <cfRule type="expression" dxfId="2105" priority="302">
      <formula>P$1=""</formula>
    </cfRule>
  </conditionalFormatting>
  <conditionalFormatting sqref="P242:AA242 P240:AA240">
    <cfRule type="expression" dxfId="2104" priority="301">
      <formula>P$1=""</formula>
    </cfRule>
  </conditionalFormatting>
  <conditionalFormatting sqref="Q242:AA242 Q240:AA240">
    <cfRule type="expression" dxfId="2103" priority="300">
      <formula>Q$1=""</formula>
    </cfRule>
  </conditionalFormatting>
  <conditionalFormatting sqref="Q242:AA242 Q240:AA240">
    <cfRule type="expression" dxfId="2102" priority="299">
      <formula>Q$1=""</formula>
    </cfRule>
  </conditionalFormatting>
  <conditionalFormatting sqref="Q242:AA242 Q240:AA240">
    <cfRule type="expression" dxfId="2101" priority="298">
      <formula>Q$1=""</formula>
    </cfRule>
  </conditionalFormatting>
  <conditionalFormatting sqref="Q242:AA242 Q240:AA240">
    <cfRule type="expression" dxfId="2100" priority="297">
      <formula>Q$1=""</formula>
    </cfRule>
  </conditionalFormatting>
  <conditionalFormatting sqref="Q242:AA242 Q240:AA240">
    <cfRule type="expression" dxfId="2099" priority="296">
      <formula>Q$1=""</formula>
    </cfRule>
  </conditionalFormatting>
  <conditionalFormatting sqref="Q242:AA242 Q240:AA240">
    <cfRule type="expression" dxfId="2098" priority="295">
      <formula>Q$1=""</formula>
    </cfRule>
  </conditionalFormatting>
  <conditionalFormatting sqref="Q242:AA242 Q240:AA240">
    <cfRule type="expression" dxfId="2097" priority="294">
      <formula>Q$1=""</formula>
    </cfRule>
  </conditionalFormatting>
  <conditionalFormatting sqref="Q242:AA242 Q240:AA240">
    <cfRule type="expression" dxfId="2096" priority="293">
      <formula>Q$1=""</formula>
    </cfRule>
  </conditionalFormatting>
  <conditionalFormatting sqref="P242:AA242 P240:AA240">
    <cfRule type="expression" dxfId="2095" priority="292">
      <formula>P$1=""</formula>
    </cfRule>
  </conditionalFormatting>
  <conditionalFormatting sqref="P242:AA242 P240:AA240">
    <cfRule type="expression" dxfId="2094" priority="291">
      <formula>P$1=""</formula>
    </cfRule>
  </conditionalFormatting>
  <conditionalFormatting sqref="P196:AA196">
    <cfRule type="expression" dxfId="2093" priority="290">
      <formula>P$1=""</formula>
    </cfRule>
  </conditionalFormatting>
  <conditionalFormatting sqref="P198:AA198">
    <cfRule type="expression" dxfId="2092" priority="289">
      <formula>P$1=""</formula>
    </cfRule>
  </conditionalFormatting>
  <conditionalFormatting sqref="P200:AA200">
    <cfRule type="expression" dxfId="2091" priority="288">
      <formula>P$1=""</formula>
    </cfRule>
  </conditionalFormatting>
  <conditionalFormatting sqref="P202:AA202">
    <cfRule type="expression" dxfId="2090" priority="287">
      <formula>P$1=""</formula>
    </cfRule>
  </conditionalFormatting>
  <conditionalFormatting sqref="P198:AA198 P200:AA200 P202:AA202">
    <cfRule type="expression" dxfId="2089" priority="286">
      <formula>P$1=""</formula>
    </cfRule>
  </conditionalFormatting>
  <conditionalFormatting sqref="P198:AA198 P200:AA200 P202:AA202">
    <cfRule type="expression" dxfId="2088" priority="285">
      <formula>P$1=""</formula>
    </cfRule>
  </conditionalFormatting>
  <conditionalFormatting sqref="P198:AA198 P200:AA200 P202:AA202">
    <cfRule type="expression" dxfId="2087" priority="284">
      <formula>P$1=""</formula>
    </cfRule>
  </conditionalFormatting>
  <conditionalFormatting sqref="P198:AA198 P200:AA200 P202:AA202">
    <cfRule type="expression" dxfId="2086" priority="283">
      <formula>P$1=""</formula>
    </cfRule>
  </conditionalFormatting>
  <conditionalFormatting sqref="P198:AA198 P200:AA200 P202:AA202">
    <cfRule type="expression" dxfId="2085" priority="282">
      <formula>P$1=""</formula>
    </cfRule>
  </conditionalFormatting>
  <conditionalFormatting sqref="P200:AA200 P202:AA202">
    <cfRule type="expression" dxfId="2084" priority="281">
      <formula>P$1=""</formula>
    </cfRule>
  </conditionalFormatting>
  <conditionalFormatting sqref="P198:AA198">
    <cfRule type="expression" dxfId="2083" priority="280">
      <formula>P$1=""</formula>
    </cfRule>
  </conditionalFormatting>
  <conditionalFormatting sqref="P200:AA200 P202:AA202">
    <cfRule type="expression" dxfId="2082" priority="279">
      <formula>P$1=""</formula>
    </cfRule>
  </conditionalFormatting>
  <conditionalFormatting sqref="P200:AA200 P202:AA202">
    <cfRule type="expression" dxfId="2081" priority="278">
      <formula>P$1=""</formula>
    </cfRule>
  </conditionalFormatting>
  <conditionalFormatting sqref="P202:AA202">
    <cfRule type="expression" dxfId="2080" priority="277">
      <formula>P$1=""</formula>
    </cfRule>
  </conditionalFormatting>
  <conditionalFormatting sqref="P202:AA202">
    <cfRule type="expression" dxfId="2079" priority="276">
      <formula>P$1=""</formula>
    </cfRule>
  </conditionalFormatting>
  <conditionalFormatting sqref="P202:AA202">
    <cfRule type="expression" dxfId="2078" priority="275">
      <formula>P$1=""</formula>
    </cfRule>
  </conditionalFormatting>
  <conditionalFormatting sqref="P202:AA202">
    <cfRule type="expression" dxfId="2077" priority="274">
      <formula>P$1=""</formula>
    </cfRule>
  </conditionalFormatting>
  <conditionalFormatting sqref="P196:AA196">
    <cfRule type="expression" dxfId="2076" priority="273">
      <formula>P$1=""</formula>
    </cfRule>
  </conditionalFormatting>
  <conditionalFormatting sqref="P196:AA196">
    <cfRule type="expression" dxfId="2075" priority="272">
      <formula>P$1=""</formula>
    </cfRule>
  </conditionalFormatting>
  <conditionalFormatting sqref="P196:AA196">
    <cfRule type="expression" dxfId="2074" priority="271">
      <formula>P$1=""</formula>
    </cfRule>
  </conditionalFormatting>
  <conditionalFormatting sqref="P196:AA196">
    <cfRule type="expression" dxfId="2073" priority="270">
      <formula>P$1=""</formula>
    </cfRule>
  </conditionalFormatting>
  <conditionalFormatting sqref="P196:AA196">
    <cfRule type="expression" dxfId="2072" priority="269">
      <formula>P$1=""</formula>
    </cfRule>
  </conditionalFormatting>
  <conditionalFormatting sqref="P196:AA196">
    <cfRule type="expression" dxfId="2071" priority="268">
      <formula>P$1=""</formula>
    </cfRule>
  </conditionalFormatting>
  <conditionalFormatting sqref="P196:AA196">
    <cfRule type="expression" dxfId="2070" priority="267">
      <formula>P$1=""</formula>
    </cfRule>
  </conditionalFormatting>
  <conditionalFormatting sqref="P200:AA200 P202:AA202">
    <cfRule type="expression" dxfId="2069" priority="266">
      <formula>P$1=""</formula>
    </cfRule>
  </conditionalFormatting>
  <conditionalFormatting sqref="P200:AA200 P202:AA202">
    <cfRule type="expression" dxfId="2068" priority="265">
      <formula>P$1=""</formula>
    </cfRule>
  </conditionalFormatting>
  <conditionalFormatting sqref="P200:AA200 P202:AA202">
    <cfRule type="expression" dxfId="2067" priority="264">
      <formula>P$1=""</formula>
    </cfRule>
  </conditionalFormatting>
  <conditionalFormatting sqref="P200:AA200 P202:AA202">
    <cfRule type="expression" dxfId="2066" priority="263">
      <formula>P$1=""</formula>
    </cfRule>
  </conditionalFormatting>
  <conditionalFormatting sqref="P198:AA198 P200:AA200 P202:AA202">
    <cfRule type="expression" dxfId="2065" priority="262">
      <formula>P$1=""</formula>
    </cfRule>
  </conditionalFormatting>
  <conditionalFormatting sqref="P198:AA198 P200:AA200 P202:AA202">
    <cfRule type="expression" dxfId="2064" priority="261">
      <formula>P$1=""</formula>
    </cfRule>
  </conditionalFormatting>
  <conditionalFormatting sqref="P198:AA198 P200:AA200 P202:AA202">
    <cfRule type="expression" dxfId="2063" priority="260">
      <formula>P$1=""</formula>
    </cfRule>
  </conditionalFormatting>
  <conditionalFormatting sqref="P198:AA198 P200:AA200 P202:AA202">
    <cfRule type="expression" dxfId="2062" priority="259">
      <formula>P$1=""</formula>
    </cfRule>
  </conditionalFormatting>
  <conditionalFormatting sqref="P198:AA198 P200:AA200 P202:AA202">
    <cfRule type="expression" dxfId="2061" priority="258">
      <formula>P$1=""</formula>
    </cfRule>
  </conditionalFormatting>
  <conditionalFormatting sqref="P198:AA198 P200:AA200 P202:AA202">
    <cfRule type="expression" dxfId="2060" priority="257">
      <formula>P$1=""</formula>
    </cfRule>
  </conditionalFormatting>
  <conditionalFormatting sqref="P198:AA198 P200:AA200 P202:AA202">
    <cfRule type="expression" dxfId="2059" priority="256">
      <formula>P$1=""</formula>
    </cfRule>
  </conditionalFormatting>
  <conditionalFormatting sqref="P198:AA198 P200:AA200 P202:AA202">
    <cfRule type="expression" dxfId="2058" priority="255">
      <formula>P$1=""</formula>
    </cfRule>
  </conditionalFormatting>
  <conditionalFormatting sqref="Q198:AA198">
    <cfRule type="expression" dxfId="2057" priority="254">
      <formula>Q$1=""</formula>
    </cfRule>
  </conditionalFormatting>
  <conditionalFormatting sqref="Q198:AA198">
    <cfRule type="expression" dxfId="2056" priority="253">
      <formula>Q$1=""</formula>
    </cfRule>
  </conditionalFormatting>
  <conditionalFormatting sqref="Q198:AA198">
    <cfRule type="expression" dxfId="2055" priority="252">
      <formula>Q$1=""</formula>
    </cfRule>
  </conditionalFormatting>
  <conditionalFormatting sqref="Q198:AA198">
    <cfRule type="expression" dxfId="2054" priority="251">
      <formula>Q$1=""</formula>
    </cfRule>
  </conditionalFormatting>
  <conditionalFormatting sqref="Q198:AA198">
    <cfRule type="expression" dxfId="2053" priority="250">
      <formula>Q$1=""</formula>
    </cfRule>
  </conditionalFormatting>
  <conditionalFormatting sqref="Q198:AA198">
    <cfRule type="expression" dxfId="2052" priority="249">
      <formula>Q$1=""</formula>
    </cfRule>
  </conditionalFormatting>
  <conditionalFormatting sqref="Q198:AA198">
    <cfRule type="expression" dxfId="2051" priority="248">
      <formula>Q$1=""</formula>
    </cfRule>
  </conditionalFormatting>
  <conditionalFormatting sqref="Q198:AA198">
    <cfRule type="expression" dxfId="2050" priority="247">
      <formula>Q$1=""</formula>
    </cfRule>
  </conditionalFormatting>
  <conditionalFormatting sqref="Q200:AA200 Q202:AA202">
    <cfRule type="expression" dxfId="2049" priority="246">
      <formula>Q$1=""</formula>
    </cfRule>
  </conditionalFormatting>
  <conditionalFormatting sqref="Q200:AA200 Q202:AA202">
    <cfRule type="expression" dxfId="2048" priority="245">
      <formula>Q$1=""</formula>
    </cfRule>
  </conditionalFormatting>
  <conditionalFormatting sqref="Q200:AA200 Q202:AA202">
    <cfRule type="expression" dxfId="2047" priority="244">
      <formula>Q$1=""</formula>
    </cfRule>
  </conditionalFormatting>
  <conditionalFormatting sqref="Q200:AA200 Q202:AA202">
    <cfRule type="expression" dxfId="2046" priority="243">
      <formula>Q$1=""</formula>
    </cfRule>
  </conditionalFormatting>
  <conditionalFormatting sqref="Q200:AA200 Q202:AA202">
    <cfRule type="expression" dxfId="2045" priority="242">
      <formula>Q$1=""</formula>
    </cfRule>
  </conditionalFormatting>
  <conditionalFormatting sqref="Q200:AA200 Q202:AA202">
    <cfRule type="expression" dxfId="2044" priority="241">
      <formula>Q$1=""</formula>
    </cfRule>
  </conditionalFormatting>
  <conditionalFormatting sqref="Q200:AA200 Q202:AA202">
    <cfRule type="expression" dxfId="2043" priority="240">
      <formula>Q$1=""</formula>
    </cfRule>
  </conditionalFormatting>
  <conditionalFormatting sqref="Q200:AA200 Q202:AA202">
    <cfRule type="expression" dxfId="2042" priority="239">
      <formula>Q$1=""</formula>
    </cfRule>
  </conditionalFormatting>
  <conditionalFormatting sqref="Q200:AA200 Q202:AA202">
    <cfRule type="expression" dxfId="2041" priority="238">
      <formula>Q$1=""</formula>
    </cfRule>
  </conditionalFormatting>
  <conditionalFormatting sqref="Q200:AA200 Q202:AA202">
    <cfRule type="expression" dxfId="2040" priority="237">
      <formula>Q$1=""</formula>
    </cfRule>
  </conditionalFormatting>
  <conditionalFormatting sqref="P196:AA196 P200:AA200 P202:AA202">
    <cfRule type="expression" dxfId="2039" priority="236">
      <formula>P$1=""</formula>
    </cfRule>
  </conditionalFormatting>
  <conditionalFormatting sqref="P196:AA196">
    <cfRule type="expression" dxfId="2038" priority="235">
      <formula>P$1=""</formula>
    </cfRule>
  </conditionalFormatting>
  <conditionalFormatting sqref="P196:AA196">
    <cfRule type="expression" dxfId="2037" priority="234">
      <formula>P$1=""</formula>
    </cfRule>
  </conditionalFormatting>
  <conditionalFormatting sqref="P196:AA196">
    <cfRule type="expression" dxfId="2036" priority="233">
      <formula>P$1=""</formula>
    </cfRule>
  </conditionalFormatting>
  <conditionalFormatting sqref="P196:AA196">
    <cfRule type="expression" dxfId="2035" priority="232">
      <formula>P$1=""</formula>
    </cfRule>
  </conditionalFormatting>
  <conditionalFormatting sqref="P196:AA196">
    <cfRule type="expression" dxfId="2034" priority="231">
      <formula>P$1=""</formula>
    </cfRule>
  </conditionalFormatting>
  <conditionalFormatting sqref="P196:AA196 P200:AA200 P202:AA202">
    <cfRule type="expression" dxfId="2033" priority="230">
      <formula>P$1=""</formula>
    </cfRule>
  </conditionalFormatting>
  <conditionalFormatting sqref="P196:AA196">
    <cfRule type="expression" dxfId="2032" priority="229">
      <formula>P$1=""</formula>
    </cfRule>
  </conditionalFormatting>
  <conditionalFormatting sqref="P196:AA196">
    <cfRule type="expression" dxfId="2031" priority="228">
      <formula>P$1=""</formula>
    </cfRule>
  </conditionalFormatting>
  <conditionalFormatting sqref="P196:AA196">
    <cfRule type="expression" dxfId="2030" priority="227">
      <formula>P$1=""</formula>
    </cfRule>
  </conditionalFormatting>
  <conditionalFormatting sqref="P196:AA196">
    <cfRule type="expression" dxfId="2029" priority="226">
      <formula>P$1=""</formula>
    </cfRule>
  </conditionalFormatting>
  <conditionalFormatting sqref="P196:AA196">
    <cfRule type="expression" dxfId="2028" priority="225">
      <formula>P$1=""</formula>
    </cfRule>
  </conditionalFormatting>
  <conditionalFormatting sqref="P196:AA196">
    <cfRule type="expression" dxfId="2027" priority="224">
      <formula>P$1=""</formula>
    </cfRule>
  </conditionalFormatting>
  <conditionalFormatting sqref="P196:AA196">
    <cfRule type="expression" dxfId="2026" priority="223">
      <formula>P$1=""</formula>
    </cfRule>
  </conditionalFormatting>
  <conditionalFormatting sqref="P196:AA196">
    <cfRule type="expression" dxfId="2025" priority="222">
      <formula>P$1=""</formula>
    </cfRule>
  </conditionalFormatting>
  <conditionalFormatting sqref="P198:AA198 P200:AA200 P202:AA202">
    <cfRule type="expression" dxfId="2024" priority="221">
      <formula>P$1=""</formula>
    </cfRule>
  </conditionalFormatting>
  <conditionalFormatting sqref="P198:AA198 P200:AA200 P202:AA202">
    <cfRule type="expression" dxfId="2023" priority="220">
      <formula>P$1=""</formula>
    </cfRule>
  </conditionalFormatting>
  <conditionalFormatting sqref="P198:AA198 P200:AA200 P202:AA202">
    <cfRule type="expression" dxfId="2022" priority="219">
      <formula>P$1=""</formula>
    </cfRule>
  </conditionalFormatting>
  <conditionalFormatting sqref="P198:AA198 P200:AA200 P202:AA202">
    <cfRule type="expression" dxfId="2021" priority="218">
      <formula>P$1=""</formula>
    </cfRule>
  </conditionalFormatting>
  <conditionalFormatting sqref="P198:AA198 P200:AA200 P202:AA202">
    <cfRule type="expression" dxfId="2020" priority="217">
      <formula>P$1=""</formula>
    </cfRule>
  </conditionalFormatting>
  <conditionalFormatting sqref="P198:AA198 P200:AA200 P202:AA202">
    <cfRule type="expression" dxfId="2019" priority="216">
      <formula>P$1=""</formula>
    </cfRule>
  </conditionalFormatting>
  <conditionalFormatting sqref="P198:AA198 P200:AA200 P202:AA202">
    <cfRule type="expression" dxfId="2018" priority="215">
      <formula>P$1=""</formula>
    </cfRule>
  </conditionalFormatting>
  <conditionalFormatting sqref="P198:AA198 P200:AA200 P202:AA202">
    <cfRule type="expression" dxfId="2017" priority="214">
      <formula>P$1=""</formula>
    </cfRule>
  </conditionalFormatting>
  <conditionalFormatting sqref="P198:AA198">
    <cfRule type="expression" dxfId="2016" priority="213">
      <formula>P$1=""</formula>
    </cfRule>
  </conditionalFormatting>
  <conditionalFormatting sqref="P198:AA198 P200:AA200 P202:AA202">
    <cfRule type="expression" dxfId="2015" priority="212">
      <formula>P$1=""</formula>
    </cfRule>
  </conditionalFormatting>
  <conditionalFormatting sqref="P198:AA198 P200:AA200 P202:AA202">
    <cfRule type="expression" dxfId="2014" priority="211">
      <formula>P$1=""</formula>
    </cfRule>
  </conditionalFormatting>
  <conditionalFormatting sqref="P198:AA198 P200:AA200 P202:AA202">
    <cfRule type="expression" dxfId="2013" priority="210">
      <formula>P$1=""</formula>
    </cfRule>
  </conditionalFormatting>
  <conditionalFormatting sqref="P198:AA198 P200:AA200 P202:AA202">
    <cfRule type="expression" dxfId="2012" priority="209">
      <formula>P$1=""</formula>
    </cfRule>
  </conditionalFormatting>
  <conditionalFormatting sqref="P198:AA198 P200:AA200 P202:AA202">
    <cfRule type="expression" dxfId="2011" priority="208">
      <formula>P$1=""</formula>
    </cfRule>
  </conditionalFormatting>
  <conditionalFormatting sqref="P198:AA198">
    <cfRule type="expression" dxfId="2010" priority="207">
      <formula>P$1=""</formula>
    </cfRule>
  </conditionalFormatting>
  <conditionalFormatting sqref="P198:AA198 P200:AA200 P202:AA202">
    <cfRule type="expression" dxfId="2009" priority="206">
      <formula>P$1=""</formula>
    </cfRule>
  </conditionalFormatting>
  <conditionalFormatting sqref="P198:AA198 P200:AA200 P202:AA202">
    <cfRule type="expression" dxfId="2008" priority="205">
      <formula>P$1=""</formula>
    </cfRule>
  </conditionalFormatting>
  <conditionalFormatting sqref="P198:AA198 P200:AA200 P202:AA202">
    <cfRule type="expression" dxfId="2007" priority="204">
      <formula>P$1=""</formula>
    </cfRule>
  </conditionalFormatting>
  <conditionalFormatting sqref="P198:AA198 P200:AA200 P202:AA202">
    <cfRule type="expression" dxfId="2006" priority="203">
      <formula>P$1=""</formula>
    </cfRule>
  </conditionalFormatting>
  <conditionalFormatting sqref="P198:AA198 P200:AA200 P202:AA202">
    <cfRule type="expression" dxfId="2005" priority="202">
      <formula>P$1=""</formula>
    </cfRule>
  </conditionalFormatting>
  <conditionalFormatting sqref="P198:AA198 P200:AA200 P202:AA202">
    <cfRule type="expression" dxfId="2004" priority="201">
      <formula>P$1=""</formula>
    </cfRule>
  </conditionalFormatting>
  <conditionalFormatting sqref="P198:AA198 P200:AA200 P202:AA202">
    <cfRule type="expression" dxfId="2003" priority="200">
      <formula>P$1=""</formula>
    </cfRule>
  </conditionalFormatting>
  <conditionalFormatting sqref="P198:AA198 P200:AA200 P202:AA202">
    <cfRule type="expression" dxfId="2002" priority="199">
      <formula>P$1=""</formula>
    </cfRule>
  </conditionalFormatting>
  <conditionalFormatting sqref="P202:AA202 P200:AA200">
    <cfRule type="expression" dxfId="2001" priority="198">
      <formula>P$1=""</formula>
    </cfRule>
  </conditionalFormatting>
  <conditionalFormatting sqref="P202:AA202 P200:AA200">
    <cfRule type="expression" dxfId="2000" priority="197">
      <formula>P$1=""</formula>
    </cfRule>
  </conditionalFormatting>
  <conditionalFormatting sqref="Q202:AA202 Q200:AA200">
    <cfRule type="expression" dxfId="1999" priority="196">
      <formula>Q$1=""</formula>
    </cfRule>
  </conditionalFormatting>
  <conditionalFormatting sqref="Q202:AA202 Q200:AA200">
    <cfRule type="expression" dxfId="1998" priority="195">
      <formula>Q$1=""</formula>
    </cfRule>
  </conditionalFormatting>
  <conditionalFormatting sqref="Q202:AA202 Q200:AA200">
    <cfRule type="expression" dxfId="1997" priority="194">
      <formula>Q$1=""</formula>
    </cfRule>
  </conditionalFormatting>
  <conditionalFormatting sqref="Q202:AA202 Q200:AA200">
    <cfRule type="expression" dxfId="1996" priority="193">
      <formula>Q$1=""</formula>
    </cfRule>
  </conditionalFormatting>
  <conditionalFormatting sqref="Q202:AA202 Q200:AA200">
    <cfRule type="expression" dxfId="1995" priority="192">
      <formula>Q$1=""</formula>
    </cfRule>
  </conditionalFormatting>
  <conditionalFormatting sqref="Q202:AA202 Q200:AA200">
    <cfRule type="expression" dxfId="1994" priority="191">
      <formula>Q$1=""</formula>
    </cfRule>
  </conditionalFormatting>
  <conditionalFormatting sqref="Q202:AA202 Q200:AA200">
    <cfRule type="expression" dxfId="1993" priority="190">
      <formula>Q$1=""</formula>
    </cfRule>
  </conditionalFormatting>
  <conditionalFormatting sqref="Q202:AA202 Q200:AA200">
    <cfRule type="expression" dxfId="1992" priority="189">
      <formula>Q$1=""</formula>
    </cfRule>
  </conditionalFormatting>
  <conditionalFormatting sqref="P202:AA202 P200:AA200">
    <cfRule type="expression" dxfId="1991" priority="188">
      <formula>P$1=""</formula>
    </cfRule>
  </conditionalFormatting>
  <conditionalFormatting sqref="P202:AA202 P200:AA200">
    <cfRule type="expression" dxfId="1990" priority="187">
      <formula>P$1=""</formula>
    </cfRule>
  </conditionalFormatting>
  <conditionalFormatting sqref="P202:AA202 P200:AA200 P198:AA198">
    <cfRule type="expression" dxfId="1989" priority="186">
      <formula>P$1=""</formula>
    </cfRule>
  </conditionalFormatting>
  <conditionalFormatting sqref="P202:AA202 P200:AA200 P198:AA198">
    <cfRule type="expression" dxfId="1988" priority="185">
      <formula>P$1=""</formula>
    </cfRule>
  </conditionalFormatting>
  <conditionalFormatting sqref="P202:AA202 P200:AA200 P198:AA198">
    <cfRule type="expression" dxfId="1987" priority="184">
      <formula>P$1=""</formula>
    </cfRule>
  </conditionalFormatting>
  <conditionalFormatting sqref="P202:AA202 P200:AA200 P198:AA198">
    <cfRule type="expression" dxfId="1986" priority="183">
      <formula>P$1=""</formula>
    </cfRule>
  </conditionalFormatting>
  <conditionalFormatting sqref="P202:AA202 P200:AA200 P198:AA198">
    <cfRule type="expression" dxfId="1985" priority="182">
      <formula>P$1=""</formula>
    </cfRule>
  </conditionalFormatting>
  <conditionalFormatting sqref="P202:AA202 P200:AA200 P198:AA198">
    <cfRule type="expression" dxfId="1984" priority="181">
      <formula>P$1=""</formula>
    </cfRule>
  </conditionalFormatting>
  <conditionalFormatting sqref="P202:AA202 P200:AA200 P198:AA198">
    <cfRule type="expression" dxfId="1983" priority="180">
      <formula>P$1=""</formula>
    </cfRule>
  </conditionalFormatting>
  <conditionalFormatting sqref="P202:AA202 P200:AA200 P198:AA198">
    <cfRule type="expression" dxfId="1982" priority="179">
      <formula>P$1=""</formula>
    </cfRule>
  </conditionalFormatting>
  <conditionalFormatting sqref="P198:AA198">
    <cfRule type="expression" dxfId="1981" priority="178">
      <formula>P$1=""</formula>
    </cfRule>
  </conditionalFormatting>
  <conditionalFormatting sqref="P202:AA202 P200:AA200 P198:AA198">
    <cfRule type="expression" dxfId="1980" priority="177">
      <formula>P$1=""</formula>
    </cfRule>
  </conditionalFormatting>
  <conditionalFormatting sqref="P202:AA202 P200:AA200 P198:AA198">
    <cfRule type="expression" dxfId="1979" priority="176">
      <formula>P$1=""</formula>
    </cfRule>
  </conditionalFormatting>
  <conditionalFormatting sqref="P202:AA202 P200:AA200 P198:AA198">
    <cfRule type="expression" dxfId="1978" priority="175">
      <formula>P$1=""</formula>
    </cfRule>
  </conditionalFormatting>
  <conditionalFormatting sqref="P202:AA202 P200:AA200 P198:AA198">
    <cfRule type="expression" dxfId="1977" priority="174">
      <formula>P$1=""</formula>
    </cfRule>
  </conditionalFormatting>
  <conditionalFormatting sqref="P202:AA202 P200:AA200 P198:AA198">
    <cfRule type="expression" dxfId="1976" priority="173">
      <formula>P$1=""</formula>
    </cfRule>
  </conditionalFormatting>
  <conditionalFormatting sqref="P198:AA198">
    <cfRule type="expression" dxfId="1975" priority="172">
      <formula>P$1=""</formula>
    </cfRule>
  </conditionalFormatting>
  <conditionalFormatting sqref="P202:AA202 P200:AA200 P198:AA198">
    <cfRule type="expression" dxfId="1974" priority="171">
      <formula>P$1=""</formula>
    </cfRule>
  </conditionalFormatting>
  <conditionalFormatting sqref="P202:AA202 P200:AA200 P198:AA198">
    <cfRule type="expression" dxfId="1973" priority="170">
      <formula>P$1=""</formula>
    </cfRule>
  </conditionalFormatting>
  <conditionalFormatting sqref="P202:AA202 P200:AA200 P198:AA198">
    <cfRule type="expression" dxfId="1972" priority="169">
      <formula>P$1=""</formula>
    </cfRule>
  </conditionalFormatting>
  <conditionalFormatting sqref="P202:AA202 P200:AA200 P198:AA198">
    <cfRule type="expression" dxfId="1971" priority="168">
      <formula>P$1=""</formula>
    </cfRule>
  </conditionalFormatting>
  <conditionalFormatting sqref="P202:AA202 P200:AA200 P198:AA198">
    <cfRule type="expression" dxfId="1970" priority="167">
      <formula>P$1=""</formula>
    </cfRule>
  </conditionalFormatting>
  <conditionalFormatting sqref="P202:AA202 P200:AA200 P198:AA198">
    <cfRule type="expression" dxfId="1969" priority="166">
      <formula>P$1=""</formula>
    </cfRule>
  </conditionalFormatting>
  <conditionalFormatting sqref="P202:AA202 P200:AA200 P198:AA198">
    <cfRule type="expression" dxfId="1968" priority="165">
      <formula>P$1=""</formula>
    </cfRule>
  </conditionalFormatting>
  <conditionalFormatting sqref="P202:AA202 P200:AA200 P198:AA198">
    <cfRule type="expression" dxfId="1967" priority="164">
      <formula>P$1=""</formula>
    </cfRule>
  </conditionalFormatting>
  <conditionalFormatting sqref="P216:AA216">
    <cfRule type="expression" dxfId="1966" priority="163">
      <formula>P$1=""</formula>
    </cfRule>
  </conditionalFormatting>
  <conditionalFormatting sqref="P218:AA218">
    <cfRule type="expression" dxfId="1965" priority="162">
      <formula>P$1=""</formula>
    </cfRule>
  </conditionalFormatting>
  <conditionalFormatting sqref="P220:AA220">
    <cfRule type="expression" dxfId="1964" priority="161">
      <formula>P$1=""</formula>
    </cfRule>
  </conditionalFormatting>
  <conditionalFormatting sqref="P222:AA222">
    <cfRule type="expression" dxfId="1963" priority="160">
      <formula>P$1=""</formula>
    </cfRule>
  </conditionalFormatting>
  <conditionalFormatting sqref="P218:AA218 P220:AA220 P222:AA222">
    <cfRule type="expression" dxfId="1962" priority="159">
      <formula>P$1=""</formula>
    </cfRule>
  </conditionalFormatting>
  <conditionalFormatting sqref="P218:AA218 P220:AA220 P222:AA222">
    <cfRule type="expression" dxfId="1961" priority="158">
      <formula>P$1=""</formula>
    </cfRule>
  </conditionalFormatting>
  <conditionalFormatting sqref="P218:AA218 P220:AA220 P222:AA222">
    <cfRule type="expression" dxfId="1960" priority="157">
      <formula>P$1=""</formula>
    </cfRule>
  </conditionalFormatting>
  <conditionalFormatting sqref="P218:AA218 P220:AA220 P222:AA222">
    <cfRule type="expression" dxfId="1959" priority="156">
      <formula>P$1=""</formula>
    </cfRule>
  </conditionalFormatting>
  <conditionalFormatting sqref="P218:AA218 P220:AA220 P222:AA222">
    <cfRule type="expression" dxfId="1958" priority="155">
      <formula>P$1=""</formula>
    </cfRule>
  </conditionalFormatting>
  <conditionalFormatting sqref="P220:AA220 P222:AA222">
    <cfRule type="expression" dxfId="1957" priority="154">
      <formula>P$1=""</formula>
    </cfRule>
  </conditionalFormatting>
  <conditionalFormatting sqref="P218:AA218">
    <cfRule type="expression" dxfId="1956" priority="153">
      <formula>P$1=""</formula>
    </cfRule>
  </conditionalFormatting>
  <conditionalFormatting sqref="P220:AA220 P222:AA222">
    <cfRule type="expression" dxfId="1955" priority="152">
      <formula>P$1=""</formula>
    </cfRule>
  </conditionalFormatting>
  <conditionalFormatting sqref="P220:AA220 P222:AA222">
    <cfRule type="expression" dxfId="1954" priority="151">
      <formula>P$1=""</formula>
    </cfRule>
  </conditionalFormatting>
  <conditionalFormatting sqref="P222:AA222">
    <cfRule type="expression" dxfId="1953" priority="150">
      <formula>P$1=""</formula>
    </cfRule>
  </conditionalFormatting>
  <conditionalFormatting sqref="P222:AA222">
    <cfRule type="expression" dxfId="1952" priority="149">
      <formula>P$1=""</formula>
    </cfRule>
  </conditionalFormatting>
  <conditionalFormatting sqref="P222:AA222">
    <cfRule type="expression" dxfId="1951" priority="148">
      <formula>P$1=""</formula>
    </cfRule>
  </conditionalFormatting>
  <conditionalFormatting sqref="P222:AA222">
    <cfRule type="expression" dxfId="1950" priority="147">
      <formula>P$1=""</formula>
    </cfRule>
  </conditionalFormatting>
  <conditionalFormatting sqref="P216:AA216">
    <cfRule type="expression" dxfId="1949" priority="146">
      <formula>P$1=""</formula>
    </cfRule>
  </conditionalFormatting>
  <conditionalFormatting sqref="P216:AA216">
    <cfRule type="expression" dxfId="1948" priority="145">
      <formula>P$1=""</formula>
    </cfRule>
  </conditionalFormatting>
  <conditionalFormatting sqref="P216:AA216">
    <cfRule type="expression" dxfId="1947" priority="144">
      <formula>P$1=""</formula>
    </cfRule>
  </conditionalFormatting>
  <conditionalFormatting sqref="P216:AA216">
    <cfRule type="expression" dxfId="1946" priority="143">
      <formula>P$1=""</formula>
    </cfRule>
  </conditionalFormatting>
  <conditionalFormatting sqref="P216:AA216">
    <cfRule type="expression" dxfId="1945" priority="142">
      <formula>P$1=""</formula>
    </cfRule>
  </conditionalFormatting>
  <conditionalFormatting sqref="P216:AA216">
    <cfRule type="expression" dxfId="1944" priority="141">
      <formula>P$1=""</formula>
    </cfRule>
  </conditionalFormatting>
  <conditionalFormatting sqref="P216:AA216">
    <cfRule type="expression" dxfId="1943" priority="140">
      <formula>P$1=""</formula>
    </cfRule>
  </conditionalFormatting>
  <conditionalFormatting sqref="P220:AA220 P222:AA222">
    <cfRule type="expression" dxfId="1942" priority="139">
      <formula>P$1=""</formula>
    </cfRule>
  </conditionalFormatting>
  <conditionalFormatting sqref="P220:AA220 P222:AA222">
    <cfRule type="expression" dxfId="1941" priority="138">
      <formula>P$1=""</formula>
    </cfRule>
  </conditionalFormatting>
  <conditionalFormatting sqref="P220:AA220 P222:AA222">
    <cfRule type="expression" dxfId="1940" priority="137">
      <formula>P$1=""</formula>
    </cfRule>
  </conditionalFormatting>
  <conditionalFormatting sqref="P220:AA220 P222:AA222">
    <cfRule type="expression" dxfId="1939" priority="136">
      <formula>P$1=""</formula>
    </cfRule>
  </conditionalFormatting>
  <conditionalFormatting sqref="P222 P220 P218">
    <cfRule type="expression" dxfId="1938" priority="135">
      <formula>P$1=""</formula>
    </cfRule>
  </conditionalFormatting>
  <conditionalFormatting sqref="P222 P220 P218">
    <cfRule type="expression" dxfId="1937" priority="134">
      <formula>P$1=""</formula>
    </cfRule>
  </conditionalFormatting>
  <conditionalFormatting sqref="P222 P220 P218">
    <cfRule type="expression" dxfId="1936" priority="133">
      <formula>P$1=""</formula>
    </cfRule>
  </conditionalFormatting>
  <conditionalFormatting sqref="P226:AA226">
    <cfRule type="expression" dxfId="1935" priority="132">
      <formula>P$1=""</formula>
    </cfRule>
  </conditionalFormatting>
  <conditionalFormatting sqref="P228:AA228">
    <cfRule type="expression" dxfId="1934" priority="131">
      <formula>P$1=""</formula>
    </cfRule>
  </conditionalFormatting>
  <conditionalFormatting sqref="P230:AA230">
    <cfRule type="expression" dxfId="1933" priority="130">
      <formula>P$1=""</formula>
    </cfRule>
  </conditionalFormatting>
  <conditionalFormatting sqref="P232:AA232">
    <cfRule type="expression" dxfId="1932" priority="129">
      <formula>P$1=""</formula>
    </cfRule>
  </conditionalFormatting>
  <conditionalFormatting sqref="P228:AA228 P230:AA230 P232:AA232">
    <cfRule type="expression" dxfId="1931" priority="128">
      <formula>P$1=""</formula>
    </cfRule>
  </conditionalFormatting>
  <conditionalFormatting sqref="P228:AA228 P230:AA230 P232:AA232">
    <cfRule type="expression" dxfId="1930" priority="127">
      <formula>P$1=""</formula>
    </cfRule>
  </conditionalFormatting>
  <conditionalFormatting sqref="P228:AA228 P230:AA230 P232:AA232">
    <cfRule type="expression" dxfId="1929" priority="126">
      <formula>P$1=""</formula>
    </cfRule>
  </conditionalFormatting>
  <conditionalFormatting sqref="P228:AA228 P230:AA230 P232:AA232">
    <cfRule type="expression" dxfId="1928" priority="125">
      <formula>P$1=""</formula>
    </cfRule>
  </conditionalFormatting>
  <conditionalFormatting sqref="P228:AA228 P230:AA230 P232:AA232">
    <cfRule type="expression" dxfId="1927" priority="124">
      <formula>P$1=""</formula>
    </cfRule>
  </conditionalFormatting>
  <conditionalFormatting sqref="P230:AA230 P232:AA232">
    <cfRule type="expression" dxfId="1926" priority="123">
      <formula>P$1=""</formula>
    </cfRule>
  </conditionalFormatting>
  <conditionalFormatting sqref="P228:AA228">
    <cfRule type="expression" dxfId="1925" priority="122">
      <formula>P$1=""</formula>
    </cfRule>
  </conditionalFormatting>
  <conditionalFormatting sqref="P230:AA230 P232:AA232">
    <cfRule type="expression" dxfId="1924" priority="121">
      <formula>P$1=""</formula>
    </cfRule>
  </conditionalFormatting>
  <conditionalFormatting sqref="P230:AA230 P232:AA232">
    <cfRule type="expression" dxfId="1923" priority="120">
      <formula>P$1=""</formula>
    </cfRule>
  </conditionalFormatting>
  <conditionalFormatting sqref="P232:AA232">
    <cfRule type="expression" dxfId="1922" priority="119">
      <formula>P$1=""</formula>
    </cfRule>
  </conditionalFormatting>
  <conditionalFormatting sqref="P232:AA232">
    <cfRule type="expression" dxfId="1921" priority="118">
      <formula>P$1=""</formula>
    </cfRule>
  </conditionalFormatting>
  <conditionalFormatting sqref="P232:AA232">
    <cfRule type="expression" dxfId="1920" priority="117">
      <formula>P$1=""</formula>
    </cfRule>
  </conditionalFormatting>
  <conditionalFormatting sqref="P232:AA232">
    <cfRule type="expression" dxfId="1919" priority="116">
      <formula>P$1=""</formula>
    </cfRule>
  </conditionalFormatting>
  <conditionalFormatting sqref="P226:AA226">
    <cfRule type="expression" dxfId="1918" priority="115">
      <formula>P$1=""</formula>
    </cfRule>
  </conditionalFormatting>
  <conditionalFormatting sqref="P226:AA226">
    <cfRule type="expression" dxfId="1917" priority="114">
      <formula>P$1=""</formula>
    </cfRule>
  </conditionalFormatting>
  <conditionalFormatting sqref="P226:AA226">
    <cfRule type="expression" dxfId="1916" priority="113">
      <formula>P$1=""</formula>
    </cfRule>
  </conditionalFormatting>
  <conditionalFormatting sqref="P226:AA226">
    <cfRule type="expression" dxfId="1915" priority="112">
      <formula>P$1=""</formula>
    </cfRule>
  </conditionalFormatting>
  <conditionalFormatting sqref="P226:AA226">
    <cfRule type="expression" dxfId="1914" priority="111">
      <formula>P$1=""</formula>
    </cfRule>
  </conditionalFormatting>
  <conditionalFormatting sqref="P226:AA226">
    <cfRule type="expression" dxfId="1913" priority="110">
      <formula>P$1=""</formula>
    </cfRule>
  </conditionalFormatting>
  <conditionalFormatting sqref="P226:AA226">
    <cfRule type="expression" dxfId="1912" priority="109">
      <formula>P$1=""</formula>
    </cfRule>
  </conditionalFormatting>
  <conditionalFormatting sqref="P230:AA230 P232:AA232">
    <cfRule type="expression" dxfId="1911" priority="108">
      <formula>P$1=""</formula>
    </cfRule>
  </conditionalFormatting>
  <conditionalFormatting sqref="P230:AA230 P232:AA232">
    <cfRule type="expression" dxfId="1910" priority="107">
      <formula>P$1=""</formula>
    </cfRule>
  </conditionalFormatting>
  <conditionalFormatting sqref="P230:AA230 P232:AA232">
    <cfRule type="expression" dxfId="1909" priority="106">
      <formula>P$1=""</formula>
    </cfRule>
  </conditionalFormatting>
  <conditionalFormatting sqref="P230:AA230 P232:AA232">
    <cfRule type="expression" dxfId="1908" priority="105">
      <formula>P$1=""</formula>
    </cfRule>
  </conditionalFormatting>
  <conditionalFormatting sqref="P232 P230 P228">
    <cfRule type="expression" dxfId="1907" priority="104">
      <formula>P$1=""</formula>
    </cfRule>
  </conditionalFormatting>
  <conditionalFormatting sqref="P232 P230 P228">
    <cfRule type="expression" dxfId="1906" priority="103">
      <formula>P$1=""</formula>
    </cfRule>
  </conditionalFormatting>
  <conditionalFormatting sqref="P232 P230 P228">
    <cfRule type="expression" dxfId="1905" priority="102">
      <formula>P$1=""</formula>
    </cfRule>
  </conditionalFormatting>
  <conditionalFormatting sqref="P238:AA238">
    <cfRule type="expression" dxfId="1904" priority="101">
      <formula>P$1=""</formula>
    </cfRule>
  </conditionalFormatting>
  <conditionalFormatting sqref="P238:AA238">
    <cfRule type="expression" dxfId="1903" priority="100">
      <formula>P$1=""</formula>
    </cfRule>
  </conditionalFormatting>
  <conditionalFormatting sqref="P238:AA238">
    <cfRule type="expression" dxfId="1902" priority="99">
      <formula>P$1=""</formula>
    </cfRule>
  </conditionalFormatting>
  <conditionalFormatting sqref="P238:AA238">
    <cfRule type="expression" dxfId="1901" priority="98">
      <formula>P$1=""</formula>
    </cfRule>
  </conditionalFormatting>
  <conditionalFormatting sqref="P238:AA238">
    <cfRule type="expression" dxfId="1900" priority="97">
      <formula>P$1=""</formula>
    </cfRule>
  </conditionalFormatting>
  <conditionalFormatting sqref="P238:AA238">
    <cfRule type="expression" dxfId="1899" priority="96">
      <formula>P$1=""</formula>
    </cfRule>
  </conditionalFormatting>
  <conditionalFormatting sqref="P238:AA238">
    <cfRule type="expression" dxfId="1898" priority="95">
      <formula>P$1=""</formula>
    </cfRule>
  </conditionalFormatting>
  <conditionalFormatting sqref="P238:AA238">
    <cfRule type="expression" dxfId="1897" priority="94">
      <formula>P$1=""</formula>
    </cfRule>
  </conditionalFormatting>
  <conditionalFormatting sqref="P238:AA238">
    <cfRule type="expression" dxfId="1896" priority="93">
      <formula>P$1=""</formula>
    </cfRule>
  </conditionalFormatting>
  <conditionalFormatting sqref="P238:AA238">
    <cfRule type="expression" dxfId="1895" priority="92">
      <formula>P$1=""</formula>
    </cfRule>
  </conditionalFormatting>
  <conditionalFormatting sqref="P238:AA238">
    <cfRule type="expression" dxfId="1894" priority="91">
      <formula>P$1=""</formula>
    </cfRule>
  </conditionalFormatting>
  <conditionalFormatting sqref="P238:AA238">
    <cfRule type="expression" dxfId="1893" priority="90">
      <formula>P$1=""</formula>
    </cfRule>
  </conditionalFormatting>
  <conditionalFormatting sqref="P238:AA238">
    <cfRule type="expression" dxfId="1892" priority="89">
      <formula>P$1=""</formula>
    </cfRule>
  </conditionalFormatting>
  <conditionalFormatting sqref="P238:AA238">
    <cfRule type="expression" dxfId="1891" priority="88">
      <formula>P$1=""</formula>
    </cfRule>
  </conditionalFormatting>
  <conditionalFormatting sqref="P238:AA238">
    <cfRule type="expression" dxfId="1890" priority="87">
      <formula>P$1=""</formula>
    </cfRule>
  </conditionalFormatting>
  <conditionalFormatting sqref="P238:AA238">
    <cfRule type="expression" dxfId="1889" priority="86">
      <formula>P$1=""</formula>
    </cfRule>
  </conditionalFormatting>
  <conditionalFormatting sqref="P238:AA238">
    <cfRule type="expression" dxfId="1888" priority="85">
      <formula>P$1=""</formula>
    </cfRule>
  </conditionalFormatting>
  <conditionalFormatting sqref="P238:AA238">
    <cfRule type="expression" dxfId="1887" priority="84">
      <formula>P$1=""</formula>
    </cfRule>
  </conditionalFormatting>
  <conditionalFormatting sqref="P238:AA238">
    <cfRule type="expression" dxfId="1886" priority="83">
      <formula>P$1=""</formula>
    </cfRule>
  </conditionalFormatting>
  <conditionalFormatting sqref="P238:AA238">
    <cfRule type="expression" dxfId="1885" priority="82">
      <formula>P$1=""</formula>
    </cfRule>
  </conditionalFormatting>
  <conditionalFormatting sqref="P238:AA238">
    <cfRule type="expression" dxfId="1884" priority="81">
      <formula>P$1=""</formula>
    </cfRule>
  </conditionalFormatting>
  <conditionalFormatting sqref="P238:AA238">
    <cfRule type="expression" dxfId="1883" priority="80">
      <formula>P$1=""</formula>
    </cfRule>
  </conditionalFormatting>
  <conditionalFormatting sqref="P238:AA238">
    <cfRule type="expression" dxfId="1882" priority="79">
      <formula>P$1=""</formula>
    </cfRule>
  </conditionalFormatting>
  <conditionalFormatting sqref="P240:AA240">
    <cfRule type="expression" dxfId="1881" priority="78">
      <formula>P$1=""</formula>
    </cfRule>
  </conditionalFormatting>
  <conditionalFormatting sqref="P240:AA240">
    <cfRule type="expression" dxfId="1880" priority="77">
      <formula>P$1=""</formula>
    </cfRule>
  </conditionalFormatting>
  <conditionalFormatting sqref="P240:AA240">
    <cfRule type="expression" dxfId="1879" priority="76">
      <formula>P$1=""</formula>
    </cfRule>
  </conditionalFormatting>
  <conditionalFormatting sqref="P240:AA240">
    <cfRule type="expression" dxfId="1878" priority="75">
      <formula>P$1=""</formula>
    </cfRule>
  </conditionalFormatting>
  <conditionalFormatting sqref="P240:AA240">
    <cfRule type="expression" dxfId="1877" priority="74">
      <formula>P$1=""</formula>
    </cfRule>
  </conditionalFormatting>
  <conditionalFormatting sqref="P240:AA240">
    <cfRule type="expression" dxfId="1876" priority="73">
      <formula>P$1=""</formula>
    </cfRule>
  </conditionalFormatting>
  <conditionalFormatting sqref="P240:AA240">
    <cfRule type="expression" dxfId="1875" priority="72">
      <formula>P$1=""</formula>
    </cfRule>
  </conditionalFormatting>
  <conditionalFormatting sqref="P240:AA240">
    <cfRule type="expression" dxfId="1874" priority="71">
      <formula>P$1=""</formula>
    </cfRule>
  </conditionalFormatting>
  <conditionalFormatting sqref="P240:AA240">
    <cfRule type="expression" dxfId="1873" priority="70">
      <formula>P$1=""</formula>
    </cfRule>
  </conditionalFormatting>
  <conditionalFormatting sqref="P240:AA240">
    <cfRule type="expression" dxfId="1872" priority="69">
      <formula>P$1=""</formula>
    </cfRule>
  </conditionalFormatting>
  <conditionalFormatting sqref="P240:AA240">
    <cfRule type="expression" dxfId="1871" priority="68">
      <formula>P$1=""</formula>
    </cfRule>
  </conditionalFormatting>
  <conditionalFormatting sqref="P240:AA240">
    <cfRule type="expression" dxfId="1870" priority="67">
      <formula>P$1=""</formula>
    </cfRule>
  </conditionalFormatting>
  <conditionalFormatting sqref="P240:AA240">
    <cfRule type="expression" dxfId="1869" priority="66">
      <formula>P$1=""</formula>
    </cfRule>
  </conditionalFormatting>
  <conditionalFormatting sqref="P240:AA240">
    <cfRule type="expression" dxfId="1868" priority="65">
      <formula>P$1=""</formula>
    </cfRule>
  </conditionalFormatting>
  <conditionalFormatting sqref="P240:AA240">
    <cfRule type="expression" dxfId="1867" priority="64">
      <formula>P$1=""</formula>
    </cfRule>
  </conditionalFormatting>
  <conditionalFormatting sqref="P240:AA240">
    <cfRule type="expression" dxfId="1866" priority="63">
      <formula>P$1=""</formula>
    </cfRule>
  </conditionalFormatting>
  <conditionalFormatting sqref="P240:AA240">
    <cfRule type="expression" dxfId="1865" priority="62">
      <formula>P$1=""</formula>
    </cfRule>
  </conditionalFormatting>
  <conditionalFormatting sqref="P240:AA240">
    <cfRule type="expression" dxfId="1864" priority="61">
      <formula>P$1=""</formula>
    </cfRule>
  </conditionalFormatting>
  <conditionalFormatting sqref="P240:AA240">
    <cfRule type="expression" dxfId="1863" priority="60">
      <formula>P$1=""</formula>
    </cfRule>
  </conditionalFormatting>
  <conditionalFormatting sqref="P240:AA240">
    <cfRule type="expression" dxfId="1862" priority="59">
      <formula>P$1=""</formula>
    </cfRule>
  </conditionalFormatting>
  <conditionalFormatting sqref="P240:AA240">
    <cfRule type="expression" dxfId="1861" priority="58">
      <formula>P$1=""</formula>
    </cfRule>
  </conditionalFormatting>
  <conditionalFormatting sqref="P242:AA242">
    <cfRule type="expression" dxfId="1860" priority="57">
      <formula>P$1=""</formula>
    </cfRule>
  </conditionalFormatting>
  <conditionalFormatting sqref="P242:AA242">
    <cfRule type="expression" dxfId="1859" priority="56">
      <formula>P$1=""</formula>
    </cfRule>
  </conditionalFormatting>
  <conditionalFormatting sqref="P242:AA242">
    <cfRule type="expression" dxfId="1858" priority="55">
      <formula>P$1=""</formula>
    </cfRule>
  </conditionalFormatting>
  <conditionalFormatting sqref="P242:AA242">
    <cfRule type="expression" dxfId="1857" priority="54">
      <formula>P$1=""</formula>
    </cfRule>
  </conditionalFormatting>
  <conditionalFormatting sqref="P242:AA242">
    <cfRule type="expression" dxfId="1856" priority="53">
      <formula>P$1=""</formula>
    </cfRule>
  </conditionalFormatting>
  <conditionalFormatting sqref="P242:AA242">
    <cfRule type="expression" dxfId="1855" priority="52">
      <formula>P$1=""</formula>
    </cfRule>
  </conditionalFormatting>
  <conditionalFormatting sqref="P242:AA242">
    <cfRule type="expression" dxfId="1854" priority="51">
      <formula>P$1=""</formula>
    </cfRule>
  </conditionalFormatting>
  <conditionalFormatting sqref="P242:AA242">
    <cfRule type="expression" dxfId="1853" priority="50">
      <formula>P$1=""</formula>
    </cfRule>
  </conditionalFormatting>
  <conditionalFormatting sqref="P242:AA242">
    <cfRule type="expression" dxfId="1852" priority="49">
      <formula>P$1=""</formula>
    </cfRule>
  </conditionalFormatting>
  <conditionalFormatting sqref="P242:AA242">
    <cfRule type="expression" dxfId="1851" priority="48">
      <formula>P$1=""</formula>
    </cfRule>
  </conditionalFormatting>
  <conditionalFormatting sqref="P242:AA242">
    <cfRule type="expression" dxfId="1850" priority="47">
      <formula>P$1=""</formula>
    </cfRule>
  </conditionalFormatting>
  <conditionalFormatting sqref="P242:AA242">
    <cfRule type="expression" dxfId="1849" priority="46">
      <formula>P$1=""</formula>
    </cfRule>
  </conditionalFormatting>
  <conditionalFormatting sqref="P242:AA242">
    <cfRule type="expression" dxfId="1848" priority="45">
      <formula>P$1=""</formula>
    </cfRule>
  </conditionalFormatting>
  <conditionalFormatting sqref="P242:AA242">
    <cfRule type="expression" dxfId="1847" priority="44">
      <formula>P$1=""</formula>
    </cfRule>
  </conditionalFormatting>
  <conditionalFormatting sqref="P242:AA242">
    <cfRule type="expression" dxfId="1846" priority="43">
      <formula>P$1=""</formula>
    </cfRule>
  </conditionalFormatting>
  <conditionalFormatting sqref="P242:AA242">
    <cfRule type="expression" dxfId="1845" priority="42">
      <formula>P$1=""</formula>
    </cfRule>
  </conditionalFormatting>
  <conditionalFormatting sqref="P242:AA242">
    <cfRule type="expression" dxfId="1844" priority="41">
      <formula>P$1=""</formula>
    </cfRule>
  </conditionalFormatting>
  <conditionalFormatting sqref="P242:AA242">
    <cfRule type="expression" dxfId="1843" priority="40">
      <formula>P$1=""</formula>
    </cfRule>
  </conditionalFormatting>
  <conditionalFormatting sqref="P242:AA242">
    <cfRule type="expression" dxfId="1842" priority="39">
      <formula>P$1=""</formula>
    </cfRule>
  </conditionalFormatting>
  <conditionalFormatting sqref="P242:AA242">
    <cfRule type="expression" dxfId="1841" priority="38">
      <formula>P$1=""</formula>
    </cfRule>
  </conditionalFormatting>
  <conditionalFormatting sqref="P242:AA242">
    <cfRule type="expression" dxfId="1840" priority="37">
      <formula>P$1=""</formula>
    </cfRule>
  </conditionalFormatting>
  <conditionalFormatting sqref="P246:AA246">
    <cfRule type="expression" dxfId="1839" priority="36">
      <formula>P$1=""</formula>
    </cfRule>
  </conditionalFormatting>
  <conditionalFormatting sqref="P248:AA248">
    <cfRule type="expression" dxfId="1838" priority="35">
      <formula>P$1=""</formula>
    </cfRule>
  </conditionalFormatting>
  <conditionalFormatting sqref="P250:AA250">
    <cfRule type="expression" dxfId="1837" priority="34">
      <formula>P$1=""</formula>
    </cfRule>
  </conditionalFormatting>
  <conditionalFormatting sqref="P252:AA252">
    <cfRule type="expression" dxfId="1836" priority="33">
      <formula>P$1=""</formula>
    </cfRule>
  </conditionalFormatting>
  <conditionalFormatting sqref="P248:AA248 P250:AA250 P252:AA252">
    <cfRule type="expression" dxfId="1835" priority="32">
      <formula>P$1=""</formula>
    </cfRule>
  </conditionalFormatting>
  <conditionalFormatting sqref="P248:AA248 P250:AA250 P252:AA252">
    <cfRule type="expression" dxfId="1834" priority="31">
      <formula>P$1=""</formula>
    </cfRule>
  </conditionalFormatting>
  <conditionalFormatting sqref="P248:AA248 P250:AA250 P252:AA252">
    <cfRule type="expression" dxfId="1833" priority="30">
      <formula>P$1=""</formula>
    </cfRule>
  </conditionalFormatting>
  <conditionalFormatting sqref="P248:AA248 P250:AA250 P252:AA252">
    <cfRule type="expression" dxfId="1832" priority="29">
      <formula>P$1=""</formula>
    </cfRule>
  </conditionalFormatting>
  <conditionalFormatting sqref="P248:AA248 P250:AA250 P252:AA252">
    <cfRule type="expression" dxfId="1831" priority="28">
      <formula>P$1=""</formula>
    </cfRule>
  </conditionalFormatting>
  <conditionalFormatting sqref="P250:AA250 P252:AA252">
    <cfRule type="expression" dxfId="1830" priority="27">
      <formula>P$1=""</formula>
    </cfRule>
  </conditionalFormatting>
  <conditionalFormatting sqref="P248:AA248">
    <cfRule type="expression" dxfId="1829" priority="26">
      <formula>P$1=""</formula>
    </cfRule>
  </conditionalFormatting>
  <conditionalFormatting sqref="P250:AA250 P252:AA252">
    <cfRule type="expression" dxfId="1828" priority="25">
      <formula>P$1=""</formula>
    </cfRule>
  </conditionalFormatting>
  <conditionalFormatting sqref="P250:AA250 P252:AA252">
    <cfRule type="expression" dxfId="1827" priority="24">
      <formula>P$1=""</formula>
    </cfRule>
  </conditionalFormatting>
  <conditionalFormatting sqref="P252:AA252">
    <cfRule type="expression" dxfId="1826" priority="23">
      <formula>P$1=""</formula>
    </cfRule>
  </conditionalFormatting>
  <conditionalFormatting sqref="P252:AA252">
    <cfRule type="expression" dxfId="1825" priority="22">
      <formula>P$1=""</formula>
    </cfRule>
  </conditionalFormatting>
  <conditionalFormatting sqref="P252:AA252">
    <cfRule type="expression" dxfId="1824" priority="21">
      <formula>P$1=""</formula>
    </cfRule>
  </conditionalFormatting>
  <conditionalFormatting sqref="P252:AA252">
    <cfRule type="expression" dxfId="1823" priority="20">
      <formula>P$1=""</formula>
    </cfRule>
  </conditionalFormatting>
  <conditionalFormatting sqref="P246:AA246">
    <cfRule type="expression" dxfId="1822" priority="19">
      <formula>P$1=""</formula>
    </cfRule>
  </conditionalFormatting>
  <conditionalFormatting sqref="P246:AA246">
    <cfRule type="expression" dxfId="1821" priority="18">
      <formula>P$1=""</formula>
    </cfRule>
  </conditionalFormatting>
  <conditionalFormatting sqref="P246:AA246">
    <cfRule type="expression" dxfId="1820" priority="17">
      <formula>P$1=""</formula>
    </cfRule>
  </conditionalFormatting>
  <conditionalFormatting sqref="P246:AA246">
    <cfRule type="expression" dxfId="1819" priority="16">
      <formula>P$1=""</formula>
    </cfRule>
  </conditionalFormatting>
  <conditionalFormatting sqref="P246:AA246">
    <cfRule type="expression" dxfId="1818" priority="15">
      <formula>P$1=""</formula>
    </cfRule>
  </conditionalFormatting>
  <conditionalFormatting sqref="P246:AA246">
    <cfRule type="expression" dxfId="1817" priority="14">
      <formula>P$1=""</formula>
    </cfRule>
  </conditionalFormatting>
  <conditionalFormatting sqref="P246:AA246">
    <cfRule type="expression" dxfId="1816" priority="13">
      <formula>P$1=""</formula>
    </cfRule>
  </conditionalFormatting>
  <conditionalFormatting sqref="P250:AA250 P252:AA252">
    <cfRule type="expression" dxfId="1815" priority="12">
      <formula>P$1=""</formula>
    </cfRule>
  </conditionalFormatting>
  <conditionalFormatting sqref="P250:AA250 P252:AA252">
    <cfRule type="expression" dxfId="1814" priority="11">
      <formula>P$1=""</formula>
    </cfRule>
  </conditionalFormatting>
  <conditionalFormatting sqref="P250:AA250 P252:AA252">
    <cfRule type="expression" dxfId="1813" priority="10">
      <formula>P$1=""</formula>
    </cfRule>
  </conditionalFormatting>
  <conditionalFormatting sqref="P250:AA250 P252:AA252">
    <cfRule type="expression" dxfId="1812" priority="9">
      <formula>P$1=""</formula>
    </cfRule>
  </conditionalFormatting>
  <conditionalFormatting sqref="P252 P250 P248">
    <cfRule type="expression" dxfId="1811" priority="8">
      <formula>P$1=""</formula>
    </cfRule>
  </conditionalFormatting>
  <conditionalFormatting sqref="P252 P250 P248">
    <cfRule type="expression" dxfId="1810" priority="7">
      <formula>P$1=""</formula>
    </cfRule>
  </conditionalFormatting>
  <conditionalFormatting sqref="P252 P250 P248">
    <cfRule type="expression" dxfId="1809" priority="6">
      <formula>P$1=""</formula>
    </cfRule>
  </conditionalFormatting>
  <conditionalFormatting sqref="C3:E6">
    <cfRule type="cellIs" dxfId="1808" priority="5" operator="equal">
      <formula>0</formula>
    </cfRule>
  </conditionalFormatting>
  <conditionalFormatting sqref="G6">
    <cfRule type="cellIs" dxfId="1807" priority="4" operator="equal">
      <formula>0</formula>
    </cfRule>
  </conditionalFormatting>
  <conditionalFormatting sqref="A1:D1">
    <cfRule type="cellIs" dxfId="1806" priority="3" operator="equal">
      <formula>0</formula>
    </cfRule>
  </conditionalFormatting>
  <conditionalFormatting sqref="A254:XFD263">
    <cfRule type="cellIs" dxfId="1805" priority="2" operator="equal">
      <formula>0</formula>
    </cfRule>
  </conditionalFormatting>
  <hyperlinks>
    <hyperlink ref="A1:D1" location="оглавление!A1" tooltip="оглавление" display="оглавление"/>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1" id="{418DD172-990D-4D5C-9565-E839BA9D9C07}">
            <xm:f>отчеты!P$1=""</xm:f>
            <x14:dxf>
              <fill>
                <patternFill>
                  <bgColor theme="0"/>
                </patternFill>
              </fill>
            </x14:dxf>
          </x14:cfRule>
          <xm:sqref>P256:AA256 P262:AA262 P260:AA260 P258:AA258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B418"/>
  <sheetViews>
    <sheetView workbookViewId="0">
      <pane xSplit="14" ySplit="10" topLeftCell="O11" activePane="bottomRight" state="frozen"/>
      <selection pane="topRight" activeCell="O1" sqref="O1"/>
      <selection pane="bottomLeft" activeCell="A11" sqref="A11"/>
      <selection pane="bottomRight" activeCell="B12" sqref="B12"/>
    </sheetView>
  </sheetViews>
  <sheetFormatPr defaultColWidth="9.109375" defaultRowHeight="12" x14ac:dyDescent="0.25"/>
  <cols>
    <col min="1" max="4" width="2.6640625"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
        <v>191</v>
      </c>
      <c r="N1" s="42"/>
      <c r="O1" s="42"/>
      <c r="P1" s="43">
        <f>IF($J$13="","",IF(MONTH($J$13)&lt;&gt;1,0,1))</f>
        <v>1</v>
      </c>
      <c r="Q1" s="43">
        <f t="shared" ref="Q1:AA1" si="0">IF(P1="","",IF(P1+1&gt;$J$16,"",P1+1))</f>
        <v>2</v>
      </c>
      <c r="R1" s="43">
        <f t="shared" si="0"/>
        <v>3</v>
      </c>
      <c r="S1" s="43">
        <f t="shared" si="0"/>
        <v>4</v>
      </c>
      <c r="T1" s="43">
        <f t="shared" si="0"/>
        <v>5</v>
      </c>
      <c r="U1" s="43">
        <f t="shared" si="0"/>
        <v>6</v>
      </c>
      <c r="V1" s="43">
        <f t="shared" si="0"/>
        <v>7</v>
      </c>
      <c r="W1" s="43" t="str">
        <f t="shared" si="0"/>
        <v/>
      </c>
      <c r="X1" s="43" t="str">
        <f t="shared" si="0"/>
        <v/>
      </c>
      <c r="Y1" s="43" t="str">
        <f t="shared" si="0"/>
        <v/>
      </c>
      <c r="Z1" s="43" t="str">
        <f t="shared" si="0"/>
        <v/>
      </c>
      <c r="AA1" s="43" t="str">
        <f t="shared" si="0"/>
        <v/>
      </c>
      <c r="AB1" s="2"/>
    </row>
    <row r="2" spans="1:28" x14ac:dyDescent="0.25">
      <c r="A2" s="2"/>
      <c r="B2" s="2"/>
      <c r="C2" s="2"/>
      <c r="D2" s="2"/>
      <c r="E2" s="2"/>
      <c r="F2" s="2"/>
      <c r="G2" s="2"/>
      <c r="H2" s="2"/>
      <c r="I2" s="28"/>
      <c r="J2" s="2"/>
      <c r="K2" s="28"/>
      <c r="L2" s="2"/>
      <c r="M2" s="52"/>
      <c r="N2" s="2"/>
      <c r="O2" s="2"/>
      <c r="P2" s="2"/>
      <c r="Q2" s="36"/>
      <c r="R2" s="2"/>
      <c r="S2" s="2"/>
      <c r="T2" s="2"/>
      <c r="U2" s="2"/>
      <c r="V2" s="2"/>
      <c r="W2" s="2"/>
      <c r="X2" s="2"/>
      <c r="Y2" s="2"/>
      <c r="Z2" s="2"/>
      <c r="AA2" s="2"/>
      <c r="AB2" s="2"/>
    </row>
    <row r="3" spans="1:28" x14ac:dyDescent="0.25">
      <c r="A3" s="2"/>
      <c r="B3" s="2"/>
      <c r="C3" s="89" t="str">
        <f>методология!$E$4</f>
        <v>Инвестмодель базы отдыха - Беседки &amp; Веревочный парк</v>
      </c>
      <c r="D3" s="20"/>
      <c r="E3" s="20"/>
      <c r="F3" s="2"/>
      <c r="G3" s="2"/>
      <c r="H3" s="2"/>
      <c r="I3" s="28"/>
      <c r="J3" s="2"/>
      <c r="K3" s="28"/>
      <c r="L3" s="2"/>
      <c r="M3" s="52"/>
      <c r="N3" s="2"/>
      <c r="O3" s="2"/>
      <c r="P3" s="2"/>
      <c r="Q3" s="2"/>
      <c r="R3" s="2"/>
      <c r="S3" s="2"/>
      <c r="T3" s="2"/>
      <c r="U3" s="2"/>
      <c r="V3" s="2"/>
      <c r="W3" s="2"/>
      <c r="X3" s="2"/>
      <c r="Y3" s="2"/>
      <c r="Z3" s="2"/>
      <c r="AA3" s="2"/>
      <c r="AB3" s="2"/>
    </row>
    <row r="4" spans="1:28" x14ac:dyDescent="0.25">
      <c r="A4" s="2"/>
      <c r="B4" s="2"/>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2"/>
      <c r="B5" s="2"/>
      <c r="C5" s="2"/>
      <c r="D5" s="2"/>
      <c r="E5" s="2"/>
      <c r="F5" s="2"/>
      <c r="G5" s="2"/>
      <c r="H5" s="2"/>
      <c r="I5" s="28"/>
      <c r="J5" s="2"/>
      <c r="K5" s="28"/>
      <c r="L5" s="2"/>
      <c r="M5" s="52"/>
      <c r="N5" s="2"/>
      <c r="O5" s="2"/>
      <c r="P5" s="2"/>
      <c r="Q5" s="2"/>
      <c r="R5" s="2"/>
      <c r="S5" s="2"/>
      <c r="T5" s="2"/>
      <c r="U5" s="2"/>
      <c r="V5" s="2"/>
      <c r="W5" s="2"/>
      <c r="X5" s="2"/>
      <c r="Y5" s="2"/>
      <c r="Z5" s="2"/>
      <c r="AA5" s="2"/>
      <c r="AB5" s="2"/>
    </row>
    <row r="6" spans="1:28" x14ac:dyDescent="0.25">
      <c r="A6" s="2"/>
      <c r="B6" s="2"/>
      <c r="C6" s="225" t="s">
        <v>305</v>
      </c>
      <c r="D6" s="210"/>
      <c r="E6" s="226"/>
      <c r="F6" s="2"/>
      <c r="G6" s="2"/>
      <c r="H6" s="2"/>
      <c r="I6" s="28"/>
      <c r="J6" s="2"/>
      <c r="K6" s="28"/>
      <c r="L6" s="2"/>
      <c r="M6" s="52"/>
      <c r="N6" s="2"/>
      <c r="O6" s="2"/>
      <c r="P6" s="96" t="str">
        <f>IF(P$1="","",IF(P$1&gt;0,YEAR(P8)&amp;"г.",""))</f>
        <v>2022г.</v>
      </c>
      <c r="Q6" s="96" t="str">
        <f t="shared" ref="Q6:AA6" si="1">IF(Q$1="","",IF(Q$1&gt;0,YEAR(Q8)&amp;"г.",""))</f>
        <v>2023г.</v>
      </c>
      <c r="R6" s="96" t="str">
        <f t="shared" si="1"/>
        <v>2024г.</v>
      </c>
      <c r="S6" s="96" t="str">
        <f t="shared" si="1"/>
        <v>2025г.</v>
      </c>
      <c r="T6" s="96" t="str">
        <f t="shared" si="1"/>
        <v>2026г.</v>
      </c>
      <c r="U6" s="96" t="str">
        <f t="shared" si="1"/>
        <v>2027г.</v>
      </c>
      <c r="V6" s="96" t="str">
        <f t="shared" si="1"/>
        <v>2028г.</v>
      </c>
      <c r="W6" s="96" t="str">
        <f t="shared" si="1"/>
        <v/>
      </c>
      <c r="X6" s="96" t="str">
        <f t="shared" si="1"/>
        <v/>
      </c>
      <c r="Y6" s="96" t="str">
        <f t="shared" si="1"/>
        <v/>
      </c>
      <c r="Z6" s="96" t="str">
        <f t="shared" si="1"/>
        <v/>
      </c>
      <c r="AA6" s="96" t="str">
        <f t="shared" si="1"/>
        <v/>
      </c>
      <c r="AB6" s="2"/>
    </row>
    <row r="7" spans="1:28" x14ac:dyDescent="0.25">
      <c r="A7" s="2"/>
      <c r="B7" s="2"/>
      <c r="C7" s="2"/>
      <c r="D7" s="2"/>
      <c r="E7" s="2" t="s">
        <v>166</v>
      </c>
      <c r="F7" s="2"/>
      <c r="G7" s="2"/>
      <c r="H7" s="2"/>
      <c r="I7" s="28"/>
      <c r="J7" s="2"/>
      <c r="K7" s="28"/>
      <c r="L7" s="2"/>
      <c r="M7" s="52"/>
      <c r="N7" s="2"/>
      <c r="O7" s="2"/>
      <c r="P7" s="94">
        <f>IF($J$13="","",$J$13)</f>
        <v>44562</v>
      </c>
      <c r="Q7" s="94">
        <f>IF(Q$1="","",P8+1)</f>
        <v>44927</v>
      </c>
      <c r="R7" s="94">
        <f t="shared" ref="R7:AA7" si="2">IF(R$1="","",Q8+1)</f>
        <v>45292</v>
      </c>
      <c r="S7" s="94">
        <f t="shared" si="2"/>
        <v>45658</v>
      </c>
      <c r="T7" s="94">
        <f t="shared" si="2"/>
        <v>46023</v>
      </c>
      <c r="U7" s="94">
        <f t="shared" si="2"/>
        <v>46388</v>
      </c>
      <c r="V7" s="94">
        <f t="shared" si="2"/>
        <v>46753</v>
      </c>
      <c r="W7" s="94" t="str">
        <f t="shared" si="2"/>
        <v/>
      </c>
      <c r="X7" s="94" t="str">
        <f t="shared" si="2"/>
        <v/>
      </c>
      <c r="Y7" s="94" t="str">
        <f t="shared" si="2"/>
        <v/>
      </c>
      <c r="Z7" s="94" t="str">
        <f t="shared" si="2"/>
        <v/>
      </c>
      <c r="AA7" s="94" t="str">
        <f t="shared" si="2"/>
        <v/>
      </c>
      <c r="AB7" s="2"/>
    </row>
    <row r="8" spans="1:28" s="5" customFormat="1" x14ac:dyDescent="0.25">
      <c r="A8" s="3"/>
      <c r="B8" s="3"/>
      <c r="C8" s="3"/>
      <c r="D8" s="3"/>
      <c r="E8" s="3" t="str">
        <f>KPI!$E$8</f>
        <v>KPI</v>
      </c>
      <c r="F8" s="3"/>
      <c r="G8" s="28" t="str">
        <f>KPI!$G$8</f>
        <v>ед.изм.</v>
      </c>
      <c r="H8" s="3"/>
      <c r="I8" s="28"/>
      <c r="J8" s="3"/>
      <c r="K8" s="28"/>
      <c r="L8" s="3"/>
      <c r="M8" s="53" t="s">
        <v>8</v>
      </c>
      <c r="N8" s="3"/>
      <c r="O8" s="3"/>
      <c r="P8" s="95">
        <f>IF(P7="","",EOMONTH(P7,12-MONTH(P7)))</f>
        <v>44926</v>
      </c>
      <c r="Q8" s="95">
        <f>IF(Q$1="","",EOMONTH(Q$7,11))</f>
        <v>45291</v>
      </c>
      <c r="R8" s="95">
        <f t="shared" ref="R8:AA8" si="3">IF(R$1="","",EOMONTH(R$7,11))</f>
        <v>45657</v>
      </c>
      <c r="S8" s="95">
        <f t="shared" si="3"/>
        <v>46022</v>
      </c>
      <c r="T8" s="95">
        <f t="shared" si="3"/>
        <v>46387</v>
      </c>
      <c r="U8" s="95">
        <f t="shared" si="3"/>
        <v>46752</v>
      </c>
      <c r="V8" s="95">
        <f t="shared" si="3"/>
        <v>47118</v>
      </c>
      <c r="W8" s="95" t="str">
        <f t="shared" si="3"/>
        <v/>
      </c>
      <c r="X8" s="95" t="str">
        <f t="shared" si="3"/>
        <v/>
      </c>
      <c r="Y8" s="95" t="str">
        <f t="shared" si="3"/>
        <v/>
      </c>
      <c r="Z8" s="95" t="str">
        <f t="shared" si="3"/>
        <v/>
      </c>
      <c r="AA8" s="95" t="str">
        <f t="shared" si="3"/>
        <v/>
      </c>
      <c r="AB8" s="3"/>
    </row>
    <row r="9" spans="1:28" ht="3.9" customHeight="1" x14ac:dyDescent="0.25">
      <c r="A9" s="2"/>
      <c r="B9" s="2"/>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customHeight="1" x14ac:dyDescent="0.25">
      <c r="A10" s="2"/>
      <c r="B10" s="2"/>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x14ac:dyDescent="0.25">
      <c r="A11" s="3"/>
      <c r="B11" s="3"/>
      <c r="C11" s="3"/>
      <c r="D11" s="3"/>
      <c r="E11" s="3" t="str">
        <f>структура!$S$8</f>
        <v>операционный период</v>
      </c>
      <c r="F11" s="3"/>
      <c r="G11" s="3"/>
      <c r="H11" s="3"/>
      <c r="I11" s="28"/>
      <c r="J11" s="3"/>
      <c r="K11" s="28"/>
      <c r="L11" s="3"/>
      <c r="M11" s="55"/>
      <c r="N11" s="3"/>
      <c r="O11" s="3"/>
      <c r="P11" s="46"/>
      <c r="Q11" s="46"/>
      <c r="R11" s="46"/>
      <c r="S11" s="46"/>
      <c r="T11" s="46"/>
      <c r="U11" s="46"/>
      <c r="V11" s="46"/>
      <c r="W11" s="46"/>
      <c r="X11" s="46"/>
      <c r="Y11" s="46"/>
      <c r="Z11" s="46"/>
      <c r="AA11" s="46"/>
      <c r="AB11" s="3"/>
    </row>
    <row r="12" spans="1:28" ht="3.9" customHeight="1" x14ac:dyDescent="0.25">
      <c r="A12" s="2"/>
      <c r="B12" s="2"/>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x14ac:dyDescent="0.25">
      <c r="A13" s="3"/>
      <c r="B13" s="3"/>
      <c r="C13" s="3"/>
      <c r="D13" s="3"/>
      <c r="E13" s="3" t="str">
        <f>KPI!$E$29</f>
        <v>месяц начала операционной деятельности</v>
      </c>
      <c r="F13" s="3"/>
      <c r="G13" s="3"/>
      <c r="H13" s="3"/>
      <c r="I13" s="3"/>
      <c r="J13" s="44">
        <f>EOMONTH(капитал!$J$15,0)+1</f>
        <v>44562</v>
      </c>
      <c r="K13" s="3"/>
      <c r="L13" s="3"/>
      <c r="M13" s="55"/>
      <c r="N13" s="3"/>
      <c r="O13" s="3"/>
      <c r="P13" s="46"/>
      <c r="Q13" s="46"/>
      <c r="R13" s="46"/>
      <c r="S13" s="46"/>
      <c r="T13" s="46"/>
      <c r="U13" s="46"/>
      <c r="V13" s="46"/>
      <c r="W13" s="46"/>
      <c r="X13" s="46"/>
      <c r="Y13" s="46"/>
      <c r="Z13" s="46"/>
      <c r="AA13" s="46"/>
      <c r="AB13" s="3"/>
    </row>
    <row r="14" spans="1:28" ht="3.9" customHeight="1" x14ac:dyDescent="0.25">
      <c r="A14" s="2"/>
      <c r="B14" s="2"/>
      <c r="C14" s="2"/>
      <c r="D14" s="2"/>
      <c r="E14" s="21"/>
      <c r="F14" s="2"/>
      <c r="G14" s="2"/>
      <c r="H14" s="2"/>
      <c r="I14" s="28"/>
      <c r="J14" s="21"/>
      <c r="K14" s="28"/>
      <c r="L14" s="3"/>
      <c r="M14" s="52"/>
      <c r="N14" s="2"/>
      <c r="O14" s="2"/>
      <c r="P14" s="36"/>
      <c r="Q14" s="36"/>
      <c r="R14" s="36"/>
      <c r="S14" s="36"/>
      <c r="T14" s="36"/>
      <c r="U14" s="36"/>
      <c r="V14" s="36"/>
      <c r="W14" s="36"/>
      <c r="X14" s="36"/>
      <c r="Y14" s="36"/>
      <c r="Z14" s="36"/>
      <c r="AA14" s="36"/>
      <c r="AB14" s="2"/>
    </row>
    <row r="15" spans="1:28" ht="3.9" customHeight="1" x14ac:dyDescent="0.25">
      <c r="A15" s="2"/>
      <c r="B15" s="2"/>
      <c r="C15" s="2"/>
      <c r="D15" s="2"/>
      <c r="E15" s="2"/>
      <c r="F15" s="2"/>
      <c r="G15" s="2"/>
      <c r="H15" s="2"/>
      <c r="I15" s="28"/>
      <c r="J15" s="2"/>
      <c r="K15" s="28"/>
      <c r="L15" s="3"/>
      <c r="M15" s="52"/>
      <c r="N15" s="2"/>
      <c r="O15" s="2"/>
      <c r="P15" s="36"/>
      <c r="Q15" s="36"/>
      <c r="R15" s="36"/>
      <c r="S15" s="36"/>
      <c r="T15" s="36"/>
      <c r="U15" s="36"/>
      <c r="V15" s="36"/>
      <c r="W15" s="36"/>
      <c r="X15" s="36"/>
      <c r="Y15" s="36"/>
      <c r="Z15" s="36"/>
      <c r="AA15" s="36"/>
      <c r="AB15" s="2"/>
    </row>
    <row r="16" spans="1:28" s="5" customFormat="1" x14ac:dyDescent="0.25">
      <c r="A16" s="3"/>
      <c r="B16" s="3"/>
      <c r="C16" s="3"/>
      <c r="D16" s="3"/>
      <c r="E16" s="3" t="str">
        <f>KPI!$E$30</f>
        <v>горизонт моделирования</v>
      </c>
      <c r="F16" s="3"/>
      <c r="G16" s="3" t="str">
        <f>IF($E16="","",INDEX(KPI!$G:$G,SUMIFS(KPI!$B:$B,KPI!$E:$E,$E16)))</f>
        <v>к-во лет</v>
      </c>
      <c r="H16" s="3"/>
      <c r="I16" s="6"/>
      <c r="J16" s="204">
        <f>операции!J16</f>
        <v>7</v>
      </c>
      <c r="K16" s="30"/>
      <c r="L16" s="3"/>
      <c r="M16" s="55"/>
      <c r="N16" s="3"/>
      <c r="O16" s="3"/>
      <c r="P16" s="46"/>
      <c r="Q16" s="46"/>
      <c r="R16" s="46"/>
      <c r="S16" s="46"/>
      <c r="T16" s="46"/>
      <c r="U16" s="46"/>
      <c r="V16" s="46"/>
      <c r="W16" s="46"/>
      <c r="X16" s="46"/>
      <c r="Y16" s="46"/>
      <c r="Z16" s="46"/>
      <c r="AA16" s="46"/>
      <c r="AB16" s="3"/>
    </row>
    <row r="17" spans="1:28" ht="3.9" customHeight="1" x14ac:dyDescent="0.25">
      <c r="A17" s="2"/>
      <c r="B17" s="2"/>
      <c r="C17" s="2"/>
      <c r="D17" s="2"/>
      <c r="E17" s="21"/>
      <c r="F17" s="2"/>
      <c r="G17" s="21"/>
      <c r="H17" s="2"/>
      <c r="I17" s="28"/>
      <c r="J17" s="21"/>
      <c r="K17" s="28"/>
      <c r="L17" s="2"/>
      <c r="M17" s="52"/>
      <c r="N17" s="2"/>
      <c r="O17" s="2"/>
      <c r="P17" s="36"/>
      <c r="Q17" s="36"/>
      <c r="R17" s="36"/>
      <c r="S17" s="36"/>
      <c r="T17" s="36"/>
      <c r="U17" s="36"/>
      <c r="V17" s="36"/>
      <c r="W17" s="36"/>
      <c r="X17" s="36"/>
      <c r="Y17" s="36"/>
      <c r="Z17" s="36"/>
      <c r="AA17" s="36"/>
      <c r="AB17" s="2"/>
    </row>
    <row r="18" spans="1:28" ht="8.1" customHeight="1" x14ac:dyDescent="0.25">
      <c r="A18" s="2"/>
      <c r="B18" s="2"/>
      <c r="C18" s="2"/>
      <c r="D18" s="2"/>
      <c r="E18" s="2"/>
      <c r="F18" s="2"/>
      <c r="G18" s="2"/>
      <c r="H18" s="2"/>
      <c r="I18" s="28"/>
      <c r="J18" s="2"/>
      <c r="K18" s="28"/>
      <c r="L18" s="2"/>
      <c r="M18" s="52"/>
      <c r="N18" s="2"/>
      <c r="O18" s="2"/>
      <c r="P18" s="36"/>
      <c r="Q18" s="36"/>
      <c r="R18" s="36"/>
      <c r="S18" s="36"/>
      <c r="T18" s="36"/>
      <c r="U18" s="36"/>
      <c r="V18" s="36"/>
      <c r="W18" s="36"/>
      <c r="X18" s="36"/>
      <c r="Y18" s="36"/>
      <c r="Z18" s="36"/>
      <c r="AA18" s="36"/>
      <c r="AB18" s="2"/>
    </row>
    <row r="19" spans="1:28" s="5" customFormat="1" x14ac:dyDescent="0.25">
      <c r="A19" s="3"/>
      <c r="B19" s="3"/>
      <c r="C19" s="3"/>
      <c r="D19" s="3"/>
      <c r="E19" s="3" t="str">
        <f>KPI!$E$31</f>
        <v>наполняемость арендаторами</v>
      </c>
      <c r="F19" s="3"/>
      <c r="G19" s="3" t="str">
        <f>IF($E19="","",INDEX(KPI!$G:$G,SUMIFS(KPI!$B:$B,KPI!$E:$E,$E19)))</f>
        <v>%</v>
      </c>
      <c r="H19" s="3"/>
      <c r="I19" s="28"/>
      <c r="J19" s="44"/>
      <c r="K19" s="28"/>
      <c r="L19" s="3"/>
      <c r="M19" s="55"/>
      <c r="N19" s="3"/>
      <c r="O19" s="3"/>
      <c r="P19" s="104" t="str">
        <f>сценарии!$J$6</f>
        <v>сценарий-3</v>
      </c>
      <c r="Q19" s="46"/>
      <c r="R19" s="46"/>
      <c r="S19" s="46"/>
      <c r="T19" s="46"/>
      <c r="U19" s="46"/>
      <c r="V19" s="46"/>
      <c r="W19" s="46"/>
      <c r="X19" s="46"/>
      <c r="Y19" s="46"/>
      <c r="Z19" s="46"/>
      <c r="AA19" s="46"/>
      <c r="AB19" s="3"/>
    </row>
    <row r="20" spans="1:28" s="23" customFormat="1" ht="10.199999999999999" x14ac:dyDescent="0.2">
      <c r="A20" s="22"/>
      <c r="B20" s="22"/>
      <c r="C20" s="22"/>
      <c r="D20" s="22"/>
      <c r="E20" s="22" t="str">
        <f>E19</f>
        <v>наполняемость арендаторами</v>
      </c>
      <c r="F20" s="22"/>
      <c r="G20" s="22" t="str">
        <f>IF($E20="","",INDEX(KPI!$G:$G,SUMIFS(KPI!$B:$B,KPI!$E:$E,$E20)))</f>
        <v>%</v>
      </c>
      <c r="H20" s="100">
        <f>структура!$V$12</f>
        <v>1</v>
      </c>
      <c r="I20" s="31"/>
      <c r="J20" s="98" t="str">
        <f>структура!$X$12</f>
        <v>янв</v>
      </c>
      <c r="K20" s="99"/>
      <c r="L20" s="22"/>
      <c r="M20" s="58"/>
      <c r="N20" s="22"/>
      <c r="O20" s="22"/>
      <c r="P20" s="102">
        <f>IF(P$1="",0,SUMIFS(сценарии!P:P,сценарии!$E:$E,$E20,сценарии!$J:$J,$J20,сценарии!$M:$M,$P$19))</f>
        <v>0.5</v>
      </c>
      <c r="Q20" s="102">
        <f>IF(Q$1="",0,SUMIFS(сценарии!Q:Q,сценарии!$E:$E,$E20,сценарии!$J:$J,$J20,сценарии!$M:$M,$P$19))</f>
        <v>0.5</v>
      </c>
      <c r="R20" s="102">
        <f>IF(R$1="",0,SUMIFS(сценарии!R:R,сценарии!$E:$E,$E20,сценарии!$J:$J,$J20,сценарии!$M:$M,$P$19))</f>
        <v>0.5</v>
      </c>
      <c r="S20" s="102">
        <f>IF(S$1="",0,SUMIFS(сценарии!S:S,сценарии!$E:$E,$E20,сценарии!$J:$J,$J20,сценарии!$M:$M,$P$19))</f>
        <v>0.5</v>
      </c>
      <c r="T20" s="102">
        <f>IF(T$1="",0,SUMIFS(сценарии!T:T,сценарии!$E:$E,$E20,сценарии!$J:$J,$J20,сценарии!$M:$M,$P$19))</f>
        <v>0.5</v>
      </c>
      <c r="U20" s="102">
        <f>IF(U$1="",0,SUMIFS(сценарии!U:U,сценарии!$E:$E,$E20,сценарии!$J:$J,$J20,сценарии!$M:$M,$P$19))</f>
        <v>0.5</v>
      </c>
      <c r="V20" s="102">
        <f>IF(V$1="",0,SUMIFS(сценарии!V:V,сценарии!$E:$E,$E20,сценарии!$J:$J,$J20,сценарии!$M:$M,$P$19))</f>
        <v>0.5</v>
      </c>
      <c r="W20" s="102">
        <f>IF(W$1="",0,SUMIFS(сценарии!W:W,сценарии!$E:$E,$E20,сценарии!$J:$J,$J20,сценарии!$M:$M,$P$19))</f>
        <v>0</v>
      </c>
      <c r="X20" s="102">
        <f>IF(X$1="",0,SUMIFS(сценарии!X:X,сценарии!$E:$E,$E20,сценарии!$J:$J,$J20,сценарии!$M:$M,$P$19))</f>
        <v>0</v>
      </c>
      <c r="Y20" s="102">
        <f>IF(Y$1="",0,SUMIFS(сценарии!Y:Y,сценарии!$E:$E,$E20,сценарии!$J:$J,$J20,сценарии!$M:$M,$P$19))</f>
        <v>0</v>
      </c>
      <c r="Z20" s="102">
        <f>IF(Z$1="",0,SUMIFS(сценарии!Z:Z,сценарии!$E:$E,$E20,сценарии!$J:$J,$J20,сценарии!$M:$M,$P$19))</f>
        <v>0</v>
      </c>
      <c r="AA20" s="102">
        <f>IF(AA$1="",0,SUMIFS(сценарии!AA:AA,сценарии!$E:$E,$E20,сценарии!$J:$J,$J20,сценарии!$M:$M,$P$19))</f>
        <v>0</v>
      </c>
      <c r="AB20" s="22"/>
    </row>
    <row r="21" spans="1:28" s="23" customFormat="1" ht="10.199999999999999" x14ac:dyDescent="0.2">
      <c r="A21" s="22"/>
      <c r="B21" s="22"/>
      <c r="C21" s="22"/>
      <c r="D21" s="22"/>
      <c r="E21" s="22" t="str">
        <f>E19</f>
        <v>наполняемость арендаторами</v>
      </c>
      <c r="F21" s="22"/>
      <c r="G21" s="22" t="str">
        <f>IF($E21="","",INDEX(KPI!$G:$G,SUMIFS(KPI!$B:$B,KPI!$E:$E,$E21)))</f>
        <v>%</v>
      </c>
      <c r="H21" s="100">
        <f>структура!$V$13</f>
        <v>2</v>
      </c>
      <c r="I21" s="31"/>
      <c r="J21" s="98" t="str">
        <f>структура!$X$13</f>
        <v>фев</v>
      </c>
      <c r="K21" s="99"/>
      <c r="L21" s="22"/>
      <c r="M21" s="58"/>
      <c r="N21" s="22"/>
      <c r="O21" s="22"/>
      <c r="P21" s="102">
        <f>IF(P$1="",0,SUMIFS(сценарии!P:P,сценарии!$E:$E,$E21,сценарии!$J:$J,$J21,сценарии!$M:$M,$P$19))</f>
        <v>0.5</v>
      </c>
      <c r="Q21" s="102">
        <f>IF(Q$1="",0,SUMIFS(сценарии!Q:Q,сценарии!$E:$E,$E21,сценарии!$J:$J,$J21,сценарии!$M:$M,$P$19))</f>
        <v>0.5</v>
      </c>
      <c r="R21" s="102">
        <f>IF(R$1="",0,SUMIFS(сценарии!R:R,сценарии!$E:$E,$E21,сценарии!$J:$J,$J21,сценарии!$M:$M,$P$19))</f>
        <v>0.5</v>
      </c>
      <c r="S21" s="102">
        <f>IF(S$1="",0,SUMIFS(сценарии!S:S,сценарии!$E:$E,$E21,сценарии!$J:$J,$J21,сценарии!$M:$M,$P$19))</f>
        <v>0.5</v>
      </c>
      <c r="T21" s="102">
        <f>IF(T$1="",0,SUMIFS(сценарии!T:T,сценарии!$E:$E,$E21,сценарии!$J:$J,$J21,сценарии!$M:$M,$P$19))</f>
        <v>0.5</v>
      </c>
      <c r="U21" s="102">
        <f>IF(U$1="",0,SUMIFS(сценарии!U:U,сценарии!$E:$E,$E21,сценарии!$J:$J,$J21,сценарии!$M:$M,$P$19))</f>
        <v>0.5</v>
      </c>
      <c r="V21" s="102">
        <f>IF(V$1="",0,SUMIFS(сценарии!V:V,сценарии!$E:$E,$E21,сценарии!$J:$J,$J21,сценарии!$M:$M,$P$19))</f>
        <v>0.5</v>
      </c>
      <c r="W21" s="102">
        <f>IF(W$1="",0,SUMIFS(сценарии!W:W,сценарии!$E:$E,$E21,сценарии!$J:$J,$J21,сценарии!$M:$M,$P$19))</f>
        <v>0</v>
      </c>
      <c r="X21" s="102">
        <f>IF(X$1="",0,SUMIFS(сценарии!X:X,сценарии!$E:$E,$E21,сценарии!$J:$J,$J21,сценарии!$M:$M,$P$19))</f>
        <v>0</v>
      </c>
      <c r="Y21" s="102">
        <f>IF(Y$1="",0,SUMIFS(сценарии!Y:Y,сценарии!$E:$E,$E21,сценарии!$J:$J,$J21,сценарии!$M:$M,$P$19))</f>
        <v>0</v>
      </c>
      <c r="Z21" s="102">
        <f>IF(Z$1="",0,SUMIFS(сценарии!Z:Z,сценарии!$E:$E,$E21,сценарии!$J:$J,$J21,сценарии!$M:$M,$P$19))</f>
        <v>0</v>
      </c>
      <c r="AA21" s="102">
        <f>IF(AA$1="",0,SUMIFS(сценарии!AA:AA,сценарии!$E:$E,$E21,сценарии!$J:$J,$J21,сценарии!$M:$M,$P$19))</f>
        <v>0</v>
      </c>
      <c r="AB21" s="22"/>
    </row>
    <row r="22" spans="1:28" s="23" customFormat="1" ht="10.199999999999999" x14ac:dyDescent="0.2">
      <c r="A22" s="22"/>
      <c r="B22" s="22"/>
      <c r="C22" s="22"/>
      <c r="D22" s="22"/>
      <c r="E22" s="22" t="str">
        <f>E19</f>
        <v>наполняемость арендаторами</v>
      </c>
      <c r="F22" s="22"/>
      <c r="G22" s="22" t="str">
        <f>IF($E22="","",INDEX(KPI!$G:$G,SUMIFS(KPI!$B:$B,KPI!$E:$E,$E22)))</f>
        <v>%</v>
      </c>
      <c r="H22" s="100">
        <f>структура!$V$14</f>
        <v>3</v>
      </c>
      <c r="I22" s="31"/>
      <c r="J22" s="98" t="str">
        <f>структура!$X$14</f>
        <v>мар</v>
      </c>
      <c r="K22" s="99"/>
      <c r="L22" s="22"/>
      <c r="M22" s="58"/>
      <c r="N22" s="22"/>
      <c r="O22" s="22"/>
      <c r="P22" s="102">
        <f>IF(P$1="",0,SUMIFS(сценарии!P:P,сценарии!$E:$E,$E22,сценарии!$J:$J,$J22,сценарии!$M:$M,$P$19))</f>
        <v>0.5</v>
      </c>
      <c r="Q22" s="102">
        <f>IF(Q$1="",0,SUMIFS(сценарии!Q:Q,сценарии!$E:$E,$E22,сценарии!$J:$J,$J22,сценарии!$M:$M,$P$19))</f>
        <v>0.5</v>
      </c>
      <c r="R22" s="102">
        <f>IF(R$1="",0,SUMIFS(сценарии!R:R,сценарии!$E:$E,$E22,сценарии!$J:$J,$J22,сценарии!$M:$M,$P$19))</f>
        <v>0.5</v>
      </c>
      <c r="S22" s="102">
        <f>IF(S$1="",0,SUMIFS(сценарии!S:S,сценарии!$E:$E,$E22,сценарии!$J:$J,$J22,сценарии!$M:$M,$P$19))</f>
        <v>0.5</v>
      </c>
      <c r="T22" s="102">
        <f>IF(T$1="",0,SUMIFS(сценарии!T:T,сценарии!$E:$E,$E22,сценарии!$J:$J,$J22,сценарии!$M:$M,$P$19))</f>
        <v>0.5</v>
      </c>
      <c r="U22" s="102">
        <f>IF(U$1="",0,SUMIFS(сценарии!U:U,сценарии!$E:$E,$E22,сценарии!$J:$J,$J22,сценарии!$M:$M,$P$19))</f>
        <v>0.5</v>
      </c>
      <c r="V22" s="102">
        <f>IF(V$1="",0,SUMIFS(сценарии!V:V,сценарии!$E:$E,$E22,сценарии!$J:$J,$J22,сценарии!$M:$M,$P$19))</f>
        <v>0.5</v>
      </c>
      <c r="W22" s="102">
        <f>IF(W$1="",0,SUMIFS(сценарии!W:W,сценарии!$E:$E,$E22,сценарии!$J:$J,$J22,сценарии!$M:$M,$P$19))</f>
        <v>0</v>
      </c>
      <c r="X22" s="102">
        <f>IF(X$1="",0,SUMIFS(сценарии!X:X,сценарии!$E:$E,$E22,сценарии!$J:$J,$J22,сценарии!$M:$M,$P$19))</f>
        <v>0</v>
      </c>
      <c r="Y22" s="102">
        <f>IF(Y$1="",0,SUMIFS(сценарии!Y:Y,сценарии!$E:$E,$E22,сценарии!$J:$J,$J22,сценарии!$M:$M,$P$19))</f>
        <v>0</v>
      </c>
      <c r="Z22" s="102">
        <f>IF(Z$1="",0,SUMIFS(сценарии!Z:Z,сценарии!$E:$E,$E22,сценарии!$J:$J,$J22,сценарии!$M:$M,$P$19))</f>
        <v>0</v>
      </c>
      <c r="AA22" s="102">
        <f>IF(AA$1="",0,SUMIFS(сценарии!AA:AA,сценарии!$E:$E,$E22,сценарии!$J:$J,$J22,сценарии!$M:$M,$P$19))</f>
        <v>0</v>
      </c>
      <c r="AB22" s="22"/>
    </row>
    <row r="23" spans="1:28" s="23" customFormat="1" ht="10.199999999999999" x14ac:dyDescent="0.2">
      <c r="A23" s="22"/>
      <c r="B23" s="22"/>
      <c r="C23" s="22"/>
      <c r="D23" s="22"/>
      <c r="E23" s="22" t="str">
        <f>E19</f>
        <v>наполняемость арендаторами</v>
      </c>
      <c r="F23" s="22"/>
      <c r="G23" s="22" t="str">
        <f>IF($E23="","",INDEX(KPI!$G:$G,SUMIFS(KPI!$B:$B,KPI!$E:$E,$E23)))</f>
        <v>%</v>
      </c>
      <c r="H23" s="100">
        <f>структура!$V$15</f>
        <v>4</v>
      </c>
      <c r="I23" s="31"/>
      <c r="J23" s="98" t="str">
        <f>структура!$X$15</f>
        <v>апр</v>
      </c>
      <c r="K23" s="99"/>
      <c r="L23" s="22"/>
      <c r="M23" s="58"/>
      <c r="N23" s="22"/>
      <c r="O23" s="22"/>
      <c r="P23" s="102">
        <f>IF(P$1="",0,SUMIFS(сценарии!P:P,сценарии!$E:$E,$E23,сценарии!$J:$J,$J23,сценарии!$M:$M,$P$19))</f>
        <v>0.5</v>
      </c>
      <c r="Q23" s="102">
        <f>IF(Q$1="",0,SUMIFS(сценарии!Q:Q,сценарии!$E:$E,$E23,сценарии!$J:$J,$J23,сценарии!$M:$M,$P$19))</f>
        <v>0.5</v>
      </c>
      <c r="R23" s="102">
        <f>IF(R$1="",0,SUMIFS(сценарии!R:R,сценарии!$E:$E,$E23,сценарии!$J:$J,$J23,сценарии!$M:$M,$P$19))</f>
        <v>0.5</v>
      </c>
      <c r="S23" s="102">
        <f>IF(S$1="",0,SUMIFS(сценарии!S:S,сценарии!$E:$E,$E23,сценарии!$J:$J,$J23,сценарии!$M:$M,$P$19))</f>
        <v>0.5</v>
      </c>
      <c r="T23" s="102">
        <f>IF(T$1="",0,SUMIFS(сценарии!T:T,сценарии!$E:$E,$E23,сценарии!$J:$J,$J23,сценарии!$M:$M,$P$19))</f>
        <v>0.5</v>
      </c>
      <c r="U23" s="102">
        <f>IF(U$1="",0,SUMIFS(сценарии!U:U,сценарии!$E:$E,$E23,сценарии!$J:$J,$J23,сценарии!$M:$M,$P$19))</f>
        <v>0.5</v>
      </c>
      <c r="V23" s="102">
        <f>IF(V$1="",0,SUMIFS(сценарии!V:V,сценарии!$E:$E,$E23,сценарии!$J:$J,$J23,сценарии!$M:$M,$P$19))</f>
        <v>0.5</v>
      </c>
      <c r="W23" s="102">
        <f>IF(W$1="",0,SUMIFS(сценарии!W:W,сценарии!$E:$E,$E23,сценарии!$J:$J,$J23,сценарии!$M:$M,$P$19))</f>
        <v>0</v>
      </c>
      <c r="X23" s="102">
        <f>IF(X$1="",0,SUMIFS(сценарии!X:X,сценарии!$E:$E,$E23,сценарии!$J:$J,$J23,сценарии!$M:$M,$P$19))</f>
        <v>0</v>
      </c>
      <c r="Y23" s="102">
        <f>IF(Y$1="",0,SUMIFS(сценарии!Y:Y,сценарии!$E:$E,$E23,сценарии!$J:$J,$J23,сценарии!$M:$M,$P$19))</f>
        <v>0</v>
      </c>
      <c r="Z23" s="102">
        <f>IF(Z$1="",0,SUMIFS(сценарии!Z:Z,сценарии!$E:$E,$E23,сценарии!$J:$J,$J23,сценарии!$M:$M,$P$19))</f>
        <v>0</v>
      </c>
      <c r="AA23" s="102">
        <f>IF(AA$1="",0,SUMIFS(сценарии!AA:AA,сценарии!$E:$E,$E23,сценарии!$J:$J,$J23,сценарии!$M:$M,$P$19))</f>
        <v>0</v>
      </c>
      <c r="AB23" s="22"/>
    </row>
    <row r="24" spans="1:28" s="23" customFormat="1" ht="10.199999999999999" x14ac:dyDescent="0.2">
      <c r="A24" s="22"/>
      <c r="B24" s="22"/>
      <c r="C24" s="22"/>
      <c r="D24" s="22"/>
      <c r="E24" s="22" t="str">
        <f>E19</f>
        <v>наполняемость арендаторами</v>
      </c>
      <c r="F24" s="22"/>
      <c r="G24" s="22" t="str">
        <f>IF($E24="","",INDEX(KPI!$G:$G,SUMIFS(KPI!$B:$B,KPI!$E:$E,$E24)))</f>
        <v>%</v>
      </c>
      <c r="H24" s="100">
        <f>структура!$V$16</f>
        <v>5</v>
      </c>
      <c r="I24" s="31"/>
      <c r="J24" s="98" t="str">
        <f>структура!$X$16</f>
        <v>май</v>
      </c>
      <c r="K24" s="99"/>
      <c r="L24" s="22"/>
      <c r="M24" s="58"/>
      <c r="N24" s="22"/>
      <c r="O24" s="22"/>
      <c r="P24" s="102">
        <f>IF(P$1="",0,SUMIFS(сценарии!P:P,сценарии!$E:$E,$E24,сценарии!$J:$J,$J24,сценарии!$M:$M,$P$19))</f>
        <v>0.5</v>
      </c>
      <c r="Q24" s="102">
        <f>IF(Q$1="",0,SUMIFS(сценарии!Q:Q,сценарии!$E:$E,$E24,сценарии!$J:$J,$J24,сценарии!$M:$M,$P$19))</f>
        <v>0.5</v>
      </c>
      <c r="R24" s="102">
        <f>IF(R$1="",0,SUMIFS(сценарии!R:R,сценарии!$E:$E,$E24,сценарии!$J:$J,$J24,сценарии!$M:$M,$P$19))</f>
        <v>0.5</v>
      </c>
      <c r="S24" s="102">
        <f>IF(S$1="",0,SUMIFS(сценарии!S:S,сценарии!$E:$E,$E24,сценарии!$J:$J,$J24,сценарии!$M:$M,$P$19))</f>
        <v>0.5</v>
      </c>
      <c r="T24" s="102">
        <f>IF(T$1="",0,SUMIFS(сценарии!T:T,сценарии!$E:$E,$E24,сценарии!$J:$J,$J24,сценарии!$M:$M,$P$19))</f>
        <v>0.5</v>
      </c>
      <c r="U24" s="102">
        <f>IF(U$1="",0,SUMIFS(сценарии!U:U,сценарии!$E:$E,$E24,сценарии!$J:$J,$J24,сценарии!$M:$M,$P$19))</f>
        <v>0.5</v>
      </c>
      <c r="V24" s="102">
        <f>IF(V$1="",0,SUMIFS(сценарии!V:V,сценарии!$E:$E,$E24,сценарии!$J:$J,$J24,сценарии!$M:$M,$P$19))</f>
        <v>0.5</v>
      </c>
      <c r="W24" s="102">
        <f>IF(W$1="",0,SUMIFS(сценарии!W:W,сценарии!$E:$E,$E24,сценарии!$J:$J,$J24,сценарии!$M:$M,$P$19))</f>
        <v>0</v>
      </c>
      <c r="X24" s="102">
        <f>IF(X$1="",0,SUMIFS(сценарии!X:X,сценарии!$E:$E,$E24,сценарии!$J:$J,$J24,сценарии!$M:$M,$P$19))</f>
        <v>0</v>
      </c>
      <c r="Y24" s="102">
        <f>IF(Y$1="",0,SUMIFS(сценарии!Y:Y,сценарии!$E:$E,$E24,сценарии!$J:$J,$J24,сценарии!$M:$M,$P$19))</f>
        <v>0</v>
      </c>
      <c r="Z24" s="102">
        <f>IF(Z$1="",0,SUMIFS(сценарии!Z:Z,сценарии!$E:$E,$E24,сценарии!$J:$J,$J24,сценарии!$M:$M,$P$19))</f>
        <v>0</v>
      </c>
      <c r="AA24" s="102">
        <f>IF(AA$1="",0,SUMIFS(сценарии!AA:AA,сценарии!$E:$E,$E24,сценарии!$J:$J,$J24,сценарии!$M:$M,$P$19))</f>
        <v>0</v>
      </c>
      <c r="AB24" s="22"/>
    </row>
    <row r="25" spans="1:28" s="23" customFormat="1" ht="10.199999999999999" x14ac:dyDescent="0.2">
      <c r="A25" s="22"/>
      <c r="B25" s="22"/>
      <c r="C25" s="22"/>
      <c r="D25" s="22"/>
      <c r="E25" s="22" t="str">
        <f>E19</f>
        <v>наполняемость арендаторами</v>
      </c>
      <c r="F25" s="22"/>
      <c r="G25" s="22" t="str">
        <f>IF($E25="","",INDEX(KPI!$G:$G,SUMIFS(KPI!$B:$B,KPI!$E:$E,$E25)))</f>
        <v>%</v>
      </c>
      <c r="H25" s="100">
        <f>структура!$V$17</f>
        <v>6</v>
      </c>
      <c r="I25" s="31"/>
      <c r="J25" s="98" t="str">
        <f>структура!$X$17</f>
        <v>июн</v>
      </c>
      <c r="K25" s="99"/>
      <c r="L25" s="22"/>
      <c r="M25" s="58"/>
      <c r="N25" s="22"/>
      <c r="O25" s="22"/>
      <c r="P25" s="102">
        <f>IF(P$1="",0,SUMIFS(сценарии!P:P,сценарии!$E:$E,$E25,сценарии!$J:$J,$J25,сценарии!$M:$M,$P$19))</f>
        <v>0.5</v>
      </c>
      <c r="Q25" s="102">
        <f>IF(Q$1="",0,SUMIFS(сценарии!Q:Q,сценарии!$E:$E,$E25,сценарии!$J:$J,$J25,сценарии!$M:$M,$P$19))</f>
        <v>0.5</v>
      </c>
      <c r="R25" s="102">
        <f>IF(R$1="",0,SUMIFS(сценарии!R:R,сценарии!$E:$E,$E25,сценарии!$J:$J,$J25,сценарии!$M:$M,$P$19))</f>
        <v>0.5</v>
      </c>
      <c r="S25" s="102">
        <f>IF(S$1="",0,SUMIFS(сценарии!S:S,сценарии!$E:$E,$E25,сценарии!$J:$J,$J25,сценарии!$M:$M,$P$19))</f>
        <v>0.5</v>
      </c>
      <c r="T25" s="102">
        <f>IF(T$1="",0,SUMIFS(сценарии!T:T,сценарии!$E:$E,$E25,сценарии!$J:$J,$J25,сценарии!$M:$M,$P$19))</f>
        <v>0.5</v>
      </c>
      <c r="U25" s="102">
        <f>IF(U$1="",0,SUMIFS(сценарии!U:U,сценарии!$E:$E,$E25,сценарии!$J:$J,$J25,сценарии!$M:$M,$P$19))</f>
        <v>0.5</v>
      </c>
      <c r="V25" s="102">
        <f>IF(V$1="",0,SUMIFS(сценарии!V:V,сценарии!$E:$E,$E25,сценарии!$J:$J,$J25,сценарии!$M:$M,$P$19))</f>
        <v>0.5</v>
      </c>
      <c r="W25" s="102">
        <f>IF(W$1="",0,SUMIFS(сценарии!W:W,сценарии!$E:$E,$E25,сценарии!$J:$J,$J25,сценарии!$M:$M,$P$19))</f>
        <v>0</v>
      </c>
      <c r="X25" s="102">
        <f>IF(X$1="",0,SUMIFS(сценарии!X:X,сценарии!$E:$E,$E25,сценарии!$J:$J,$J25,сценарии!$M:$M,$P$19))</f>
        <v>0</v>
      </c>
      <c r="Y25" s="102">
        <f>IF(Y$1="",0,SUMIFS(сценарии!Y:Y,сценарии!$E:$E,$E25,сценарии!$J:$J,$J25,сценарии!$M:$M,$P$19))</f>
        <v>0</v>
      </c>
      <c r="Z25" s="102">
        <f>IF(Z$1="",0,SUMIFS(сценарии!Z:Z,сценарии!$E:$E,$E25,сценарии!$J:$J,$J25,сценарии!$M:$M,$P$19))</f>
        <v>0</v>
      </c>
      <c r="AA25" s="102">
        <f>IF(AA$1="",0,SUMIFS(сценарии!AA:AA,сценарии!$E:$E,$E25,сценарии!$J:$J,$J25,сценарии!$M:$M,$P$19))</f>
        <v>0</v>
      </c>
      <c r="AB25" s="22"/>
    </row>
    <row r="26" spans="1:28" s="23" customFormat="1" ht="10.199999999999999" x14ac:dyDescent="0.2">
      <c r="A26" s="22"/>
      <c r="B26" s="22"/>
      <c r="C26" s="22"/>
      <c r="D26" s="22"/>
      <c r="E26" s="22" t="str">
        <f>E19</f>
        <v>наполняемость арендаторами</v>
      </c>
      <c r="F26" s="22"/>
      <c r="G26" s="22" t="str">
        <f>IF($E26="","",INDEX(KPI!$G:$G,SUMIFS(KPI!$B:$B,KPI!$E:$E,$E26)))</f>
        <v>%</v>
      </c>
      <c r="H26" s="100">
        <f>структура!$V$18</f>
        <v>7</v>
      </c>
      <c r="I26" s="31"/>
      <c r="J26" s="98" t="str">
        <f>структура!$X$18</f>
        <v>июл</v>
      </c>
      <c r="K26" s="99"/>
      <c r="L26" s="22"/>
      <c r="M26" s="58"/>
      <c r="N26" s="22"/>
      <c r="O26" s="22"/>
      <c r="P26" s="102">
        <f>IF(P$1="",0,SUMIFS(сценарии!P:P,сценарии!$E:$E,$E26,сценарии!$J:$J,$J26,сценарии!$M:$M,$P$19))</f>
        <v>0.5</v>
      </c>
      <c r="Q26" s="102">
        <f>IF(Q$1="",0,SUMIFS(сценарии!Q:Q,сценарии!$E:$E,$E26,сценарии!$J:$J,$J26,сценарии!$M:$M,$P$19))</f>
        <v>0.5</v>
      </c>
      <c r="R26" s="102">
        <f>IF(R$1="",0,SUMIFS(сценарии!R:R,сценарии!$E:$E,$E26,сценарии!$J:$J,$J26,сценарии!$M:$M,$P$19))</f>
        <v>0.5</v>
      </c>
      <c r="S26" s="102">
        <f>IF(S$1="",0,SUMIFS(сценарии!S:S,сценарии!$E:$E,$E26,сценарии!$J:$J,$J26,сценарии!$M:$M,$P$19))</f>
        <v>0.5</v>
      </c>
      <c r="T26" s="102">
        <f>IF(T$1="",0,SUMIFS(сценарии!T:T,сценарии!$E:$E,$E26,сценарии!$J:$J,$J26,сценарии!$M:$M,$P$19))</f>
        <v>0.5</v>
      </c>
      <c r="U26" s="102">
        <f>IF(U$1="",0,SUMIFS(сценарии!U:U,сценарии!$E:$E,$E26,сценарии!$J:$J,$J26,сценарии!$M:$M,$P$19))</f>
        <v>0.5</v>
      </c>
      <c r="V26" s="102">
        <f>IF(V$1="",0,SUMIFS(сценарии!V:V,сценарии!$E:$E,$E26,сценарии!$J:$J,$J26,сценарии!$M:$M,$P$19))</f>
        <v>0.5</v>
      </c>
      <c r="W26" s="102">
        <f>IF(W$1="",0,SUMIFS(сценарии!W:W,сценарии!$E:$E,$E26,сценарии!$J:$J,$J26,сценарии!$M:$M,$P$19))</f>
        <v>0</v>
      </c>
      <c r="X26" s="102">
        <f>IF(X$1="",0,SUMIFS(сценарии!X:X,сценарии!$E:$E,$E26,сценарии!$J:$J,$J26,сценарии!$M:$M,$P$19))</f>
        <v>0</v>
      </c>
      <c r="Y26" s="102">
        <f>IF(Y$1="",0,SUMIFS(сценарии!Y:Y,сценарии!$E:$E,$E26,сценарии!$J:$J,$J26,сценарии!$M:$M,$P$19))</f>
        <v>0</v>
      </c>
      <c r="Z26" s="102">
        <f>IF(Z$1="",0,SUMIFS(сценарии!Z:Z,сценарии!$E:$E,$E26,сценарии!$J:$J,$J26,сценарии!$M:$M,$P$19))</f>
        <v>0</v>
      </c>
      <c r="AA26" s="102">
        <f>IF(AA$1="",0,SUMIFS(сценарии!AA:AA,сценарии!$E:$E,$E26,сценарии!$J:$J,$J26,сценарии!$M:$M,$P$19))</f>
        <v>0</v>
      </c>
      <c r="AB26" s="22"/>
    </row>
    <row r="27" spans="1:28" s="23" customFormat="1" ht="10.199999999999999" x14ac:dyDescent="0.2">
      <c r="A27" s="22"/>
      <c r="B27" s="22"/>
      <c r="C27" s="22"/>
      <c r="D27" s="22"/>
      <c r="E27" s="22" t="str">
        <f>E19</f>
        <v>наполняемость арендаторами</v>
      </c>
      <c r="F27" s="22"/>
      <c r="G27" s="22" t="str">
        <f>IF($E27="","",INDEX(KPI!$G:$G,SUMIFS(KPI!$B:$B,KPI!$E:$E,$E27)))</f>
        <v>%</v>
      </c>
      <c r="H27" s="100">
        <f>структура!$V$19</f>
        <v>8</v>
      </c>
      <c r="I27" s="31"/>
      <c r="J27" s="98" t="str">
        <f>структура!$X$19</f>
        <v>авг</v>
      </c>
      <c r="K27" s="99"/>
      <c r="L27" s="22"/>
      <c r="M27" s="58"/>
      <c r="N27" s="22"/>
      <c r="O27" s="22"/>
      <c r="P27" s="102">
        <f>IF(P$1="",0,SUMIFS(сценарии!P:P,сценарии!$E:$E,$E27,сценарии!$J:$J,$J27,сценарии!$M:$M,$P$19))</f>
        <v>0.5</v>
      </c>
      <c r="Q27" s="102">
        <f>IF(Q$1="",0,SUMIFS(сценарии!Q:Q,сценарии!$E:$E,$E27,сценарии!$J:$J,$J27,сценарии!$M:$M,$P$19))</f>
        <v>0.5</v>
      </c>
      <c r="R27" s="102">
        <f>IF(R$1="",0,SUMIFS(сценарии!R:R,сценарии!$E:$E,$E27,сценарии!$J:$J,$J27,сценарии!$M:$M,$P$19))</f>
        <v>0.5</v>
      </c>
      <c r="S27" s="102">
        <f>IF(S$1="",0,SUMIFS(сценарии!S:S,сценарии!$E:$E,$E27,сценарии!$J:$J,$J27,сценарии!$M:$M,$P$19))</f>
        <v>0.5</v>
      </c>
      <c r="T27" s="102">
        <f>IF(T$1="",0,SUMIFS(сценарии!T:T,сценарии!$E:$E,$E27,сценарии!$J:$J,$J27,сценарии!$M:$M,$P$19))</f>
        <v>0.5</v>
      </c>
      <c r="U27" s="102">
        <f>IF(U$1="",0,SUMIFS(сценарии!U:U,сценарии!$E:$E,$E27,сценарии!$J:$J,$J27,сценарии!$M:$M,$P$19))</f>
        <v>0.5</v>
      </c>
      <c r="V27" s="102">
        <f>IF(V$1="",0,SUMIFS(сценарии!V:V,сценарии!$E:$E,$E27,сценарии!$J:$J,$J27,сценарии!$M:$M,$P$19))</f>
        <v>0.5</v>
      </c>
      <c r="W27" s="102">
        <f>IF(W$1="",0,SUMIFS(сценарии!W:W,сценарии!$E:$E,$E27,сценарии!$J:$J,$J27,сценарии!$M:$M,$P$19))</f>
        <v>0</v>
      </c>
      <c r="X27" s="102">
        <f>IF(X$1="",0,SUMIFS(сценарии!X:X,сценарии!$E:$E,$E27,сценарии!$J:$J,$J27,сценарии!$M:$M,$P$19))</f>
        <v>0</v>
      </c>
      <c r="Y27" s="102">
        <f>IF(Y$1="",0,SUMIFS(сценарии!Y:Y,сценарии!$E:$E,$E27,сценарии!$J:$J,$J27,сценарии!$M:$M,$P$19))</f>
        <v>0</v>
      </c>
      <c r="Z27" s="102">
        <f>IF(Z$1="",0,SUMIFS(сценарии!Z:Z,сценарии!$E:$E,$E27,сценарии!$J:$J,$J27,сценарии!$M:$M,$P$19))</f>
        <v>0</v>
      </c>
      <c r="AA27" s="102">
        <f>IF(AA$1="",0,SUMIFS(сценарии!AA:AA,сценарии!$E:$E,$E27,сценарии!$J:$J,$J27,сценарии!$M:$M,$P$19))</f>
        <v>0</v>
      </c>
      <c r="AB27" s="22"/>
    </row>
    <row r="28" spans="1:28" s="23" customFormat="1" ht="10.199999999999999" x14ac:dyDescent="0.2">
      <c r="A28" s="22"/>
      <c r="B28" s="22"/>
      <c r="C28" s="22"/>
      <c r="D28" s="22"/>
      <c r="E28" s="22" t="str">
        <f>E19</f>
        <v>наполняемость арендаторами</v>
      </c>
      <c r="F28" s="22"/>
      <c r="G28" s="22" t="str">
        <f>IF($E28="","",INDEX(KPI!$G:$G,SUMIFS(KPI!$B:$B,KPI!$E:$E,$E28)))</f>
        <v>%</v>
      </c>
      <c r="H28" s="100">
        <f>структура!$V$20</f>
        <v>9</v>
      </c>
      <c r="I28" s="31"/>
      <c r="J28" s="98" t="str">
        <f>структура!$X$20</f>
        <v>сен</v>
      </c>
      <c r="K28" s="99"/>
      <c r="L28" s="22"/>
      <c r="M28" s="58"/>
      <c r="N28" s="22"/>
      <c r="O28" s="22"/>
      <c r="P28" s="102">
        <f>IF(P$1="",0,SUMIFS(сценарии!P:P,сценарии!$E:$E,$E28,сценарии!$J:$J,$J28,сценарии!$M:$M,$P$19))</f>
        <v>0.5</v>
      </c>
      <c r="Q28" s="102">
        <f>IF(Q$1="",0,SUMIFS(сценарии!Q:Q,сценарии!$E:$E,$E28,сценарии!$J:$J,$J28,сценарии!$M:$M,$P$19))</f>
        <v>0.5</v>
      </c>
      <c r="R28" s="102">
        <f>IF(R$1="",0,SUMIFS(сценарии!R:R,сценарии!$E:$E,$E28,сценарии!$J:$J,$J28,сценарии!$M:$M,$P$19))</f>
        <v>0.5</v>
      </c>
      <c r="S28" s="102">
        <f>IF(S$1="",0,SUMIFS(сценарии!S:S,сценарии!$E:$E,$E28,сценарии!$J:$J,$J28,сценарии!$M:$M,$P$19))</f>
        <v>0.5</v>
      </c>
      <c r="T28" s="102">
        <f>IF(T$1="",0,SUMIFS(сценарии!T:T,сценарии!$E:$E,$E28,сценарии!$J:$J,$J28,сценарии!$M:$M,$P$19))</f>
        <v>0.5</v>
      </c>
      <c r="U28" s="102">
        <f>IF(U$1="",0,SUMIFS(сценарии!U:U,сценарии!$E:$E,$E28,сценарии!$J:$J,$J28,сценарии!$M:$M,$P$19))</f>
        <v>0.5</v>
      </c>
      <c r="V28" s="102">
        <f>IF(V$1="",0,SUMIFS(сценарии!V:V,сценарии!$E:$E,$E28,сценарии!$J:$J,$J28,сценарии!$M:$M,$P$19))</f>
        <v>0.5</v>
      </c>
      <c r="W28" s="102">
        <f>IF(W$1="",0,SUMIFS(сценарии!W:W,сценарии!$E:$E,$E28,сценарии!$J:$J,$J28,сценарии!$M:$M,$P$19))</f>
        <v>0</v>
      </c>
      <c r="X28" s="102">
        <f>IF(X$1="",0,SUMIFS(сценарии!X:X,сценарии!$E:$E,$E28,сценарии!$J:$J,$J28,сценарии!$M:$M,$P$19))</f>
        <v>0</v>
      </c>
      <c r="Y28" s="102">
        <f>IF(Y$1="",0,SUMIFS(сценарии!Y:Y,сценарии!$E:$E,$E28,сценарии!$J:$J,$J28,сценарии!$M:$M,$P$19))</f>
        <v>0</v>
      </c>
      <c r="Z28" s="102">
        <f>IF(Z$1="",0,SUMIFS(сценарии!Z:Z,сценарии!$E:$E,$E28,сценарии!$J:$J,$J28,сценарии!$M:$M,$P$19))</f>
        <v>0</v>
      </c>
      <c r="AA28" s="102">
        <f>IF(AA$1="",0,SUMIFS(сценарии!AA:AA,сценарии!$E:$E,$E28,сценарии!$J:$J,$J28,сценарии!$M:$M,$P$19))</f>
        <v>0</v>
      </c>
      <c r="AB28" s="22"/>
    </row>
    <row r="29" spans="1:28" s="23" customFormat="1" ht="10.199999999999999" x14ac:dyDescent="0.2">
      <c r="A29" s="22"/>
      <c r="B29" s="22"/>
      <c r="C29" s="22"/>
      <c r="D29" s="22"/>
      <c r="E29" s="22" t="str">
        <f>E19</f>
        <v>наполняемость арендаторами</v>
      </c>
      <c r="F29" s="22"/>
      <c r="G29" s="22" t="str">
        <f>IF($E29="","",INDEX(KPI!$G:$G,SUMIFS(KPI!$B:$B,KPI!$E:$E,$E29)))</f>
        <v>%</v>
      </c>
      <c r="H29" s="100">
        <f>структура!$V$21</f>
        <v>10</v>
      </c>
      <c r="I29" s="31"/>
      <c r="J29" s="98" t="str">
        <f>структура!$X$21</f>
        <v>окт</v>
      </c>
      <c r="K29" s="99"/>
      <c r="L29" s="22"/>
      <c r="M29" s="58"/>
      <c r="N29" s="22"/>
      <c r="O29" s="22"/>
      <c r="P29" s="102">
        <f>IF(P$1="",0,SUMIFS(сценарии!P:P,сценарии!$E:$E,$E29,сценарии!$J:$J,$J29,сценарии!$M:$M,$P$19))</f>
        <v>0.5</v>
      </c>
      <c r="Q29" s="102">
        <f>IF(Q$1="",0,SUMIFS(сценарии!Q:Q,сценарии!$E:$E,$E29,сценарии!$J:$J,$J29,сценарии!$M:$M,$P$19))</f>
        <v>0.5</v>
      </c>
      <c r="R29" s="102">
        <f>IF(R$1="",0,SUMIFS(сценарии!R:R,сценарии!$E:$E,$E29,сценарии!$J:$J,$J29,сценарии!$M:$M,$P$19))</f>
        <v>0.5</v>
      </c>
      <c r="S29" s="102">
        <f>IF(S$1="",0,SUMIFS(сценарии!S:S,сценарии!$E:$E,$E29,сценарии!$J:$J,$J29,сценарии!$M:$M,$P$19))</f>
        <v>0.5</v>
      </c>
      <c r="T29" s="102">
        <f>IF(T$1="",0,SUMIFS(сценарии!T:T,сценарии!$E:$E,$E29,сценарии!$J:$J,$J29,сценарии!$M:$M,$P$19))</f>
        <v>0.5</v>
      </c>
      <c r="U29" s="102">
        <f>IF(U$1="",0,SUMIFS(сценарии!U:U,сценарии!$E:$E,$E29,сценарии!$J:$J,$J29,сценарии!$M:$M,$P$19))</f>
        <v>0.5</v>
      </c>
      <c r="V29" s="102">
        <f>IF(V$1="",0,SUMIFS(сценарии!V:V,сценарии!$E:$E,$E29,сценарии!$J:$J,$J29,сценарии!$M:$M,$P$19))</f>
        <v>0.5</v>
      </c>
      <c r="W29" s="102">
        <f>IF(W$1="",0,SUMIFS(сценарии!W:W,сценарии!$E:$E,$E29,сценарии!$J:$J,$J29,сценарии!$M:$M,$P$19))</f>
        <v>0</v>
      </c>
      <c r="X29" s="102">
        <f>IF(X$1="",0,SUMIFS(сценарии!X:X,сценарии!$E:$E,$E29,сценарии!$J:$J,$J29,сценарии!$M:$M,$P$19))</f>
        <v>0</v>
      </c>
      <c r="Y29" s="102">
        <f>IF(Y$1="",0,SUMIFS(сценарии!Y:Y,сценарии!$E:$E,$E29,сценарии!$J:$J,$J29,сценарии!$M:$M,$P$19))</f>
        <v>0</v>
      </c>
      <c r="Z29" s="102">
        <f>IF(Z$1="",0,SUMIFS(сценарии!Z:Z,сценарии!$E:$E,$E29,сценарии!$J:$J,$J29,сценарии!$M:$M,$P$19))</f>
        <v>0</v>
      </c>
      <c r="AA29" s="102">
        <f>IF(AA$1="",0,SUMIFS(сценарии!AA:AA,сценарии!$E:$E,$E29,сценарии!$J:$J,$J29,сценарии!$M:$M,$P$19))</f>
        <v>0</v>
      </c>
      <c r="AB29" s="22"/>
    </row>
    <row r="30" spans="1:28" s="23" customFormat="1" ht="10.199999999999999" x14ac:dyDescent="0.2">
      <c r="A30" s="22"/>
      <c r="B30" s="22"/>
      <c r="C30" s="22"/>
      <c r="D30" s="22"/>
      <c r="E30" s="22" t="str">
        <f>E19</f>
        <v>наполняемость арендаторами</v>
      </c>
      <c r="F30" s="22"/>
      <c r="G30" s="22" t="str">
        <f>IF($E30="","",INDEX(KPI!$G:$G,SUMIFS(KPI!$B:$B,KPI!$E:$E,$E30)))</f>
        <v>%</v>
      </c>
      <c r="H30" s="100">
        <f>структура!$V$22</f>
        <v>11</v>
      </c>
      <c r="I30" s="31"/>
      <c r="J30" s="98" t="str">
        <f>структура!$X$22</f>
        <v>ноя</v>
      </c>
      <c r="K30" s="99"/>
      <c r="L30" s="22"/>
      <c r="M30" s="58"/>
      <c r="N30" s="22"/>
      <c r="O30" s="22"/>
      <c r="P30" s="102">
        <f>IF(P$1="",0,SUMIFS(сценарии!P:P,сценарии!$E:$E,$E30,сценарии!$J:$J,$J30,сценарии!$M:$M,$P$19))</f>
        <v>0.5</v>
      </c>
      <c r="Q30" s="102">
        <f>IF(Q$1="",0,SUMIFS(сценарии!Q:Q,сценарии!$E:$E,$E30,сценарии!$J:$J,$J30,сценарии!$M:$M,$P$19))</f>
        <v>0.5</v>
      </c>
      <c r="R30" s="102">
        <f>IF(R$1="",0,SUMIFS(сценарии!R:R,сценарии!$E:$E,$E30,сценарии!$J:$J,$J30,сценарии!$M:$M,$P$19))</f>
        <v>0.5</v>
      </c>
      <c r="S30" s="102">
        <f>IF(S$1="",0,SUMIFS(сценарии!S:S,сценарии!$E:$E,$E30,сценарии!$J:$J,$J30,сценарии!$M:$M,$P$19))</f>
        <v>0.5</v>
      </c>
      <c r="T30" s="102">
        <f>IF(T$1="",0,SUMIFS(сценарии!T:T,сценарии!$E:$E,$E30,сценарии!$J:$J,$J30,сценарии!$M:$M,$P$19))</f>
        <v>0.5</v>
      </c>
      <c r="U30" s="102">
        <f>IF(U$1="",0,SUMIFS(сценарии!U:U,сценарии!$E:$E,$E30,сценарии!$J:$J,$J30,сценарии!$M:$M,$P$19))</f>
        <v>0.5</v>
      </c>
      <c r="V30" s="102">
        <f>IF(V$1="",0,SUMIFS(сценарии!V:V,сценарии!$E:$E,$E30,сценарии!$J:$J,$J30,сценарии!$M:$M,$P$19))</f>
        <v>0.5</v>
      </c>
      <c r="W30" s="102">
        <f>IF(W$1="",0,SUMIFS(сценарии!W:W,сценарии!$E:$E,$E30,сценарии!$J:$J,$J30,сценарии!$M:$M,$P$19))</f>
        <v>0</v>
      </c>
      <c r="X30" s="102">
        <f>IF(X$1="",0,SUMIFS(сценарии!X:X,сценарии!$E:$E,$E30,сценарии!$J:$J,$J30,сценарии!$M:$M,$P$19))</f>
        <v>0</v>
      </c>
      <c r="Y30" s="102">
        <f>IF(Y$1="",0,SUMIFS(сценарии!Y:Y,сценарии!$E:$E,$E30,сценарии!$J:$J,$J30,сценарии!$M:$M,$P$19))</f>
        <v>0</v>
      </c>
      <c r="Z30" s="102">
        <f>IF(Z$1="",0,SUMIFS(сценарии!Z:Z,сценарии!$E:$E,$E30,сценарии!$J:$J,$J30,сценарии!$M:$M,$P$19))</f>
        <v>0</v>
      </c>
      <c r="AA30" s="102">
        <f>IF(AA$1="",0,SUMIFS(сценарии!AA:AA,сценарии!$E:$E,$E30,сценарии!$J:$J,$J30,сценарии!$M:$M,$P$19))</f>
        <v>0</v>
      </c>
      <c r="AB30" s="22"/>
    </row>
    <row r="31" spans="1:28" s="23" customFormat="1" ht="10.199999999999999" x14ac:dyDescent="0.2">
      <c r="A31" s="22"/>
      <c r="B31" s="22"/>
      <c r="C31" s="22"/>
      <c r="D31" s="22"/>
      <c r="E31" s="22" t="str">
        <f>E19</f>
        <v>наполняемость арендаторами</v>
      </c>
      <c r="F31" s="22"/>
      <c r="G31" s="22" t="str">
        <f>IF($E31="","",INDEX(KPI!$G:$G,SUMIFS(KPI!$B:$B,KPI!$E:$E,$E31)))</f>
        <v>%</v>
      </c>
      <c r="H31" s="100">
        <f>структура!$V$23</f>
        <v>12</v>
      </c>
      <c r="I31" s="31"/>
      <c r="J31" s="98" t="str">
        <f>структура!$X$23</f>
        <v>дек</v>
      </c>
      <c r="K31" s="99"/>
      <c r="L31" s="22"/>
      <c r="M31" s="58"/>
      <c r="N31" s="22"/>
      <c r="O31" s="22"/>
      <c r="P31" s="102">
        <f>IF(P$1="",0,SUMIFS(сценарии!P:P,сценарии!$E:$E,$E31,сценарии!$J:$J,$J31,сценарии!$M:$M,$P$19))</f>
        <v>0.5</v>
      </c>
      <c r="Q31" s="102">
        <f>IF(Q$1="",0,SUMIFS(сценарии!Q:Q,сценарии!$E:$E,$E31,сценарии!$J:$J,$J31,сценарии!$M:$M,$P$19))</f>
        <v>0.5</v>
      </c>
      <c r="R31" s="102">
        <f>IF(R$1="",0,SUMIFS(сценарии!R:R,сценарии!$E:$E,$E31,сценарии!$J:$J,$J31,сценарии!$M:$M,$P$19))</f>
        <v>0.5</v>
      </c>
      <c r="S31" s="102">
        <f>IF(S$1="",0,SUMIFS(сценарии!S:S,сценарии!$E:$E,$E31,сценарии!$J:$J,$J31,сценарии!$M:$M,$P$19))</f>
        <v>0.5</v>
      </c>
      <c r="T31" s="102">
        <f>IF(T$1="",0,SUMIFS(сценарии!T:T,сценарии!$E:$E,$E31,сценарии!$J:$J,$J31,сценарии!$M:$M,$P$19))</f>
        <v>0.5</v>
      </c>
      <c r="U31" s="102">
        <f>IF(U$1="",0,SUMIFS(сценарии!U:U,сценарии!$E:$E,$E31,сценарии!$J:$J,$J31,сценарии!$M:$M,$P$19))</f>
        <v>0.5</v>
      </c>
      <c r="V31" s="102">
        <f>IF(V$1="",0,SUMIFS(сценарии!V:V,сценарии!$E:$E,$E31,сценарии!$J:$J,$J31,сценарии!$M:$M,$P$19))</f>
        <v>0.5</v>
      </c>
      <c r="W31" s="102">
        <f>IF(W$1="",0,SUMIFS(сценарии!W:W,сценарии!$E:$E,$E31,сценарии!$J:$J,$J31,сценарии!$M:$M,$P$19))</f>
        <v>0</v>
      </c>
      <c r="X31" s="102">
        <f>IF(X$1="",0,SUMIFS(сценарии!X:X,сценарии!$E:$E,$E31,сценарии!$J:$J,$J31,сценарии!$M:$M,$P$19))</f>
        <v>0</v>
      </c>
      <c r="Y31" s="102">
        <f>IF(Y$1="",0,SUMIFS(сценарии!Y:Y,сценарии!$E:$E,$E31,сценарии!$J:$J,$J31,сценарии!$M:$M,$P$19))</f>
        <v>0</v>
      </c>
      <c r="Z31" s="102">
        <f>IF(Z$1="",0,SUMIFS(сценарии!Z:Z,сценарии!$E:$E,$E31,сценарии!$J:$J,$J31,сценарии!$M:$M,$P$19))</f>
        <v>0</v>
      </c>
      <c r="AA31" s="102">
        <f>IF(AA$1="",0,SUMIFS(сценарии!AA:AA,сценарии!$E:$E,$E31,сценарии!$J:$J,$J31,сценарии!$M:$M,$P$19))</f>
        <v>0</v>
      </c>
      <c r="AB31" s="22"/>
    </row>
    <row r="32" spans="1:28" ht="3.9" customHeight="1" x14ac:dyDescent="0.25">
      <c r="A32" s="2"/>
      <c r="B32" s="2"/>
      <c r="C32" s="2"/>
      <c r="D32" s="2"/>
      <c r="E32" s="21"/>
      <c r="F32" s="2"/>
      <c r="G32" s="21"/>
      <c r="H32" s="2"/>
      <c r="I32" s="28"/>
      <c r="J32" s="21"/>
      <c r="K32" s="28"/>
      <c r="L32" s="2"/>
      <c r="M32" s="52"/>
      <c r="N32" s="2"/>
      <c r="O32" s="2"/>
      <c r="P32" s="36"/>
      <c r="Q32" s="36"/>
      <c r="R32" s="36"/>
      <c r="S32" s="36"/>
      <c r="T32" s="36"/>
      <c r="U32" s="36"/>
      <c r="V32" s="36"/>
      <c r="W32" s="36"/>
      <c r="X32" s="36"/>
      <c r="Y32" s="36"/>
      <c r="Z32" s="36"/>
      <c r="AA32" s="36"/>
      <c r="AB32" s="2"/>
    </row>
    <row r="33" spans="1:28" ht="8.1" customHeight="1" x14ac:dyDescent="0.25">
      <c r="A33" s="2"/>
      <c r="B33" s="2"/>
      <c r="C33" s="2"/>
      <c r="D33" s="2"/>
      <c r="E33" s="2"/>
      <c r="F33" s="2"/>
      <c r="G33" s="2"/>
      <c r="H33" s="2"/>
      <c r="I33" s="28"/>
      <c r="J33" s="2"/>
      <c r="K33" s="28"/>
      <c r="L33" s="2"/>
      <c r="M33" s="52"/>
      <c r="N33" s="2"/>
      <c r="O33" s="2"/>
      <c r="P33" s="36"/>
      <c r="Q33" s="36"/>
      <c r="R33" s="36"/>
      <c r="S33" s="36"/>
      <c r="T33" s="36"/>
      <c r="U33" s="36"/>
      <c r="V33" s="36"/>
      <c r="W33" s="36"/>
      <c r="X33" s="36"/>
      <c r="Y33" s="36"/>
      <c r="Z33" s="36"/>
      <c r="AA33" s="36"/>
      <c r="AB33" s="2"/>
    </row>
    <row r="34" spans="1:28" s="5" customFormat="1" x14ac:dyDescent="0.25">
      <c r="A34" s="3"/>
      <c r="B34" s="3"/>
      <c r="C34" s="3"/>
      <c r="D34" s="3"/>
      <c r="E34" s="3" t="str">
        <f>KPI!$E$32</f>
        <v>стоимость аренды в сутки</v>
      </c>
      <c r="F34" s="3"/>
      <c r="G34" s="3" t="str">
        <f>IF($E34="","",INDEX(KPI!$G:$G,SUMIFS(KPI!$B:$B,KPI!$E:$E,$E34)))</f>
        <v>руб.</v>
      </c>
      <c r="H34" s="3"/>
      <c r="I34" s="28"/>
      <c r="J34" s="3"/>
      <c r="K34" s="28"/>
      <c r="L34" s="3"/>
      <c r="M34" s="55"/>
      <c r="N34" s="3"/>
      <c r="O34" s="3"/>
      <c r="P34" s="46"/>
      <c r="Q34" s="46"/>
      <c r="R34" s="46"/>
      <c r="S34" s="46"/>
      <c r="T34" s="46"/>
      <c r="U34" s="46"/>
      <c r="V34" s="46"/>
      <c r="W34" s="46"/>
      <c r="X34" s="46"/>
      <c r="Y34" s="46"/>
      <c r="Z34" s="46"/>
      <c r="AA34" s="46"/>
      <c r="AB34" s="3"/>
    </row>
    <row r="35" spans="1:28" ht="3.9" customHeight="1" x14ac:dyDescent="0.25">
      <c r="A35" s="2"/>
      <c r="B35" s="2"/>
      <c r="C35" s="2"/>
      <c r="D35" s="2"/>
      <c r="E35" s="2"/>
      <c r="F35" s="2"/>
      <c r="G35" s="2"/>
      <c r="H35" s="2"/>
      <c r="I35" s="28"/>
      <c r="J35" s="2"/>
      <c r="K35" s="28"/>
      <c r="L35" s="2"/>
      <c r="M35" s="52"/>
      <c r="N35" s="2"/>
      <c r="O35" s="2"/>
      <c r="P35" s="36"/>
      <c r="Q35" s="36"/>
      <c r="R35" s="36"/>
      <c r="S35" s="36"/>
      <c r="T35" s="36"/>
      <c r="U35" s="36"/>
      <c r="V35" s="36"/>
      <c r="W35" s="36"/>
      <c r="X35" s="36"/>
      <c r="Y35" s="36"/>
      <c r="Z35" s="36"/>
      <c r="AA35" s="36"/>
      <c r="AB35" s="2"/>
    </row>
    <row r="36" spans="1:28" x14ac:dyDescent="0.25">
      <c r="A36" s="2"/>
      <c r="B36" s="2"/>
      <c r="C36" s="2"/>
      <c r="D36" s="2"/>
      <c r="E36" s="48" t="str">
        <f>структура!$AF$12</f>
        <v>беседка большая</v>
      </c>
      <c r="F36" s="2"/>
      <c r="G36" s="2" t="str">
        <f>G34</f>
        <v>руб.</v>
      </c>
      <c r="H36" s="2"/>
      <c r="I36" s="6"/>
      <c r="J36" s="204">
        <f>операции!J36</f>
        <v>6000</v>
      </c>
      <c r="K36" s="28"/>
      <c r="L36" s="2"/>
      <c r="M36" s="52"/>
      <c r="N36" s="2"/>
      <c r="O36" s="2"/>
      <c r="P36" s="36"/>
      <c r="Q36" s="36"/>
      <c r="R36" s="36"/>
      <c r="S36" s="36"/>
      <c r="T36" s="36"/>
      <c r="U36" s="36"/>
      <c r="V36" s="36"/>
      <c r="W36" s="36"/>
      <c r="X36" s="36"/>
      <c r="Y36" s="36"/>
      <c r="Z36" s="36"/>
      <c r="AA36" s="36"/>
      <c r="AB36" s="2"/>
    </row>
    <row r="37" spans="1:28" x14ac:dyDescent="0.25">
      <c r="A37" s="2"/>
      <c r="B37" s="2"/>
      <c r="C37" s="2"/>
      <c r="D37" s="2"/>
      <c r="E37" s="49" t="str">
        <f>структура!$AF$13</f>
        <v>беседка малая</v>
      </c>
      <c r="F37" s="2"/>
      <c r="G37" s="2" t="str">
        <f>G34</f>
        <v>руб.</v>
      </c>
      <c r="H37" s="2"/>
      <c r="I37" s="6"/>
      <c r="J37" s="204">
        <f>операции!J37</f>
        <v>4600</v>
      </c>
      <c r="K37" s="28"/>
      <c r="L37" s="2"/>
      <c r="M37" s="52"/>
      <c r="N37" s="2"/>
      <c r="O37" s="2"/>
      <c r="P37" s="36"/>
      <c r="Q37" s="36"/>
      <c r="R37" s="36"/>
      <c r="S37" s="36"/>
      <c r="T37" s="36"/>
      <c r="U37" s="36"/>
      <c r="V37" s="36"/>
      <c r="W37" s="36"/>
      <c r="X37" s="36"/>
      <c r="Y37" s="36"/>
      <c r="Z37" s="36"/>
      <c r="AA37" s="36"/>
      <c r="AB37" s="2"/>
    </row>
    <row r="38" spans="1:28" x14ac:dyDescent="0.25">
      <c r="A38" s="2"/>
      <c r="B38" s="2"/>
      <c r="C38" s="2"/>
      <c r="D38" s="2"/>
      <c r="E38" s="49" t="str">
        <f>структура!$AF$14</f>
        <v>прочие для сдачи в аренду</v>
      </c>
      <c r="F38" s="2"/>
      <c r="G38" s="2" t="str">
        <f>G34</f>
        <v>руб.</v>
      </c>
      <c r="H38" s="2"/>
      <c r="I38" s="6"/>
      <c r="J38" s="204">
        <f>операции!J38</f>
        <v>0</v>
      </c>
      <c r="K38" s="28"/>
      <c r="L38" s="2"/>
      <c r="M38" s="52"/>
      <c r="N38" s="2"/>
      <c r="O38" s="2"/>
      <c r="P38" s="36"/>
      <c r="Q38" s="36"/>
      <c r="R38" s="36"/>
      <c r="S38" s="36"/>
      <c r="T38" s="36"/>
      <c r="U38" s="36"/>
      <c r="V38" s="36"/>
      <c r="W38" s="36"/>
      <c r="X38" s="36"/>
      <c r="Y38" s="36"/>
      <c r="Z38" s="36"/>
      <c r="AA38" s="36"/>
      <c r="AB38" s="2"/>
    </row>
    <row r="39" spans="1:28" ht="3.9" customHeight="1" x14ac:dyDescent="0.25">
      <c r="A39" s="2"/>
      <c r="B39" s="2"/>
      <c r="C39" s="2"/>
      <c r="D39" s="2"/>
      <c r="E39" s="50"/>
      <c r="F39" s="2"/>
      <c r="G39" s="2"/>
      <c r="H39" s="2"/>
      <c r="I39" s="28"/>
      <c r="J39" s="2"/>
      <c r="K39" s="28"/>
      <c r="L39" s="2"/>
      <c r="M39" s="52"/>
      <c r="N39" s="2"/>
      <c r="O39" s="2"/>
      <c r="P39" s="36"/>
      <c r="Q39" s="36"/>
      <c r="R39" s="36"/>
      <c r="S39" s="36"/>
      <c r="T39" s="36"/>
      <c r="U39" s="36"/>
      <c r="V39" s="36"/>
      <c r="W39" s="36"/>
      <c r="X39" s="36"/>
      <c r="Y39" s="36"/>
      <c r="Z39" s="36"/>
      <c r="AA39" s="36"/>
      <c r="AB39" s="2"/>
    </row>
    <row r="40" spans="1:28" ht="3.9" customHeight="1" x14ac:dyDescent="0.25">
      <c r="A40" s="2"/>
      <c r="B40" s="2"/>
      <c r="C40" s="2"/>
      <c r="D40" s="2"/>
      <c r="E40" s="2"/>
      <c r="F40" s="2"/>
      <c r="G40" s="2"/>
      <c r="H40" s="2"/>
      <c r="I40" s="28"/>
      <c r="J40" s="2"/>
      <c r="K40" s="28"/>
      <c r="L40" s="2"/>
      <c r="M40" s="52"/>
      <c r="N40" s="2"/>
      <c r="O40" s="2"/>
      <c r="P40" s="36"/>
      <c r="Q40" s="36"/>
      <c r="R40" s="36"/>
      <c r="S40" s="36"/>
      <c r="T40" s="36"/>
      <c r="U40" s="36"/>
      <c r="V40" s="36"/>
      <c r="W40" s="36"/>
      <c r="X40" s="36"/>
      <c r="Y40" s="36"/>
      <c r="Z40" s="36"/>
      <c r="AA40" s="36"/>
      <c r="AB40" s="2"/>
    </row>
    <row r="41" spans="1:28" s="5" customFormat="1" x14ac:dyDescent="0.25">
      <c r="A41" s="3"/>
      <c r="B41" s="3"/>
      <c r="C41" s="3"/>
      <c r="D41" s="3"/>
      <c r="E41" s="89" t="str">
        <f>KPI!$E$33</f>
        <v>средний арендный чек</v>
      </c>
      <c r="F41" s="89"/>
      <c r="G41" s="89" t="str">
        <f>IF($E41="","",INDEX(KPI!$G:$G,SUMIFS(KPI!$B:$B,KPI!$E:$E,$E41)))</f>
        <v>руб.</v>
      </c>
      <c r="H41" s="89"/>
      <c r="I41" s="90"/>
      <c r="J41" s="91" t="str">
        <f>структура!$AL$18</f>
        <v>одинаковая наполняемость</v>
      </c>
      <c r="K41" s="90"/>
      <c r="L41" s="89"/>
      <c r="M41" s="92">
        <f>IF(SUM(капитал!$J$67:$J$70)=0,0,SUMPRODUCT(капитал!$J$67:$J$70,$J$36:$J$39)/SUM(капитал!$J$67:$J$70))</f>
        <v>5246.1538461538457</v>
      </c>
      <c r="N41" s="3"/>
      <c r="O41" s="3"/>
      <c r="P41" s="93">
        <f>IF(P1="",0,IF(SUM(капитал!$J$67:$J$70)=0,0,SUMPRODUCT(капитал!$J$67:$J$70,$J$36:$J$39)/SUM(капитал!$J$67:$J$70)))</f>
        <v>5246.1538461538457</v>
      </c>
      <c r="Q41" s="93">
        <f>IF(Q1="",0,IF(SUM(капитал!$J$67:$J$70)=0,0,SUMPRODUCT(капитал!$J$67:$J$70,$J$36:$J$39)/SUM(капитал!$J$67:$J$70)))</f>
        <v>5246.1538461538457</v>
      </c>
      <c r="R41" s="93">
        <f>IF(R1="",0,IF(SUM(капитал!$J$67:$J$70)=0,0,SUMPRODUCT(капитал!$J$67:$J$70,$J$36:$J$39)/SUM(капитал!$J$67:$J$70)))</f>
        <v>5246.1538461538457</v>
      </c>
      <c r="S41" s="93">
        <f>IF(S1="",0,IF(SUM(капитал!$J$67:$J$70)=0,0,SUMPRODUCT(капитал!$J$67:$J$70,$J$36:$J$39)/SUM(капитал!$J$67:$J$70)))</f>
        <v>5246.1538461538457</v>
      </c>
      <c r="T41" s="93">
        <f>IF(T1="",0,IF(SUM(капитал!$J$67:$J$70)=0,0,SUMPRODUCT(капитал!$J$67:$J$70,$J$36:$J$39)/SUM(капитал!$J$67:$J$70)))</f>
        <v>5246.1538461538457</v>
      </c>
      <c r="U41" s="93">
        <f>IF(U1="",0,IF(SUM(капитал!$J$67:$J$70)=0,0,SUMPRODUCT(капитал!$J$67:$J$70,$J$36:$J$39)/SUM(капитал!$J$67:$J$70)))</f>
        <v>5246.1538461538457</v>
      </c>
      <c r="V41" s="93">
        <f>IF(V1="",0,IF(SUM(капитал!$J$67:$J$70)=0,0,SUMPRODUCT(капитал!$J$67:$J$70,$J$36:$J$39)/SUM(капитал!$J$67:$J$70)))</f>
        <v>5246.1538461538457</v>
      </c>
      <c r="W41" s="93">
        <f>IF(W1="",0,IF(SUM(капитал!$J$67:$J$70)=0,0,SUMPRODUCT(капитал!$J$67:$J$70,$J$36:$J$39)/SUM(капитал!$J$67:$J$70)))</f>
        <v>0</v>
      </c>
      <c r="X41" s="93">
        <f>IF(X1="",0,IF(SUM(капитал!$J$67:$J$70)=0,0,SUMPRODUCT(капитал!$J$67:$J$70,$J$36:$J$39)/SUM(капитал!$J$67:$J$70)))</f>
        <v>0</v>
      </c>
      <c r="Y41" s="93">
        <f>IF(Y1="",0,IF(SUM(капитал!$J$67:$J$70)=0,0,SUMPRODUCT(капитал!$J$67:$J$70,$J$36:$J$39)/SUM(капитал!$J$67:$J$70)))</f>
        <v>0</v>
      </c>
      <c r="Z41" s="93">
        <f>IF(Z1="",0,IF(SUM(капитал!$J$67:$J$70)=0,0,SUMPRODUCT(капитал!$J$67:$J$70,$J$36:$J$39)/SUM(капитал!$J$67:$J$70)))</f>
        <v>0</v>
      </c>
      <c r="AA41" s="93">
        <f>IF(AA1="",0,IF(SUM(капитал!$J$67:$J$70)=0,0,SUMPRODUCT(капитал!$J$67:$J$70,$J$36:$J$39)/SUM(капитал!$J$67:$J$70)))</f>
        <v>0</v>
      </c>
      <c r="AB41" s="3"/>
    </row>
    <row r="42" spans="1:28" ht="8.1" customHeight="1" x14ac:dyDescent="0.25">
      <c r="A42" s="2"/>
      <c r="B42" s="2"/>
      <c r="C42" s="2"/>
      <c r="D42" s="2"/>
      <c r="E42" s="2"/>
      <c r="F42" s="2"/>
      <c r="G42" s="2"/>
      <c r="H42" s="2"/>
      <c r="I42" s="28"/>
      <c r="J42" s="2"/>
      <c r="K42" s="28"/>
      <c r="L42" s="2"/>
      <c r="M42" s="52"/>
      <c r="N42" s="2"/>
      <c r="O42" s="2"/>
      <c r="P42" s="36"/>
      <c r="Q42" s="36"/>
      <c r="R42" s="36"/>
      <c r="S42" s="36"/>
      <c r="T42" s="36"/>
      <c r="U42" s="36"/>
      <c r="V42" s="36"/>
      <c r="W42" s="36"/>
      <c r="X42" s="36"/>
      <c r="Y42" s="36"/>
      <c r="Z42" s="36"/>
      <c r="AA42" s="36"/>
      <c r="AB42" s="2"/>
    </row>
    <row r="43" spans="1:28" s="5" customFormat="1" x14ac:dyDescent="0.25">
      <c r="A43" s="3"/>
      <c r="B43" s="3"/>
      <c r="C43" s="3"/>
      <c r="D43" s="3"/>
      <c r="E43" s="3" t="str">
        <f>KPI!$E$34</f>
        <v>количество арендных сделок</v>
      </c>
      <c r="F43" s="3"/>
      <c r="G43" s="3" t="str">
        <f>IF($E43="","",INDEX(KPI!$G:$G,SUMIFS(KPI!$B:$B,KPI!$E:$E,$E43)))</f>
        <v>шт</v>
      </c>
      <c r="H43" s="3"/>
      <c r="I43" s="28"/>
      <c r="J43" s="44"/>
      <c r="K43" s="28"/>
      <c r="L43" s="3"/>
      <c r="M43" s="55"/>
      <c r="N43" s="3"/>
      <c r="O43" s="3"/>
      <c r="P43" s="46">
        <f>IF(P$1="",0,IF(P$1=0,SUMIFS(P44:P55,H44:H55,"&gt;="&amp;MONTH($J$13)),SUM(P44:P55)))</f>
        <v>2369</v>
      </c>
      <c r="Q43" s="46">
        <f t="shared" ref="Q43:AA43" si="4">IF(Q$1="",0,SUM(Q44:Q55))</f>
        <v>2369</v>
      </c>
      <c r="R43" s="46">
        <f t="shared" si="4"/>
        <v>2375</v>
      </c>
      <c r="S43" s="46">
        <f t="shared" si="4"/>
        <v>2369</v>
      </c>
      <c r="T43" s="46">
        <f t="shared" si="4"/>
        <v>2369</v>
      </c>
      <c r="U43" s="46">
        <f t="shared" si="4"/>
        <v>2369</v>
      </c>
      <c r="V43" s="46">
        <f t="shared" si="4"/>
        <v>2375</v>
      </c>
      <c r="W43" s="46">
        <f t="shared" si="4"/>
        <v>0</v>
      </c>
      <c r="X43" s="46">
        <f t="shared" si="4"/>
        <v>0</v>
      </c>
      <c r="Y43" s="46">
        <f t="shared" si="4"/>
        <v>0</v>
      </c>
      <c r="Z43" s="46">
        <f t="shared" si="4"/>
        <v>0</v>
      </c>
      <c r="AA43" s="46">
        <f t="shared" si="4"/>
        <v>0</v>
      </c>
      <c r="AB43" s="3"/>
    </row>
    <row r="44" spans="1:28" s="23" customFormat="1" ht="10.199999999999999" x14ac:dyDescent="0.2">
      <c r="A44" s="22"/>
      <c r="B44" s="22"/>
      <c r="C44" s="22"/>
      <c r="D44" s="22"/>
      <c r="E44" s="22" t="str">
        <f t="shared" ref="E44:E55" si="5">$E$43</f>
        <v>количество арендных сделок</v>
      </c>
      <c r="F44" s="22"/>
      <c r="G44" s="22" t="str">
        <f>IF($E44="","",INDEX(KPI!$G:$G,SUMIFS(KPI!$B:$B,KPI!$E:$E,$E44)))</f>
        <v>шт</v>
      </c>
      <c r="H44" s="100">
        <f>структура!$V$12</f>
        <v>1</v>
      </c>
      <c r="I44" s="31"/>
      <c r="J44" s="98" t="str">
        <f>структура!$X$12</f>
        <v>янв</v>
      </c>
      <c r="K44" s="99"/>
      <c r="L44" s="22"/>
      <c r="M44" s="58"/>
      <c r="N44" s="22"/>
      <c r="O44" s="22"/>
      <c r="P44" s="101">
        <f>IF(P$1="",0,INT(SUM(капитал!$J$67:$J$70)*DAY(EOMONTH(P$8,$H44-MONTH(P$8)))*P20))</f>
        <v>201</v>
      </c>
      <c r="Q44" s="101">
        <f>IF(Q$1="",0,INT(SUM(капитал!$J$67:$J$70)*DAY(EOMONTH(Q$8,$H44-MONTH(Q$8)))*Q20))</f>
        <v>201</v>
      </c>
      <c r="R44" s="101">
        <f>IF(R$1="",0,INT(SUM(капитал!$J$67:$J$70)*DAY(EOMONTH(R$8,$H44-MONTH(R$8)))*R20))</f>
        <v>201</v>
      </c>
      <c r="S44" s="101">
        <f>IF(S$1="",0,INT(SUM(капитал!$J$67:$J$70)*DAY(EOMONTH(S$8,$H44-MONTH(S$8)))*S20))</f>
        <v>201</v>
      </c>
      <c r="T44" s="101">
        <f>IF(T$1="",0,INT(SUM(капитал!$J$67:$J$70)*DAY(EOMONTH(T$8,$H44-MONTH(T$8)))*T20))</f>
        <v>201</v>
      </c>
      <c r="U44" s="101">
        <f>IF(U$1="",0,INT(SUM(капитал!$J$67:$J$70)*DAY(EOMONTH(U$8,$H44-MONTH(U$8)))*U20))</f>
        <v>201</v>
      </c>
      <c r="V44" s="101">
        <f>IF(V$1="",0,INT(SUM(капитал!$J$67:$J$70)*DAY(EOMONTH(V$8,$H44-MONTH(V$8)))*V20))</f>
        <v>201</v>
      </c>
      <c r="W44" s="101">
        <f>IF(W$1="",0,INT(SUM(капитал!$J$67:$J$70)*DAY(EOMONTH(W$8,$H44-MONTH(W$8)))*W20))</f>
        <v>0</v>
      </c>
      <c r="X44" s="101">
        <f>IF(X$1="",0,INT(SUM(капитал!$J$67:$J$70)*DAY(EOMONTH(X$8,$H44-MONTH(X$8)))*X20))</f>
        <v>0</v>
      </c>
      <c r="Y44" s="101">
        <f>IF(Y$1="",0,INT(SUM(капитал!$J$67:$J$70)*DAY(EOMONTH(Y$8,$H44-MONTH(Y$8)))*Y20))</f>
        <v>0</v>
      </c>
      <c r="Z44" s="101">
        <f>IF(Z$1="",0,INT(SUM(капитал!$J$67:$J$70)*DAY(EOMONTH(Z$8,$H44-MONTH(Z$8)))*Z20))</f>
        <v>0</v>
      </c>
      <c r="AA44" s="101">
        <f>IF(AA$1="",0,INT(SUM(капитал!$J$67:$J$70)*DAY(EOMONTH(AA$8,$H44-MONTH(AA$8)))*AA20))</f>
        <v>0</v>
      </c>
      <c r="AB44" s="22"/>
    </row>
    <row r="45" spans="1:28" s="23" customFormat="1" ht="10.199999999999999" x14ac:dyDescent="0.2">
      <c r="A45" s="22"/>
      <c r="B45" s="22"/>
      <c r="C45" s="22"/>
      <c r="D45" s="22"/>
      <c r="E45" s="22" t="str">
        <f t="shared" si="5"/>
        <v>количество арендных сделок</v>
      </c>
      <c r="F45" s="22"/>
      <c r="G45" s="22" t="str">
        <f>IF($E45="","",INDEX(KPI!$G:$G,SUMIFS(KPI!$B:$B,KPI!$E:$E,$E45)))</f>
        <v>шт</v>
      </c>
      <c r="H45" s="100">
        <f>структура!$V$13</f>
        <v>2</v>
      </c>
      <c r="I45" s="31"/>
      <c r="J45" s="98" t="str">
        <f>структура!$X$13</f>
        <v>фев</v>
      </c>
      <c r="K45" s="99"/>
      <c r="L45" s="22"/>
      <c r="M45" s="58"/>
      <c r="N45" s="22"/>
      <c r="O45" s="22"/>
      <c r="P45" s="101">
        <f>IF(P$1="",0,INT(SUM(капитал!$J$67:$J$70)*DAY(EOMONTH(P$8,$H45-MONTH(P$8)))*P21))</f>
        <v>182</v>
      </c>
      <c r="Q45" s="101">
        <f>IF(Q$1="",0,INT(SUM(капитал!$J$67:$J$70)*DAY(EOMONTH(Q$8,$H45-MONTH(Q$8)))*Q21))</f>
        <v>182</v>
      </c>
      <c r="R45" s="101">
        <f>IF(R$1="",0,INT(SUM(капитал!$J$67:$J$70)*DAY(EOMONTH(R$8,$H45-MONTH(R$8)))*R21))</f>
        <v>188</v>
      </c>
      <c r="S45" s="101">
        <f>IF(S$1="",0,INT(SUM(капитал!$J$67:$J$70)*DAY(EOMONTH(S$8,$H45-MONTH(S$8)))*S21))</f>
        <v>182</v>
      </c>
      <c r="T45" s="101">
        <f>IF(T$1="",0,INT(SUM(капитал!$J$67:$J$70)*DAY(EOMONTH(T$8,$H45-MONTH(T$8)))*T21))</f>
        <v>182</v>
      </c>
      <c r="U45" s="101">
        <f>IF(U$1="",0,INT(SUM(капитал!$J$67:$J$70)*DAY(EOMONTH(U$8,$H45-MONTH(U$8)))*U21))</f>
        <v>182</v>
      </c>
      <c r="V45" s="101">
        <f>IF(V$1="",0,INT(SUM(капитал!$J$67:$J$70)*DAY(EOMONTH(V$8,$H45-MONTH(V$8)))*V21))</f>
        <v>188</v>
      </c>
      <c r="W45" s="101">
        <f>IF(W$1="",0,INT(SUM(капитал!$J$67:$J$70)*DAY(EOMONTH(W$8,$H45-MONTH(W$8)))*W21))</f>
        <v>0</v>
      </c>
      <c r="X45" s="101">
        <f>IF(X$1="",0,INT(SUM(капитал!$J$67:$J$70)*DAY(EOMONTH(X$8,$H45-MONTH(X$8)))*X21))</f>
        <v>0</v>
      </c>
      <c r="Y45" s="101">
        <f>IF(Y$1="",0,INT(SUM(капитал!$J$67:$J$70)*DAY(EOMONTH(Y$8,$H45-MONTH(Y$8)))*Y21))</f>
        <v>0</v>
      </c>
      <c r="Z45" s="101">
        <f>IF(Z$1="",0,INT(SUM(капитал!$J$67:$J$70)*DAY(EOMONTH(Z$8,$H45-MONTH(Z$8)))*Z21))</f>
        <v>0</v>
      </c>
      <c r="AA45" s="101">
        <f>IF(AA$1="",0,INT(SUM(капитал!$J$67:$J$70)*DAY(EOMONTH(AA$8,$H45-MONTH(AA$8)))*AA21))</f>
        <v>0</v>
      </c>
      <c r="AB45" s="22"/>
    </row>
    <row r="46" spans="1:28" s="23" customFormat="1" ht="10.199999999999999" x14ac:dyDescent="0.2">
      <c r="A46" s="22"/>
      <c r="B46" s="22"/>
      <c r="C46" s="22"/>
      <c r="D46" s="22"/>
      <c r="E46" s="22" t="str">
        <f t="shared" si="5"/>
        <v>количество арендных сделок</v>
      </c>
      <c r="F46" s="22"/>
      <c r="G46" s="22" t="str">
        <f>IF($E46="","",INDEX(KPI!$G:$G,SUMIFS(KPI!$B:$B,KPI!$E:$E,$E46)))</f>
        <v>шт</v>
      </c>
      <c r="H46" s="100">
        <f>структура!$V$14</f>
        <v>3</v>
      </c>
      <c r="I46" s="31"/>
      <c r="J46" s="98" t="str">
        <f>структура!$X$14</f>
        <v>мар</v>
      </c>
      <c r="K46" s="99"/>
      <c r="L46" s="22"/>
      <c r="M46" s="58"/>
      <c r="N46" s="22"/>
      <c r="O46" s="22"/>
      <c r="P46" s="101">
        <f>IF(P$1="",0,INT(SUM(капитал!$J$67:$J$70)*DAY(EOMONTH(P$8,$H46-MONTH(P$8)))*P22))</f>
        <v>201</v>
      </c>
      <c r="Q46" s="101">
        <f>IF(Q$1="",0,INT(SUM(капитал!$J$67:$J$70)*DAY(EOMONTH(Q$8,$H46-MONTH(Q$8)))*Q22))</f>
        <v>201</v>
      </c>
      <c r="R46" s="101">
        <f>IF(R$1="",0,INT(SUM(капитал!$J$67:$J$70)*DAY(EOMONTH(R$8,$H46-MONTH(R$8)))*R22))</f>
        <v>201</v>
      </c>
      <c r="S46" s="101">
        <f>IF(S$1="",0,INT(SUM(капитал!$J$67:$J$70)*DAY(EOMONTH(S$8,$H46-MONTH(S$8)))*S22))</f>
        <v>201</v>
      </c>
      <c r="T46" s="101">
        <f>IF(T$1="",0,INT(SUM(капитал!$J$67:$J$70)*DAY(EOMONTH(T$8,$H46-MONTH(T$8)))*T22))</f>
        <v>201</v>
      </c>
      <c r="U46" s="101">
        <f>IF(U$1="",0,INT(SUM(капитал!$J$67:$J$70)*DAY(EOMONTH(U$8,$H46-MONTH(U$8)))*U22))</f>
        <v>201</v>
      </c>
      <c r="V46" s="101">
        <f>IF(V$1="",0,INT(SUM(капитал!$J$67:$J$70)*DAY(EOMONTH(V$8,$H46-MONTH(V$8)))*V22))</f>
        <v>201</v>
      </c>
      <c r="W46" s="101">
        <f>IF(W$1="",0,INT(SUM(капитал!$J$67:$J$70)*DAY(EOMONTH(W$8,$H46-MONTH(W$8)))*W22))</f>
        <v>0</v>
      </c>
      <c r="X46" s="101">
        <f>IF(X$1="",0,INT(SUM(капитал!$J$67:$J$70)*DAY(EOMONTH(X$8,$H46-MONTH(X$8)))*X22))</f>
        <v>0</v>
      </c>
      <c r="Y46" s="101">
        <f>IF(Y$1="",0,INT(SUM(капитал!$J$67:$J$70)*DAY(EOMONTH(Y$8,$H46-MONTH(Y$8)))*Y22))</f>
        <v>0</v>
      </c>
      <c r="Z46" s="101">
        <f>IF(Z$1="",0,INT(SUM(капитал!$J$67:$J$70)*DAY(EOMONTH(Z$8,$H46-MONTH(Z$8)))*Z22))</f>
        <v>0</v>
      </c>
      <c r="AA46" s="101">
        <f>IF(AA$1="",0,INT(SUM(капитал!$J$67:$J$70)*DAY(EOMONTH(AA$8,$H46-MONTH(AA$8)))*AA22))</f>
        <v>0</v>
      </c>
      <c r="AB46" s="22"/>
    </row>
    <row r="47" spans="1:28" s="23" customFormat="1" ht="10.199999999999999" x14ac:dyDescent="0.2">
      <c r="A47" s="22"/>
      <c r="B47" s="22"/>
      <c r="C47" s="22"/>
      <c r="D47" s="22"/>
      <c r="E47" s="22" t="str">
        <f t="shared" si="5"/>
        <v>количество арендных сделок</v>
      </c>
      <c r="F47" s="22"/>
      <c r="G47" s="22" t="str">
        <f>IF($E47="","",INDEX(KPI!$G:$G,SUMIFS(KPI!$B:$B,KPI!$E:$E,$E47)))</f>
        <v>шт</v>
      </c>
      <c r="H47" s="100">
        <f>структура!$V$15</f>
        <v>4</v>
      </c>
      <c r="I47" s="31"/>
      <c r="J47" s="98" t="str">
        <f>структура!$X$15</f>
        <v>апр</v>
      </c>
      <c r="K47" s="99"/>
      <c r="L47" s="22"/>
      <c r="M47" s="58"/>
      <c r="N47" s="22"/>
      <c r="O47" s="22"/>
      <c r="P47" s="101">
        <f>IF(P$1="",0,INT(SUM(капитал!$J$67:$J$70)*DAY(EOMONTH(P$8,$H47-MONTH(P$8)))*P23))</f>
        <v>195</v>
      </c>
      <c r="Q47" s="101">
        <f>IF(Q$1="",0,INT(SUM(капитал!$J$67:$J$70)*DAY(EOMONTH(Q$8,$H47-MONTH(Q$8)))*Q23))</f>
        <v>195</v>
      </c>
      <c r="R47" s="101">
        <f>IF(R$1="",0,INT(SUM(капитал!$J$67:$J$70)*DAY(EOMONTH(R$8,$H47-MONTH(R$8)))*R23))</f>
        <v>195</v>
      </c>
      <c r="S47" s="101">
        <f>IF(S$1="",0,INT(SUM(капитал!$J$67:$J$70)*DAY(EOMONTH(S$8,$H47-MONTH(S$8)))*S23))</f>
        <v>195</v>
      </c>
      <c r="T47" s="101">
        <f>IF(T$1="",0,INT(SUM(капитал!$J$67:$J$70)*DAY(EOMONTH(T$8,$H47-MONTH(T$8)))*T23))</f>
        <v>195</v>
      </c>
      <c r="U47" s="101">
        <f>IF(U$1="",0,INT(SUM(капитал!$J$67:$J$70)*DAY(EOMONTH(U$8,$H47-MONTH(U$8)))*U23))</f>
        <v>195</v>
      </c>
      <c r="V47" s="101">
        <f>IF(V$1="",0,INT(SUM(капитал!$J$67:$J$70)*DAY(EOMONTH(V$8,$H47-MONTH(V$8)))*V23))</f>
        <v>195</v>
      </c>
      <c r="W47" s="101">
        <f>IF(W$1="",0,INT(SUM(капитал!$J$67:$J$70)*DAY(EOMONTH(W$8,$H47-MONTH(W$8)))*W23))</f>
        <v>0</v>
      </c>
      <c r="X47" s="101">
        <f>IF(X$1="",0,INT(SUM(капитал!$J$67:$J$70)*DAY(EOMONTH(X$8,$H47-MONTH(X$8)))*X23))</f>
        <v>0</v>
      </c>
      <c r="Y47" s="101">
        <f>IF(Y$1="",0,INT(SUM(капитал!$J$67:$J$70)*DAY(EOMONTH(Y$8,$H47-MONTH(Y$8)))*Y23))</f>
        <v>0</v>
      </c>
      <c r="Z47" s="101">
        <f>IF(Z$1="",0,INT(SUM(капитал!$J$67:$J$70)*DAY(EOMONTH(Z$8,$H47-MONTH(Z$8)))*Z23))</f>
        <v>0</v>
      </c>
      <c r="AA47" s="101">
        <f>IF(AA$1="",0,INT(SUM(капитал!$J$67:$J$70)*DAY(EOMONTH(AA$8,$H47-MONTH(AA$8)))*AA23))</f>
        <v>0</v>
      </c>
      <c r="AB47" s="22"/>
    </row>
    <row r="48" spans="1:28" s="23" customFormat="1" ht="10.199999999999999" x14ac:dyDescent="0.2">
      <c r="A48" s="22"/>
      <c r="B48" s="22"/>
      <c r="C48" s="22"/>
      <c r="D48" s="22"/>
      <c r="E48" s="22" t="str">
        <f t="shared" si="5"/>
        <v>количество арендных сделок</v>
      </c>
      <c r="F48" s="22"/>
      <c r="G48" s="22" t="str">
        <f>IF($E48="","",INDEX(KPI!$G:$G,SUMIFS(KPI!$B:$B,KPI!$E:$E,$E48)))</f>
        <v>шт</v>
      </c>
      <c r="H48" s="100">
        <f>структура!$V$16</f>
        <v>5</v>
      </c>
      <c r="I48" s="31"/>
      <c r="J48" s="98" t="str">
        <f>структура!$X$16</f>
        <v>май</v>
      </c>
      <c r="K48" s="99"/>
      <c r="L48" s="22"/>
      <c r="M48" s="58"/>
      <c r="N48" s="22"/>
      <c r="O48" s="22"/>
      <c r="P48" s="101">
        <f>IF(P$1="",0,INT(SUM(капитал!$J$67:$J$70)*DAY(EOMONTH(P$8,$H48-MONTH(P$8)))*P24))</f>
        <v>201</v>
      </c>
      <c r="Q48" s="101">
        <f>IF(Q$1="",0,INT(SUM(капитал!$J$67:$J$70)*DAY(EOMONTH(Q$8,$H48-MONTH(Q$8)))*Q24))</f>
        <v>201</v>
      </c>
      <c r="R48" s="101">
        <f>IF(R$1="",0,INT(SUM(капитал!$J$67:$J$70)*DAY(EOMONTH(R$8,$H48-MONTH(R$8)))*R24))</f>
        <v>201</v>
      </c>
      <c r="S48" s="101">
        <f>IF(S$1="",0,INT(SUM(капитал!$J$67:$J$70)*DAY(EOMONTH(S$8,$H48-MONTH(S$8)))*S24))</f>
        <v>201</v>
      </c>
      <c r="T48" s="101">
        <f>IF(T$1="",0,INT(SUM(капитал!$J$67:$J$70)*DAY(EOMONTH(T$8,$H48-MONTH(T$8)))*T24))</f>
        <v>201</v>
      </c>
      <c r="U48" s="101">
        <f>IF(U$1="",0,INT(SUM(капитал!$J$67:$J$70)*DAY(EOMONTH(U$8,$H48-MONTH(U$8)))*U24))</f>
        <v>201</v>
      </c>
      <c r="V48" s="101">
        <f>IF(V$1="",0,INT(SUM(капитал!$J$67:$J$70)*DAY(EOMONTH(V$8,$H48-MONTH(V$8)))*V24))</f>
        <v>201</v>
      </c>
      <c r="W48" s="101">
        <f>IF(W$1="",0,INT(SUM(капитал!$J$67:$J$70)*DAY(EOMONTH(W$8,$H48-MONTH(W$8)))*W24))</f>
        <v>0</v>
      </c>
      <c r="X48" s="101">
        <f>IF(X$1="",0,INT(SUM(капитал!$J$67:$J$70)*DAY(EOMONTH(X$8,$H48-MONTH(X$8)))*X24))</f>
        <v>0</v>
      </c>
      <c r="Y48" s="101">
        <f>IF(Y$1="",0,INT(SUM(капитал!$J$67:$J$70)*DAY(EOMONTH(Y$8,$H48-MONTH(Y$8)))*Y24))</f>
        <v>0</v>
      </c>
      <c r="Z48" s="101">
        <f>IF(Z$1="",0,INT(SUM(капитал!$J$67:$J$70)*DAY(EOMONTH(Z$8,$H48-MONTH(Z$8)))*Z24))</f>
        <v>0</v>
      </c>
      <c r="AA48" s="101">
        <f>IF(AA$1="",0,INT(SUM(капитал!$J$67:$J$70)*DAY(EOMONTH(AA$8,$H48-MONTH(AA$8)))*AA24))</f>
        <v>0</v>
      </c>
      <c r="AB48" s="22"/>
    </row>
    <row r="49" spans="1:28" s="23" customFormat="1" ht="10.199999999999999" x14ac:dyDescent="0.2">
      <c r="A49" s="22"/>
      <c r="B49" s="22"/>
      <c r="C49" s="22"/>
      <c r="D49" s="22"/>
      <c r="E49" s="22" t="str">
        <f t="shared" si="5"/>
        <v>количество арендных сделок</v>
      </c>
      <c r="F49" s="22"/>
      <c r="G49" s="22" t="str">
        <f>IF($E49="","",INDEX(KPI!$G:$G,SUMIFS(KPI!$B:$B,KPI!$E:$E,$E49)))</f>
        <v>шт</v>
      </c>
      <c r="H49" s="100">
        <f>структура!$V$17</f>
        <v>6</v>
      </c>
      <c r="I49" s="31"/>
      <c r="J49" s="98" t="str">
        <f>структура!$X$17</f>
        <v>июн</v>
      </c>
      <c r="K49" s="99"/>
      <c r="L49" s="22"/>
      <c r="M49" s="58"/>
      <c r="N49" s="22"/>
      <c r="O49" s="22"/>
      <c r="P49" s="101">
        <f>IF(P$1="",0,INT(SUM(капитал!$J$67:$J$70)*DAY(EOMONTH(P$8,$H49-MONTH(P$8)))*P25))</f>
        <v>195</v>
      </c>
      <c r="Q49" s="101">
        <f>IF(Q$1="",0,INT(SUM(капитал!$J$67:$J$70)*DAY(EOMONTH(Q$8,$H49-MONTH(Q$8)))*Q25))</f>
        <v>195</v>
      </c>
      <c r="R49" s="101">
        <f>IF(R$1="",0,INT(SUM(капитал!$J$67:$J$70)*DAY(EOMONTH(R$8,$H49-MONTH(R$8)))*R25))</f>
        <v>195</v>
      </c>
      <c r="S49" s="101">
        <f>IF(S$1="",0,INT(SUM(капитал!$J$67:$J$70)*DAY(EOMONTH(S$8,$H49-MONTH(S$8)))*S25))</f>
        <v>195</v>
      </c>
      <c r="T49" s="101">
        <f>IF(T$1="",0,INT(SUM(капитал!$J$67:$J$70)*DAY(EOMONTH(T$8,$H49-MONTH(T$8)))*T25))</f>
        <v>195</v>
      </c>
      <c r="U49" s="101">
        <f>IF(U$1="",0,INT(SUM(капитал!$J$67:$J$70)*DAY(EOMONTH(U$8,$H49-MONTH(U$8)))*U25))</f>
        <v>195</v>
      </c>
      <c r="V49" s="101">
        <f>IF(V$1="",0,INT(SUM(капитал!$J$67:$J$70)*DAY(EOMONTH(V$8,$H49-MONTH(V$8)))*V25))</f>
        <v>195</v>
      </c>
      <c r="W49" s="101">
        <f>IF(W$1="",0,INT(SUM(капитал!$J$67:$J$70)*DAY(EOMONTH(W$8,$H49-MONTH(W$8)))*W25))</f>
        <v>0</v>
      </c>
      <c r="X49" s="101">
        <f>IF(X$1="",0,INT(SUM(капитал!$J$67:$J$70)*DAY(EOMONTH(X$8,$H49-MONTH(X$8)))*X25))</f>
        <v>0</v>
      </c>
      <c r="Y49" s="101">
        <f>IF(Y$1="",0,INT(SUM(капитал!$J$67:$J$70)*DAY(EOMONTH(Y$8,$H49-MONTH(Y$8)))*Y25))</f>
        <v>0</v>
      </c>
      <c r="Z49" s="101">
        <f>IF(Z$1="",0,INT(SUM(капитал!$J$67:$J$70)*DAY(EOMONTH(Z$8,$H49-MONTH(Z$8)))*Z25))</f>
        <v>0</v>
      </c>
      <c r="AA49" s="101">
        <f>IF(AA$1="",0,INT(SUM(капитал!$J$67:$J$70)*DAY(EOMONTH(AA$8,$H49-MONTH(AA$8)))*AA25))</f>
        <v>0</v>
      </c>
      <c r="AB49" s="22"/>
    </row>
    <row r="50" spans="1:28" s="23" customFormat="1" ht="10.199999999999999" x14ac:dyDescent="0.2">
      <c r="A50" s="22"/>
      <c r="B50" s="22"/>
      <c r="C50" s="22"/>
      <c r="D50" s="22"/>
      <c r="E50" s="22" t="str">
        <f t="shared" si="5"/>
        <v>количество арендных сделок</v>
      </c>
      <c r="F50" s="22"/>
      <c r="G50" s="22" t="str">
        <f>IF($E50="","",INDEX(KPI!$G:$G,SUMIFS(KPI!$B:$B,KPI!$E:$E,$E50)))</f>
        <v>шт</v>
      </c>
      <c r="H50" s="100">
        <f>структура!$V$18</f>
        <v>7</v>
      </c>
      <c r="I50" s="31"/>
      <c r="J50" s="98" t="str">
        <f>структура!$X$18</f>
        <v>июл</v>
      </c>
      <c r="K50" s="99"/>
      <c r="L50" s="22"/>
      <c r="M50" s="58"/>
      <c r="N50" s="22"/>
      <c r="O50" s="22"/>
      <c r="P50" s="101">
        <f>IF(P$1="",0,INT(SUM(капитал!$J$67:$J$70)*DAY(EOMONTH(P$8,$H50-MONTH(P$8)))*P26))</f>
        <v>201</v>
      </c>
      <c r="Q50" s="101">
        <f>IF(Q$1="",0,INT(SUM(капитал!$J$67:$J$70)*DAY(EOMONTH(Q$8,$H50-MONTH(Q$8)))*Q26))</f>
        <v>201</v>
      </c>
      <c r="R50" s="101">
        <f>IF(R$1="",0,INT(SUM(капитал!$J$67:$J$70)*DAY(EOMONTH(R$8,$H50-MONTH(R$8)))*R26))</f>
        <v>201</v>
      </c>
      <c r="S50" s="101">
        <f>IF(S$1="",0,INT(SUM(капитал!$J$67:$J$70)*DAY(EOMONTH(S$8,$H50-MONTH(S$8)))*S26))</f>
        <v>201</v>
      </c>
      <c r="T50" s="101">
        <f>IF(T$1="",0,INT(SUM(капитал!$J$67:$J$70)*DAY(EOMONTH(T$8,$H50-MONTH(T$8)))*T26))</f>
        <v>201</v>
      </c>
      <c r="U50" s="101">
        <f>IF(U$1="",0,INT(SUM(капитал!$J$67:$J$70)*DAY(EOMONTH(U$8,$H50-MONTH(U$8)))*U26))</f>
        <v>201</v>
      </c>
      <c r="V50" s="101">
        <f>IF(V$1="",0,INT(SUM(капитал!$J$67:$J$70)*DAY(EOMONTH(V$8,$H50-MONTH(V$8)))*V26))</f>
        <v>201</v>
      </c>
      <c r="W50" s="101">
        <f>IF(W$1="",0,INT(SUM(капитал!$J$67:$J$70)*DAY(EOMONTH(W$8,$H50-MONTH(W$8)))*W26))</f>
        <v>0</v>
      </c>
      <c r="X50" s="101">
        <f>IF(X$1="",0,INT(SUM(капитал!$J$67:$J$70)*DAY(EOMONTH(X$8,$H50-MONTH(X$8)))*X26))</f>
        <v>0</v>
      </c>
      <c r="Y50" s="101">
        <f>IF(Y$1="",0,INT(SUM(капитал!$J$67:$J$70)*DAY(EOMONTH(Y$8,$H50-MONTH(Y$8)))*Y26))</f>
        <v>0</v>
      </c>
      <c r="Z50" s="101">
        <f>IF(Z$1="",0,INT(SUM(капитал!$J$67:$J$70)*DAY(EOMONTH(Z$8,$H50-MONTH(Z$8)))*Z26))</f>
        <v>0</v>
      </c>
      <c r="AA50" s="101">
        <f>IF(AA$1="",0,INT(SUM(капитал!$J$67:$J$70)*DAY(EOMONTH(AA$8,$H50-MONTH(AA$8)))*AA26))</f>
        <v>0</v>
      </c>
      <c r="AB50" s="22"/>
    </row>
    <row r="51" spans="1:28" s="23" customFormat="1" ht="10.199999999999999" x14ac:dyDescent="0.2">
      <c r="A51" s="22"/>
      <c r="B51" s="22"/>
      <c r="C51" s="22"/>
      <c r="D51" s="22"/>
      <c r="E51" s="22" t="str">
        <f t="shared" si="5"/>
        <v>количество арендных сделок</v>
      </c>
      <c r="F51" s="22"/>
      <c r="G51" s="22" t="str">
        <f>IF($E51="","",INDEX(KPI!$G:$G,SUMIFS(KPI!$B:$B,KPI!$E:$E,$E51)))</f>
        <v>шт</v>
      </c>
      <c r="H51" s="100">
        <f>структура!$V$19</f>
        <v>8</v>
      </c>
      <c r="I51" s="31"/>
      <c r="J51" s="98" t="str">
        <f>структура!$X$19</f>
        <v>авг</v>
      </c>
      <c r="K51" s="99"/>
      <c r="L51" s="22"/>
      <c r="M51" s="58"/>
      <c r="N51" s="22"/>
      <c r="O51" s="22"/>
      <c r="P51" s="101">
        <f>IF(P$1="",0,INT(SUM(капитал!$J$67:$J$70)*DAY(EOMONTH(P$8,$H51-MONTH(P$8)))*P27))</f>
        <v>201</v>
      </c>
      <c r="Q51" s="101">
        <f>IF(Q$1="",0,INT(SUM(капитал!$J$67:$J$70)*DAY(EOMONTH(Q$8,$H51-MONTH(Q$8)))*Q27))</f>
        <v>201</v>
      </c>
      <c r="R51" s="101">
        <f>IF(R$1="",0,INT(SUM(капитал!$J$67:$J$70)*DAY(EOMONTH(R$8,$H51-MONTH(R$8)))*R27))</f>
        <v>201</v>
      </c>
      <c r="S51" s="101">
        <f>IF(S$1="",0,INT(SUM(капитал!$J$67:$J$70)*DAY(EOMONTH(S$8,$H51-MONTH(S$8)))*S27))</f>
        <v>201</v>
      </c>
      <c r="T51" s="101">
        <f>IF(T$1="",0,INT(SUM(капитал!$J$67:$J$70)*DAY(EOMONTH(T$8,$H51-MONTH(T$8)))*T27))</f>
        <v>201</v>
      </c>
      <c r="U51" s="101">
        <f>IF(U$1="",0,INT(SUM(капитал!$J$67:$J$70)*DAY(EOMONTH(U$8,$H51-MONTH(U$8)))*U27))</f>
        <v>201</v>
      </c>
      <c r="V51" s="101">
        <f>IF(V$1="",0,INT(SUM(капитал!$J$67:$J$70)*DAY(EOMONTH(V$8,$H51-MONTH(V$8)))*V27))</f>
        <v>201</v>
      </c>
      <c r="W51" s="101">
        <f>IF(W$1="",0,INT(SUM(капитал!$J$67:$J$70)*DAY(EOMONTH(W$8,$H51-MONTH(W$8)))*W27))</f>
        <v>0</v>
      </c>
      <c r="X51" s="101">
        <f>IF(X$1="",0,INT(SUM(капитал!$J$67:$J$70)*DAY(EOMONTH(X$8,$H51-MONTH(X$8)))*X27))</f>
        <v>0</v>
      </c>
      <c r="Y51" s="101">
        <f>IF(Y$1="",0,INT(SUM(капитал!$J$67:$J$70)*DAY(EOMONTH(Y$8,$H51-MONTH(Y$8)))*Y27))</f>
        <v>0</v>
      </c>
      <c r="Z51" s="101">
        <f>IF(Z$1="",0,INT(SUM(капитал!$J$67:$J$70)*DAY(EOMONTH(Z$8,$H51-MONTH(Z$8)))*Z27))</f>
        <v>0</v>
      </c>
      <c r="AA51" s="101">
        <f>IF(AA$1="",0,INT(SUM(капитал!$J$67:$J$70)*DAY(EOMONTH(AA$8,$H51-MONTH(AA$8)))*AA27))</f>
        <v>0</v>
      </c>
      <c r="AB51" s="22"/>
    </row>
    <row r="52" spans="1:28" s="23" customFormat="1" ht="10.199999999999999" x14ac:dyDescent="0.2">
      <c r="A52" s="22"/>
      <c r="B52" s="22"/>
      <c r="C52" s="22"/>
      <c r="D52" s="22"/>
      <c r="E52" s="22" t="str">
        <f t="shared" si="5"/>
        <v>количество арендных сделок</v>
      </c>
      <c r="F52" s="22"/>
      <c r="G52" s="22" t="str">
        <f>IF($E52="","",INDEX(KPI!$G:$G,SUMIFS(KPI!$B:$B,KPI!$E:$E,$E52)))</f>
        <v>шт</v>
      </c>
      <c r="H52" s="100">
        <f>структура!$V$20</f>
        <v>9</v>
      </c>
      <c r="I52" s="31"/>
      <c r="J52" s="98" t="str">
        <f>структура!$X$20</f>
        <v>сен</v>
      </c>
      <c r="K52" s="99"/>
      <c r="L52" s="22"/>
      <c r="M52" s="58"/>
      <c r="N52" s="22"/>
      <c r="O52" s="22"/>
      <c r="P52" s="101">
        <f>IF(P$1="",0,INT(SUM(капитал!$J$67:$J$70)*DAY(EOMONTH(P$8,$H52-MONTH(P$8)))*P28))</f>
        <v>195</v>
      </c>
      <c r="Q52" s="101">
        <f>IF(Q$1="",0,INT(SUM(капитал!$J$67:$J$70)*DAY(EOMONTH(Q$8,$H52-MONTH(Q$8)))*Q28))</f>
        <v>195</v>
      </c>
      <c r="R52" s="101">
        <f>IF(R$1="",0,INT(SUM(капитал!$J$67:$J$70)*DAY(EOMONTH(R$8,$H52-MONTH(R$8)))*R28))</f>
        <v>195</v>
      </c>
      <c r="S52" s="101">
        <f>IF(S$1="",0,INT(SUM(капитал!$J$67:$J$70)*DAY(EOMONTH(S$8,$H52-MONTH(S$8)))*S28))</f>
        <v>195</v>
      </c>
      <c r="T52" s="101">
        <f>IF(T$1="",0,INT(SUM(капитал!$J$67:$J$70)*DAY(EOMONTH(T$8,$H52-MONTH(T$8)))*T28))</f>
        <v>195</v>
      </c>
      <c r="U52" s="101">
        <f>IF(U$1="",0,INT(SUM(капитал!$J$67:$J$70)*DAY(EOMONTH(U$8,$H52-MONTH(U$8)))*U28))</f>
        <v>195</v>
      </c>
      <c r="V52" s="101">
        <f>IF(V$1="",0,INT(SUM(капитал!$J$67:$J$70)*DAY(EOMONTH(V$8,$H52-MONTH(V$8)))*V28))</f>
        <v>195</v>
      </c>
      <c r="W52" s="101">
        <f>IF(W$1="",0,INT(SUM(капитал!$J$67:$J$70)*DAY(EOMONTH(W$8,$H52-MONTH(W$8)))*W28))</f>
        <v>0</v>
      </c>
      <c r="X52" s="101">
        <f>IF(X$1="",0,INT(SUM(капитал!$J$67:$J$70)*DAY(EOMONTH(X$8,$H52-MONTH(X$8)))*X28))</f>
        <v>0</v>
      </c>
      <c r="Y52" s="101">
        <f>IF(Y$1="",0,INT(SUM(капитал!$J$67:$J$70)*DAY(EOMONTH(Y$8,$H52-MONTH(Y$8)))*Y28))</f>
        <v>0</v>
      </c>
      <c r="Z52" s="101">
        <f>IF(Z$1="",0,INT(SUM(капитал!$J$67:$J$70)*DAY(EOMONTH(Z$8,$H52-MONTH(Z$8)))*Z28))</f>
        <v>0</v>
      </c>
      <c r="AA52" s="101">
        <f>IF(AA$1="",0,INT(SUM(капитал!$J$67:$J$70)*DAY(EOMONTH(AA$8,$H52-MONTH(AA$8)))*AA28))</f>
        <v>0</v>
      </c>
      <c r="AB52" s="22"/>
    </row>
    <row r="53" spans="1:28" s="23" customFormat="1" ht="10.199999999999999" x14ac:dyDescent="0.2">
      <c r="A53" s="22"/>
      <c r="B53" s="22"/>
      <c r="C53" s="22"/>
      <c r="D53" s="22"/>
      <c r="E53" s="22" t="str">
        <f t="shared" si="5"/>
        <v>количество арендных сделок</v>
      </c>
      <c r="F53" s="22"/>
      <c r="G53" s="22" t="str">
        <f>IF($E53="","",INDEX(KPI!$G:$G,SUMIFS(KPI!$B:$B,KPI!$E:$E,$E53)))</f>
        <v>шт</v>
      </c>
      <c r="H53" s="100">
        <f>структура!$V$21</f>
        <v>10</v>
      </c>
      <c r="I53" s="31"/>
      <c r="J53" s="98" t="str">
        <f>структура!$X$21</f>
        <v>окт</v>
      </c>
      <c r="K53" s="99"/>
      <c r="L53" s="22"/>
      <c r="M53" s="58"/>
      <c r="N53" s="22"/>
      <c r="O53" s="22"/>
      <c r="P53" s="101">
        <f>IF(P$1="",0,INT(SUM(капитал!$J$67:$J$70)*DAY(EOMONTH(P$8,$H53-MONTH(P$8)))*P29))</f>
        <v>201</v>
      </c>
      <c r="Q53" s="101">
        <f>IF(Q$1="",0,INT(SUM(капитал!$J$67:$J$70)*DAY(EOMONTH(Q$8,$H53-MONTH(Q$8)))*Q29))</f>
        <v>201</v>
      </c>
      <c r="R53" s="101">
        <f>IF(R$1="",0,INT(SUM(капитал!$J$67:$J$70)*DAY(EOMONTH(R$8,$H53-MONTH(R$8)))*R29))</f>
        <v>201</v>
      </c>
      <c r="S53" s="101">
        <f>IF(S$1="",0,INT(SUM(капитал!$J$67:$J$70)*DAY(EOMONTH(S$8,$H53-MONTH(S$8)))*S29))</f>
        <v>201</v>
      </c>
      <c r="T53" s="101">
        <f>IF(T$1="",0,INT(SUM(капитал!$J$67:$J$70)*DAY(EOMONTH(T$8,$H53-MONTH(T$8)))*T29))</f>
        <v>201</v>
      </c>
      <c r="U53" s="101">
        <f>IF(U$1="",0,INT(SUM(капитал!$J$67:$J$70)*DAY(EOMONTH(U$8,$H53-MONTH(U$8)))*U29))</f>
        <v>201</v>
      </c>
      <c r="V53" s="101">
        <f>IF(V$1="",0,INT(SUM(капитал!$J$67:$J$70)*DAY(EOMONTH(V$8,$H53-MONTH(V$8)))*V29))</f>
        <v>201</v>
      </c>
      <c r="W53" s="101">
        <f>IF(W$1="",0,INT(SUM(капитал!$J$67:$J$70)*DAY(EOMONTH(W$8,$H53-MONTH(W$8)))*W29))</f>
        <v>0</v>
      </c>
      <c r="X53" s="101">
        <f>IF(X$1="",0,INT(SUM(капитал!$J$67:$J$70)*DAY(EOMONTH(X$8,$H53-MONTH(X$8)))*X29))</f>
        <v>0</v>
      </c>
      <c r="Y53" s="101">
        <f>IF(Y$1="",0,INT(SUM(капитал!$J$67:$J$70)*DAY(EOMONTH(Y$8,$H53-MONTH(Y$8)))*Y29))</f>
        <v>0</v>
      </c>
      <c r="Z53" s="101">
        <f>IF(Z$1="",0,INT(SUM(капитал!$J$67:$J$70)*DAY(EOMONTH(Z$8,$H53-MONTH(Z$8)))*Z29))</f>
        <v>0</v>
      </c>
      <c r="AA53" s="101">
        <f>IF(AA$1="",0,INT(SUM(капитал!$J$67:$J$70)*DAY(EOMONTH(AA$8,$H53-MONTH(AA$8)))*AA29))</f>
        <v>0</v>
      </c>
      <c r="AB53" s="22"/>
    </row>
    <row r="54" spans="1:28" s="23" customFormat="1" ht="10.199999999999999" x14ac:dyDescent="0.2">
      <c r="A54" s="22"/>
      <c r="B54" s="22"/>
      <c r="C54" s="22"/>
      <c r="D54" s="22"/>
      <c r="E54" s="22" t="str">
        <f t="shared" si="5"/>
        <v>количество арендных сделок</v>
      </c>
      <c r="F54" s="22"/>
      <c r="G54" s="22" t="str">
        <f>IF($E54="","",INDEX(KPI!$G:$G,SUMIFS(KPI!$B:$B,KPI!$E:$E,$E54)))</f>
        <v>шт</v>
      </c>
      <c r="H54" s="100">
        <f>структура!$V$22</f>
        <v>11</v>
      </c>
      <c r="I54" s="31"/>
      <c r="J54" s="98" t="str">
        <f>структура!$X$22</f>
        <v>ноя</v>
      </c>
      <c r="K54" s="99"/>
      <c r="L54" s="22"/>
      <c r="M54" s="58"/>
      <c r="N54" s="22"/>
      <c r="O54" s="22"/>
      <c r="P54" s="101">
        <f>IF(P$1="",0,INT(SUM(капитал!$J$67:$J$70)*DAY(EOMONTH(P$8,$H54-MONTH(P$8)))*P30))</f>
        <v>195</v>
      </c>
      <c r="Q54" s="101">
        <f>IF(Q$1="",0,INT(SUM(капитал!$J$67:$J$70)*DAY(EOMONTH(Q$8,$H54-MONTH(Q$8)))*Q30))</f>
        <v>195</v>
      </c>
      <c r="R54" s="101">
        <f>IF(R$1="",0,INT(SUM(капитал!$J$67:$J$70)*DAY(EOMONTH(R$8,$H54-MONTH(R$8)))*R30))</f>
        <v>195</v>
      </c>
      <c r="S54" s="101">
        <f>IF(S$1="",0,INT(SUM(капитал!$J$67:$J$70)*DAY(EOMONTH(S$8,$H54-MONTH(S$8)))*S30))</f>
        <v>195</v>
      </c>
      <c r="T54" s="101">
        <f>IF(T$1="",0,INT(SUM(капитал!$J$67:$J$70)*DAY(EOMONTH(T$8,$H54-MONTH(T$8)))*T30))</f>
        <v>195</v>
      </c>
      <c r="U54" s="101">
        <f>IF(U$1="",0,INT(SUM(капитал!$J$67:$J$70)*DAY(EOMONTH(U$8,$H54-MONTH(U$8)))*U30))</f>
        <v>195</v>
      </c>
      <c r="V54" s="101">
        <f>IF(V$1="",0,INT(SUM(капитал!$J$67:$J$70)*DAY(EOMONTH(V$8,$H54-MONTH(V$8)))*V30))</f>
        <v>195</v>
      </c>
      <c r="W54" s="101">
        <f>IF(W$1="",0,INT(SUM(капитал!$J$67:$J$70)*DAY(EOMONTH(W$8,$H54-MONTH(W$8)))*W30))</f>
        <v>0</v>
      </c>
      <c r="X54" s="101">
        <f>IF(X$1="",0,INT(SUM(капитал!$J$67:$J$70)*DAY(EOMONTH(X$8,$H54-MONTH(X$8)))*X30))</f>
        <v>0</v>
      </c>
      <c r="Y54" s="101">
        <f>IF(Y$1="",0,INT(SUM(капитал!$J$67:$J$70)*DAY(EOMONTH(Y$8,$H54-MONTH(Y$8)))*Y30))</f>
        <v>0</v>
      </c>
      <c r="Z54" s="101">
        <f>IF(Z$1="",0,INT(SUM(капитал!$J$67:$J$70)*DAY(EOMONTH(Z$8,$H54-MONTH(Z$8)))*Z30))</f>
        <v>0</v>
      </c>
      <c r="AA54" s="101">
        <f>IF(AA$1="",0,INT(SUM(капитал!$J$67:$J$70)*DAY(EOMONTH(AA$8,$H54-MONTH(AA$8)))*AA30))</f>
        <v>0</v>
      </c>
      <c r="AB54" s="22"/>
    </row>
    <row r="55" spans="1:28" s="23" customFormat="1" ht="10.199999999999999" x14ac:dyDescent="0.2">
      <c r="A55" s="22"/>
      <c r="B55" s="22"/>
      <c r="C55" s="22"/>
      <c r="D55" s="22"/>
      <c r="E55" s="22" t="str">
        <f t="shared" si="5"/>
        <v>количество арендных сделок</v>
      </c>
      <c r="F55" s="22"/>
      <c r="G55" s="22" t="str">
        <f>IF($E55="","",INDEX(KPI!$G:$G,SUMIFS(KPI!$B:$B,KPI!$E:$E,$E55)))</f>
        <v>шт</v>
      </c>
      <c r="H55" s="100">
        <f>структура!$V$23</f>
        <v>12</v>
      </c>
      <c r="I55" s="31"/>
      <c r="J55" s="98" t="str">
        <f>структура!$X$23</f>
        <v>дек</v>
      </c>
      <c r="K55" s="99"/>
      <c r="L55" s="22"/>
      <c r="M55" s="58"/>
      <c r="N55" s="22"/>
      <c r="O55" s="22"/>
      <c r="P55" s="101">
        <f>IF(P$1="",0,INT(SUM(капитал!$J$67:$J$70)*DAY(EOMONTH(P$8,$H55-MONTH(P$8)))*P31))</f>
        <v>201</v>
      </c>
      <c r="Q55" s="101">
        <f>IF(Q$1="",0,INT(SUM(капитал!$J$67:$J$70)*DAY(EOMONTH(Q$8,$H55-MONTH(Q$8)))*Q31))</f>
        <v>201</v>
      </c>
      <c r="R55" s="101">
        <f>IF(R$1="",0,INT(SUM(капитал!$J$67:$J$70)*DAY(EOMONTH(R$8,$H55-MONTH(R$8)))*R31))</f>
        <v>201</v>
      </c>
      <c r="S55" s="101">
        <f>IF(S$1="",0,INT(SUM(капитал!$J$67:$J$70)*DAY(EOMONTH(S$8,$H55-MONTH(S$8)))*S31))</f>
        <v>201</v>
      </c>
      <c r="T55" s="101">
        <f>IF(T$1="",0,INT(SUM(капитал!$J$67:$J$70)*DAY(EOMONTH(T$8,$H55-MONTH(T$8)))*T31))</f>
        <v>201</v>
      </c>
      <c r="U55" s="101">
        <f>IF(U$1="",0,INT(SUM(капитал!$J$67:$J$70)*DAY(EOMONTH(U$8,$H55-MONTH(U$8)))*U31))</f>
        <v>201</v>
      </c>
      <c r="V55" s="101">
        <f>IF(V$1="",0,INT(SUM(капитал!$J$67:$J$70)*DAY(EOMONTH(V$8,$H55-MONTH(V$8)))*V31))</f>
        <v>201</v>
      </c>
      <c r="W55" s="101">
        <f>IF(W$1="",0,INT(SUM(капитал!$J$67:$J$70)*DAY(EOMONTH(W$8,$H55-MONTH(W$8)))*W31))</f>
        <v>0</v>
      </c>
      <c r="X55" s="101">
        <f>IF(X$1="",0,INT(SUM(капитал!$J$67:$J$70)*DAY(EOMONTH(X$8,$H55-MONTH(X$8)))*X31))</f>
        <v>0</v>
      </c>
      <c r="Y55" s="101">
        <f>IF(Y$1="",0,INT(SUM(капитал!$J$67:$J$70)*DAY(EOMONTH(Y$8,$H55-MONTH(Y$8)))*Y31))</f>
        <v>0</v>
      </c>
      <c r="Z55" s="101">
        <f>IF(Z$1="",0,INT(SUM(капитал!$J$67:$J$70)*DAY(EOMONTH(Z$8,$H55-MONTH(Z$8)))*Z31))</f>
        <v>0</v>
      </c>
      <c r="AA55" s="101">
        <f>IF(AA$1="",0,INT(SUM(капитал!$J$67:$J$70)*DAY(EOMONTH(AA$8,$H55-MONTH(AA$8)))*AA31))</f>
        <v>0</v>
      </c>
      <c r="AB55" s="22"/>
    </row>
    <row r="56" spans="1:28" ht="3.9" customHeight="1" x14ac:dyDescent="0.25">
      <c r="A56" s="2"/>
      <c r="B56" s="2"/>
      <c r="C56" s="2"/>
      <c r="D56" s="2"/>
      <c r="E56" s="21"/>
      <c r="F56" s="2"/>
      <c r="G56" s="21"/>
      <c r="H56" s="2"/>
      <c r="I56" s="28"/>
      <c r="J56" s="21"/>
      <c r="K56" s="28"/>
      <c r="L56" s="2"/>
      <c r="M56" s="52"/>
      <c r="N56" s="2"/>
      <c r="O56" s="2"/>
      <c r="P56" s="36"/>
      <c r="Q56" s="36"/>
      <c r="R56" s="36"/>
      <c r="S56" s="36"/>
      <c r="T56" s="36"/>
      <c r="U56" s="36"/>
      <c r="V56" s="36"/>
      <c r="W56" s="36"/>
      <c r="X56" s="36"/>
      <c r="Y56" s="36"/>
      <c r="Z56" s="36"/>
      <c r="AA56" s="36"/>
      <c r="AB56" s="2"/>
    </row>
    <row r="57" spans="1:28" ht="8.1" customHeight="1" x14ac:dyDescent="0.25">
      <c r="A57" s="2"/>
      <c r="B57" s="2"/>
      <c r="C57" s="2"/>
      <c r="D57" s="2"/>
      <c r="E57" s="2"/>
      <c r="F57" s="2"/>
      <c r="G57" s="2"/>
      <c r="H57" s="2"/>
      <c r="I57" s="28"/>
      <c r="J57" s="2"/>
      <c r="K57" s="28"/>
      <c r="L57" s="2"/>
      <c r="M57" s="52"/>
      <c r="N57" s="2"/>
      <c r="O57" s="2"/>
      <c r="P57" s="36"/>
      <c r="Q57" s="36"/>
      <c r="R57" s="36"/>
      <c r="S57" s="36"/>
      <c r="T57" s="36"/>
      <c r="U57" s="36"/>
      <c r="V57" s="36"/>
      <c r="W57" s="36"/>
      <c r="X57" s="36"/>
      <c r="Y57" s="36"/>
      <c r="Z57" s="36"/>
      <c r="AA57" s="36"/>
      <c r="AB57" s="2"/>
    </row>
    <row r="58" spans="1:28" s="5" customFormat="1" x14ac:dyDescent="0.25">
      <c r="A58" s="3"/>
      <c r="B58" s="3"/>
      <c r="C58" s="3"/>
      <c r="D58" s="108"/>
      <c r="E58" s="3" t="str">
        <f>KPI!$E$35</f>
        <v>доход от сдачи в аренду</v>
      </c>
      <c r="F58" s="3"/>
      <c r="G58" s="3" t="str">
        <f>IF($E58="","",INDEX(KPI!$G:$G,SUMIFS(KPI!$B:$B,KPI!$E:$E,$E58)))</f>
        <v>тыс.руб.</v>
      </c>
      <c r="H58" s="3"/>
      <c r="I58" s="28"/>
      <c r="J58" s="44"/>
      <c r="K58" s="28"/>
      <c r="L58" s="3"/>
      <c r="M58" s="55">
        <f>SUM($O58:$AB58)</f>
        <v>87059.923076923078</v>
      </c>
      <c r="N58" s="3"/>
      <c r="O58" s="3"/>
      <c r="P58" s="46">
        <f>IF(P$1="",0,IF(P$1=0,SUMIFS(P59:P70,H59:H70,"&gt;="&amp;MONTH($J$13)),SUM(P59:P70)))</f>
        <v>12428.138461538461</v>
      </c>
      <c r="Q58" s="46">
        <f t="shared" ref="Q58" si="6">IF(Q$1="",0,SUM(Q59:Q70))</f>
        <v>12428.138461538461</v>
      </c>
      <c r="R58" s="46">
        <f t="shared" ref="R58:AA58" si="7">IF(R$1="",0,SUM(R59:R70))</f>
        <v>12459.615384615385</v>
      </c>
      <c r="S58" s="46">
        <f t="shared" si="7"/>
        <v>12428.138461538461</v>
      </c>
      <c r="T58" s="46">
        <f t="shared" si="7"/>
        <v>12428.138461538461</v>
      </c>
      <c r="U58" s="46">
        <f t="shared" si="7"/>
        <v>12428.138461538461</v>
      </c>
      <c r="V58" s="46">
        <f t="shared" si="7"/>
        <v>12459.615384615385</v>
      </c>
      <c r="W58" s="46">
        <f t="shared" si="7"/>
        <v>0</v>
      </c>
      <c r="X58" s="46">
        <f t="shared" si="7"/>
        <v>0</v>
      </c>
      <c r="Y58" s="46">
        <f t="shared" si="7"/>
        <v>0</v>
      </c>
      <c r="Z58" s="46">
        <f t="shared" si="7"/>
        <v>0</v>
      </c>
      <c r="AA58" s="46">
        <f t="shared" si="7"/>
        <v>0</v>
      </c>
      <c r="AB58" s="3"/>
    </row>
    <row r="59" spans="1:28" s="23" customFormat="1" ht="10.199999999999999" x14ac:dyDescent="0.2">
      <c r="A59" s="22"/>
      <c r="B59" s="22"/>
      <c r="C59" s="22"/>
      <c r="D59" s="22"/>
      <c r="E59" s="22" t="str">
        <f t="shared" ref="E59:E70" si="8">$E$58</f>
        <v>доход от сдачи в аренду</v>
      </c>
      <c r="F59" s="22"/>
      <c r="G59" s="22" t="str">
        <f>IF($E59="","",INDEX(KPI!$G:$G,SUMIFS(KPI!$B:$B,KPI!$E:$E,$E59)))</f>
        <v>тыс.руб.</v>
      </c>
      <c r="H59" s="100">
        <f>структура!$V$12</f>
        <v>1</v>
      </c>
      <c r="I59" s="31"/>
      <c r="J59" s="98" t="str">
        <f>структура!$X$12</f>
        <v>янв</v>
      </c>
      <c r="K59" s="99"/>
      <c r="L59" s="22"/>
      <c r="M59" s="58"/>
      <c r="N59" s="22"/>
      <c r="O59" s="22"/>
      <c r="P59" s="101">
        <f t="shared" ref="P59:AA70" si="9">IF(P$1="",0,P$41*P44/1000)</f>
        <v>1054.476923076923</v>
      </c>
      <c r="Q59" s="101">
        <f t="shared" si="9"/>
        <v>1054.476923076923</v>
      </c>
      <c r="R59" s="101">
        <f t="shared" si="9"/>
        <v>1054.476923076923</v>
      </c>
      <c r="S59" s="101">
        <f t="shared" si="9"/>
        <v>1054.476923076923</v>
      </c>
      <c r="T59" s="101">
        <f t="shared" si="9"/>
        <v>1054.476923076923</v>
      </c>
      <c r="U59" s="101">
        <f t="shared" si="9"/>
        <v>1054.476923076923</v>
      </c>
      <c r="V59" s="101">
        <f t="shared" si="9"/>
        <v>1054.476923076923</v>
      </c>
      <c r="W59" s="101">
        <f t="shared" si="9"/>
        <v>0</v>
      </c>
      <c r="X59" s="101">
        <f t="shared" si="9"/>
        <v>0</v>
      </c>
      <c r="Y59" s="101">
        <f t="shared" si="9"/>
        <v>0</v>
      </c>
      <c r="Z59" s="101">
        <f t="shared" si="9"/>
        <v>0</v>
      </c>
      <c r="AA59" s="101">
        <f t="shared" si="9"/>
        <v>0</v>
      </c>
      <c r="AB59" s="22"/>
    </row>
    <row r="60" spans="1:28" s="23" customFormat="1" ht="10.199999999999999" x14ac:dyDescent="0.2">
      <c r="A60" s="22"/>
      <c r="B60" s="22"/>
      <c r="C60" s="22"/>
      <c r="D60" s="22"/>
      <c r="E60" s="22" t="str">
        <f t="shared" si="8"/>
        <v>доход от сдачи в аренду</v>
      </c>
      <c r="F60" s="22"/>
      <c r="G60" s="22" t="str">
        <f>IF($E60="","",INDEX(KPI!$G:$G,SUMIFS(KPI!$B:$B,KPI!$E:$E,$E60)))</f>
        <v>тыс.руб.</v>
      </c>
      <c r="H60" s="100">
        <f>структура!$V$13</f>
        <v>2</v>
      </c>
      <c r="I60" s="31"/>
      <c r="J60" s="98" t="str">
        <f>структура!$X$13</f>
        <v>фев</v>
      </c>
      <c r="K60" s="99"/>
      <c r="L60" s="22"/>
      <c r="M60" s="58"/>
      <c r="N60" s="22"/>
      <c r="O60" s="22"/>
      <c r="P60" s="101">
        <f t="shared" si="9"/>
        <v>954.79999999999984</v>
      </c>
      <c r="Q60" s="101">
        <f t="shared" si="9"/>
        <v>954.79999999999984</v>
      </c>
      <c r="R60" s="101">
        <f t="shared" si="9"/>
        <v>986.27692307692303</v>
      </c>
      <c r="S60" s="101">
        <f t="shared" si="9"/>
        <v>954.79999999999984</v>
      </c>
      <c r="T60" s="101">
        <f t="shared" si="9"/>
        <v>954.79999999999984</v>
      </c>
      <c r="U60" s="101">
        <f t="shared" si="9"/>
        <v>954.79999999999984</v>
      </c>
      <c r="V60" s="101">
        <f t="shared" si="9"/>
        <v>986.27692307692303</v>
      </c>
      <c r="W60" s="101">
        <f t="shared" si="9"/>
        <v>0</v>
      </c>
      <c r="X60" s="101">
        <f t="shared" si="9"/>
        <v>0</v>
      </c>
      <c r="Y60" s="101">
        <f t="shared" si="9"/>
        <v>0</v>
      </c>
      <c r="Z60" s="101">
        <f t="shared" si="9"/>
        <v>0</v>
      </c>
      <c r="AA60" s="101">
        <f t="shared" si="9"/>
        <v>0</v>
      </c>
      <c r="AB60" s="22"/>
    </row>
    <row r="61" spans="1:28" s="23" customFormat="1" ht="10.199999999999999" x14ac:dyDescent="0.2">
      <c r="A61" s="22"/>
      <c r="B61" s="22"/>
      <c r="C61" s="22"/>
      <c r="D61" s="22"/>
      <c r="E61" s="22" t="str">
        <f t="shared" si="8"/>
        <v>доход от сдачи в аренду</v>
      </c>
      <c r="F61" s="22"/>
      <c r="G61" s="22" t="str">
        <f>IF($E61="","",INDEX(KPI!$G:$G,SUMIFS(KPI!$B:$B,KPI!$E:$E,$E61)))</f>
        <v>тыс.руб.</v>
      </c>
      <c r="H61" s="100">
        <f>структура!$V$14</f>
        <v>3</v>
      </c>
      <c r="I61" s="31"/>
      <c r="J61" s="98" t="str">
        <f>структура!$X$14</f>
        <v>мар</v>
      </c>
      <c r="K61" s="99"/>
      <c r="L61" s="22"/>
      <c r="M61" s="58"/>
      <c r="N61" s="22"/>
      <c r="O61" s="22"/>
      <c r="P61" s="101">
        <f t="shared" si="9"/>
        <v>1054.476923076923</v>
      </c>
      <c r="Q61" s="101">
        <f t="shared" si="9"/>
        <v>1054.476923076923</v>
      </c>
      <c r="R61" s="101">
        <f t="shared" si="9"/>
        <v>1054.476923076923</v>
      </c>
      <c r="S61" s="101">
        <f t="shared" si="9"/>
        <v>1054.476923076923</v>
      </c>
      <c r="T61" s="101">
        <f t="shared" si="9"/>
        <v>1054.476923076923</v>
      </c>
      <c r="U61" s="101">
        <f t="shared" si="9"/>
        <v>1054.476923076923</v>
      </c>
      <c r="V61" s="101">
        <f t="shared" si="9"/>
        <v>1054.476923076923</v>
      </c>
      <c r="W61" s="101">
        <f t="shared" si="9"/>
        <v>0</v>
      </c>
      <c r="X61" s="101">
        <f t="shared" si="9"/>
        <v>0</v>
      </c>
      <c r="Y61" s="101">
        <f t="shared" si="9"/>
        <v>0</v>
      </c>
      <c r="Z61" s="101">
        <f t="shared" si="9"/>
        <v>0</v>
      </c>
      <c r="AA61" s="101">
        <f t="shared" si="9"/>
        <v>0</v>
      </c>
      <c r="AB61" s="22"/>
    </row>
    <row r="62" spans="1:28" s="23" customFormat="1" ht="10.199999999999999" x14ac:dyDescent="0.2">
      <c r="A62" s="22"/>
      <c r="B62" s="22"/>
      <c r="C62" s="22"/>
      <c r="D62" s="22"/>
      <c r="E62" s="22" t="str">
        <f t="shared" si="8"/>
        <v>доход от сдачи в аренду</v>
      </c>
      <c r="F62" s="22"/>
      <c r="G62" s="22" t="str">
        <f>IF($E62="","",INDEX(KPI!$G:$G,SUMIFS(KPI!$B:$B,KPI!$E:$E,$E62)))</f>
        <v>тыс.руб.</v>
      </c>
      <c r="H62" s="100">
        <f>структура!$V$15</f>
        <v>4</v>
      </c>
      <c r="I62" s="31"/>
      <c r="J62" s="98" t="str">
        <f>структура!$X$15</f>
        <v>апр</v>
      </c>
      <c r="K62" s="99"/>
      <c r="L62" s="22"/>
      <c r="M62" s="58"/>
      <c r="N62" s="22"/>
      <c r="O62" s="22"/>
      <c r="P62" s="101">
        <f t="shared" si="9"/>
        <v>1022.9999999999999</v>
      </c>
      <c r="Q62" s="101">
        <f t="shared" si="9"/>
        <v>1022.9999999999999</v>
      </c>
      <c r="R62" s="101">
        <f t="shared" si="9"/>
        <v>1022.9999999999999</v>
      </c>
      <c r="S62" s="101">
        <f t="shared" si="9"/>
        <v>1022.9999999999999</v>
      </c>
      <c r="T62" s="101">
        <f t="shared" si="9"/>
        <v>1022.9999999999999</v>
      </c>
      <c r="U62" s="101">
        <f t="shared" si="9"/>
        <v>1022.9999999999999</v>
      </c>
      <c r="V62" s="101">
        <f t="shared" si="9"/>
        <v>1022.9999999999999</v>
      </c>
      <c r="W62" s="101">
        <f t="shared" si="9"/>
        <v>0</v>
      </c>
      <c r="X62" s="101">
        <f t="shared" si="9"/>
        <v>0</v>
      </c>
      <c r="Y62" s="101">
        <f t="shared" si="9"/>
        <v>0</v>
      </c>
      <c r="Z62" s="101">
        <f t="shared" si="9"/>
        <v>0</v>
      </c>
      <c r="AA62" s="101">
        <f t="shared" si="9"/>
        <v>0</v>
      </c>
      <c r="AB62" s="22"/>
    </row>
    <row r="63" spans="1:28" s="23" customFormat="1" ht="10.199999999999999" x14ac:dyDescent="0.2">
      <c r="A63" s="22"/>
      <c r="B63" s="22"/>
      <c r="C63" s="22"/>
      <c r="D63" s="22"/>
      <c r="E63" s="22" t="str">
        <f t="shared" si="8"/>
        <v>доход от сдачи в аренду</v>
      </c>
      <c r="F63" s="22"/>
      <c r="G63" s="22" t="str">
        <f>IF($E63="","",INDEX(KPI!$G:$G,SUMIFS(KPI!$B:$B,KPI!$E:$E,$E63)))</f>
        <v>тыс.руб.</v>
      </c>
      <c r="H63" s="100">
        <f>структура!$V$16</f>
        <v>5</v>
      </c>
      <c r="I63" s="31"/>
      <c r="J63" s="98" t="str">
        <f>структура!$X$16</f>
        <v>май</v>
      </c>
      <c r="K63" s="99"/>
      <c r="L63" s="22"/>
      <c r="M63" s="58"/>
      <c r="N63" s="22"/>
      <c r="O63" s="22"/>
      <c r="P63" s="101">
        <f t="shared" si="9"/>
        <v>1054.476923076923</v>
      </c>
      <c r="Q63" s="101">
        <f t="shared" si="9"/>
        <v>1054.476923076923</v>
      </c>
      <c r="R63" s="101">
        <f t="shared" si="9"/>
        <v>1054.476923076923</v>
      </c>
      <c r="S63" s="101">
        <f t="shared" si="9"/>
        <v>1054.476923076923</v>
      </c>
      <c r="T63" s="101">
        <f t="shared" si="9"/>
        <v>1054.476923076923</v>
      </c>
      <c r="U63" s="101">
        <f t="shared" si="9"/>
        <v>1054.476923076923</v>
      </c>
      <c r="V63" s="101">
        <f t="shared" si="9"/>
        <v>1054.476923076923</v>
      </c>
      <c r="W63" s="101">
        <f t="shared" si="9"/>
        <v>0</v>
      </c>
      <c r="X63" s="101">
        <f t="shared" si="9"/>
        <v>0</v>
      </c>
      <c r="Y63" s="101">
        <f t="shared" si="9"/>
        <v>0</v>
      </c>
      <c r="Z63" s="101">
        <f t="shared" si="9"/>
        <v>0</v>
      </c>
      <c r="AA63" s="101">
        <f t="shared" si="9"/>
        <v>0</v>
      </c>
      <c r="AB63" s="22"/>
    </row>
    <row r="64" spans="1:28" s="23" customFormat="1" ht="10.199999999999999" x14ac:dyDescent="0.2">
      <c r="A64" s="22"/>
      <c r="B64" s="22"/>
      <c r="C64" s="22"/>
      <c r="D64" s="22"/>
      <c r="E64" s="22" t="str">
        <f t="shared" si="8"/>
        <v>доход от сдачи в аренду</v>
      </c>
      <c r="F64" s="22"/>
      <c r="G64" s="22" t="str">
        <f>IF($E64="","",INDEX(KPI!$G:$G,SUMIFS(KPI!$B:$B,KPI!$E:$E,$E64)))</f>
        <v>тыс.руб.</v>
      </c>
      <c r="H64" s="100">
        <f>структура!$V$17</f>
        <v>6</v>
      </c>
      <c r="I64" s="31"/>
      <c r="J64" s="98" t="str">
        <f>структура!$X$17</f>
        <v>июн</v>
      </c>
      <c r="K64" s="99"/>
      <c r="L64" s="22"/>
      <c r="M64" s="58"/>
      <c r="N64" s="22"/>
      <c r="O64" s="22"/>
      <c r="P64" s="101">
        <f t="shared" si="9"/>
        <v>1022.9999999999999</v>
      </c>
      <c r="Q64" s="101">
        <f t="shared" si="9"/>
        <v>1022.9999999999999</v>
      </c>
      <c r="R64" s="101">
        <f t="shared" si="9"/>
        <v>1022.9999999999999</v>
      </c>
      <c r="S64" s="101">
        <f t="shared" si="9"/>
        <v>1022.9999999999999</v>
      </c>
      <c r="T64" s="101">
        <f t="shared" si="9"/>
        <v>1022.9999999999999</v>
      </c>
      <c r="U64" s="101">
        <f t="shared" si="9"/>
        <v>1022.9999999999999</v>
      </c>
      <c r="V64" s="101">
        <f t="shared" si="9"/>
        <v>1022.9999999999999</v>
      </c>
      <c r="W64" s="101">
        <f t="shared" si="9"/>
        <v>0</v>
      </c>
      <c r="X64" s="101">
        <f t="shared" si="9"/>
        <v>0</v>
      </c>
      <c r="Y64" s="101">
        <f t="shared" si="9"/>
        <v>0</v>
      </c>
      <c r="Z64" s="101">
        <f t="shared" si="9"/>
        <v>0</v>
      </c>
      <c r="AA64" s="101">
        <f t="shared" si="9"/>
        <v>0</v>
      </c>
      <c r="AB64" s="22"/>
    </row>
    <row r="65" spans="1:28" s="23" customFormat="1" ht="10.199999999999999" x14ac:dyDescent="0.2">
      <c r="A65" s="22"/>
      <c r="B65" s="22"/>
      <c r="C65" s="22"/>
      <c r="D65" s="22"/>
      <c r="E65" s="22" t="str">
        <f t="shared" si="8"/>
        <v>доход от сдачи в аренду</v>
      </c>
      <c r="F65" s="22"/>
      <c r="G65" s="22" t="str">
        <f>IF($E65="","",INDEX(KPI!$G:$G,SUMIFS(KPI!$B:$B,KPI!$E:$E,$E65)))</f>
        <v>тыс.руб.</v>
      </c>
      <c r="H65" s="100">
        <f>структура!$V$18</f>
        <v>7</v>
      </c>
      <c r="I65" s="31"/>
      <c r="J65" s="98" t="str">
        <f>структура!$X$18</f>
        <v>июл</v>
      </c>
      <c r="K65" s="99"/>
      <c r="L65" s="22"/>
      <c r="M65" s="58"/>
      <c r="N65" s="22"/>
      <c r="O65" s="22"/>
      <c r="P65" s="101">
        <f t="shared" si="9"/>
        <v>1054.476923076923</v>
      </c>
      <c r="Q65" s="101">
        <f t="shared" si="9"/>
        <v>1054.476923076923</v>
      </c>
      <c r="R65" s="101">
        <f t="shared" si="9"/>
        <v>1054.476923076923</v>
      </c>
      <c r="S65" s="101">
        <f t="shared" si="9"/>
        <v>1054.476923076923</v>
      </c>
      <c r="T65" s="101">
        <f t="shared" si="9"/>
        <v>1054.476923076923</v>
      </c>
      <c r="U65" s="101">
        <f t="shared" si="9"/>
        <v>1054.476923076923</v>
      </c>
      <c r="V65" s="101">
        <f t="shared" si="9"/>
        <v>1054.476923076923</v>
      </c>
      <c r="W65" s="101">
        <f t="shared" si="9"/>
        <v>0</v>
      </c>
      <c r="X65" s="101">
        <f t="shared" si="9"/>
        <v>0</v>
      </c>
      <c r="Y65" s="101">
        <f t="shared" si="9"/>
        <v>0</v>
      </c>
      <c r="Z65" s="101">
        <f t="shared" si="9"/>
        <v>0</v>
      </c>
      <c r="AA65" s="101">
        <f t="shared" si="9"/>
        <v>0</v>
      </c>
      <c r="AB65" s="22"/>
    </row>
    <row r="66" spans="1:28" s="23" customFormat="1" ht="10.199999999999999" x14ac:dyDescent="0.2">
      <c r="A66" s="22"/>
      <c r="B66" s="22"/>
      <c r="C66" s="22"/>
      <c r="D66" s="22"/>
      <c r="E66" s="22" t="str">
        <f t="shared" si="8"/>
        <v>доход от сдачи в аренду</v>
      </c>
      <c r="F66" s="22"/>
      <c r="G66" s="22" t="str">
        <f>IF($E66="","",INDEX(KPI!$G:$G,SUMIFS(KPI!$B:$B,KPI!$E:$E,$E66)))</f>
        <v>тыс.руб.</v>
      </c>
      <c r="H66" s="100">
        <f>структура!$V$19</f>
        <v>8</v>
      </c>
      <c r="I66" s="31"/>
      <c r="J66" s="98" t="str">
        <f>структура!$X$19</f>
        <v>авг</v>
      </c>
      <c r="K66" s="99"/>
      <c r="L66" s="22"/>
      <c r="M66" s="58"/>
      <c r="N66" s="22"/>
      <c r="O66" s="22"/>
      <c r="P66" s="101">
        <f t="shared" si="9"/>
        <v>1054.476923076923</v>
      </c>
      <c r="Q66" s="101">
        <f t="shared" si="9"/>
        <v>1054.476923076923</v>
      </c>
      <c r="R66" s="101">
        <f t="shared" si="9"/>
        <v>1054.476923076923</v>
      </c>
      <c r="S66" s="101">
        <f t="shared" si="9"/>
        <v>1054.476923076923</v>
      </c>
      <c r="T66" s="101">
        <f t="shared" si="9"/>
        <v>1054.476923076923</v>
      </c>
      <c r="U66" s="101">
        <f t="shared" si="9"/>
        <v>1054.476923076923</v>
      </c>
      <c r="V66" s="101">
        <f t="shared" si="9"/>
        <v>1054.476923076923</v>
      </c>
      <c r="W66" s="101">
        <f t="shared" si="9"/>
        <v>0</v>
      </c>
      <c r="X66" s="101">
        <f t="shared" si="9"/>
        <v>0</v>
      </c>
      <c r="Y66" s="101">
        <f t="shared" si="9"/>
        <v>0</v>
      </c>
      <c r="Z66" s="101">
        <f t="shared" si="9"/>
        <v>0</v>
      </c>
      <c r="AA66" s="101">
        <f t="shared" si="9"/>
        <v>0</v>
      </c>
      <c r="AB66" s="22"/>
    </row>
    <row r="67" spans="1:28" s="23" customFormat="1" ht="10.199999999999999" x14ac:dyDescent="0.2">
      <c r="A67" s="22"/>
      <c r="B67" s="22"/>
      <c r="C67" s="22"/>
      <c r="D67" s="22"/>
      <c r="E67" s="22" t="str">
        <f t="shared" si="8"/>
        <v>доход от сдачи в аренду</v>
      </c>
      <c r="F67" s="22"/>
      <c r="G67" s="22" t="str">
        <f>IF($E67="","",INDEX(KPI!$G:$G,SUMIFS(KPI!$B:$B,KPI!$E:$E,$E67)))</f>
        <v>тыс.руб.</v>
      </c>
      <c r="H67" s="100">
        <f>структура!$V$20</f>
        <v>9</v>
      </c>
      <c r="I67" s="31"/>
      <c r="J67" s="98" t="str">
        <f>структура!$X$20</f>
        <v>сен</v>
      </c>
      <c r="K67" s="99"/>
      <c r="L67" s="22"/>
      <c r="M67" s="58"/>
      <c r="N67" s="22"/>
      <c r="O67" s="22"/>
      <c r="P67" s="101">
        <f t="shared" si="9"/>
        <v>1022.9999999999999</v>
      </c>
      <c r="Q67" s="101">
        <f t="shared" si="9"/>
        <v>1022.9999999999999</v>
      </c>
      <c r="R67" s="101">
        <f t="shared" si="9"/>
        <v>1022.9999999999999</v>
      </c>
      <c r="S67" s="101">
        <f t="shared" si="9"/>
        <v>1022.9999999999999</v>
      </c>
      <c r="T67" s="101">
        <f t="shared" si="9"/>
        <v>1022.9999999999999</v>
      </c>
      <c r="U67" s="101">
        <f t="shared" si="9"/>
        <v>1022.9999999999999</v>
      </c>
      <c r="V67" s="101">
        <f t="shared" si="9"/>
        <v>1022.9999999999999</v>
      </c>
      <c r="W67" s="101">
        <f t="shared" si="9"/>
        <v>0</v>
      </c>
      <c r="X67" s="101">
        <f t="shared" si="9"/>
        <v>0</v>
      </c>
      <c r="Y67" s="101">
        <f t="shared" si="9"/>
        <v>0</v>
      </c>
      <c r="Z67" s="101">
        <f t="shared" si="9"/>
        <v>0</v>
      </c>
      <c r="AA67" s="101">
        <f t="shared" si="9"/>
        <v>0</v>
      </c>
      <c r="AB67" s="22"/>
    </row>
    <row r="68" spans="1:28" s="23" customFormat="1" ht="10.199999999999999" x14ac:dyDescent="0.2">
      <c r="A68" s="22"/>
      <c r="B68" s="22"/>
      <c r="C68" s="22"/>
      <c r="D68" s="22"/>
      <c r="E68" s="22" t="str">
        <f t="shared" si="8"/>
        <v>доход от сдачи в аренду</v>
      </c>
      <c r="F68" s="22"/>
      <c r="G68" s="22" t="str">
        <f>IF($E68="","",INDEX(KPI!$G:$G,SUMIFS(KPI!$B:$B,KPI!$E:$E,$E68)))</f>
        <v>тыс.руб.</v>
      </c>
      <c r="H68" s="100">
        <f>структура!$V$21</f>
        <v>10</v>
      </c>
      <c r="I68" s="31"/>
      <c r="J68" s="98" t="str">
        <f>структура!$X$21</f>
        <v>окт</v>
      </c>
      <c r="K68" s="99"/>
      <c r="L68" s="22"/>
      <c r="M68" s="58"/>
      <c r="N68" s="22"/>
      <c r="O68" s="22"/>
      <c r="P68" s="101">
        <f t="shared" si="9"/>
        <v>1054.476923076923</v>
      </c>
      <c r="Q68" s="101">
        <f t="shared" si="9"/>
        <v>1054.476923076923</v>
      </c>
      <c r="R68" s="101">
        <f t="shared" si="9"/>
        <v>1054.476923076923</v>
      </c>
      <c r="S68" s="101">
        <f t="shared" si="9"/>
        <v>1054.476923076923</v>
      </c>
      <c r="T68" s="101">
        <f t="shared" si="9"/>
        <v>1054.476923076923</v>
      </c>
      <c r="U68" s="101">
        <f t="shared" si="9"/>
        <v>1054.476923076923</v>
      </c>
      <c r="V68" s="101">
        <f t="shared" si="9"/>
        <v>1054.476923076923</v>
      </c>
      <c r="W68" s="101">
        <f t="shared" si="9"/>
        <v>0</v>
      </c>
      <c r="X68" s="101">
        <f t="shared" si="9"/>
        <v>0</v>
      </c>
      <c r="Y68" s="101">
        <f t="shared" si="9"/>
        <v>0</v>
      </c>
      <c r="Z68" s="101">
        <f t="shared" si="9"/>
        <v>0</v>
      </c>
      <c r="AA68" s="101">
        <f t="shared" si="9"/>
        <v>0</v>
      </c>
      <c r="AB68" s="22"/>
    </row>
    <row r="69" spans="1:28" s="23" customFormat="1" ht="10.199999999999999" x14ac:dyDescent="0.2">
      <c r="A69" s="22"/>
      <c r="B69" s="22"/>
      <c r="C69" s="22"/>
      <c r="D69" s="22"/>
      <c r="E69" s="22" t="str">
        <f t="shared" si="8"/>
        <v>доход от сдачи в аренду</v>
      </c>
      <c r="F69" s="22"/>
      <c r="G69" s="22" t="str">
        <f>IF($E69="","",INDEX(KPI!$G:$G,SUMIFS(KPI!$B:$B,KPI!$E:$E,$E69)))</f>
        <v>тыс.руб.</v>
      </c>
      <c r="H69" s="100">
        <f>структура!$V$22</f>
        <v>11</v>
      </c>
      <c r="I69" s="31"/>
      <c r="J69" s="98" t="str">
        <f>структура!$X$22</f>
        <v>ноя</v>
      </c>
      <c r="K69" s="99"/>
      <c r="L69" s="22"/>
      <c r="M69" s="58"/>
      <c r="N69" s="22"/>
      <c r="O69" s="22"/>
      <c r="P69" s="101">
        <f t="shared" si="9"/>
        <v>1022.9999999999999</v>
      </c>
      <c r="Q69" s="101">
        <f t="shared" si="9"/>
        <v>1022.9999999999999</v>
      </c>
      <c r="R69" s="101">
        <f t="shared" si="9"/>
        <v>1022.9999999999999</v>
      </c>
      <c r="S69" s="101">
        <f t="shared" si="9"/>
        <v>1022.9999999999999</v>
      </c>
      <c r="T69" s="101">
        <f t="shared" si="9"/>
        <v>1022.9999999999999</v>
      </c>
      <c r="U69" s="101">
        <f t="shared" si="9"/>
        <v>1022.9999999999999</v>
      </c>
      <c r="V69" s="101">
        <f t="shared" si="9"/>
        <v>1022.9999999999999</v>
      </c>
      <c r="W69" s="101">
        <f t="shared" si="9"/>
        <v>0</v>
      </c>
      <c r="X69" s="101">
        <f t="shared" si="9"/>
        <v>0</v>
      </c>
      <c r="Y69" s="101">
        <f t="shared" si="9"/>
        <v>0</v>
      </c>
      <c r="Z69" s="101">
        <f t="shared" si="9"/>
        <v>0</v>
      </c>
      <c r="AA69" s="101">
        <f t="shared" si="9"/>
        <v>0</v>
      </c>
      <c r="AB69" s="22"/>
    </row>
    <row r="70" spans="1:28" s="23" customFormat="1" ht="10.199999999999999" x14ac:dyDescent="0.2">
      <c r="A70" s="22"/>
      <c r="B70" s="22"/>
      <c r="C70" s="22"/>
      <c r="D70" s="22"/>
      <c r="E70" s="22" t="str">
        <f t="shared" si="8"/>
        <v>доход от сдачи в аренду</v>
      </c>
      <c r="F70" s="22"/>
      <c r="G70" s="22" t="str">
        <f>IF($E70="","",INDEX(KPI!$G:$G,SUMIFS(KPI!$B:$B,KPI!$E:$E,$E70)))</f>
        <v>тыс.руб.</v>
      </c>
      <c r="H70" s="100">
        <f>структура!$V$23</f>
        <v>12</v>
      </c>
      <c r="I70" s="31"/>
      <c r="J70" s="98" t="str">
        <f>структура!$X$23</f>
        <v>дек</v>
      </c>
      <c r="K70" s="99"/>
      <c r="L70" s="22"/>
      <c r="M70" s="58"/>
      <c r="N70" s="22"/>
      <c r="O70" s="22"/>
      <c r="P70" s="101">
        <f t="shared" si="9"/>
        <v>1054.476923076923</v>
      </c>
      <c r="Q70" s="101">
        <f t="shared" si="9"/>
        <v>1054.476923076923</v>
      </c>
      <c r="R70" s="101">
        <f t="shared" si="9"/>
        <v>1054.476923076923</v>
      </c>
      <c r="S70" s="101">
        <f t="shared" si="9"/>
        <v>1054.476923076923</v>
      </c>
      <c r="T70" s="101">
        <f t="shared" si="9"/>
        <v>1054.476923076923</v>
      </c>
      <c r="U70" s="101">
        <f t="shared" si="9"/>
        <v>1054.476923076923</v>
      </c>
      <c r="V70" s="101">
        <f t="shared" si="9"/>
        <v>1054.476923076923</v>
      </c>
      <c r="W70" s="101">
        <f t="shared" si="9"/>
        <v>0</v>
      </c>
      <c r="X70" s="101">
        <f t="shared" si="9"/>
        <v>0</v>
      </c>
      <c r="Y70" s="101">
        <f t="shared" si="9"/>
        <v>0</v>
      </c>
      <c r="Z70" s="101">
        <f t="shared" si="9"/>
        <v>0</v>
      </c>
      <c r="AA70" s="101">
        <f t="shared" si="9"/>
        <v>0</v>
      </c>
      <c r="AB70" s="22"/>
    </row>
    <row r="71" spans="1:28" ht="3.9" customHeight="1" x14ac:dyDescent="0.25">
      <c r="A71" s="2"/>
      <c r="B71" s="2"/>
      <c r="C71" s="2"/>
      <c r="D71" s="2"/>
      <c r="E71" s="21"/>
      <c r="F71" s="2"/>
      <c r="G71" s="21"/>
      <c r="H71" s="2"/>
      <c r="I71" s="28"/>
      <c r="J71" s="21"/>
      <c r="K71" s="28"/>
      <c r="L71" s="2"/>
      <c r="M71" s="52"/>
      <c r="N71" s="2"/>
      <c r="O71" s="2"/>
      <c r="P71" s="36"/>
      <c r="Q71" s="36"/>
      <c r="R71" s="36"/>
      <c r="S71" s="36"/>
      <c r="T71" s="36"/>
      <c r="U71" s="36"/>
      <c r="V71" s="36"/>
      <c r="W71" s="36"/>
      <c r="X71" s="36"/>
      <c r="Y71" s="36"/>
      <c r="Z71" s="36"/>
      <c r="AA71" s="36"/>
      <c r="AB71" s="2"/>
    </row>
    <row r="72" spans="1:28" ht="8.1" customHeight="1" x14ac:dyDescent="0.25">
      <c r="A72" s="2"/>
      <c r="B72" s="2"/>
      <c r="C72" s="2"/>
      <c r="D72" s="2"/>
      <c r="E72" s="2"/>
      <c r="F72" s="2"/>
      <c r="G72" s="2"/>
      <c r="H72" s="2"/>
      <c r="I72" s="28"/>
      <c r="J72" s="2"/>
      <c r="K72" s="28"/>
      <c r="L72" s="2"/>
      <c r="M72" s="52"/>
      <c r="N72" s="2"/>
      <c r="O72" s="2"/>
      <c r="P72" s="36"/>
      <c r="Q72" s="36"/>
      <c r="R72" s="36"/>
      <c r="S72" s="36"/>
      <c r="T72" s="36"/>
      <c r="U72" s="36"/>
      <c r="V72" s="36"/>
      <c r="W72" s="36"/>
      <c r="X72" s="36"/>
      <c r="Y72" s="36"/>
      <c r="Z72" s="36"/>
      <c r="AA72" s="36"/>
      <c r="AB72" s="2"/>
    </row>
    <row r="73" spans="1:28" s="5" customFormat="1" x14ac:dyDescent="0.25">
      <c r="A73" s="3"/>
      <c r="B73" s="3"/>
      <c r="C73" s="3"/>
      <c r="D73" s="3"/>
      <c r="E73" s="3" t="str">
        <f>KPI!$E$36</f>
        <v>максимальное кол-во человек на объект</v>
      </c>
      <c r="F73" s="3"/>
      <c r="G73" s="3" t="str">
        <f>IF($E73="","",INDEX(KPI!$G:$G,SUMIFS(KPI!$B:$B,KPI!$E:$E,$E73)))</f>
        <v>чел</v>
      </c>
      <c r="H73" s="3"/>
      <c r="I73" s="28"/>
      <c r="J73" s="3"/>
      <c r="K73" s="28"/>
      <c r="L73" s="3"/>
      <c r="M73" s="55"/>
      <c r="N73" s="3"/>
      <c r="O73" s="3"/>
      <c r="P73" s="46"/>
      <c r="Q73" s="46"/>
      <c r="R73" s="46"/>
      <c r="S73" s="46"/>
      <c r="T73" s="46"/>
      <c r="U73" s="46"/>
      <c r="V73" s="46"/>
      <c r="W73" s="46"/>
      <c r="X73" s="46"/>
      <c r="Y73" s="46"/>
      <c r="Z73" s="46"/>
      <c r="AA73" s="46"/>
      <c r="AB73" s="3"/>
    </row>
    <row r="74" spans="1:28" ht="3.9" customHeight="1" x14ac:dyDescent="0.25">
      <c r="A74" s="2"/>
      <c r="B74" s="2"/>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x14ac:dyDescent="0.25">
      <c r="A75" s="2"/>
      <c r="B75" s="2"/>
      <c r="C75" s="2"/>
      <c r="D75" s="2"/>
      <c r="E75" s="48" t="str">
        <f>структура!$AF$12</f>
        <v>беседка большая</v>
      </c>
      <c r="F75" s="2"/>
      <c r="G75" s="2" t="str">
        <f>G73</f>
        <v>чел</v>
      </c>
      <c r="H75" s="2"/>
      <c r="I75" s="6"/>
      <c r="J75" s="204">
        <f>операции!J75</f>
        <v>20</v>
      </c>
      <c r="K75" s="28"/>
      <c r="L75" s="2"/>
      <c r="M75" s="52"/>
      <c r="N75" s="2"/>
      <c r="O75" s="2"/>
      <c r="P75" s="36"/>
      <c r="Q75" s="36"/>
      <c r="R75" s="36"/>
      <c r="S75" s="36"/>
      <c r="T75" s="36"/>
      <c r="U75" s="36"/>
      <c r="V75" s="36"/>
      <c r="W75" s="36"/>
      <c r="X75" s="36"/>
      <c r="Y75" s="36"/>
      <c r="Z75" s="36"/>
      <c r="AA75" s="36"/>
      <c r="AB75" s="2"/>
    </row>
    <row r="76" spans="1:28" x14ac:dyDescent="0.25">
      <c r="A76" s="2"/>
      <c r="B76" s="2"/>
      <c r="C76" s="2"/>
      <c r="D76" s="2"/>
      <c r="E76" s="49" t="str">
        <f>структура!$AF$13</f>
        <v>беседка малая</v>
      </c>
      <c r="F76" s="2"/>
      <c r="G76" s="2" t="str">
        <f>G73</f>
        <v>чел</v>
      </c>
      <c r="H76" s="2"/>
      <c r="I76" s="6"/>
      <c r="J76" s="204">
        <f>операции!J76</f>
        <v>10</v>
      </c>
      <c r="K76" s="28"/>
      <c r="L76" s="2"/>
      <c r="M76" s="52"/>
      <c r="N76" s="2"/>
      <c r="O76" s="2"/>
      <c r="P76" s="36"/>
      <c r="Q76" s="36"/>
      <c r="R76" s="36"/>
      <c r="S76" s="36"/>
      <c r="T76" s="36"/>
      <c r="U76" s="36"/>
      <c r="V76" s="36"/>
      <c r="W76" s="36"/>
      <c r="X76" s="36"/>
      <c r="Y76" s="36"/>
      <c r="Z76" s="36"/>
      <c r="AA76" s="36"/>
      <c r="AB76" s="2"/>
    </row>
    <row r="77" spans="1:28" x14ac:dyDescent="0.25">
      <c r="A77" s="2"/>
      <c r="B77" s="2"/>
      <c r="C77" s="2"/>
      <c r="D77" s="2"/>
      <c r="E77" s="49" t="str">
        <f>структура!$AF$14</f>
        <v>прочие для сдачи в аренду</v>
      </c>
      <c r="F77" s="2"/>
      <c r="G77" s="2" t="str">
        <f>G73</f>
        <v>чел</v>
      </c>
      <c r="H77" s="2"/>
      <c r="I77" s="6"/>
      <c r="J77" s="204">
        <f>операции!J77</f>
        <v>0</v>
      </c>
      <c r="K77" s="28"/>
      <c r="L77" s="2"/>
      <c r="M77" s="52"/>
      <c r="N77" s="2"/>
      <c r="O77" s="2"/>
      <c r="P77" s="36"/>
      <c r="Q77" s="36"/>
      <c r="R77" s="36"/>
      <c r="S77" s="36"/>
      <c r="T77" s="36"/>
      <c r="U77" s="36"/>
      <c r="V77" s="36"/>
      <c r="W77" s="36"/>
      <c r="X77" s="36"/>
      <c r="Y77" s="36"/>
      <c r="Z77" s="36"/>
      <c r="AA77" s="36"/>
      <c r="AB77" s="2"/>
    </row>
    <row r="78" spans="1:28" ht="3.9" customHeight="1" x14ac:dyDescent="0.25">
      <c r="A78" s="2"/>
      <c r="B78" s="2"/>
      <c r="C78" s="2"/>
      <c r="D78" s="2"/>
      <c r="E78" s="50"/>
      <c r="F78" s="2"/>
      <c r="G78" s="2"/>
      <c r="H78" s="2"/>
      <c r="I78" s="28"/>
      <c r="J78" s="2"/>
      <c r="K78" s="28"/>
      <c r="L78" s="2"/>
      <c r="M78" s="52"/>
      <c r="N78" s="2"/>
      <c r="O78" s="2"/>
      <c r="P78" s="36"/>
      <c r="Q78" s="36"/>
      <c r="R78" s="36"/>
      <c r="S78" s="36"/>
      <c r="T78" s="36"/>
      <c r="U78" s="36"/>
      <c r="V78" s="36"/>
      <c r="W78" s="36"/>
      <c r="X78" s="36"/>
      <c r="Y78" s="36"/>
      <c r="Z78" s="36"/>
      <c r="AA78" s="36"/>
      <c r="AB78" s="2"/>
    </row>
    <row r="79" spans="1:28" ht="8.1" customHeight="1" x14ac:dyDescent="0.25">
      <c r="A79" s="2"/>
      <c r="B79" s="2"/>
      <c r="C79" s="2"/>
      <c r="D79" s="2"/>
      <c r="E79" s="2"/>
      <c r="F79" s="2"/>
      <c r="G79" s="2"/>
      <c r="H79" s="2"/>
      <c r="I79" s="28"/>
      <c r="J79" s="2"/>
      <c r="K79" s="28"/>
      <c r="L79" s="2"/>
      <c r="M79" s="52"/>
      <c r="N79" s="2"/>
      <c r="O79" s="2"/>
      <c r="P79" s="36"/>
      <c r="Q79" s="36"/>
      <c r="R79" s="36"/>
      <c r="S79" s="36"/>
      <c r="T79" s="36"/>
      <c r="U79" s="36"/>
      <c r="V79" s="36"/>
      <c r="W79" s="36"/>
      <c r="X79" s="36"/>
      <c r="Y79" s="36"/>
      <c r="Z79" s="36"/>
      <c r="AA79" s="36"/>
      <c r="AB79" s="2"/>
    </row>
    <row r="80" spans="1:28" s="5" customFormat="1" x14ac:dyDescent="0.25">
      <c r="A80" s="3"/>
      <c r="B80" s="3"/>
      <c r="C80" s="3"/>
      <c r="D80" s="3"/>
      <c r="E80" s="3" t="str">
        <f>KPI!$E$37</f>
        <v>средняя наполняемость одного объекта</v>
      </c>
      <c r="F80" s="3"/>
      <c r="G80" s="3" t="str">
        <f>IF($E80="","",INDEX(KPI!$G:$G,SUMIFS(KPI!$B:$B,KPI!$E:$E,$E80)))</f>
        <v>чел</v>
      </c>
      <c r="H80" s="3"/>
      <c r="I80" s="28"/>
      <c r="J80" s="104" t="str">
        <f>$P$19</f>
        <v>сценарий-3</v>
      </c>
      <c r="K80" s="28"/>
      <c r="L80" s="3"/>
      <c r="M80" s="55"/>
      <c r="N80" s="3"/>
      <c r="O80" s="3"/>
      <c r="P80" s="46"/>
      <c r="Q80" s="46"/>
      <c r="R80" s="46"/>
      <c r="S80" s="46"/>
      <c r="T80" s="46"/>
      <c r="U80" s="46"/>
      <c r="V80" s="46"/>
      <c r="W80" s="46"/>
      <c r="X80" s="46"/>
      <c r="Y80" s="46"/>
      <c r="Z80" s="46"/>
      <c r="AA80" s="46"/>
      <c r="AB80" s="3"/>
    </row>
    <row r="81" spans="1:28" ht="3.9" customHeight="1" x14ac:dyDescent="0.25">
      <c r="A81" s="2"/>
      <c r="B81" s="2"/>
      <c r="C81" s="2"/>
      <c r="D81" s="2"/>
      <c r="E81" s="2"/>
      <c r="F81" s="2"/>
      <c r="G81" s="2"/>
      <c r="H81" s="2"/>
      <c r="I81" s="28"/>
      <c r="J81" s="2"/>
      <c r="K81" s="28"/>
      <c r="L81" s="2"/>
      <c r="M81" s="52"/>
      <c r="N81" s="2"/>
      <c r="O81" s="2"/>
      <c r="P81" s="36"/>
      <c r="Q81" s="36"/>
      <c r="R81" s="36"/>
      <c r="S81" s="36"/>
      <c r="T81" s="36"/>
      <c r="U81" s="36"/>
      <c r="V81" s="36"/>
      <c r="W81" s="36"/>
      <c r="X81" s="36"/>
      <c r="Y81" s="36"/>
      <c r="Z81" s="36"/>
      <c r="AA81" s="36"/>
      <c r="AB81" s="2"/>
    </row>
    <row r="82" spans="1:28" x14ac:dyDescent="0.25">
      <c r="A82" s="2"/>
      <c r="B82" s="2"/>
      <c r="C82" s="2"/>
      <c r="D82" s="2"/>
      <c r="E82" s="48" t="str">
        <f>структура!$AF$12</f>
        <v>беседка большая</v>
      </c>
      <c r="F82" s="2"/>
      <c r="G82" s="2" t="str">
        <f>G80</f>
        <v>чел</v>
      </c>
      <c r="H82" s="2"/>
      <c r="I82" s="28"/>
      <c r="J82" s="219">
        <f>SUMIFS(сценарии!J:J,сценарии!$E:$E,$E82,сценарии!$M:$M,$J$80)</f>
        <v>18</v>
      </c>
      <c r="K82" s="105" t="str">
        <f>IF(J82&gt;J75,структура!$AL$19,"")</f>
        <v/>
      </c>
      <c r="L82" s="2"/>
      <c r="M82" s="52"/>
      <c r="N82" s="2"/>
      <c r="O82" s="2"/>
      <c r="P82" s="36"/>
      <c r="Q82" s="36"/>
      <c r="R82" s="36"/>
      <c r="S82" s="36"/>
      <c r="T82" s="36"/>
      <c r="U82" s="36"/>
      <c r="V82" s="36"/>
      <c r="W82" s="36"/>
      <c r="X82" s="36"/>
      <c r="Y82" s="36"/>
      <c r="Z82" s="36"/>
      <c r="AA82" s="36"/>
      <c r="AB82" s="2"/>
    </row>
    <row r="83" spans="1:28" x14ac:dyDescent="0.25">
      <c r="A83" s="2"/>
      <c r="B83" s="2"/>
      <c r="C83" s="2"/>
      <c r="D83" s="2"/>
      <c r="E83" s="49" t="str">
        <f>структура!$AF$13</f>
        <v>беседка малая</v>
      </c>
      <c r="F83" s="2"/>
      <c r="G83" s="2" t="str">
        <f>G80</f>
        <v>чел</v>
      </c>
      <c r="H83" s="2"/>
      <c r="I83" s="28"/>
      <c r="J83" s="219">
        <f>SUMIFS(сценарии!J:J,сценарии!$E:$E,$E83,сценарии!$M:$M,$J$80)</f>
        <v>9</v>
      </c>
      <c r="K83" s="105" t="str">
        <f>IF(J83&gt;J76,структура!$AL$19,"")</f>
        <v/>
      </c>
      <c r="L83" s="2"/>
      <c r="M83" s="52"/>
      <c r="N83" s="2"/>
      <c r="O83" s="2"/>
      <c r="P83" s="36"/>
      <c r="Q83" s="36"/>
      <c r="R83" s="36"/>
      <c r="S83" s="36"/>
      <c r="T83" s="36"/>
      <c r="U83" s="36"/>
      <c r="V83" s="36"/>
      <c r="W83" s="36"/>
      <c r="X83" s="36"/>
      <c r="Y83" s="36"/>
      <c r="Z83" s="36"/>
      <c r="AA83" s="36"/>
      <c r="AB83" s="2"/>
    </row>
    <row r="84" spans="1:28" x14ac:dyDescent="0.25">
      <c r="A84" s="2"/>
      <c r="B84" s="2"/>
      <c r="C84" s="2"/>
      <c r="D84" s="2"/>
      <c r="E84" s="49" t="str">
        <f>структура!$AF$14</f>
        <v>прочие для сдачи в аренду</v>
      </c>
      <c r="F84" s="2"/>
      <c r="G84" s="2" t="str">
        <f>G80</f>
        <v>чел</v>
      </c>
      <c r="H84" s="2"/>
      <c r="I84" s="28"/>
      <c r="J84" s="219">
        <f>SUMIFS(сценарии!J:J,сценарии!$E:$E,$E84,сценарии!$M:$M,$J$80)</f>
        <v>0</v>
      </c>
      <c r="K84" s="28"/>
      <c r="L84" s="2"/>
      <c r="M84" s="52"/>
      <c r="N84" s="2"/>
      <c r="O84" s="2"/>
      <c r="P84" s="36"/>
      <c r="Q84" s="36"/>
      <c r="R84" s="36"/>
      <c r="S84" s="36"/>
      <c r="T84" s="36"/>
      <c r="U84" s="36"/>
      <c r="V84" s="36"/>
      <c r="W84" s="36"/>
      <c r="X84" s="36"/>
      <c r="Y84" s="36"/>
      <c r="Z84" s="36"/>
      <c r="AA84" s="36"/>
      <c r="AB84" s="2"/>
    </row>
    <row r="85" spans="1:28" ht="3.9" customHeight="1" x14ac:dyDescent="0.25">
      <c r="A85" s="2"/>
      <c r="B85" s="2"/>
      <c r="C85" s="2"/>
      <c r="D85" s="2"/>
      <c r="E85" s="50"/>
      <c r="F85" s="2"/>
      <c r="G85" s="2"/>
      <c r="H85" s="2"/>
      <c r="I85" s="28"/>
      <c r="J85" s="2"/>
      <c r="K85" s="28"/>
      <c r="L85" s="2"/>
      <c r="M85" s="52"/>
      <c r="N85" s="2"/>
      <c r="O85" s="2"/>
      <c r="P85" s="36"/>
      <c r="Q85" s="36"/>
      <c r="R85" s="36"/>
      <c r="S85" s="36"/>
      <c r="T85" s="36"/>
      <c r="U85" s="36"/>
      <c r="V85" s="36"/>
      <c r="W85" s="36"/>
      <c r="X85" s="36"/>
      <c r="Y85" s="36"/>
      <c r="Z85" s="36"/>
      <c r="AA85" s="36"/>
      <c r="AB85" s="2"/>
    </row>
    <row r="86" spans="1:28" ht="3.9" customHeight="1" x14ac:dyDescent="0.25">
      <c r="A86" s="2"/>
      <c r="B86" s="2"/>
      <c r="C86" s="2"/>
      <c r="D86" s="2"/>
      <c r="E86" s="2"/>
      <c r="F86" s="2"/>
      <c r="G86" s="2"/>
      <c r="H86" s="2"/>
      <c r="I86" s="28"/>
      <c r="J86" s="2"/>
      <c r="K86" s="28"/>
      <c r="L86" s="2"/>
      <c r="M86" s="52"/>
      <c r="N86" s="2"/>
      <c r="O86" s="2"/>
      <c r="P86" s="36"/>
      <c r="Q86" s="36"/>
      <c r="R86" s="36"/>
      <c r="S86" s="36"/>
      <c r="T86" s="36"/>
      <c r="U86" s="36"/>
      <c r="V86" s="36"/>
      <c r="W86" s="36"/>
      <c r="X86" s="36"/>
      <c r="Y86" s="36"/>
      <c r="Z86" s="36"/>
      <c r="AA86" s="36"/>
      <c r="AB86" s="2"/>
    </row>
    <row r="87" spans="1:28" s="5" customFormat="1" x14ac:dyDescent="0.25">
      <c r="A87" s="3"/>
      <c r="B87" s="3"/>
      <c r="C87" s="3"/>
      <c r="D87" s="3"/>
      <c r="E87" s="89" t="str">
        <f>KPI!$E$37</f>
        <v>средняя наполняемость одного объекта</v>
      </c>
      <c r="F87" s="89"/>
      <c r="G87" s="89" t="str">
        <f>IF($E87="","",INDEX(KPI!$G:$G,SUMIFS(KPI!$B:$B,KPI!$E:$E,$E87)))</f>
        <v>чел</v>
      </c>
      <c r="H87" s="89"/>
      <c r="I87" s="90"/>
      <c r="J87" s="91" t="str">
        <f>структура!$AL$18</f>
        <v>одинаковая наполняемость</v>
      </c>
      <c r="K87" s="90"/>
      <c r="L87" s="89"/>
      <c r="M87" s="92">
        <f>IF(SUM(капитал!$J$67:$J$70)=0,0,INT(SUMPRODUCT(капитал!$J$67:$J$70,$J$82:$J$85)/SUM(капитал!$J$67:$J$70)))</f>
        <v>13</v>
      </c>
      <c r="N87" s="3"/>
      <c r="O87" s="3"/>
      <c r="P87" s="93">
        <f>IF(P$1="",0,IF(SUM(капитал!$J$67:$J$70)=0,0,INT(SUMPRODUCT(капитал!$J$67:$J$70,$J$82:$J$85)/SUM(капитал!$J$67:$J$70))))</f>
        <v>13</v>
      </c>
      <c r="Q87" s="93">
        <f>IF(Q$1="",0,IF(SUM(капитал!$J$67:$J$70)=0,0,INT(SUMPRODUCT(капитал!$J$67:$J$70,$J$82:$J$85)/SUM(капитал!$J$67:$J$70))))</f>
        <v>13</v>
      </c>
      <c r="R87" s="93">
        <f>IF(R$1="",0,IF(SUM(капитал!$J$67:$J$70)=0,0,INT(SUMPRODUCT(капитал!$J$67:$J$70,$J$82:$J$85)/SUM(капитал!$J$67:$J$70))))</f>
        <v>13</v>
      </c>
      <c r="S87" s="93">
        <f>IF(S$1="",0,IF(SUM(капитал!$J$67:$J$70)=0,0,INT(SUMPRODUCT(капитал!$J$67:$J$70,$J$82:$J$85)/SUM(капитал!$J$67:$J$70))))</f>
        <v>13</v>
      </c>
      <c r="T87" s="93">
        <f>IF(T$1="",0,IF(SUM(капитал!$J$67:$J$70)=0,0,INT(SUMPRODUCT(капитал!$J$67:$J$70,$J$82:$J$85)/SUM(капитал!$J$67:$J$70))))</f>
        <v>13</v>
      </c>
      <c r="U87" s="93">
        <f>IF(U$1="",0,IF(SUM(капитал!$J$67:$J$70)=0,0,INT(SUMPRODUCT(капитал!$J$67:$J$70,$J$82:$J$85)/SUM(капитал!$J$67:$J$70))))</f>
        <v>13</v>
      </c>
      <c r="V87" s="93">
        <f>IF(V$1="",0,IF(SUM(капитал!$J$67:$J$70)=0,0,INT(SUMPRODUCT(капитал!$J$67:$J$70,$J$82:$J$85)/SUM(капитал!$J$67:$J$70))))</f>
        <v>13</v>
      </c>
      <c r="W87" s="93">
        <f>IF(W$1="",0,IF(SUM(капитал!$J$67:$J$70)=0,0,INT(SUMPRODUCT(капитал!$J$67:$J$70,$J$82:$J$85)/SUM(капитал!$J$67:$J$70))))</f>
        <v>0</v>
      </c>
      <c r="X87" s="93">
        <f>IF(X$1="",0,IF(SUM(капитал!$J$67:$J$70)=0,0,INT(SUMPRODUCT(капитал!$J$67:$J$70,$J$82:$J$85)/SUM(капитал!$J$67:$J$70))))</f>
        <v>0</v>
      </c>
      <c r="Y87" s="93">
        <f>IF(Y$1="",0,IF(SUM(капитал!$J$67:$J$70)=0,0,INT(SUMPRODUCT(капитал!$J$67:$J$70,$J$82:$J$85)/SUM(капитал!$J$67:$J$70))))</f>
        <v>0</v>
      </c>
      <c r="Z87" s="93">
        <f>IF(Z$1="",0,IF(SUM(капитал!$J$67:$J$70)=0,0,INT(SUMPRODUCT(капитал!$J$67:$J$70,$J$82:$J$85)/SUM(капитал!$J$67:$J$70))))</f>
        <v>0</v>
      </c>
      <c r="AA87" s="93">
        <f>IF(AA$1="",0,IF(SUM(капитал!$J$67:$J$70)=0,0,INT(SUMPRODUCT(капитал!$J$67:$J$70,$J$82:$J$85)/SUM(капитал!$J$67:$J$70))))</f>
        <v>0</v>
      </c>
      <c r="AB87" s="3"/>
    </row>
    <row r="88" spans="1:28" ht="8.1" customHeight="1" x14ac:dyDescent="0.25">
      <c r="A88" s="2"/>
      <c r="B88" s="2"/>
      <c r="C88" s="2"/>
      <c r="D88" s="2"/>
      <c r="E88" s="2"/>
      <c r="F88" s="2"/>
      <c r="G88" s="2"/>
      <c r="H88" s="2"/>
      <c r="I88" s="28"/>
      <c r="J88" s="2"/>
      <c r="K88" s="28"/>
      <c r="L88" s="2"/>
      <c r="M88" s="52"/>
      <c r="N88" s="2"/>
      <c r="O88" s="2"/>
      <c r="P88" s="36"/>
      <c r="Q88" s="36"/>
      <c r="R88" s="36"/>
      <c r="S88" s="36"/>
      <c r="T88" s="36"/>
      <c r="U88" s="36"/>
      <c r="V88" s="36"/>
      <c r="W88" s="36"/>
      <c r="X88" s="36"/>
      <c r="Y88" s="36"/>
      <c r="Z88" s="36"/>
      <c r="AA88" s="36"/>
      <c r="AB88" s="2"/>
    </row>
    <row r="89" spans="1:28" s="5" customFormat="1" x14ac:dyDescent="0.25">
      <c r="A89" s="3"/>
      <c r="B89" s="3"/>
      <c r="C89" s="3"/>
      <c r="D89" s="3"/>
      <c r="E89" s="3" t="str">
        <f>KPI!$E$38</f>
        <v>траффик арендаторов</v>
      </c>
      <c r="F89" s="3"/>
      <c r="G89" s="3" t="str">
        <f>IF($E89="","",INDEX(KPI!$G:$G,SUMIFS(KPI!$B:$B,KPI!$E:$E,$E89)))</f>
        <v>чел</v>
      </c>
      <c r="H89" s="3"/>
      <c r="I89" s="28"/>
      <c r="J89" s="44"/>
      <c r="K89" s="28"/>
      <c r="L89" s="3"/>
      <c r="M89" s="55"/>
      <c r="N89" s="3"/>
      <c r="O89" s="3"/>
      <c r="P89" s="46">
        <f>IF(P$1="",0,IF(P$1=0,SUMIFS(P90:P101,H90:H101,"&gt;="&amp;MONTH($J$13)),SUM(P90:P101)))</f>
        <v>30797</v>
      </c>
      <c r="Q89" s="46">
        <f t="shared" ref="Q89" si="10">IF(Q$1="",0,SUM(Q90:Q101))</f>
        <v>30797</v>
      </c>
      <c r="R89" s="46">
        <f t="shared" ref="R89:AA89" si="11">IF(R$1="",0,SUM(R90:R101))</f>
        <v>30875</v>
      </c>
      <c r="S89" s="46">
        <f t="shared" si="11"/>
        <v>30797</v>
      </c>
      <c r="T89" s="46">
        <f t="shared" si="11"/>
        <v>30797</v>
      </c>
      <c r="U89" s="46">
        <f t="shared" si="11"/>
        <v>30797</v>
      </c>
      <c r="V89" s="46">
        <f t="shared" si="11"/>
        <v>30875</v>
      </c>
      <c r="W89" s="46">
        <f t="shared" si="11"/>
        <v>0</v>
      </c>
      <c r="X89" s="46">
        <f t="shared" si="11"/>
        <v>0</v>
      </c>
      <c r="Y89" s="46">
        <f t="shared" si="11"/>
        <v>0</v>
      </c>
      <c r="Z89" s="46">
        <f t="shared" si="11"/>
        <v>0</v>
      </c>
      <c r="AA89" s="46">
        <f t="shared" si="11"/>
        <v>0</v>
      </c>
      <c r="AB89" s="3"/>
    </row>
    <row r="90" spans="1:28" s="23" customFormat="1" ht="10.199999999999999" x14ac:dyDescent="0.2">
      <c r="A90" s="22"/>
      <c r="B90" s="22"/>
      <c r="C90" s="22"/>
      <c r="D90" s="22"/>
      <c r="E90" s="22" t="str">
        <f>E89</f>
        <v>траффик арендаторов</v>
      </c>
      <c r="F90" s="22"/>
      <c r="G90" s="22" t="str">
        <f>IF($E90="","",INDEX(KPI!$G:$G,SUMIFS(KPI!$B:$B,KPI!$E:$E,$E90)))</f>
        <v>чел</v>
      </c>
      <c r="H90" s="100">
        <f>структура!$V$12</f>
        <v>1</v>
      </c>
      <c r="I90" s="31"/>
      <c r="J90" s="98" t="str">
        <f>структура!$X$12</f>
        <v>янв</v>
      </c>
      <c r="K90" s="99"/>
      <c r="L90" s="22"/>
      <c r="M90" s="58"/>
      <c r="N90" s="22"/>
      <c r="O90" s="22"/>
      <c r="P90" s="101">
        <f>IF(P$1="",0,P44*P$87)</f>
        <v>2613</v>
      </c>
      <c r="Q90" s="101">
        <f t="shared" ref="Q90:AA90" si="12">IF(Q$1="",0,Q44*Q$87)</f>
        <v>2613</v>
      </c>
      <c r="R90" s="101">
        <f t="shared" si="12"/>
        <v>2613</v>
      </c>
      <c r="S90" s="101">
        <f t="shared" si="12"/>
        <v>2613</v>
      </c>
      <c r="T90" s="101">
        <f t="shared" si="12"/>
        <v>2613</v>
      </c>
      <c r="U90" s="101">
        <f t="shared" si="12"/>
        <v>2613</v>
      </c>
      <c r="V90" s="101">
        <f t="shared" si="12"/>
        <v>2613</v>
      </c>
      <c r="W90" s="101">
        <f t="shared" si="12"/>
        <v>0</v>
      </c>
      <c r="X90" s="101">
        <f t="shared" si="12"/>
        <v>0</v>
      </c>
      <c r="Y90" s="101">
        <f t="shared" si="12"/>
        <v>0</v>
      </c>
      <c r="Z90" s="101">
        <f t="shared" si="12"/>
        <v>0</v>
      </c>
      <c r="AA90" s="101">
        <f t="shared" si="12"/>
        <v>0</v>
      </c>
      <c r="AB90" s="22"/>
    </row>
    <row r="91" spans="1:28" s="23" customFormat="1" ht="10.199999999999999" x14ac:dyDescent="0.2">
      <c r="A91" s="22"/>
      <c r="B91" s="22"/>
      <c r="C91" s="22"/>
      <c r="D91" s="22"/>
      <c r="E91" s="22" t="str">
        <f>E89</f>
        <v>траффик арендаторов</v>
      </c>
      <c r="F91" s="22"/>
      <c r="G91" s="22" t="str">
        <f>IF($E91="","",INDEX(KPI!$G:$G,SUMIFS(KPI!$B:$B,KPI!$E:$E,$E91)))</f>
        <v>чел</v>
      </c>
      <c r="H91" s="100">
        <f>структура!$V$13</f>
        <v>2</v>
      </c>
      <c r="I91" s="31"/>
      <c r="J91" s="98" t="str">
        <f>структура!$X$13</f>
        <v>фев</v>
      </c>
      <c r="K91" s="99"/>
      <c r="L91" s="22"/>
      <c r="M91" s="58"/>
      <c r="N91" s="22"/>
      <c r="O91" s="22"/>
      <c r="P91" s="101">
        <f t="shared" ref="P91:AA101" si="13">IF(P$1="",0,P45*P$87)</f>
        <v>2366</v>
      </c>
      <c r="Q91" s="101">
        <f t="shared" si="13"/>
        <v>2366</v>
      </c>
      <c r="R91" s="101">
        <f t="shared" si="13"/>
        <v>2444</v>
      </c>
      <c r="S91" s="101">
        <f t="shared" si="13"/>
        <v>2366</v>
      </c>
      <c r="T91" s="101">
        <f t="shared" si="13"/>
        <v>2366</v>
      </c>
      <c r="U91" s="101">
        <f t="shared" si="13"/>
        <v>2366</v>
      </c>
      <c r="V91" s="101">
        <f t="shared" si="13"/>
        <v>2444</v>
      </c>
      <c r="W91" s="101">
        <f t="shared" si="13"/>
        <v>0</v>
      </c>
      <c r="X91" s="101">
        <f t="shared" si="13"/>
        <v>0</v>
      </c>
      <c r="Y91" s="101">
        <f t="shared" si="13"/>
        <v>0</v>
      </c>
      <c r="Z91" s="101">
        <f t="shared" si="13"/>
        <v>0</v>
      </c>
      <c r="AA91" s="101">
        <f t="shared" si="13"/>
        <v>0</v>
      </c>
      <c r="AB91" s="22"/>
    </row>
    <row r="92" spans="1:28" s="23" customFormat="1" ht="10.199999999999999" x14ac:dyDescent="0.2">
      <c r="A92" s="22"/>
      <c r="B92" s="22"/>
      <c r="C92" s="22"/>
      <c r="D92" s="22"/>
      <c r="E92" s="22" t="str">
        <f>E89</f>
        <v>траффик арендаторов</v>
      </c>
      <c r="F92" s="22"/>
      <c r="G92" s="22" t="str">
        <f>IF($E92="","",INDEX(KPI!$G:$G,SUMIFS(KPI!$B:$B,KPI!$E:$E,$E92)))</f>
        <v>чел</v>
      </c>
      <c r="H92" s="100">
        <f>структура!$V$14</f>
        <v>3</v>
      </c>
      <c r="I92" s="31"/>
      <c r="J92" s="98" t="str">
        <f>структура!$X$14</f>
        <v>мар</v>
      </c>
      <c r="K92" s="99"/>
      <c r="L92" s="22"/>
      <c r="M92" s="58"/>
      <c r="N92" s="22"/>
      <c r="O92" s="22"/>
      <c r="P92" s="101">
        <f t="shared" si="13"/>
        <v>2613</v>
      </c>
      <c r="Q92" s="101">
        <f t="shared" si="13"/>
        <v>2613</v>
      </c>
      <c r="R92" s="101">
        <f t="shared" si="13"/>
        <v>2613</v>
      </c>
      <c r="S92" s="101">
        <f t="shared" si="13"/>
        <v>2613</v>
      </c>
      <c r="T92" s="101">
        <f t="shared" si="13"/>
        <v>2613</v>
      </c>
      <c r="U92" s="101">
        <f t="shared" si="13"/>
        <v>2613</v>
      </c>
      <c r="V92" s="101">
        <f t="shared" si="13"/>
        <v>2613</v>
      </c>
      <c r="W92" s="101">
        <f t="shared" si="13"/>
        <v>0</v>
      </c>
      <c r="X92" s="101">
        <f t="shared" si="13"/>
        <v>0</v>
      </c>
      <c r="Y92" s="101">
        <f t="shared" si="13"/>
        <v>0</v>
      </c>
      <c r="Z92" s="101">
        <f t="shared" si="13"/>
        <v>0</v>
      </c>
      <c r="AA92" s="101">
        <f t="shared" si="13"/>
        <v>0</v>
      </c>
      <c r="AB92" s="22"/>
    </row>
    <row r="93" spans="1:28" s="23" customFormat="1" ht="10.199999999999999" x14ac:dyDescent="0.2">
      <c r="A93" s="22"/>
      <c r="B93" s="22"/>
      <c r="C93" s="22"/>
      <c r="D93" s="22"/>
      <c r="E93" s="22" t="str">
        <f>E89</f>
        <v>траффик арендаторов</v>
      </c>
      <c r="F93" s="22"/>
      <c r="G93" s="22" t="str">
        <f>IF($E93="","",INDEX(KPI!$G:$G,SUMIFS(KPI!$B:$B,KPI!$E:$E,$E93)))</f>
        <v>чел</v>
      </c>
      <c r="H93" s="100">
        <f>структура!$V$15</f>
        <v>4</v>
      </c>
      <c r="I93" s="31"/>
      <c r="J93" s="98" t="str">
        <f>структура!$X$15</f>
        <v>апр</v>
      </c>
      <c r="K93" s="99"/>
      <c r="L93" s="22"/>
      <c r="M93" s="58"/>
      <c r="N93" s="22"/>
      <c r="O93" s="22"/>
      <c r="P93" s="101">
        <f t="shared" si="13"/>
        <v>2535</v>
      </c>
      <c r="Q93" s="101">
        <f t="shared" si="13"/>
        <v>2535</v>
      </c>
      <c r="R93" s="101">
        <f t="shared" si="13"/>
        <v>2535</v>
      </c>
      <c r="S93" s="101">
        <f t="shared" si="13"/>
        <v>2535</v>
      </c>
      <c r="T93" s="101">
        <f t="shared" si="13"/>
        <v>2535</v>
      </c>
      <c r="U93" s="101">
        <f t="shared" si="13"/>
        <v>2535</v>
      </c>
      <c r="V93" s="101">
        <f t="shared" si="13"/>
        <v>2535</v>
      </c>
      <c r="W93" s="101">
        <f t="shared" si="13"/>
        <v>0</v>
      </c>
      <c r="X93" s="101">
        <f t="shared" si="13"/>
        <v>0</v>
      </c>
      <c r="Y93" s="101">
        <f t="shared" si="13"/>
        <v>0</v>
      </c>
      <c r="Z93" s="101">
        <f t="shared" si="13"/>
        <v>0</v>
      </c>
      <c r="AA93" s="101">
        <f t="shared" si="13"/>
        <v>0</v>
      </c>
      <c r="AB93" s="22"/>
    </row>
    <row r="94" spans="1:28" s="23" customFormat="1" ht="10.199999999999999" x14ac:dyDescent="0.2">
      <c r="A94" s="22"/>
      <c r="B94" s="22"/>
      <c r="C94" s="22"/>
      <c r="D94" s="22"/>
      <c r="E94" s="22" t="str">
        <f>E89</f>
        <v>траффик арендаторов</v>
      </c>
      <c r="F94" s="22"/>
      <c r="G94" s="22" t="str">
        <f>IF($E94="","",INDEX(KPI!$G:$G,SUMIFS(KPI!$B:$B,KPI!$E:$E,$E94)))</f>
        <v>чел</v>
      </c>
      <c r="H94" s="100">
        <f>структура!$V$16</f>
        <v>5</v>
      </c>
      <c r="I94" s="31"/>
      <c r="J94" s="98" t="str">
        <f>структура!$X$16</f>
        <v>май</v>
      </c>
      <c r="K94" s="99"/>
      <c r="L94" s="22"/>
      <c r="M94" s="58"/>
      <c r="N94" s="22"/>
      <c r="O94" s="22"/>
      <c r="P94" s="101">
        <f t="shared" si="13"/>
        <v>2613</v>
      </c>
      <c r="Q94" s="101">
        <f t="shared" si="13"/>
        <v>2613</v>
      </c>
      <c r="R94" s="101">
        <f t="shared" si="13"/>
        <v>2613</v>
      </c>
      <c r="S94" s="101">
        <f t="shared" si="13"/>
        <v>2613</v>
      </c>
      <c r="T94" s="101">
        <f t="shared" si="13"/>
        <v>2613</v>
      </c>
      <c r="U94" s="101">
        <f t="shared" si="13"/>
        <v>2613</v>
      </c>
      <c r="V94" s="101">
        <f t="shared" si="13"/>
        <v>2613</v>
      </c>
      <c r="W94" s="101">
        <f t="shared" si="13"/>
        <v>0</v>
      </c>
      <c r="X94" s="101">
        <f t="shared" si="13"/>
        <v>0</v>
      </c>
      <c r="Y94" s="101">
        <f t="shared" si="13"/>
        <v>0</v>
      </c>
      <c r="Z94" s="101">
        <f t="shared" si="13"/>
        <v>0</v>
      </c>
      <c r="AA94" s="101">
        <f t="shared" si="13"/>
        <v>0</v>
      </c>
      <c r="AB94" s="22"/>
    </row>
    <row r="95" spans="1:28" s="23" customFormat="1" ht="10.199999999999999" x14ac:dyDescent="0.2">
      <c r="A95" s="22"/>
      <c r="B95" s="22"/>
      <c r="C95" s="22"/>
      <c r="D95" s="22"/>
      <c r="E95" s="22" t="str">
        <f>E89</f>
        <v>траффик арендаторов</v>
      </c>
      <c r="F95" s="22"/>
      <c r="G95" s="22" t="str">
        <f>IF($E95="","",INDEX(KPI!$G:$G,SUMIFS(KPI!$B:$B,KPI!$E:$E,$E95)))</f>
        <v>чел</v>
      </c>
      <c r="H95" s="100">
        <f>структура!$V$17</f>
        <v>6</v>
      </c>
      <c r="I95" s="31"/>
      <c r="J95" s="98" t="str">
        <f>структура!$X$17</f>
        <v>июн</v>
      </c>
      <c r="K95" s="99"/>
      <c r="L95" s="22"/>
      <c r="M95" s="58"/>
      <c r="N95" s="22"/>
      <c r="O95" s="22"/>
      <c r="P95" s="101">
        <f t="shared" si="13"/>
        <v>2535</v>
      </c>
      <c r="Q95" s="101">
        <f t="shared" si="13"/>
        <v>2535</v>
      </c>
      <c r="R95" s="101">
        <f t="shared" si="13"/>
        <v>2535</v>
      </c>
      <c r="S95" s="101">
        <f t="shared" si="13"/>
        <v>2535</v>
      </c>
      <c r="T95" s="101">
        <f t="shared" si="13"/>
        <v>2535</v>
      </c>
      <c r="U95" s="101">
        <f t="shared" si="13"/>
        <v>2535</v>
      </c>
      <c r="V95" s="101">
        <f t="shared" si="13"/>
        <v>2535</v>
      </c>
      <c r="W95" s="101">
        <f t="shared" si="13"/>
        <v>0</v>
      </c>
      <c r="X95" s="101">
        <f t="shared" si="13"/>
        <v>0</v>
      </c>
      <c r="Y95" s="101">
        <f t="shared" si="13"/>
        <v>0</v>
      </c>
      <c r="Z95" s="101">
        <f t="shared" si="13"/>
        <v>0</v>
      </c>
      <c r="AA95" s="101">
        <f t="shared" si="13"/>
        <v>0</v>
      </c>
      <c r="AB95" s="22"/>
    </row>
    <row r="96" spans="1:28" s="23" customFormat="1" ht="10.199999999999999" x14ac:dyDescent="0.2">
      <c r="A96" s="22"/>
      <c r="B96" s="22"/>
      <c r="C96" s="22"/>
      <c r="D96" s="22"/>
      <c r="E96" s="22" t="str">
        <f>E89</f>
        <v>траффик арендаторов</v>
      </c>
      <c r="F96" s="22"/>
      <c r="G96" s="22" t="str">
        <f>IF($E96="","",INDEX(KPI!$G:$G,SUMIFS(KPI!$B:$B,KPI!$E:$E,$E96)))</f>
        <v>чел</v>
      </c>
      <c r="H96" s="100">
        <f>структура!$V$18</f>
        <v>7</v>
      </c>
      <c r="I96" s="31"/>
      <c r="J96" s="98" t="str">
        <f>структура!$X$18</f>
        <v>июл</v>
      </c>
      <c r="K96" s="99"/>
      <c r="L96" s="22"/>
      <c r="M96" s="58"/>
      <c r="N96" s="22"/>
      <c r="O96" s="22"/>
      <c r="P96" s="101">
        <f t="shared" si="13"/>
        <v>2613</v>
      </c>
      <c r="Q96" s="101">
        <f t="shared" si="13"/>
        <v>2613</v>
      </c>
      <c r="R96" s="101">
        <f t="shared" si="13"/>
        <v>2613</v>
      </c>
      <c r="S96" s="101">
        <f t="shared" si="13"/>
        <v>2613</v>
      </c>
      <c r="T96" s="101">
        <f t="shared" si="13"/>
        <v>2613</v>
      </c>
      <c r="U96" s="101">
        <f t="shared" si="13"/>
        <v>2613</v>
      </c>
      <c r="V96" s="101">
        <f t="shared" si="13"/>
        <v>2613</v>
      </c>
      <c r="W96" s="101">
        <f t="shared" si="13"/>
        <v>0</v>
      </c>
      <c r="X96" s="101">
        <f t="shared" si="13"/>
        <v>0</v>
      </c>
      <c r="Y96" s="101">
        <f t="shared" si="13"/>
        <v>0</v>
      </c>
      <c r="Z96" s="101">
        <f t="shared" si="13"/>
        <v>0</v>
      </c>
      <c r="AA96" s="101">
        <f t="shared" si="13"/>
        <v>0</v>
      </c>
      <c r="AB96" s="22"/>
    </row>
    <row r="97" spans="1:28" s="23" customFormat="1" ht="10.199999999999999" x14ac:dyDescent="0.2">
      <c r="A97" s="22"/>
      <c r="B97" s="22"/>
      <c r="C97" s="22"/>
      <c r="D97" s="22"/>
      <c r="E97" s="22" t="str">
        <f>E89</f>
        <v>траффик арендаторов</v>
      </c>
      <c r="F97" s="22"/>
      <c r="G97" s="22" t="str">
        <f>IF($E97="","",INDEX(KPI!$G:$G,SUMIFS(KPI!$B:$B,KPI!$E:$E,$E97)))</f>
        <v>чел</v>
      </c>
      <c r="H97" s="100">
        <f>структура!$V$19</f>
        <v>8</v>
      </c>
      <c r="I97" s="31"/>
      <c r="J97" s="98" t="str">
        <f>структура!$X$19</f>
        <v>авг</v>
      </c>
      <c r="K97" s="99"/>
      <c r="L97" s="22"/>
      <c r="M97" s="58"/>
      <c r="N97" s="22"/>
      <c r="O97" s="22"/>
      <c r="P97" s="101">
        <f t="shared" si="13"/>
        <v>2613</v>
      </c>
      <c r="Q97" s="101">
        <f t="shared" si="13"/>
        <v>2613</v>
      </c>
      <c r="R97" s="101">
        <f t="shared" si="13"/>
        <v>2613</v>
      </c>
      <c r="S97" s="101">
        <f t="shared" si="13"/>
        <v>2613</v>
      </c>
      <c r="T97" s="101">
        <f t="shared" si="13"/>
        <v>2613</v>
      </c>
      <c r="U97" s="101">
        <f t="shared" si="13"/>
        <v>2613</v>
      </c>
      <c r="V97" s="101">
        <f t="shared" si="13"/>
        <v>2613</v>
      </c>
      <c r="W97" s="101">
        <f t="shared" si="13"/>
        <v>0</v>
      </c>
      <c r="X97" s="101">
        <f t="shared" si="13"/>
        <v>0</v>
      </c>
      <c r="Y97" s="101">
        <f t="shared" si="13"/>
        <v>0</v>
      </c>
      <c r="Z97" s="101">
        <f t="shared" si="13"/>
        <v>0</v>
      </c>
      <c r="AA97" s="101">
        <f t="shared" si="13"/>
        <v>0</v>
      </c>
      <c r="AB97" s="22"/>
    </row>
    <row r="98" spans="1:28" s="23" customFormat="1" ht="10.199999999999999" x14ac:dyDescent="0.2">
      <c r="A98" s="22"/>
      <c r="B98" s="22"/>
      <c r="C98" s="22"/>
      <c r="D98" s="22"/>
      <c r="E98" s="22" t="str">
        <f>E89</f>
        <v>траффик арендаторов</v>
      </c>
      <c r="F98" s="22"/>
      <c r="G98" s="22" t="str">
        <f>IF($E98="","",INDEX(KPI!$G:$G,SUMIFS(KPI!$B:$B,KPI!$E:$E,$E98)))</f>
        <v>чел</v>
      </c>
      <c r="H98" s="100">
        <f>структура!$V$20</f>
        <v>9</v>
      </c>
      <c r="I98" s="31"/>
      <c r="J98" s="98" t="str">
        <f>структура!$X$20</f>
        <v>сен</v>
      </c>
      <c r="K98" s="99"/>
      <c r="L98" s="22"/>
      <c r="M98" s="58"/>
      <c r="N98" s="22"/>
      <c r="O98" s="22"/>
      <c r="P98" s="101">
        <f t="shared" si="13"/>
        <v>2535</v>
      </c>
      <c r="Q98" s="101">
        <f t="shared" si="13"/>
        <v>2535</v>
      </c>
      <c r="R98" s="101">
        <f t="shared" si="13"/>
        <v>2535</v>
      </c>
      <c r="S98" s="101">
        <f t="shared" si="13"/>
        <v>2535</v>
      </c>
      <c r="T98" s="101">
        <f t="shared" si="13"/>
        <v>2535</v>
      </c>
      <c r="U98" s="101">
        <f t="shared" si="13"/>
        <v>2535</v>
      </c>
      <c r="V98" s="101">
        <f t="shared" si="13"/>
        <v>2535</v>
      </c>
      <c r="W98" s="101">
        <f t="shared" si="13"/>
        <v>0</v>
      </c>
      <c r="X98" s="101">
        <f t="shared" si="13"/>
        <v>0</v>
      </c>
      <c r="Y98" s="101">
        <f t="shared" si="13"/>
        <v>0</v>
      </c>
      <c r="Z98" s="101">
        <f t="shared" si="13"/>
        <v>0</v>
      </c>
      <c r="AA98" s="101">
        <f t="shared" si="13"/>
        <v>0</v>
      </c>
      <c r="AB98" s="22"/>
    </row>
    <row r="99" spans="1:28" s="23" customFormat="1" ht="10.199999999999999" x14ac:dyDescent="0.2">
      <c r="A99" s="22"/>
      <c r="B99" s="22"/>
      <c r="C99" s="22"/>
      <c r="D99" s="22"/>
      <c r="E99" s="22" t="str">
        <f>E89</f>
        <v>траффик арендаторов</v>
      </c>
      <c r="F99" s="22"/>
      <c r="G99" s="22" t="str">
        <f>IF($E99="","",INDEX(KPI!$G:$G,SUMIFS(KPI!$B:$B,KPI!$E:$E,$E99)))</f>
        <v>чел</v>
      </c>
      <c r="H99" s="100">
        <f>структура!$V$21</f>
        <v>10</v>
      </c>
      <c r="I99" s="31"/>
      <c r="J99" s="98" t="str">
        <f>структура!$X$21</f>
        <v>окт</v>
      </c>
      <c r="K99" s="99"/>
      <c r="L99" s="22"/>
      <c r="M99" s="58"/>
      <c r="N99" s="22"/>
      <c r="O99" s="22"/>
      <c r="P99" s="101">
        <f t="shared" si="13"/>
        <v>2613</v>
      </c>
      <c r="Q99" s="101">
        <f t="shared" si="13"/>
        <v>2613</v>
      </c>
      <c r="R99" s="101">
        <f t="shared" si="13"/>
        <v>2613</v>
      </c>
      <c r="S99" s="101">
        <f t="shared" si="13"/>
        <v>2613</v>
      </c>
      <c r="T99" s="101">
        <f t="shared" si="13"/>
        <v>2613</v>
      </c>
      <c r="U99" s="101">
        <f t="shared" si="13"/>
        <v>2613</v>
      </c>
      <c r="V99" s="101">
        <f t="shared" si="13"/>
        <v>2613</v>
      </c>
      <c r="W99" s="101">
        <f t="shared" si="13"/>
        <v>0</v>
      </c>
      <c r="X99" s="101">
        <f t="shared" si="13"/>
        <v>0</v>
      </c>
      <c r="Y99" s="101">
        <f t="shared" si="13"/>
        <v>0</v>
      </c>
      <c r="Z99" s="101">
        <f t="shared" si="13"/>
        <v>0</v>
      </c>
      <c r="AA99" s="101">
        <f t="shared" si="13"/>
        <v>0</v>
      </c>
      <c r="AB99" s="22"/>
    </row>
    <row r="100" spans="1:28" s="23" customFormat="1" ht="10.199999999999999" x14ac:dyDescent="0.2">
      <c r="A100" s="22"/>
      <c r="B100" s="22"/>
      <c r="C100" s="22"/>
      <c r="D100" s="22"/>
      <c r="E100" s="22" t="str">
        <f>E89</f>
        <v>траффик арендаторов</v>
      </c>
      <c r="F100" s="22"/>
      <c r="G100" s="22" t="str">
        <f>IF($E100="","",INDEX(KPI!$G:$G,SUMIFS(KPI!$B:$B,KPI!$E:$E,$E100)))</f>
        <v>чел</v>
      </c>
      <c r="H100" s="100">
        <f>структура!$V$22</f>
        <v>11</v>
      </c>
      <c r="I100" s="31"/>
      <c r="J100" s="98" t="str">
        <f>структура!$X$22</f>
        <v>ноя</v>
      </c>
      <c r="K100" s="99"/>
      <c r="L100" s="22"/>
      <c r="M100" s="58"/>
      <c r="N100" s="22"/>
      <c r="O100" s="22"/>
      <c r="P100" s="101">
        <f t="shared" si="13"/>
        <v>2535</v>
      </c>
      <c r="Q100" s="101">
        <f t="shared" si="13"/>
        <v>2535</v>
      </c>
      <c r="R100" s="101">
        <f t="shared" si="13"/>
        <v>2535</v>
      </c>
      <c r="S100" s="101">
        <f t="shared" si="13"/>
        <v>2535</v>
      </c>
      <c r="T100" s="101">
        <f t="shared" si="13"/>
        <v>2535</v>
      </c>
      <c r="U100" s="101">
        <f t="shared" si="13"/>
        <v>2535</v>
      </c>
      <c r="V100" s="101">
        <f t="shared" si="13"/>
        <v>2535</v>
      </c>
      <c r="W100" s="101">
        <f t="shared" si="13"/>
        <v>0</v>
      </c>
      <c r="X100" s="101">
        <f t="shared" si="13"/>
        <v>0</v>
      </c>
      <c r="Y100" s="101">
        <f t="shared" si="13"/>
        <v>0</v>
      </c>
      <c r="Z100" s="101">
        <f t="shared" si="13"/>
        <v>0</v>
      </c>
      <c r="AA100" s="101">
        <f t="shared" si="13"/>
        <v>0</v>
      </c>
      <c r="AB100" s="22"/>
    </row>
    <row r="101" spans="1:28" s="23" customFormat="1" ht="10.199999999999999" x14ac:dyDescent="0.2">
      <c r="A101" s="22"/>
      <c r="B101" s="22"/>
      <c r="C101" s="22"/>
      <c r="D101" s="22"/>
      <c r="E101" s="22" t="str">
        <f>E89</f>
        <v>траффик арендаторов</v>
      </c>
      <c r="F101" s="22"/>
      <c r="G101" s="22" t="str">
        <f>IF($E101="","",INDEX(KPI!$G:$G,SUMIFS(KPI!$B:$B,KPI!$E:$E,$E101)))</f>
        <v>чел</v>
      </c>
      <c r="H101" s="100">
        <f>структура!$V$23</f>
        <v>12</v>
      </c>
      <c r="I101" s="31"/>
      <c r="J101" s="98" t="str">
        <f>структура!$X$23</f>
        <v>дек</v>
      </c>
      <c r="K101" s="99"/>
      <c r="L101" s="22"/>
      <c r="M101" s="58"/>
      <c r="N101" s="22"/>
      <c r="O101" s="22"/>
      <c r="P101" s="101">
        <f t="shared" si="13"/>
        <v>2613</v>
      </c>
      <c r="Q101" s="101">
        <f t="shared" si="13"/>
        <v>2613</v>
      </c>
      <c r="R101" s="101">
        <f t="shared" si="13"/>
        <v>2613</v>
      </c>
      <c r="S101" s="101">
        <f t="shared" si="13"/>
        <v>2613</v>
      </c>
      <c r="T101" s="101">
        <f t="shared" si="13"/>
        <v>2613</v>
      </c>
      <c r="U101" s="101">
        <f t="shared" si="13"/>
        <v>2613</v>
      </c>
      <c r="V101" s="101">
        <f t="shared" si="13"/>
        <v>2613</v>
      </c>
      <c r="W101" s="101">
        <f t="shared" si="13"/>
        <v>0</v>
      </c>
      <c r="X101" s="101">
        <f t="shared" si="13"/>
        <v>0</v>
      </c>
      <c r="Y101" s="101">
        <f t="shared" si="13"/>
        <v>0</v>
      </c>
      <c r="Z101" s="101">
        <f t="shared" si="13"/>
        <v>0</v>
      </c>
      <c r="AA101" s="101">
        <f t="shared" si="13"/>
        <v>0</v>
      </c>
      <c r="AB101" s="22"/>
    </row>
    <row r="102" spans="1:28" ht="3.9" customHeight="1" x14ac:dyDescent="0.25">
      <c r="A102" s="2"/>
      <c r="B102" s="2"/>
      <c r="C102" s="2"/>
      <c r="D102" s="2"/>
      <c r="E102" s="21"/>
      <c r="F102" s="2"/>
      <c r="G102" s="21"/>
      <c r="H102" s="2"/>
      <c r="I102" s="28"/>
      <c r="J102" s="21"/>
      <c r="K102" s="28"/>
      <c r="L102" s="2"/>
      <c r="M102" s="52"/>
      <c r="N102" s="2"/>
      <c r="O102" s="2"/>
      <c r="P102" s="36"/>
      <c r="Q102" s="36"/>
      <c r="R102" s="36"/>
      <c r="S102" s="36"/>
      <c r="T102" s="36"/>
      <c r="U102" s="36"/>
      <c r="V102" s="36"/>
      <c r="W102" s="36"/>
      <c r="X102" s="36"/>
      <c r="Y102" s="36"/>
      <c r="Z102" s="36"/>
      <c r="AA102" s="36"/>
      <c r="AB102" s="2"/>
    </row>
    <row r="103" spans="1:28" ht="8.1" customHeight="1" x14ac:dyDescent="0.25">
      <c r="A103" s="2"/>
      <c r="B103" s="2"/>
      <c r="C103" s="2"/>
      <c r="D103" s="2"/>
      <c r="E103" s="2"/>
      <c r="F103" s="2"/>
      <c r="G103" s="2"/>
      <c r="H103" s="2"/>
      <c r="I103" s="28"/>
      <c r="J103" s="2"/>
      <c r="K103" s="28"/>
      <c r="L103" s="2"/>
      <c r="M103" s="52"/>
      <c r="N103" s="2"/>
      <c r="O103" s="2"/>
      <c r="P103" s="36"/>
      <c r="Q103" s="36"/>
      <c r="R103" s="36"/>
      <c r="S103" s="36"/>
      <c r="T103" s="36"/>
      <c r="U103" s="36"/>
      <c r="V103" s="36"/>
      <c r="W103" s="36"/>
      <c r="X103" s="36"/>
      <c r="Y103" s="36"/>
      <c r="Z103" s="36"/>
      <c r="AA103" s="36"/>
      <c r="AB103" s="2"/>
    </row>
    <row r="104" spans="1:28" s="5" customFormat="1" x14ac:dyDescent="0.25">
      <c r="A104" s="3"/>
      <c r="B104" s="3"/>
      <c r="C104" s="3"/>
      <c r="D104" s="3"/>
      <c r="E104" s="3" t="str">
        <f>KPI!$E$41</f>
        <v>%-нт прироста "безарендного" траффика</v>
      </c>
      <c r="F104" s="3"/>
      <c r="G104" s="3" t="str">
        <f>IF($E104="","",INDEX(KPI!$G:$G,SUMIFS(KPI!$B:$B,KPI!$E:$E,$E104)))</f>
        <v>%</v>
      </c>
      <c r="H104" s="3"/>
      <c r="I104" s="6"/>
      <c r="J104" s="218">
        <f>SUMIFS(сценарии!J:J,сценарии!$E:$E,$E104,сценарии!$M:$M,$L$104)</f>
        <v>0.3</v>
      </c>
      <c r="K104" s="28"/>
      <c r="L104" s="104" t="str">
        <f>$P$19</f>
        <v>сценарий-3</v>
      </c>
      <c r="M104" s="55"/>
      <c r="N104" s="3"/>
      <c r="O104" s="3"/>
      <c r="P104" s="46"/>
      <c r="Q104" s="46"/>
      <c r="R104" s="46"/>
      <c r="S104" s="46"/>
      <c r="T104" s="46"/>
      <c r="U104" s="46"/>
      <c r="V104" s="46"/>
      <c r="W104" s="46"/>
      <c r="X104" s="46"/>
      <c r="Y104" s="46"/>
      <c r="Z104" s="46"/>
      <c r="AA104" s="46"/>
      <c r="AB104" s="3"/>
    </row>
    <row r="105" spans="1:28" ht="3.9" customHeight="1" x14ac:dyDescent="0.25">
      <c r="A105" s="2"/>
      <c r="B105" s="2"/>
      <c r="C105" s="2"/>
      <c r="D105" s="2"/>
      <c r="E105" s="2"/>
      <c r="F105" s="2"/>
      <c r="G105" s="2"/>
      <c r="H105" s="2"/>
      <c r="I105" s="28"/>
      <c r="J105" s="2"/>
      <c r="K105" s="28"/>
      <c r="L105" s="2"/>
      <c r="M105" s="52"/>
      <c r="N105" s="2"/>
      <c r="O105" s="2"/>
      <c r="P105" s="36"/>
      <c r="Q105" s="36"/>
      <c r="R105" s="36"/>
      <c r="S105" s="36"/>
      <c r="T105" s="36"/>
      <c r="U105" s="36"/>
      <c r="V105" s="36"/>
      <c r="W105" s="36"/>
      <c r="X105" s="36"/>
      <c r="Y105" s="36"/>
      <c r="Z105" s="36"/>
      <c r="AA105" s="36"/>
      <c r="AB105" s="2"/>
    </row>
    <row r="106" spans="1:28" ht="8.1" customHeight="1" x14ac:dyDescent="0.25">
      <c r="A106" s="2"/>
      <c r="B106" s="2"/>
      <c r="C106" s="2"/>
      <c r="D106" s="2"/>
      <c r="E106" s="2"/>
      <c r="F106" s="2"/>
      <c r="G106" s="2"/>
      <c r="H106" s="2"/>
      <c r="I106" s="28"/>
      <c r="J106" s="2"/>
      <c r="K106" s="28"/>
      <c r="L106" s="2"/>
      <c r="M106" s="52"/>
      <c r="N106" s="2"/>
      <c r="O106" s="2"/>
      <c r="P106" s="36"/>
      <c r="Q106" s="36"/>
      <c r="R106" s="36"/>
      <c r="S106" s="36"/>
      <c r="T106" s="36"/>
      <c r="U106" s="36"/>
      <c r="V106" s="36"/>
      <c r="W106" s="36"/>
      <c r="X106" s="36"/>
      <c r="Y106" s="36"/>
      <c r="Z106" s="36"/>
      <c r="AA106" s="36"/>
      <c r="AB106" s="2"/>
    </row>
    <row r="107" spans="1:28" x14ac:dyDescent="0.25">
      <c r="A107" s="2"/>
      <c r="B107" s="2"/>
      <c r="C107" s="2"/>
      <c r="D107" s="2"/>
      <c r="E107" s="3"/>
      <c r="F107" s="3"/>
      <c r="G107" s="3"/>
      <c r="H107" s="3"/>
      <c r="I107" s="28"/>
      <c r="J107" s="44"/>
      <c r="K107" s="28"/>
      <c r="L107" s="3"/>
      <c r="M107" s="55"/>
      <c r="N107" s="2"/>
      <c r="O107" s="2"/>
      <c r="P107" s="36"/>
      <c r="Q107" s="36"/>
      <c r="R107" s="36"/>
      <c r="S107" s="36"/>
      <c r="T107" s="36"/>
      <c r="U107" s="36"/>
      <c r="V107" s="36"/>
      <c r="W107" s="36"/>
      <c r="X107" s="36"/>
      <c r="Y107" s="36"/>
      <c r="Z107" s="36"/>
      <c r="AA107" s="36"/>
      <c r="AB107" s="2"/>
    </row>
    <row r="108" spans="1:28" s="23" customFormat="1" x14ac:dyDescent="0.25">
      <c r="A108" s="22"/>
      <c r="B108" s="22"/>
      <c r="C108" s="22"/>
      <c r="D108" s="22"/>
      <c r="E108" s="22"/>
      <c r="F108" s="22"/>
      <c r="G108" s="22"/>
      <c r="H108" s="100"/>
      <c r="I108" s="31"/>
      <c r="J108" s="98"/>
      <c r="K108" s="99"/>
      <c r="L108" s="31"/>
      <c r="M108" s="204"/>
      <c r="N108" s="22"/>
      <c r="O108" s="22"/>
      <c r="P108" s="100"/>
      <c r="Q108" s="100"/>
      <c r="R108" s="100"/>
      <c r="S108" s="100"/>
      <c r="T108" s="100"/>
      <c r="U108" s="100"/>
      <c r="V108" s="100"/>
      <c r="W108" s="100"/>
      <c r="X108" s="100"/>
      <c r="Y108" s="100"/>
      <c r="Z108" s="100"/>
      <c r="AA108" s="100"/>
      <c r="AB108" s="22"/>
    </row>
    <row r="109" spans="1:28" s="23" customFormat="1" x14ac:dyDescent="0.25">
      <c r="A109" s="22"/>
      <c r="B109" s="22"/>
      <c r="C109" s="22"/>
      <c r="D109" s="22"/>
      <c r="E109" s="22"/>
      <c r="F109" s="22"/>
      <c r="G109" s="22"/>
      <c r="H109" s="100"/>
      <c r="I109" s="31"/>
      <c r="J109" s="98"/>
      <c r="K109" s="99"/>
      <c r="L109" s="31"/>
      <c r="M109" s="204"/>
      <c r="N109" s="22"/>
      <c r="O109" s="22"/>
      <c r="P109" s="100"/>
      <c r="Q109" s="100"/>
      <c r="R109" s="100"/>
      <c r="S109" s="100"/>
      <c r="T109" s="100"/>
      <c r="U109" s="100"/>
      <c r="V109" s="100"/>
      <c r="W109" s="100"/>
      <c r="X109" s="100"/>
      <c r="Y109" s="100"/>
      <c r="Z109" s="100"/>
      <c r="AA109" s="100"/>
      <c r="AB109" s="22"/>
    </row>
    <row r="110" spans="1:28" s="23" customFormat="1" x14ac:dyDescent="0.25">
      <c r="A110" s="22"/>
      <c r="B110" s="22"/>
      <c r="C110" s="22"/>
      <c r="D110" s="22"/>
      <c r="E110" s="22"/>
      <c r="F110" s="22"/>
      <c r="G110" s="22"/>
      <c r="H110" s="100"/>
      <c r="I110" s="31"/>
      <c r="J110" s="98"/>
      <c r="K110" s="99"/>
      <c r="L110" s="31"/>
      <c r="M110" s="204"/>
      <c r="N110" s="22"/>
      <c r="O110" s="22"/>
      <c r="P110" s="100"/>
      <c r="Q110" s="100"/>
      <c r="R110" s="100"/>
      <c r="S110" s="100"/>
      <c r="T110" s="100"/>
      <c r="U110" s="100"/>
      <c r="V110" s="100"/>
      <c r="W110" s="100"/>
      <c r="X110" s="100"/>
      <c r="Y110" s="100"/>
      <c r="Z110" s="100"/>
      <c r="AA110" s="100"/>
      <c r="AB110" s="22"/>
    </row>
    <row r="111" spans="1:28" s="23" customFormat="1" x14ac:dyDescent="0.25">
      <c r="A111" s="22"/>
      <c r="B111" s="22"/>
      <c r="C111" s="22"/>
      <c r="D111" s="22"/>
      <c r="E111" s="22"/>
      <c r="F111" s="22"/>
      <c r="G111" s="22"/>
      <c r="H111" s="100"/>
      <c r="I111" s="31"/>
      <c r="J111" s="98"/>
      <c r="K111" s="99"/>
      <c r="L111" s="31"/>
      <c r="M111" s="204"/>
      <c r="N111" s="22"/>
      <c r="O111" s="22"/>
      <c r="P111" s="100"/>
      <c r="Q111" s="100"/>
      <c r="R111" s="100"/>
      <c r="S111" s="100"/>
      <c r="T111" s="100"/>
      <c r="U111" s="100"/>
      <c r="V111" s="100"/>
      <c r="W111" s="100"/>
      <c r="X111" s="100"/>
      <c r="Y111" s="100"/>
      <c r="Z111" s="100"/>
      <c r="AA111" s="100"/>
      <c r="AB111" s="22"/>
    </row>
    <row r="112" spans="1:28" s="23" customFormat="1" x14ac:dyDescent="0.25">
      <c r="A112" s="22"/>
      <c r="B112" s="22"/>
      <c r="C112" s="22"/>
      <c r="D112" s="22"/>
      <c r="E112" s="22"/>
      <c r="F112" s="22"/>
      <c r="G112" s="22"/>
      <c r="H112" s="100"/>
      <c r="I112" s="31"/>
      <c r="J112" s="98"/>
      <c r="K112" s="99"/>
      <c r="L112" s="31"/>
      <c r="M112" s="204"/>
      <c r="N112" s="22"/>
      <c r="O112" s="22"/>
      <c r="P112" s="100"/>
      <c r="Q112" s="100"/>
      <c r="R112" s="100"/>
      <c r="S112" s="100"/>
      <c r="T112" s="100"/>
      <c r="U112" s="100"/>
      <c r="V112" s="100"/>
      <c r="W112" s="100"/>
      <c r="X112" s="100"/>
      <c r="Y112" s="100"/>
      <c r="Z112" s="100"/>
      <c r="AA112" s="100"/>
      <c r="AB112" s="22"/>
    </row>
    <row r="113" spans="1:28" s="23" customFormat="1" x14ac:dyDescent="0.25">
      <c r="A113" s="22"/>
      <c r="B113" s="22"/>
      <c r="C113" s="22"/>
      <c r="D113" s="22"/>
      <c r="E113" s="22"/>
      <c r="F113" s="22"/>
      <c r="G113" s="22"/>
      <c r="H113" s="100"/>
      <c r="I113" s="31"/>
      <c r="J113" s="98"/>
      <c r="K113" s="99"/>
      <c r="L113" s="31"/>
      <c r="M113" s="204"/>
      <c r="N113" s="22"/>
      <c r="O113" s="22"/>
      <c r="P113" s="100"/>
      <c r="Q113" s="100"/>
      <c r="R113" s="100"/>
      <c r="S113" s="100"/>
      <c r="T113" s="100"/>
      <c r="U113" s="100"/>
      <c r="V113" s="100"/>
      <c r="W113" s="100"/>
      <c r="X113" s="100"/>
      <c r="Y113" s="100"/>
      <c r="Z113" s="100"/>
      <c r="AA113" s="100"/>
      <c r="AB113" s="22"/>
    </row>
    <row r="114" spans="1:28" s="23" customFormat="1" x14ac:dyDescent="0.25">
      <c r="A114" s="22"/>
      <c r="B114" s="22"/>
      <c r="C114" s="22"/>
      <c r="D114" s="22"/>
      <c r="E114" s="22"/>
      <c r="F114" s="22"/>
      <c r="G114" s="22"/>
      <c r="H114" s="100"/>
      <c r="I114" s="31"/>
      <c r="J114" s="98"/>
      <c r="K114" s="99"/>
      <c r="L114" s="31"/>
      <c r="M114" s="204"/>
      <c r="N114" s="22"/>
      <c r="O114" s="22"/>
      <c r="P114" s="100"/>
      <c r="Q114" s="100"/>
      <c r="R114" s="100"/>
      <c r="S114" s="100"/>
      <c r="T114" s="100"/>
      <c r="U114" s="100"/>
      <c r="V114" s="100"/>
      <c r="W114" s="100"/>
      <c r="X114" s="100"/>
      <c r="Y114" s="100"/>
      <c r="Z114" s="100"/>
      <c r="AA114" s="100"/>
      <c r="AB114" s="22"/>
    </row>
    <row r="115" spans="1:28" s="23" customFormat="1" x14ac:dyDescent="0.25">
      <c r="A115" s="22"/>
      <c r="B115" s="22"/>
      <c r="C115" s="22"/>
      <c r="D115" s="22"/>
      <c r="E115" s="22"/>
      <c r="F115" s="22"/>
      <c r="G115" s="22"/>
      <c r="H115" s="100"/>
      <c r="I115" s="31"/>
      <c r="J115" s="98"/>
      <c r="K115" s="99"/>
      <c r="L115" s="31"/>
      <c r="M115" s="204"/>
      <c r="N115" s="22"/>
      <c r="O115" s="22"/>
      <c r="P115" s="100"/>
      <c r="Q115" s="100"/>
      <c r="R115" s="100"/>
      <c r="S115" s="100"/>
      <c r="T115" s="100"/>
      <c r="U115" s="100"/>
      <c r="V115" s="100"/>
      <c r="W115" s="100"/>
      <c r="X115" s="100"/>
      <c r="Y115" s="100"/>
      <c r="Z115" s="100"/>
      <c r="AA115" s="100"/>
      <c r="AB115" s="22"/>
    </row>
    <row r="116" spans="1:28" s="23" customFormat="1" x14ac:dyDescent="0.25">
      <c r="A116" s="22"/>
      <c r="B116" s="22"/>
      <c r="C116" s="22"/>
      <c r="D116" s="22"/>
      <c r="E116" s="22"/>
      <c r="F116" s="22"/>
      <c r="G116" s="22"/>
      <c r="H116" s="100"/>
      <c r="I116" s="31"/>
      <c r="J116" s="98"/>
      <c r="K116" s="99"/>
      <c r="L116" s="31"/>
      <c r="M116" s="204"/>
      <c r="N116" s="22"/>
      <c r="O116" s="22"/>
      <c r="P116" s="100"/>
      <c r="Q116" s="100"/>
      <c r="R116" s="100"/>
      <c r="S116" s="100"/>
      <c r="T116" s="100"/>
      <c r="U116" s="100"/>
      <c r="V116" s="100"/>
      <c r="W116" s="100"/>
      <c r="X116" s="100"/>
      <c r="Y116" s="100"/>
      <c r="Z116" s="100"/>
      <c r="AA116" s="100"/>
      <c r="AB116" s="22"/>
    </row>
    <row r="117" spans="1:28" s="23" customFormat="1" x14ac:dyDescent="0.25">
      <c r="A117" s="22"/>
      <c r="B117" s="22"/>
      <c r="C117" s="22"/>
      <c r="D117" s="22"/>
      <c r="E117" s="22"/>
      <c r="F117" s="22"/>
      <c r="G117" s="22"/>
      <c r="H117" s="100"/>
      <c r="I117" s="31"/>
      <c r="J117" s="98"/>
      <c r="K117" s="99"/>
      <c r="L117" s="31"/>
      <c r="M117" s="204"/>
      <c r="N117" s="22"/>
      <c r="O117" s="22"/>
      <c r="P117" s="100"/>
      <c r="Q117" s="100"/>
      <c r="R117" s="100"/>
      <c r="S117" s="100"/>
      <c r="T117" s="100"/>
      <c r="U117" s="100"/>
      <c r="V117" s="100"/>
      <c r="W117" s="100"/>
      <c r="X117" s="100"/>
      <c r="Y117" s="100"/>
      <c r="Z117" s="100"/>
      <c r="AA117" s="100"/>
      <c r="AB117" s="22"/>
    </row>
    <row r="118" spans="1:28" s="23" customFormat="1" x14ac:dyDescent="0.25">
      <c r="A118" s="22"/>
      <c r="B118" s="22"/>
      <c r="C118" s="22"/>
      <c r="D118" s="22"/>
      <c r="E118" s="22"/>
      <c r="F118" s="22"/>
      <c r="G118" s="22"/>
      <c r="H118" s="100"/>
      <c r="I118" s="31"/>
      <c r="J118" s="98"/>
      <c r="K118" s="99"/>
      <c r="L118" s="31"/>
      <c r="M118" s="204"/>
      <c r="N118" s="22"/>
      <c r="O118" s="22"/>
      <c r="P118" s="100"/>
      <c r="Q118" s="100"/>
      <c r="R118" s="100"/>
      <c r="S118" s="100"/>
      <c r="T118" s="100"/>
      <c r="U118" s="100"/>
      <c r="V118" s="100"/>
      <c r="W118" s="100"/>
      <c r="X118" s="100"/>
      <c r="Y118" s="100"/>
      <c r="Z118" s="100"/>
      <c r="AA118" s="100"/>
      <c r="AB118" s="22"/>
    </row>
    <row r="119" spans="1:28" s="23" customFormat="1" x14ac:dyDescent="0.25">
      <c r="A119" s="22"/>
      <c r="B119" s="22"/>
      <c r="C119" s="22"/>
      <c r="D119" s="22"/>
      <c r="E119" s="22"/>
      <c r="F119" s="22"/>
      <c r="G119" s="22"/>
      <c r="H119" s="100"/>
      <c r="I119" s="31"/>
      <c r="J119" s="98"/>
      <c r="K119" s="99"/>
      <c r="L119" s="31"/>
      <c r="M119" s="204"/>
      <c r="N119" s="22"/>
      <c r="O119" s="22"/>
      <c r="P119" s="100"/>
      <c r="Q119" s="100"/>
      <c r="R119" s="100"/>
      <c r="S119" s="100"/>
      <c r="T119" s="100"/>
      <c r="U119" s="100"/>
      <c r="V119" s="100"/>
      <c r="W119" s="100"/>
      <c r="X119" s="100"/>
      <c r="Y119" s="100"/>
      <c r="Z119" s="100"/>
      <c r="AA119" s="100"/>
      <c r="AB119" s="22"/>
    </row>
    <row r="120" spans="1:28" ht="3.9" customHeight="1" x14ac:dyDescent="0.25">
      <c r="A120" s="2"/>
      <c r="B120" s="2"/>
      <c r="C120" s="2"/>
      <c r="D120" s="2"/>
      <c r="E120" s="21"/>
      <c r="F120" s="2"/>
      <c r="G120" s="21"/>
      <c r="H120" s="2"/>
      <c r="I120" s="28"/>
      <c r="J120" s="21"/>
      <c r="K120" s="28"/>
      <c r="L120" s="2"/>
      <c r="M120" s="52"/>
      <c r="N120" s="2"/>
      <c r="O120" s="2"/>
      <c r="P120" s="36"/>
      <c r="Q120" s="36"/>
      <c r="R120" s="36"/>
      <c r="S120" s="36"/>
      <c r="T120" s="36"/>
      <c r="U120" s="36"/>
      <c r="V120" s="36"/>
      <c r="W120" s="36"/>
      <c r="X120" s="36"/>
      <c r="Y120" s="36"/>
      <c r="Z120" s="36"/>
      <c r="AA120" s="36"/>
      <c r="AB120" s="2"/>
    </row>
    <row r="121" spans="1:28" ht="8.1" customHeight="1" x14ac:dyDescent="0.25">
      <c r="A121" s="2"/>
      <c r="B121" s="2"/>
      <c r="C121" s="2"/>
      <c r="D121" s="2"/>
      <c r="E121" s="2"/>
      <c r="F121" s="2"/>
      <c r="G121" s="2"/>
      <c r="H121" s="2"/>
      <c r="I121" s="28"/>
      <c r="J121" s="2"/>
      <c r="K121" s="28"/>
      <c r="L121" s="2"/>
      <c r="M121" s="52"/>
      <c r="N121" s="2"/>
      <c r="O121" s="2"/>
      <c r="P121" s="36"/>
      <c r="Q121" s="36"/>
      <c r="R121" s="36"/>
      <c r="S121" s="36"/>
      <c r="T121" s="36"/>
      <c r="U121" s="36"/>
      <c r="V121" s="36"/>
      <c r="W121" s="36"/>
      <c r="X121" s="36"/>
      <c r="Y121" s="36"/>
      <c r="Z121" s="36"/>
      <c r="AA121" s="36"/>
      <c r="AB121" s="2"/>
    </row>
    <row r="122" spans="1:28" s="5" customFormat="1" x14ac:dyDescent="0.25">
      <c r="A122" s="3"/>
      <c r="B122" s="3"/>
      <c r="C122" s="3"/>
      <c r="D122" s="3"/>
      <c r="E122" s="3" t="str">
        <f>KPI!$E$40</f>
        <v>конверсия в покупку одной услуги проката</v>
      </c>
      <c r="F122" s="3"/>
      <c r="G122" s="3" t="str">
        <f>IF($E122="","",INDEX(KPI!$G:$G,SUMIFS(KPI!$B:$B,KPI!$E:$E,$E122)))</f>
        <v>%</v>
      </c>
      <c r="H122" s="3"/>
      <c r="I122" s="28"/>
      <c r="J122" s="44"/>
      <c r="K122" s="28"/>
      <c r="L122" s="3"/>
      <c r="M122" s="55"/>
      <c r="N122" s="3"/>
      <c r="O122" s="3"/>
      <c r="P122" s="104" t="str">
        <f>$P$19</f>
        <v>сценарий-3</v>
      </c>
      <c r="Q122" s="46"/>
      <c r="R122" s="46"/>
      <c r="S122" s="46"/>
      <c r="T122" s="46"/>
      <c r="U122" s="46"/>
      <c r="V122" s="46"/>
      <c r="W122" s="46"/>
      <c r="X122" s="46"/>
      <c r="Y122" s="46"/>
      <c r="Z122" s="46"/>
      <c r="AA122" s="46"/>
      <c r="AB122" s="3"/>
    </row>
    <row r="123" spans="1:28" s="23" customFormat="1" ht="10.199999999999999" x14ac:dyDescent="0.2">
      <c r="A123" s="22"/>
      <c r="B123" s="22"/>
      <c r="C123" s="22"/>
      <c r="D123" s="22"/>
      <c r="E123" s="22" t="str">
        <f>E122</f>
        <v>конверсия в покупку одной услуги проката</v>
      </c>
      <c r="F123" s="22"/>
      <c r="G123" s="22" t="str">
        <f>IF($E123="","",INDEX(KPI!$G:$G,SUMIFS(KPI!$B:$B,KPI!$E:$E,$E123)))</f>
        <v>%</v>
      </c>
      <c r="H123" s="100">
        <f>структура!$V$12</f>
        <v>1</v>
      </c>
      <c r="I123" s="31"/>
      <c r="J123" s="98" t="str">
        <f>структура!$X$12</f>
        <v>янв</v>
      </c>
      <c r="K123" s="99"/>
      <c r="L123" s="22"/>
      <c r="M123" s="58"/>
      <c r="N123" s="22"/>
      <c r="O123" s="22"/>
      <c r="P123" s="102">
        <f>IF(P$1="",0,SUMIFS(сценарии!P:P,сценарии!$E:$E,$E123,сценарии!$J:$J,$J123,сценарии!$M:$M,$P$122))</f>
        <v>0.25</v>
      </c>
      <c r="Q123" s="102">
        <f>IF(Q$1="",0,SUMIFS(сценарии!Q:Q,сценарии!$E:$E,$E123,сценарии!$J:$J,$J123,сценарии!$M:$M,$P$122))</f>
        <v>0.25</v>
      </c>
      <c r="R123" s="102">
        <f>IF(R$1="",0,SUMIFS(сценарии!R:R,сценарии!$E:$E,$E123,сценарии!$J:$J,$J123,сценарии!$M:$M,$P$122))</f>
        <v>0.25</v>
      </c>
      <c r="S123" s="102">
        <f>IF(S$1="",0,SUMIFS(сценарии!S:S,сценарии!$E:$E,$E123,сценарии!$J:$J,$J123,сценарии!$M:$M,$P$122))</f>
        <v>0.25</v>
      </c>
      <c r="T123" s="102">
        <f>IF(T$1="",0,SUMIFS(сценарии!T:T,сценарии!$E:$E,$E123,сценарии!$J:$J,$J123,сценарии!$M:$M,$P$122))</f>
        <v>0.25</v>
      </c>
      <c r="U123" s="102">
        <f>IF(U$1="",0,SUMIFS(сценарии!U:U,сценарии!$E:$E,$E123,сценарии!$J:$J,$J123,сценарии!$M:$M,$P$122))</f>
        <v>0.25</v>
      </c>
      <c r="V123" s="102">
        <f>IF(V$1="",0,SUMIFS(сценарии!V:V,сценарии!$E:$E,$E123,сценарии!$J:$J,$J123,сценарии!$M:$M,$P$122))</f>
        <v>0.25</v>
      </c>
      <c r="W123" s="102">
        <f>IF(W$1="",0,SUMIFS(сценарии!W:W,сценарии!$E:$E,$E123,сценарии!$J:$J,$J123,сценарии!$M:$M,$P$122))</f>
        <v>0</v>
      </c>
      <c r="X123" s="102">
        <f>IF(X$1="",0,SUMIFS(сценарии!X:X,сценарии!$E:$E,$E123,сценарии!$J:$J,$J123,сценарии!$M:$M,$P$122))</f>
        <v>0</v>
      </c>
      <c r="Y123" s="102">
        <f>IF(Y$1="",0,SUMIFS(сценарии!Y:Y,сценарии!$E:$E,$E123,сценарии!$J:$J,$J123,сценарии!$M:$M,$P$122))</f>
        <v>0</v>
      </c>
      <c r="Z123" s="102">
        <f>IF(Z$1="",0,SUMIFS(сценарии!Z:Z,сценарии!$E:$E,$E123,сценарии!$J:$J,$J123,сценарии!$M:$M,$P$122))</f>
        <v>0</v>
      </c>
      <c r="AA123" s="102">
        <f>IF(AA$1="",0,SUMIFS(сценарии!AA:AA,сценарии!$E:$E,$E123,сценарии!$J:$J,$J123,сценарии!$M:$M,$P$122))</f>
        <v>0</v>
      </c>
      <c r="AB123" s="22"/>
    </row>
    <row r="124" spans="1:28" s="23" customFormat="1" ht="10.199999999999999" x14ac:dyDescent="0.2">
      <c r="A124" s="22"/>
      <c r="B124" s="22"/>
      <c r="C124" s="22"/>
      <c r="D124" s="22"/>
      <c r="E124" s="22" t="str">
        <f>E122</f>
        <v>конверсия в покупку одной услуги проката</v>
      </c>
      <c r="F124" s="22"/>
      <c r="G124" s="22" t="str">
        <f>IF($E124="","",INDEX(KPI!$G:$G,SUMIFS(KPI!$B:$B,KPI!$E:$E,$E124)))</f>
        <v>%</v>
      </c>
      <c r="H124" s="100">
        <f>структура!$V$13</f>
        <v>2</v>
      </c>
      <c r="I124" s="31"/>
      <c r="J124" s="98" t="str">
        <f>структура!$X$13</f>
        <v>фев</v>
      </c>
      <c r="K124" s="99"/>
      <c r="L124" s="22"/>
      <c r="M124" s="58"/>
      <c r="N124" s="22"/>
      <c r="O124" s="22"/>
      <c r="P124" s="102">
        <f>IF(P$1="",0,SUMIFS(сценарии!P:P,сценарии!$E:$E,$E124,сценарии!$J:$J,$J124,сценарии!$M:$M,$P$122))</f>
        <v>0.2</v>
      </c>
      <c r="Q124" s="102">
        <f>IF(Q$1="",0,SUMIFS(сценарии!Q:Q,сценарии!$E:$E,$E124,сценарии!$J:$J,$J124,сценарии!$M:$M,$P$122))</f>
        <v>0.2</v>
      </c>
      <c r="R124" s="102">
        <f>IF(R$1="",0,SUMIFS(сценарии!R:R,сценарии!$E:$E,$E124,сценарии!$J:$J,$J124,сценарии!$M:$M,$P$122))</f>
        <v>0.2</v>
      </c>
      <c r="S124" s="102">
        <f>IF(S$1="",0,SUMIFS(сценарии!S:S,сценарии!$E:$E,$E124,сценарии!$J:$J,$J124,сценарии!$M:$M,$P$122))</f>
        <v>0.2</v>
      </c>
      <c r="T124" s="102">
        <f>IF(T$1="",0,SUMIFS(сценарии!T:T,сценарии!$E:$E,$E124,сценарии!$J:$J,$J124,сценарии!$M:$M,$P$122))</f>
        <v>0.2</v>
      </c>
      <c r="U124" s="102">
        <f>IF(U$1="",0,SUMIFS(сценарии!U:U,сценарии!$E:$E,$E124,сценарии!$J:$J,$J124,сценарии!$M:$M,$P$122))</f>
        <v>0.2</v>
      </c>
      <c r="V124" s="102">
        <f>IF(V$1="",0,SUMIFS(сценарии!V:V,сценарии!$E:$E,$E124,сценарии!$J:$J,$J124,сценарии!$M:$M,$P$122))</f>
        <v>0.2</v>
      </c>
      <c r="W124" s="102">
        <f>IF(W$1="",0,SUMIFS(сценарии!W:W,сценарии!$E:$E,$E124,сценарии!$J:$J,$J124,сценарии!$M:$M,$P$122))</f>
        <v>0</v>
      </c>
      <c r="X124" s="102">
        <f>IF(X$1="",0,SUMIFS(сценарии!X:X,сценарии!$E:$E,$E124,сценарии!$J:$J,$J124,сценарии!$M:$M,$P$122))</f>
        <v>0</v>
      </c>
      <c r="Y124" s="102">
        <f>IF(Y$1="",0,SUMIFS(сценарии!Y:Y,сценарии!$E:$E,$E124,сценарии!$J:$J,$J124,сценарии!$M:$M,$P$122))</f>
        <v>0</v>
      </c>
      <c r="Z124" s="102">
        <f>IF(Z$1="",0,SUMIFS(сценарии!Z:Z,сценарии!$E:$E,$E124,сценарии!$J:$J,$J124,сценарии!$M:$M,$P$122))</f>
        <v>0</v>
      </c>
      <c r="AA124" s="102">
        <f>IF(AA$1="",0,SUMIFS(сценарии!AA:AA,сценарии!$E:$E,$E124,сценарии!$J:$J,$J124,сценарии!$M:$M,$P$122))</f>
        <v>0</v>
      </c>
      <c r="AB124" s="22"/>
    </row>
    <row r="125" spans="1:28" s="23" customFormat="1" ht="10.199999999999999" x14ac:dyDescent="0.2">
      <c r="A125" s="22"/>
      <c r="B125" s="22"/>
      <c r="C125" s="22"/>
      <c r="D125" s="22"/>
      <c r="E125" s="22" t="str">
        <f>E122</f>
        <v>конверсия в покупку одной услуги проката</v>
      </c>
      <c r="F125" s="22"/>
      <c r="G125" s="22" t="str">
        <f>IF($E125="","",INDEX(KPI!$G:$G,SUMIFS(KPI!$B:$B,KPI!$E:$E,$E125)))</f>
        <v>%</v>
      </c>
      <c r="H125" s="100">
        <f>структура!$V$14</f>
        <v>3</v>
      </c>
      <c r="I125" s="31"/>
      <c r="J125" s="98" t="str">
        <f>структура!$X$14</f>
        <v>мар</v>
      </c>
      <c r="K125" s="99"/>
      <c r="L125" s="22"/>
      <c r="M125" s="58"/>
      <c r="N125" s="22"/>
      <c r="O125" s="22"/>
      <c r="P125" s="102">
        <f>IF(P$1="",0,SUMIFS(сценарии!P:P,сценарии!$E:$E,$E125,сценарии!$J:$J,$J125,сценарии!$M:$M,$P$122))</f>
        <v>0.2</v>
      </c>
      <c r="Q125" s="102">
        <f>IF(Q$1="",0,SUMIFS(сценарии!Q:Q,сценарии!$E:$E,$E125,сценарии!$J:$J,$J125,сценарии!$M:$M,$P$122))</f>
        <v>0.2</v>
      </c>
      <c r="R125" s="102">
        <f>IF(R$1="",0,SUMIFS(сценарии!R:R,сценарии!$E:$E,$E125,сценарии!$J:$J,$J125,сценарии!$M:$M,$P$122))</f>
        <v>0.2</v>
      </c>
      <c r="S125" s="102">
        <f>IF(S$1="",0,SUMIFS(сценарии!S:S,сценарии!$E:$E,$E125,сценарии!$J:$J,$J125,сценарии!$M:$M,$P$122))</f>
        <v>0.2</v>
      </c>
      <c r="T125" s="102">
        <f>IF(T$1="",0,SUMIFS(сценарии!T:T,сценарии!$E:$E,$E125,сценарии!$J:$J,$J125,сценарии!$M:$M,$P$122))</f>
        <v>0.2</v>
      </c>
      <c r="U125" s="102">
        <f>IF(U$1="",0,SUMIFS(сценарии!U:U,сценарии!$E:$E,$E125,сценарии!$J:$J,$J125,сценарии!$M:$M,$P$122))</f>
        <v>0.2</v>
      </c>
      <c r="V125" s="102">
        <f>IF(V$1="",0,SUMIFS(сценарии!V:V,сценарии!$E:$E,$E125,сценарии!$J:$J,$J125,сценарии!$M:$M,$P$122))</f>
        <v>0.2</v>
      </c>
      <c r="W125" s="102">
        <f>IF(W$1="",0,SUMIFS(сценарии!W:W,сценарии!$E:$E,$E125,сценарии!$J:$J,$J125,сценарии!$M:$M,$P$122))</f>
        <v>0</v>
      </c>
      <c r="X125" s="102">
        <f>IF(X$1="",0,SUMIFS(сценарии!X:X,сценарии!$E:$E,$E125,сценарии!$J:$J,$J125,сценарии!$M:$M,$P$122))</f>
        <v>0</v>
      </c>
      <c r="Y125" s="102">
        <f>IF(Y$1="",0,SUMIFS(сценарии!Y:Y,сценарии!$E:$E,$E125,сценарии!$J:$J,$J125,сценарии!$M:$M,$P$122))</f>
        <v>0</v>
      </c>
      <c r="Z125" s="102">
        <f>IF(Z$1="",0,SUMIFS(сценарии!Z:Z,сценарии!$E:$E,$E125,сценарии!$J:$J,$J125,сценарии!$M:$M,$P$122))</f>
        <v>0</v>
      </c>
      <c r="AA125" s="102">
        <f>IF(AA$1="",0,SUMIFS(сценарии!AA:AA,сценарии!$E:$E,$E125,сценарии!$J:$J,$J125,сценарии!$M:$M,$P$122))</f>
        <v>0</v>
      </c>
      <c r="AB125" s="22"/>
    </row>
    <row r="126" spans="1:28" s="23" customFormat="1" ht="10.199999999999999" x14ac:dyDescent="0.2">
      <c r="A126" s="22"/>
      <c r="B126" s="22"/>
      <c r="C126" s="22"/>
      <c r="D126" s="22"/>
      <c r="E126" s="22" t="str">
        <f>E122</f>
        <v>конверсия в покупку одной услуги проката</v>
      </c>
      <c r="F126" s="22"/>
      <c r="G126" s="22" t="str">
        <f>IF($E126="","",INDEX(KPI!$G:$G,SUMIFS(KPI!$B:$B,KPI!$E:$E,$E126)))</f>
        <v>%</v>
      </c>
      <c r="H126" s="100">
        <f>структура!$V$15</f>
        <v>4</v>
      </c>
      <c r="I126" s="31"/>
      <c r="J126" s="98" t="str">
        <f>структура!$X$15</f>
        <v>апр</v>
      </c>
      <c r="K126" s="99"/>
      <c r="L126" s="22"/>
      <c r="M126" s="58"/>
      <c r="N126" s="22"/>
      <c r="O126" s="22"/>
      <c r="P126" s="102">
        <f>IF(P$1="",0,SUMIFS(сценарии!P:P,сценарии!$E:$E,$E126,сценарии!$J:$J,$J126,сценарии!$M:$M,$P$122))</f>
        <v>0.2</v>
      </c>
      <c r="Q126" s="102">
        <f>IF(Q$1="",0,SUMIFS(сценарии!Q:Q,сценарии!$E:$E,$E126,сценарии!$J:$J,$J126,сценарии!$M:$M,$P$122))</f>
        <v>0.2</v>
      </c>
      <c r="R126" s="102">
        <f>IF(R$1="",0,SUMIFS(сценарии!R:R,сценарии!$E:$E,$E126,сценарии!$J:$J,$J126,сценарии!$M:$M,$P$122))</f>
        <v>0.2</v>
      </c>
      <c r="S126" s="102">
        <f>IF(S$1="",0,SUMIFS(сценарии!S:S,сценарии!$E:$E,$E126,сценарии!$J:$J,$J126,сценарии!$M:$M,$P$122))</f>
        <v>0.2</v>
      </c>
      <c r="T126" s="102">
        <f>IF(T$1="",0,SUMIFS(сценарии!T:T,сценарии!$E:$E,$E126,сценарии!$J:$J,$J126,сценарии!$M:$M,$P$122))</f>
        <v>0.2</v>
      </c>
      <c r="U126" s="102">
        <f>IF(U$1="",0,SUMIFS(сценарии!U:U,сценарии!$E:$E,$E126,сценарии!$J:$J,$J126,сценарии!$M:$M,$P$122))</f>
        <v>0.2</v>
      </c>
      <c r="V126" s="102">
        <f>IF(V$1="",0,SUMIFS(сценарии!V:V,сценарии!$E:$E,$E126,сценарии!$J:$J,$J126,сценарии!$M:$M,$P$122))</f>
        <v>0.2</v>
      </c>
      <c r="W126" s="102">
        <f>IF(W$1="",0,SUMIFS(сценарии!W:W,сценарии!$E:$E,$E126,сценарии!$J:$J,$J126,сценарии!$M:$M,$P$122))</f>
        <v>0</v>
      </c>
      <c r="X126" s="102">
        <f>IF(X$1="",0,SUMIFS(сценарии!X:X,сценарии!$E:$E,$E126,сценарии!$J:$J,$J126,сценарии!$M:$M,$P$122))</f>
        <v>0</v>
      </c>
      <c r="Y126" s="102">
        <f>IF(Y$1="",0,SUMIFS(сценарии!Y:Y,сценарии!$E:$E,$E126,сценарии!$J:$J,$J126,сценарии!$M:$M,$P$122))</f>
        <v>0</v>
      </c>
      <c r="Z126" s="102">
        <f>IF(Z$1="",0,SUMIFS(сценарии!Z:Z,сценарии!$E:$E,$E126,сценарии!$J:$J,$J126,сценарии!$M:$M,$P$122))</f>
        <v>0</v>
      </c>
      <c r="AA126" s="102">
        <f>IF(AA$1="",0,SUMIFS(сценарии!AA:AA,сценарии!$E:$E,$E126,сценарии!$J:$J,$J126,сценарии!$M:$M,$P$122))</f>
        <v>0</v>
      </c>
      <c r="AB126" s="22"/>
    </row>
    <row r="127" spans="1:28" s="23" customFormat="1" ht="10.199999999999999" x14ac:dyDescent="0.2">
      <c r="A127" s="22"/>
      <c r="B127" s="22"/>
      <c r="C127" s="22"/>
      <c r="D127" s="22"/>
      <c r="E127" s="22" t="str">
        <f>E122</f>
        <v>конверсия в покупку одной услуги проката</v>
      </c>
      <c r="F127" s="22"/>
      <c r="G127" s="22" t="str">
        <f>IF($E127="","",INDEX(KPI!$G:$G,SUMIFS(KPI!$B:$B,KPI!$E:$E,$E127)))</f>
        <v>%</v>
      </c>
      <c r="H127" s="100">
        <f>структура!$V$16</f>
        <v>5</v>
      </c>
      <c r="I127" s="31"/>
      <c r="J127" s="98" t="str">
        <f>структура!$X$16</f>
        <v>май</v>
      </c>
      <c r="K127" s="99"/>
      <c r="L127" s="22"/>
      <c r="M127" s="58"/>
      <c r="N127" s="22"/>
      <c r="O127" s="22"/>
      <c r="P127" s="102">
        <f>IF(P$1="",0,SUMIFS(сценарии!P:P,сценарии!$E:$E,$E127,сценарии!$J:$J,$J127,сценарии!$M:$M,$P$122))</f>
        <v>0.4</v>
      </c>
      <c r="Q127" s="102">
        <f>IF(Q$1="",0,SUMIFS(сценарии!Q:Q,сценарии!$E:$E,$E127,сценарии!$J:$J,$J127,сценарии!$M:$M,$P$122))</f>
        <v>0.4</v>
      </c>
      <c r="R127" s="102">
        <f>IF(R$1="",0,SUMIFS(сценарии!R:R,сценарии!$E:$E,$E127,сценарии!$J:$J,$J127,сценарии!$M:$M,$P$122))</f>
        <v>0.4</v>
      </c>
      <c r="S127" s="102">
        <f>IF(S$1="",0,SUMIFS(сценарии!S:S,сценарии!$E:$E,$E127,сценарии!$J:$J,$J127,сценарии!$M:$M,$P$122))</f>
        <v>0.4</v>
      </c>
      <c r="T127" s="102">
        <f>IF(T$1="",0,SUMIFS(сценарии!T:T,сценарии!$E:$E,$E127,сценарии!$J:$J,$J127,сценарии!$M:$M,$P$122))</f>
        <v>0.4</v>
      </c>
      <c r="U127" s="102">
        <f>IF(U$1="",0,SUMIFS(сценарии!U:U,сценарии!$E:$E,$E127,сценарии!$J:$J,$J127,сценарии!$M:$M,$P$122))</f>
        <v>0.4</v>
      </c>
      <c r="V127" s="102">
        <f>IF(V$1="",0,SUMIFS(сценарии!V:V,сценарии!$E:$E,$E127,сценарии!$J:$J,$J127,сценарии!$M:$M,$P$122))</f>
        <v>0.4</v>
      </c>
      <c r="W127" s="102">
        <f>IF(W$1="",0,SUMIFS(сценарии!W:W,сценарии!$E:$E,$E127,сценарии!$J:$J,$J127,сценарии!$M:$M,$P$122))</f>
        <v>0</v>
      </c>
      <c r="X127" s="102">
        <f>IF(X$1="",0,SUMIFS(сценарии!X:X,сценарии!$E:$E,$E127,сценарии!$J:$J,$J127,сценарии!$M:$M,$P$122))</f>
        <v>0</v>
      </c>
      <c r="Y127" s="102">
        <f>IF(Y$1="",0,SUMIFS(сценарии!Y:Y,сценарии!$E:$E,$E127,сценарии!$J:$J,$J127,сценарии!$M:$M,$P$122))</f>
        <v>0</v>
      </c>
      <c r="Z127" s="102">
        <f>IF(Z$1="",0,SUMIFS(сценарии!Z:Z,сценарии!$E:$E,$E127,сценарии!$J:$J,$J127,сценарии!$M:$M,$P$122))</f>
        <v>0</v>
      </c>
      <c r="AA127" s="102">
        <f>IF(AA$1="",0,SUMIFS(сценарии!AA:AA,сценарии!$E:$E,$E127,сценарии!$J:$J,$J127,сценарии!$M:$M,$P$122))</f>
        <v>0</v>
      </c>
      <c r="AB127" s="22"/>
    </row>
    <row r="128" spans="1:28" s="23" customFormat="1" ht="10.199999999999999" x14ac:dyDescent="0.2">
      <c r="A128" s="22"/>
      <c r="B128" s="22"/>
      <c r="C128" s="22"/>
      <c r="D128" s="22"/>
      <c r="E128" s="22" t="str">
        <f>E122</f>
        <v>конверсия в покупку одной услуги проката</v>
      </c>
      <c r="F128" s="22"/>
      <c r="G128" s="22" t="str">
        <f>IF($E128="","",INDEX(KPI!$G:$G,SUMIFS(KPI!$B:$B,KPI!$E:$E,$E128)))</f>
        <v>%</v>
      </c>
      <c r="H128" s="100">
        <f>структура!$V$17</f>
        <v>6</v>
      </c>
      <c r="I128" s="31"/>
      <c r="J128" s="98" t="str">
        <f>структура!$X$17</f>
        <v>июн</v>
      </c>
      <c r="K128" s="99"/>
      <c r="L128" s="22"/>
      <c r="M128" s="58"/>
      <c r="N128" s="22"/>
      <c r="O128" s="22"/>
      <c r="P128" s="102">
        <f>IF(P$1="",0,SUMIFS(сценарии!P:P,сценарии!$E:$E,$E128,сценарии!$J:$J,$J128,сценарии!$M:$M,$P$122))</f>
        <v>0.4</v>
      </c>
      <c r="Q128" s="102">
        <f>IF(Q$1="",0,SUMIFS(сценарии!Q:Q,сценарии!$E:$E,$E128,сценарии!$J:$J,$J128,сценарии!$M:$M,$P$122))</f>
        <v>0.4</v>
      </c>
      <c r="R128" s="102">
        <f>IF(R$1="",0,SUMIFS(сценарии!R:R,сценарии!$E:$E,$E128,сценарии!$J:$J,$J128,сценарии!$M:$M,$P$122))</f>
        <v>0.4</v>
      </c>
      <c r="S128" s="102">
        <f>IF(S$1="",0,SUMIFS(сценарии!S:S,сценарии!$E:$E,$E128,сценарии!$J:$J,$J128,сценарии!$M:$M,$P$122))</f>
        <v>0.4</v>
      </c>
      <c r="T128" s="102">
        <f>IF(T$1="",0,SUMIFS(сценарии!T:T,сценарии!$E:$E,$E128,сценарии!$J:$J,$J128,сценарии!$M:$M,$P$122))</f>
        <v>0.4</v>
      </c>
      <c r="U128" s="102">
        <f>IF(U$1="",0,SUMIFS(сценарии!U:U,сценарии!$E:$E,$E128,сценарии!$J:$J,$J128,сценарии!$M:$M,$P$122))</f>
        <v>0.4</v>
      </c>
      <c r="V128" s="102">
        <f>IF(V$1="",0,SUMIFS(сценарии!V:V,сценарии!$E:$E,$E128,сценарии!$J:$J,$J128,сценарии!$M:$M,$P$122))</f>
        <v>0.4</v>
      </c>
      <c r="W128" s="102">
        <f>IF(W$1="",0,SUMIFS(сценарии!W:W,сценарии!$E:$E,$E128,сценарии!$J:$J,$J128,сценарии!$M:$M,$P$122))</f>
        <v>0</v>
      </c>
      <c r="X128" s="102">
        <f>IF(X$1="",0,SUMIFS(сценарии!X:X,сценарии!$E:$E,$E128,сценарии!$J:$J,$J128,сценарии!$M:$M,$P$122))</f>
        <v>0</v>
      </c>
      <c r="Y128" s="102">
        <f>IF(Y$1="",0,SUMIFS(сценарии!Y:Y,сценарии!$E:$E,$E128,сценарии!$J:$J,$J128,сценарии!$M:$M,$P$122))</f>
        <v>0</v>
      </c>
      <c r="Z128" s="102">
        <f>IF(Z$1="",0,SUMIFS(сценарии!Z:Z,сценарии!$E:$E,$E128,сценарии!$J:$J,$J128,сценарии!$M:$M,$P$122))</f>
        <v>0</v>
      </c>
      <c r="AA128" s="102">
        <f>IF(AA$1="",0,SUMIFS(сценарии!AA:AA,сценарии!$E:$E,$E128,сценарии!$J:$J,$J128,сценарии!$M:$M,$P$122))</f>
        <v>0</v>
      </c>
      <c r="AB128" s="22"/>
    </row>
    <row r="129" spans="1:28" s="23" customFormat="1" ht="10.199999999999999" x14ac:dyDescent="0.2">
      <c r="A129" s="22"/>
      <c r="B129" s="22"/>
      <c r="C129" s="22"/>
      <c r="D129" s="22"/>
      <c r="E129" s="22" t="str">
        <f>E122</f>
        <v>конверсия в покупку одной услуги проката</v>
      </c>
      <c r="F129" s="22"/>
      <c r="G129" s="22" t="str">
        <f>IF($E129="","",INDEX(KPI!$G:$G,SUMIFS(KPI!$B:$B,KPI!$E:$E,$E129)))</f>
        <v>%</v>
      </c>
      <c r="H129" s="100">
        <f>структура!$V$18</f>
        <v>7</v>
      </c>
      <c r="I129" s="31"/>
      <c r="J129" s="98" t="str">
        <f>структура!$X$18</f>
        <v>июл</v>
      </c>
      <c r="K129" s="99"/>
      <c r="L129" s="22"/>
      <c r="M129" s="58"/>
      <c r="N129" s="22"/>
      <c r="O129" s="22"/>
      <c r="P129" s="102">
        <f>IF(P$1="",0,SUMIFS(сценарии!P:P,сценарии!$E:$E,$E129,сценарии!$J:$J,$J129,сценарии!$M:$M,$P$122))</f>
        <v>0.4</v>
      </c>
      <c r="Q129" s="102">
        <f>IF(Q$1="",0,SUMIFS(сценарии!Q:Q,сценарии!$E:$E,$E129,сценарии!$J:$J,$J129,сценарии!$M:$M,$P$122))</f>
        <v>0.4</v>
      </c>
      <c r="R129" s="102">
        <f>IF(R$1="",0,SUMIFS(сценарии!R:R,сценарии!$E:$E,$E129,сценарии!$J:$J,$J129,сценарии!$M:$M,$P$122))</f>
        <v>0.4</v>
      </c>
      <c r="S129" s="102">
        <f>IF(S$1="",0,SUMIFS(сценарии!S:S,сценарии!$E:$E,$E129,сценарии!$J:$J,$J129,сценарии!$M:$M,$P$122))</f>
        <v>0.4</v>
      </c>
      <c r="T129" s="102">
        <f>IF(T$1="",0,SUMIFS(сценарии!T:T,сценарии!$E:$E,$E129,сценарии!$J:$J,$J129,сценарии!$M:$M,$P$122))</f>
        <v>0.4</v>
      </c>
      <c r="U129" s="102">
        <f>IF(U$1="",0,SUMIFS(сценарии!U:U,сценарии!$E:$E,$E129,сценарии!$J:$J,$J129,сценарии!$M:$M,$P$122))</f>
        <v>0.4</v>
      </c>
      <c r="V129" s="102">
        <f>IF(V$1="",0,SUMIFS(сценарии!V:V,сценарии!$E:$E,$E129,сценарии!$J:$J,$J129,сценарии!$M:$M,$P$122))</f>
        <v>0.4</v>
      </c>
      <c r="W129" s="102">
        <f>IF(W$1="",0,SUMIFS(сценарии!W:W,сценарии!$E:$E,$E129,сценарии!$J:$J,$J129,сценарии!$M:$M,$P$122))</f>
        <v>0</v>
      </c>
      <c r="X129" s="102">
        <f>IF(X$1="",0,SUMIFS(сценарии!X:X,сценарии!$E:$E,$E129,сценарии!$J:$J,$J129,сценарии!$M:$M,$P$122))</f>
        <v>0</v>
      </c>
      <c r="Y129" s="102">
        <f>IF(Y$1="",0,SUMIFS(сценарии!Y:Y,сценарии!$E:$E,$E129,сценарии!$J:$J,$J129,сценарии!$M:$M,$P$122))</f>
        <v>0</v>
      </c>
      <c r="Z129" s="102">
        <f>IF(Z$1="",0,SUMIFS(сценарии!Z:Z,сценарии!$E:$E,$E129,сценарии!$J:$J,$J129,сценарии!$M:$M,$P$122))</f>
        <v>0</v>
      </c>
      <c r="AA129" s="102">
        <f>IF(AA$1="",0,SUMIFS(сценарии!AA:AA,сценарии!$E:$E,$E129,сценарии!$J:$J,$J129,сценарии!$M:$M,$P$122))</f>
        <v>0</v>
      </c>
      <c r="AB129" s="22"/>
    </row>
    <row r="130" spans="1:28" s="23" customFormat="1" ht="10.199999999999999" x14ac:dyDescent="0.2">
      <c r="A130" s="22"/>
      <c r="B130" s="22"/>
      <c r="C130" s="22"/>
      <c r="D130" s="22"/>
      <c r="E130" s="22" t="str">
        <f>E122</f>
        <v>конверсия в покупку одной услуги проката</v>
      </c>
      <c r="F130" s="22"/>
      <c r="G130" s="22" t="str">
        <f>IF($E130="","",INDEX(KPI!$G:$G,SUMIFS(KPI!$B:$B,KPI!$E:$E,$E130)))</f>
        <v>%</v>
      </c>
      <c r="H130" s="100">
        <f>структура!$V$19</f>
        <v>8</v>
      </c>
      <c r="I130" s="31"/>
      <c r="J130" s="98" t="str">
        <f>структура!$X$19</f>
        <v>авг</v>
      </c>
      <c r="K130" s="99"/>
      <c r="L130" s="22"/>
      <c r="M130" s="58"/>
      <c r="N130" s="22"/>
      <c r="O130" s="22"/>
      <c r="P130" s="102">
        <f>IF(P$1="",0,SUMIFS(сценарии!P:P,сценарии!$E:$E,$E130,сценарии!$J:$J,$J130,сценарии!$M:$M,$P$122))</f>
        <v>0.4</v>
      </c>
      <c r="Q130" s="102">
        <f>IF(Q$1="",0,SUMIFS(сценарии!Q:Q,сценарии!$E:$E,$E130,сценарии!$J:$J,$J130,сценарии!$M:$M,$P$122))</f>
        <v>0.4</v>
      </c>
      <c r="R130" s="102">
        <f>IF(R$1="",0,SUMIFS(сценарии!R:R,сценарии!$E:$E,$E130,сценарии!$J:$J,$J130,сценарии!$M:$M,$P$122))</f>
        <v>0.4</v>
      </c>
      <c r="S130" s="102">
        <f>IF(S$1="",0,SUMIFS(сценарии!S:S,сценарии!$E:$E,$E130,сценарии!$J:$J,$J130,сценарии!$M:$M,$P$122))</f>
        <v>0.4</v>
      </c>
      <c r="T130" s="102">
        <f>IF(T$1="",0,SUMIFS(сценарии!T:T,сценарии!$E:$E,$E130,сценарии!$J:$J,$J130,сценарии!$M:$M,$P$122))</f>
        <v>0.4</v>
      </c>
      <c r="U130" s="102">
        <f>IF(U$1="",0,SUMIFS(сценарии!U:U,сценарии!$E:$E,$E130,сценарии!$J:$J,$J130,сценарии!$M:$M,$P$122))</f>
        <v>0.4</v>
      </c>
      <c r="V130" s="102">
        <f>IF(V$1="",0,SUMIFS(сценарии!V:V,сценарии!$E:$E,$E130,сценарии!$J:$J,$J130,сценарии!$M:$M,$P$122))</f>
        <v>0.4</v>
      </c>
      <c r="W130" s="102">
        <f>IF(W$1="",0,SUMIFS(сценарии!W:W,сценарии!$E:$E,$E130,сценарии!$J:$J,$J130,сценарии!$M:$M,$P$122))</f>
        <v>0</v>
      </c>
      <c r="X130" s="102">
        <f>IF(X$1="",0,SUMIFS(сценарии!X:X,сценарии!$E:$E,$E130,сценарии!$J:$J,$J130,сценарии!$M:$M,$P$122))</f>
        <v>0</v>
      </c>
      <c r="Y130" s="102">
        <f>IF(Y$1="",0,SUMIFS(сценарии!Y:Y,сценарии!$E:$E,$E130,сценарии!$J:$J,$J130,сценарии!$M:$M,$P$122))</f>
        <v>0</v>
      </c>
      <c r="Z130" s="102">
        <f>IF(Z$1="",0,SUMIFS(сценарии!Z:Z,сценарии!$E:$E,$E130,сценарии!$J:$J,$J130,сценарии!$M:$M,$P$122))</f>
        <v>0</v>
      </c>
      <c r="AA130" s="102">
        <f>IF(AA$1="",0,SUMIFS(сценарии!AA:AA,сценарии!$E:$E,$E130,сценарии!$J:$J,$J130,сценарии!$M:$M,$P$122))</f>
        <v>0</v>
      </c>
      <c r="AB130" s="22"/>
    </row>
    <row r="131" spans="1:28" s="23" customFormat="1" ht="10.199999999999999" x14ac:dyDescent="0.2">
      <c r="A131" s="22"/>
      <c r="B131" s="22"/>
      <c r="C131" s="22"/>
      <c r="D131" s="22"/>
      <c r="E131" s="22" t="str">
        <f>E122</f>
        <v>конверсия в покупку одной услуги проката</v>
      </c>
      <c r="F131" s="22"/>
      <c r="G131" s="22" t="str">
        <f>IF($E131="","",INDEX(KPI!$G:$G,SUMIFS(KPI!$B:$B,KPI!$E:$E,$E131)))</f>
        <v>%</v>
      </c>
      <c r="H131" s="100">
        <f>структура!$V$20</f>
        <v>9</v>
      </c>
      <c r="I131" s="31"/>
      <c r="J131" s="98" t="str">
        <f>структура!$X$20</f>
        <v>сен</v>
      </c>
      <c r="K131" s="99"/>
      <c r="L131" s="22"/>
      <c r="M131" s="58"/>
      <c r="N131" s="22"/>
      <c r="O131" s="22"/>
      <c r="P131" s="102">
        <f>IF(P$1="",0,SUMIFS(сценарии!P:P,сценарии!$E:$E,$E131,сценарии!$J:$J,$J131,сценарии!$M:$M,$P$122))</f>
        <v>0.25</v>
      </c>
      <c r="Q131" s="102">
        <f>IF(Q$1="",0,SUMIFS(сценарии!Q:Q,сценарии!$E:$E,$E131,сценарии!$J:$J,$J131,сценарии!$M:$M,$P$122))</f>
        <v>0.25</v>
      </c>
      <c r="R131" s="102">
        <f>IF(R$1="",0,SUMIFS(сценарии!R:R,сценарии!$E:$E,$E131,сценарии!$J:$J,$J131,сценарии!$M:$M,$P$122))</f>
        <v>0.25</v>
      </c>
      <c r="S131" s="102">
        <f>IF(S$1="",0,SUMIFS(сценарии!S:S,сценарии!$E:$E,$E131,сценарии!$J:$J,$J131,сценарии!$M:$M,$P$122))</f>
        <v>0.25</v>
      </c>
      <c r="T131" s="102">
        <f>IF(T$1="",0,SUMIFS(сценарии!T:T,сценарии!$E:$E,$E131,сценарии!$J:$J,$J131,сценарии!$M:$M,$P$122))</f>
        <v>0.25</v>
      </c>
      <c r="U131" s="102">
        <f>IF(U$1="",0,SUMIFS(сценарии!U:U,сценарии!$E:$E,$E131,сценарии!$J:$J,$J131,сценарии!$M:$M,$P$122))</f>
        <v>0.25</v>
      </c>
      <c r="V131" s="102">
        <f>IF(V$1="",0,SUMIFS(сценарии!V:V,сценарии!$E:$E,$E131,сценарии!$J:$J,$J131,сценарии!$M:$M,$P$122))</f>
        <v>0.25</v>
      </c>
      <c r="W131" s="102">
        <f>IF(W$1="",0,SUMIFS(сценарии!W:W,сценарии!$E:$E,$E131,сценарии!$J:$J,$J131,сценарии!$M:$M,$P$122))</f>
        <v>0</v>
      </c>
      <c r="X131" s="102">
        <f>IF(X$1="",0,SUMIFS(сценарии!X:X,сценарии!$E:$E,$E131,сценарии!$J:$J,$J131,сценарии!$M:$M,$P$122))</f>
        <v>0</v>
      </c>
      <c r="Y131" s="102">
        <f>IF(Y$1="",0,SUMIFS(сценарии!Y:Y,сценарии!$E:$E,$E131,сценарии!$J:$J,$J131,сценарии!$M:$M,$P$122))</f>
        <v>0</v>
      </c>
      <c r="Z131" s="102">
        <f>IF(Z$1="",0,SUMIFS(сценарии!Z:Z,сценарии!$E:$E,$E131,сценарии!$J:$J,$J131,сценарии!$M:$M,$P$122))</f>
        <v>0</v>
      </c>
      <c r="AA131" s="102">
        <f>IF(AA$1="",0,SUMIFS(сценарии!AA:AA,сценарии!$E:$E,$E131,сценарии!$J:$J,$J131,сценарии!$M:$M,$P$122))</f>
        <v>0</v>
      </c>
      <c r="AB131" s="22"/>
    </row>
    <row r="132" spans="1:28" s="23" customFormat="1" ht="10.199999999999999" x14ac:dyDescent="0.2">
      <c r="A132" s="22"/>
      <c r="B132" s="22"/>
      <c r="C132" s="22"/>
      <c r="D132" s="22"/>
      <c r="E132" s="22" t="str">
        <f>E122</f>
        <v>конверсия в покупку одной услуги проката</v>
      </c>
      <c r="F132" s="22"/>
      <c r="G132" s="22" t="str">
        <f>IF($E132="","",INDEX(KPI!$G:$G,SUMIFS(KPI!$B:$B,KPI!$E:$E,$E132)))</f>
        <v>%</v>
      </c>
      <c r="H132" s="100">
        <f>структура!$V$21</f>
        <v>10</v>
      </c>
      <c r="I132" s="31"/>
      <c r="J132" s="98" t="str">
        <f>структура!$X$21</f>
        <v>окт</v>
      </c>
      <c r="K132" s="99"/>
      <c r="L132" s="22"/>
      <c r="M132" s="58"/>
      <c r="N132" s="22"/>
      <c r="O132" s="22"/>
      <c r="P132" s="102">
        <f>IF(P$1="",0,SUMIFS(сценарии!P:P,сценарии!$E:$E,$E132,сценарии!$J:$J,$J132,сценарии!$M:$M,$P$122))</f>
        <v>0.25</v>
      </c>
      <c r="Q132" s="102">
        <f>IF(Q$1="",0,SUMIFS(сценарии!Q:Q,сценарии!$E:$E,$E132,сценарии!$J:$J,$J132,сценарии!$M:$M,$P$122))</f>
        <v>0.25</v>
      </c>
      <c r="R132" s="102">
        <f>IF(R$1="",0,SUMIFS(сценарии!R:R,сценарии!$E:$E,$E132,сценарии!$J:$J,$J132,сценарии!$M:$M,$P$122))</f>
        <v>0.25</v>
      </c>
      <c r="S132" s="102">
        <f>IF(S$1="",0,SUMIFS(сценарии!S:S,сценарии!$E:$E,$E132,сценарии!$J:$J,$J132,сценарии!$M:$M,$P$122))</f>
        <v>0.25</v>
      </c>
      <c r="T132" s="102">
        <f>IF(T$1="",0,SUMIFS(сценарии!T:T,сценарии!$E:$E,$E132,сценарии!$J:$J,$J132,сценарии!$M:$M,$P$122))</f>
        <v>0.25</v>
      </c>
      <c r="U132" s="102">
        <f>IF(U$1="",0,SUMIFS(сценарии!U:U,сценарии!$E:$E,$E132,сценарии!$J:$J,$J132,сценарии!$M:$M,$P$122))</f>
        <v>0.25</v>
      </c>
      <c r="V132" s="102">
        <f>IF(V$1="",0,SUMIFS(сценарии!V:V,сценарии!$E:$E,$E132,сценарии!$J:$J,$J132,сценарии!$M:$M,$P$122))</f>
        <v>0.25</v>
      </c>
      <c r="W132" s="102">
        <f>IF(W$1="",0,SUMIFS(сценарии!W:W,сценарии!$E:$E,$E132,сценарии!$J:$J,$J132,сценарии!$M:$M,$P$122))</f>
        <v>0</v>
      </c>
      <c r="X132" s="102">
        <f>IF(X$1="",0,SUMIFS(сценарии!X:X,сценарии!$E:$E,$E132,сценарии!$J:$J,$J132,сценарии!$M:$M,$P$122))</f>
        <v>0</v>
      </c>
      <c r="Y132" s="102">
        <f>IF(Y$1="",0,SUMIFS(сценарии!Y:Y,сценарии!$E:$E,$E132,сценарии!$J:$J,$J132,сценарии!$M:$M,$P$122))</f>
        <v>0</v>
      </c>
      <c r="Z132" s="102">
        <f>IF(Z$1="",0,SUMIFS(сценарии!Z:Z,сценарии!$E:$E,$E132,сценарии!$J:$J,$J132,сценарии!$M:$M,$P$122))</f>
        <v>0</v>
      </c>
      <c r="AA132" s="102">
        <f>IF(AA$1="",0,SUMIFS(сценарии!AA:AA,сценарии!$E:$E,$E132,сценарии!$J:$J,$J132,сценарии!$M:$M,$P$122))</f>
        <v>0</v>
      </c>
      <c r="AB132" s="22"/>
    </row>
    <row r="133" spans="1:28" s="23" customFormat="1" ht="10.199999999999999" x14ac:dyDescent="0.2">
      <c r="A133" s="22"/>
      <c r="B133" s="22"/>
      <c r="C133" s="22"/>
      <c r="D133" s="22"/>
      <c r="E133" s="22" t="str">
        <f>E122</f>
        <v>конверсия в покупку одной услуги проката</v>
      </c>
      <c r="F133" s="22"/>
      <c r="G133" s="22" t="str">
        <f>IF($E133="","",INDEX(KPI!$G:$G,SUMIFS(KPI!$B:$B,KPI!$E:$E,$E133)))</f>
        <v>%</v>
      </c>
      <c r="H133" s="100">
        <f>структура!$V$22</f>
        <v>11</v>
      </c>
      <c r="I133" s="31"/>
      <c r="J133" s="98" t="str">
        <f>структура!$X$22</f>
        <v>ноя</v>
      </c>
      <c r="K133" s="99"/>
      <c r="L133" s="22"/>
      <c r="M133" s="58"/>
      <c r="N133" s="22"/>
      <c r="O133" s="22"/>
      <c r="P133" s="102">
        <f>IF(P$1="",0,SUMIFS(сценарии!P:P,сценарии!$E:$E,$E133,сценарии!$J:$J,$J133,сценарии!$M:$M,$P$122))</f>
        <v>0.2</v>
      </c>
      <c r="Q133" s="102">
        <f>IF(Q$1="",0,SUMIFS(сценарии!Q:Q,сценарии!$E:$E,$E133,сценарии!$J:$J,$J133,сценарии!$M:$M,$P$122))</f>
        <v>0.2</v>
      </c>
      <c r="R133" s="102">
        <f>IF(R$1="",0,SUMIFS(сценарии!R:R,сценарии!$E:$E,$E133,сценарии!$J:$J,$J133,сценарии!$M:$M,$P$122))</f>
        <v>0.2</v>
      </c>
      <c r="S133" s="102">
        <f>IF(S$1="",0,SUMIFS(сценарии!S:S,сценарии!$E:$E,$E133,сценарии!$J:$J,$J133,сценарии!$M:$M,$P$122))</f>
        <v>0.2</v>
      </c>
      <c r="T133" s="102">
        <f>IF(T$1="",0,SUMIFS(сценарии!T:T,сценарии!$E:$E,$E133,сценарии!$J:$J,$J133,сценарии!$M:$M,$P$122))</f>
        <v>0.2</v>
      </c>
      <c r="U133" s="102">
        <f>IF(U$1="",0,SUMIFS(сценарии!U:U,сценарии!$E:$E,$E133,сценарии!$J:$J,$J133,сценарии!$M:$M,$P$122))</f>
        <v>0.2</v>
      </c>
      <c r="V133" s="102">
        <f>IF(V$1="",0,SUMIFS(сценарии!V:V,сценарии!$E:$E,$E133,сценарии!$J:$J,$J133,сценарии!$M:$M,$P$122))</f>
        <v>0.2</v>
      </c>
      <c r="W133" s="102">
        <f>IF(W$1="",0,SUMIFS(сценарии!W:W,сценарии!$E:$E,$E133,сценарии!$J:$J,$J133,сценарии!$M:$M,$P$122))</f>
        <v>0</v>
      </c>
      <c r="X133" s="102">
        <f>IF(X$1="",0,SUMIFS(сценарии!X:X,сценарии!$E:$E,$E133,сценарии!$J:$J,$J133,сценарии!$M:$M,$P$122))</f>
        <v>0</v>
      </c>
      <c r="Y133" s="102">
        <f>IF(Y$1="",0,SUMIFS(сценарии!Y:Y,сценарии!$E:$E,$E133,сценарии!$J:$J,$J133,сценарии!$M:$M,$P$122))</f>
        <v>0</v>
      </c>
      <c r="Z133" s="102">
        <f>IF(Z$1="",0,SUMIFS(сценарии!Z:Z,сценарии!$E:$E,$E133,сценарии!$J:$J,$J133,сценарии!$M:$M,$P$122))</f>
        <v>0</v>
      </c>
      <c r="AA133" s="102">
        <f>IF(AA$1="",0,SUMIFS(сценарии!AA:AA,сценарии!$E:$E,$E133,сценарии!$J:$J,$J133,сценарии!$M:$M,$P$122))</f>
        <v>0</v>
      </c>
      <c r="AB133" s="22"/>
    </row>
    <row r="134" spans="1:28" s="23" customFormat="1" ht="10.199999999999999" x14ac:dyDescent="0.2">
      <c r="A134" s="22"/>
      <c r="B134" s="22"/>
      <c r="C134" s="22"/>
      <c r="D134" s="22"/>
      <c r="E134" s="22" t="str">
        <f>E122</f>
        <v>конверсия в покупку одной услуги проката</v>
      </c>
      <c r="F134" s="22"/>
      <c r="G134" s="22" t="str">
        <f>IF($E134="","",INDEX(KPI!$G:$G,SUMIFS(KPI!$B:$B,KPI!$E:$E,$E134)))</f>
        <v>%</v>
      </c>
      <c r="H134" s="100">
        <f>структура!$V$23</f>
        <v>12</v>
      </c>
      <c r="I134" s="31"/>
      <c r="J134" s="98" t="str">
        <f>структура!$X$23</f>
        <v>дек</v>
      </c>
      <c r="K134" s="99"/>
      <c r="L134" s="22"/>
      <c r="M134" s="58"/>
      <c r="N134" s="22"/>
      <c r="O134" s="22"/>
      <c r="P134" s="102">
        <f>IF(P$1="",0,SUMIFS(сценарии!P:P,сценарии!$E:$E,$E134,сценарии!$J:$J,$J134,сценарии!$M:$M,$P$122))</f>
        <v>0.3</v>
      </c>
      <c r="Q134" s="102">
        <f>IF(Q$1="",0,SUMIFS(сценарии!Q:Q,сценарии!$E:$E,$E134,сценарии!$J:$J,$J134,сценарии!$M:$M,$P$122))</f>
        <v>0.3</v>
      </c>
      <c r="R134" s="102">
        <f>IF(R$1="",0,SUMIFS(сценарии!R:R,сценарии!$E:$E,$E134,сценарии!$J:$J,$J134,сценарии!$M:$M,$P$122))</f>
        <v>0.3</v>
      </c>
      <c r="S134" s="102">
        <f>IF(S$1="",0,SUMIFS(сценарии!S:S,сценарии!$E:$E,$E134,сценарии!$J:$J,$J134,сценарии!$M:$M,$P$122))</f>
        <v>0.3</v>
      </c>
      <c r="T134" s="102">
        <f>IF(T$1="",0,SUMIFS(сценарии!T:T,сценарии!$E:$E,$E134,сценарии!$J:$J,$J134,сценарии!$M:$M,$P$122))</f>
        <v>0.3</v>
      </c>
      <c r="U134" s="102">
        <f>IF(U$1="",0,SUMIFS(сценарии!U:U,сценарии!$E:$E,$E134,сценарии!$J:$J,$J134,сценарии!$M:$M,$P$122))</f>
        <v>0.3</v>
      </c>
      <c r="V134" s="102">
        <f>IF(V$1="",0,SUMIFS(сценарии!V:V,сценарии!$E:$E,$E134,сценарии!$J:$J,$J134,сценарии!$M:$M,$P$122))</f>
        <v>0.3</v>
      </c>
      <c r="W134" s="102">
        <f>IF(W$1="",0,SUMIFS(сценарии!W:W,сценарии!$E:$E,$E134,сценарии!$J:$J,$J134,сценарии!$M:$M,$P$122))</f>
        <v>0</v>
      </c>
      <c r="X134" s="102">
        <f>IF(X$1="",0,SUMIFS(сценарии!X:X,сценарии!$E:$E,$E134,сценарии!$J:$J,$J134,сценарии!$M:$M,$P$122))</f>
        <v>0</v>
      </c>
      <c r="Y134" s="102">
        <f>IF(Y$1="",0,SUMIFS(сценарии!Y:Y,сценарии!$E:$E,$E134,сценарии!$J:$J,$J134,сценарии!$M:$M,$P$122))</f>
        <v>0</v>
      </c>
      <c r="Z134" s="102">
        <f>IF(Z$1="",0,SUMIFS(сценарии!Z:Z,сценарии!$E:$E,$E134,сценарии!$J:$J,$J134,сценарии!$M:$M,$P$122))</f>
        <v>0</v>
      </c>
      <c r="AA134" s="102">
        <f>IF(AA$1="",0,SUMIFS(сценарии!AA:AA,сценарии!$E:$E,$E134,сценарии!$J:$J,$J134,сценарии!$M:$M,$P$122))</f>
        <v>0</v>
      </c>
      <c r="AB134" s="22"/>
    </row>
    <row r="135" spans="1:28" ht="3.9" customHeight="1" x14ac:dyDescent="0.25">
      <c r="A135" s="2"/>
      <c r="B135" s="2"/>
      <c r="C135" s="2"/>
      <c r="D135" s="2"/>
      <c r="E135" s="21"/>
      <c r="F135" s="2"/>
      <c r="G135" s="21"/>
      <c r="H135" s="2"/>
      <c r="I135" s="28"/>
      <c r="J135" s="21"/>
      <c r="K135" s="28"/>
      <c r="L135" s="2"/>
      <c r="M135" s="52"/>
      <c r="N135" s="2"/>
      <c r="O135" s="2"/>
      <c r="P135" s="36"/>
      <c r="Q135" s="36"/>
      <c r="R135" s="36"/>
      <c r="S135" s="36"/>
      <c r="T135" s="36"/>
      <c r="U135" s="36"/>
      <c r="V135" s="36"/>
      <c r="W135" s="36"/>
      <c r="X135" s="36"/>
      <c r="Y135" s="36"/>
      <c r="Z135" s="36"/>
      <c r="AA135" s="36"/>
      <c r="AB135" s="2"/>
    </row>
    <row r="136" spans="1:28" ht="8.1" customHeight="1" x14ac:dyDescent="0.25">
      <c r="A136" s="2"/>
      <c r="B136" s="2"/>
      <c r="C136" s="2"/>
      <c r="D136" s="2"/>
      <c r="E136" s="2"/>
      <c r="F136" s="2"/>
      <c r="G136" s="2"/>
      <c r="H136" s="2"/>
      <c r="I136" s="28"/>
      <c r="J136" s="2"/>
      <c r="K136" s="28"/>
      <c r="L136" s="2"/>
      <c r="M136" s="52"/>
      <c r="N136" s="2"/>
      <c r="O136" s="2"/>
      <c r="P136" s="36"/>
      <c r="Q136" s="36"/>
      <c r="R136" s="36"/>
      <c r="S136" s="36"/>
      <c r="T136" s="36"/>
      <c r="U136" s="36"/>
      <c r="V136" s="36"/>
      <c r="W136" s="36"/>
      <c r="X136" s="36"/>
      <c r="Y136" s="36"/>
      <c r="Z136" s="36"/>
      <c r="AA136" s="36"/>
      <c r="AB136" s="2"/>
    </row>
    <row r="137" spans="1:28" s="5" customFormat="1" x14ac:dyDescent="0.25">
      <c r="A137" s="3"/>
      <c r="B137" s="3"/>
      <c r="C137" s="3"/>
      <c r="D137" s="108"/>
      <c r="E137" s="3" t="str">
        <f>KPI!$E$42</f>
        <v>доход от продажи услуг</v>
      </c>
      <c r="F137" s="3"/>
      <c r="G137" s="3" t="str">
        <f>IF($E137="","",INDEX(KPI!$G:$G,SUMIFS(KPI!$B:$B,KPI!$E:$E,$E137)))</f>
        <v>тыс.руб.</v>
      </c>
      <c r="H137" s="3"/>
      <c r="I137" s="28"/>
      <c r="J137" s="44"/>
      <c r="K137" s="28"/>
      <c r="L137" s="3"/>
      <c r="M137" s="55">
        <f>SUM($O137:$AB137)</f>
        <v>69880.64999999998</v>
      </c>
      <c r="N137" s="3"/>
      <c r="O137" s="3"/>
      <c r="P137" s="46">
        <f>IF(P$1="",0,IF(P$1=0,SUMIFS(P138:P149,H138:H149,"&gt;="&amp;MONTH($J$13)),SUM(P138:P149)))</f>
        <v>7221.9149999999991</v>
      </c>
      <c r="Q137" s="46">
        <f t="shared" ref="Q137" si="14">IF(Q$1="",0,SUM(Q138:Q149))</f>
        <v>7855.364999999998</v>
      </c>
      <c r="R137" s="46">
        <f t="shared" ref="R137:AA137" si="15">IF(R$1="",0,SUM(R138:R149))</f>
        <v>8809.0499999999993</v>
      </c>
      <c r="S137" s="46">
        <f t="shared" si="15"/>
        <v>9438.989999999998</v>
      </c>
      <c r="T137" s="46">
        <f t="shared" si="15"/>
        <v>10389.164999999997</v>
      </c>
      <c r="U137" s="46">
        <f t="shared" si="15"/>
        <v>11972.789999999999</v>
      </c>
      <c r="V137" s="46">
        <f t="shared" si="15"/>
        <v>14193.374999999998</v>
      </c>
      <c r="W137" s="46">
        <f t="shared" si="15"/>
        <v>0</v>
      </c>
      <c r="X137" s="46">
        <f t="shared" si="15"/>
        <v>0</v>
      </c>
      <c r="Y137" s="46">
        <f t="shared" si="15"/>
        <v>0</v>
      </c>
      <c r="Z137" s="46">
        <f t="shared" si="15"/>
        <v>0</v>
      </c>
      <c r="AA137" s="46">
        <f t="shared" si="15"/>
        <v>0</v>
      </c>
      <c r="AB137" s="3"/>
    </row>
    <row r="138" spans="1:28" s="23" customFormat="1" ht="10.199999999999999" x14ac:dyDescent="0.2">
      <c r="A138" s="22"/>
      <c r="B138" s="22"/>
      <c r="C138" s="22"/>
      <c r="D138" s="22"/>
      <c r="E138" s="22" t="str">
        <f>E137</f>
        <v>доход от продажи услуг</v>
      </c>
      <c r="F138" s="22"/>
      <c r="G138" s="22" t="str">
        <f>IF($E138="","",INDEX(KPI!$G:$G,SUMIFS(KPI!$B:$B,KPI!$E:$E,$E138)))</f>
        <v>тыс.руб.</v>
      </c>
      <c r="H138" s="100">
        <f>структура!$V$12</f>
        <v>1</v>
      </c>
      <c r="I138" s="31"/>
      <c r="J138" s="98" t="str">
        <f>структура!$X$12</f>
        <v>янв</v>
      </c>
      <c r="K138" s="99"/>
      <c r="L138" s="22"/>
      <c r="M138" s="58"/>
      <c r="N138" s="22"/>
      <c r="O138" s="22"/>
      <c r="P138" s="101">
        <f>IF(P$1="",0,операции!P198+(операции!P90*(1+$J$104)+операции!P$136*операции!$M138*операции!$M153)*P123*операции!$M123/1000)</f>
        <v>257.625</v>
      </c>
      <c r="Q138" s="101">
        <f>IF(Q$1="",0,операции!Q198+(операции!Q90*(1+$J$104)+операции!Q$136*операции!$M138*операции!$M153)*Q123*операции!$M123/1000)</f>
        <v>276.375</v>
      </c>
      <c r="R138" s="101">
        <f>IF(R$1="",0,операции!R198+(операции!R90*(1+$J$104)+операции!R$136*операции!$M138*операции!$M153)*R123*операции!$M123/1000)</f>
        <v>304.5</v>
      </c>
      <c r="S138" s="101">
        <f>IF(S$1="",0,операции!S198+(операции!S90*(1+$J$104)+операции!S$136*операции!$M138*операции!$M153)*S123*операции!$M123/1000)</f>
        <v>323.25</v>
      </c>
      <c r="T138" s="101">
        <f>IF(T$1="",0,операции!T198+(операции!T90*(1+$J$104)+операции!T$136*операции!$M138*операции!$M153)*T123*операции!$M123/1000)</f>
        <v>351.375</v>
      </c>
      <c r="U138" s="101">
        <f>IF(U$1="",0,операции!U198+(операции!U90*(1+$J$104)+операции!U$136*операции!$M138*операции!$M153)*U123*операции!$M123/1000)</f>
        <v>398.25</v>
      </c>
      <c r="V138" s="101">
        <f>IF(V$1="",0,операции!V198+(операции!V90*(1+$J$104)+операции!V$136*операции!$M138*операции!$M153)*V123*операции!$M123/1000)</f>
        <v>463.875</v>
      </c>
      <c r="W138" s="101">
        <f>IF(W$1="",0,операции!W198+(операции!W90*(1+$J$104)+операции!W$136*операции!$M138*операции!$M153)*W123*операции!$M123/1000)</f>
        <v>0</v>
      </c>
      <c r="X138" s="101">
        <f>IF(X$1="",0,операции!X198+(операции!X90*(1+$J$104)+операции!X$136*операции!$M138*операции!$M153)*X123*операции!$M123/1000)</f>
        <v>0</v>
      </c>
      <c r="Y138" s="101">
        <f>IF(Y$1="",0,операции!Y198+(операции!Y90*(1+$J$104)+операции!Y$136*операции!$M138*операции!$M153)*Y123*операции!$M123/1000)</f>
        <v>0</v>
      </c>
      <c r="Z138" s="101">
        <f>IF(Z$1="",0,операции!Z198+(операции!Z90*(1+$J$104)+операции!Z$136*операции!$M138*операции!$M153)*Z123*операции!$M123/1000)</f>
        <v>0</v>
      </c>
      <c r="AA138" s="101">
        <f>IF(AA$1="",0,операции!AA198+(операции!AA90*(1+$J$104)+операции!AA$136*операции!$M138*операции!$M153)*AA123*операции!$M123/1000)</f>
        <v>0</v>
      </c>
      <c r="AB138" s="22"/>
    </row>
    <row r="139" spans="1:28" s="23" customFormat="1" ht="10.199999999999999" x14ac:dyDescent="0.2">
      <c r="A139" s="22"/>
      <c r="B139" s="22"/>
      <c r="C139" s="22"/>
      <c r="D139" s="22"/>
      <c r="E139" s="22" t="str">
        <f>E137</f>
        <v>доход от продажи услуг</v>
      </c>
      <c r="F139" s="22"/>
      <c r="G139" s="22" t="str">
        <f>IF($E139="","",INDEX(KPI!$G:$G,SUMIFS(KPI!$B:$B,KPI!$E:$E,$E139)))</f>
        <v>тыс.руб.</v>
      </c>
      <c r="H139" s="100">
        <f>структура!$V$13</f>
        <v>2</v>
      </c>
      <c r="I139" s="31"/>
      <c r="J139" s="98" t="str">
        <f>структура!$X$13</f>
        <v>фев</v>
      </c>
      <c r="K139" s="99"/>
      <c r="L139" s="22"/>
      <c r="M139" s="58"/>
      <c r="N139" s="22"/>
      <c r="O139" s="22"/>
      <c r="P139" s="101">
        <f>IF(P$1="",0,операции!P199+(операции!P91*(1+$J$104)+операции!P$136*операции!$M139*операции!$M154)*P124*операции!$M124/1000)</f>
        <v>270.24</v>
      </c>
      <c r="Q139" s="101">
        <f>IF(Q$1="",0,операции!Q199+(операции!Q91*(1+$J$104)+операции!Q$136*операции!$M139*операции!$M154)*Q124*операции!$M124/1000)</f>
        <v>295.04000000000002</v>
      </c>
      <c r="R139" s="101">
        <f>IF(R$1="",0,операции!R199+(операции!R91*(1+$J$104)+операции!R$136*операции!$M139*операции!$M154)*R124*операции!$M124/1000)</f>
        <v>335.75</v>
      </c>
      <c r="S139" s="101">
        <f>IF(S$1="",0,операции!S199+(операции!S91*(1+$J$104)+операции!S$136*операции!$M139*операции!$M154)*S124*операции!$M124/1000)</f>
        <v>357.04</v>
      </c>
      <c r="T139" s="101">
        <f>IF(T$1="",0,операции!T199+(операции!T91*(1+$J$104)+операции!T$136*операции!$M139*операции!$M154)*T124*операции!$M124/1000)</f>
        <v>394.24</v>
      </c>
      <c r="U139" s="101">
        <f>IF(U$1="",0,операции!U199+(операции!U91*(1+$J$104)+операции!U$136*операции!$M139*операции!$M154)*U124*операции!$M124/1000)</f>
        <v>456.24</v>
      </c>
      <c r="V139" s="101">
        <f>IF(V$1="",0,операции!V199+(операции!V91*(1+$J$104)+операции!V$136*операции!$M139*операции!$M154)*V124*операции!$M124/1000)</f>
        <v>546.54999999999995</v>
      </c>
      <c r="W139" s="101">
        <f>IF(W$1="",0,операции!W199+(операции!W91*(1+$J$104)+операции!W$136*операции!$M139*операции!$M154)*W124*операции!$M124/1000)</f>
        <v>0</v>
      </c>
      <c r="X139" s="101">
        <f>IF(X$1="",0,операции!X199+(операции!X91*(1+$J$104)+операции!X$136*операции!$M139*операции!$M154)*X124*операции!$M124/1000)</f>
        <v>0</v>
      </c>
      <c r="Y139" s="101">
        <f>IF(Y$1="",0,операции!Y199+(операции!Y91*(1+$J$104)+операции!Y$136*операции!$M139*операции!$M154)*Y124*операции!$M124/1000)</f>
        <v>0</v>
      </c>
      <c r="Z139" s="101">
        <f>IF(Z$1="",0,операции!Z199+(операции!Z91*(1+$J$104)+операции!Z$136*операции!$M139*операции!$M154)*Z124*операции!$M124/1000)</f>
        <v>0</v>
      </c>
      <c r="AA139" s="101">
        <f>IF(AA$1="",0,операции!AA199+(операции!AA91*(1+$J$104)+операции!AA$136*операции!$M139*операции!$M154)*AA124*операции!$M124/1000)</f>
        <v>0</v>
      </c>
      <c r="AB139" s="22"/>
    </row>
    <row r="140" spans="1:28" s="23" customFormat="1" ht="10.199999999999999" x14ac:dyDescent="0.2">
      <c r="A140" s="22"/>
      <c r="B140" s="22"/>
      <c r="C140" s="22"/>
      <c r="D140" s="22"/>
      <c r="E140" s="22" t="str">
        <f>E137</f>
        <v>доход от продажи услуг</v>
      </c>
      <c r="F140" s="22"/>
      <c r="G140" s="22" t="str">
        <f>IF($E140="","",INDEX(KPI!$G:$G,SUMIFS(KPI!$B:$B,KPI!$E:$E,$E140)))</f>
        <v>тыс.руб.</v>
      </c>
      <c r="H140" s="100">
        <f>структура!$V$14</f>
        <v>3</v>
      </c>
      <c r="I140" s="31"/>
      <c r="J140" s="98" t="str">
        <f>структура!$X$14</f>
        <v>мар</v>
      </c>
      <c r="K140" s="99"/>
      <c r="L140" s="22"/>
      <c r="M140" s="58"/>
      <c r="N140" s="22"/>
      <c r="O140" s="22"/>
      <c r="P140" s="101">
        <f>IF(P$1="",0,операции!P200+(операции!P92*(1+$J$104)+операции!P$136*операции!$M140*операции!$M155)*P125*операции!$M125/1000)</f>
        <v>349.5</v>
      </c>
      <c r="Q140" s="101">
        <f>IF(Q$1="",0,операции!Q200+(операции!Q92*(1+$J$104)+операции!Q$136*операции!$M140*операции!$M155)*Q125*операции!$M125/1000)</f>
        <v>380.5</v>
      </c>
      <c r="R140" s="101">
        <f>IF(R$1="",0,операции!R200+(операции!R92*(1+$J$104)+операции!R$136*операции!$M140*операции!$M155)*R125*операции!$M125/1000)</f>
        <v>427</v>
      </c>
      <c r="S140" s="101">
        <f>IF(S$1="",0,операции!S200+(операции!S92*(1+$J$104)+операции!S$136*операции!$M140*операции!$M155)*S125*операции!$M125/1000)</f>
        <v>458</v>
      </c>
      <c r="T140" s="101">
        <f>IF(T$1="",0,операции!T200+(операции!T92*(1+$J$104)+операции!T$136*операции!$M140*операции!$M155)*T125*операции!$M125/1000)</f>
        <v>504.5</v>
      </c>
      <c r="U140" s="101">
        <f>IF(U$1="",0,операции!U200+(операции!U92*(1+$J$104)+операции!U$136*операции!$M140*операции!$M155)*U125*операции!$M125/1000)</f>
        <v>582</v>
      </c>
      <c r="V140" s="101">
        <f>IF(V$1="",0,операции!V200+(операции!V92*(1+$J$104)+операции!V$136*операции!$M140*операции!$M155)*V125*операции!$M125/1000)</f>
        <v>690.5</v>
      </c>
      <c r="W140" s="101">
        <f>IF(W$1="",0,операции!W200+(операции!W92*(1+$J$104)+операции!W$136*операции!$M140*операции!$M155)*W125*операции!$M125/1000)</f>
        <v>0</v>
      </c>
      <c r="X140" s="101">
        <f>IF(X$1="",0,операции!X200+(операции!X92*(1+$J$104)+операции!X$136*операции!$M140*операции!$M155)*X125*операции!$M125/1000)</f>
        <v>0</v>
      </c>
      <c r="Y140" s="101">
        <f>IF(Y$1="",0,операции!Y200+(операции!Y92*(1+$J$104)+операции!Y$136*операции!$M140*операции!$M155)*Y125*операции!$M125/1000)</f>
        <v>0</v>
      </c>
      <c r="Z140" s="101">
        <f>IF(Z$1="",0,операции!Z200+(операции!Z92*(1+$J$104)+операции!Z$136*операции!$M140*операции!$M155)*Z125*операции!$M125/1000)</f>
        <v>0</v>
      </c>
      <c r="AA140" s="101">
        <f>IF(AA$1="",0,операции!AA200+(операции!AA92*(1+$J$104)+операции!AA$136*операции!$M140*операции!$M155)*AA125*операции!$M125/1000)</f>
        <v>0</v>
      </c>
      <c r="AB140" s="22"/>
    </row>
    <row r="141" spans="1:28" s="23" customFormat="1" ht="10.199999999999999" x14ac:dyDescent="0.2">
      <c r="A141" s="22"/>
      <c r="B141" s="22"/>
      <c r="C141" s="22"/>
      <c r="D141" s="22"/>
      <c r="E141" s="22" t="str">
        <f>E137</f>
        <v>доход от продажи услуг</v>
      </c>
      <c r="F141" s="22"/>
      <c r="G141" s="22" t="str">
        <f>IF($E141="","",INDEX(KPI!$G:$G,SUMIFS(KPI!$B:$B,KPI!$E:$E,$E141)))</f>
        <v>тыс.руб.</v>
      </c>
      <c r="H141" s="100">
        <f>структура!$V$15</f>
        <v>4</v>
      </c>
      <c r="I141" s="31"/>
      <c r="J141" s="98" t="str">
        <f>структура!$X$15</f>
        <v>апр</v>
      </c>
      <c r="K141" s="99"/>
      <c r="L141" s="22"/>
      <c r="M141" s="58"/>
      <c r="N141" s="22"/>
      <c r="O141" s="22"/>
      <c r="P141" s="101">
        <f>IF(P$1="",0,операции!P201+(операции!P93*(1+$J$104)+операции!P$136*операции!$M141*операции!$M156)*P126*операции!$M126/1000)</f>
        <v>369.39000000000004</v>
      </c>
      <c r="Q141" s="101">
        <f>IF(Q$1="",0,операции!Q201+(операции!Q93*(1+$J$104)+операции!Q$136*операции!$M141*операции!$M156)*Q126*операции!$M126/1000)</f>
        <v>400.39000000000004</v>
      </c>
      <c r="R141" s="101">
        <f>IF(R$1="",0,операции!R201+(операции!R93*(1+$J$104)+операции!R$136*операции!$M141*операции!$M156)*R126*операции!$M126/1000)</f>
        <v>446.89000000000004</v>
      </c>
      <c r="S141" s="101">
        <f>IF(S$1="",0,операции!S201+(операции!S93*(1+$J$104)+операции!S$136*операции!$M141*операции!$M156)*S126*операции!$M126/1000)</f>
        <v>477.89000000000004</v>
      </c>
      <c r="T141" s="101">
        <f>IF(T$1="",0,операции!T201+(операции!T93*(1+$J$104)+операции!T$136*операции!$M141*операции!$M156)*T126*операции!$M126/1000)</f>
        <v>524.3900000000001</v>
      </c>
      <c r="U141" s="101">
        <f>IF(U$1="",0,операции!U201+(операции!U93*(1+$J$104)+операции!U$136*операции!$M141*операции!$M156)*U126*операции!$M126/1000)</f>
        <v>601.8900000000001</v>
      </c>
      <c r="V141" s="101">
        <f>IF(V$1="",0,операции!V201+(операции!V93*(1+$J$104)+операции!V$136*операции!$M141*операции!$M156)*V126*операции!$M126/1000)</f>
        <v>710.3900000000001</v>
      </c>
      <c r="W141" s="101">
        <f>IF(W$1="",0,операции!W201+(операции!W93*(1+$J$104)+операции!W$136*операции!$M141*операции!$M156)*W126*операции!$M126/1000)</f>
        <v>0</v>
      </c>
      <c r="X141" s="101">
        <f>IF(X$1="",0,операции!X201+(операции!X93*(1+$J$104)+операции!X$136*операции!$M141*операции!$M156)*X126*операции!$M126/1000)</f>
        <v>0</v>
      </c>
      <c r="Y141" s="101">
        <f>IF(Y$1="",0,операции!Y201+(операции!Y93*(1+$J$104)+операции!Y$136*операции!$M141*операции!$M156)*Y126*операции!$M126/1000)</f>
        <v>0</v>
      </c>
      <c r="Z141" s="101">
        <f>IF(Z$1="",0,операции!Z201+(операции!Z93*(1+$J$104)+операции!Z$136*операции!$M141*операции!$M156)*Z126*операции!$M126/1000)</f>
        <v>0</v>
      </c>
      <c r="AA141" s="101">
        <f>IF(AA$1="",0,операции!AA201+(операции!AA93*(1+$J$104)+операции!AA$136*операции!$M141*операции!$M156)*AA126*операции!$M126/1000)</f>
        <v>0</v>
      </c>
      <c r="AB141" s="22"/>
    </row>
    <row r="142" spans="1:28" s="23" customFormat="1" ht="10.199999999999999" x14ac:dyDescent="0.2">
      <c r="A142" s="22"/>
      <c r="B142" s="22"/>
      <c r="C142" s="22"/>
      <c r="D142" s="22"/>
      <c r="E142" s="22" t="str">
        <f>E137</f>
        <v>доход от продажи услуг</v>
      </c>
      <c r="F142" s="22"/>
      <c r="G142" s="22" t="str">
        <f>IF($E142="","",INDEX(KPI!$G:$G,SUMIFS(KPI!$B:$B,KPI!$E:$E,$E142)))</f>
        <v>тыс.руб.</v>
      </c>
      <c r="H142" s="100">
        <f>структура!$V$16</f>
        <v>5</v>
      </c>
      <c r="I142" s="31"/>
      <c r="J142" s="98" t="str">
        <f>структура!$X$16</f>
        <v>май</v>
      </c>
      <c r="K142" s="99"/>
      <c r="L142" s="22"/>
      <c r="M142" s="58"/>
      <c r="N142" s="22"/>
      <c r="O142" s="22"/>
      <c r="P142" s="101">
        <f>IF(P$1="",0,операции!P202+(операции!P94*(1+$J$104)+операции!P$136*операции!$M142*операции!$M157)*P127*операции!$M127/1000)</f>
        <v>904.8</v>
      </c>
      <c r="Q142" s="101">
        <f>IF(Q$1="",0,операции!Q202+(операции!Q94*(1+$J$104)+операции!Q$136*операции!$M142*операции!$M157)*Q127*операции!$M127/1000)</f>
        <v>988</v>
      </c>
      <c r="R142" s="101">
        <f>IF(R$1="",0,операции!R202+(операции!R94*(1+$J$104)+операции!R$136*операции!$M142*операции!$M157)*R127*операции!$M127/1000)</f>
        <v>1112.8</v>
      </c>
      <c r="S142" s="101">
        <f>IF(S$1="",0,операции!S202+(операции!S94*(1+$J$104)+операции!S$136*операции!$M142*операции!$M157)*S127*операции!$M127/1000)</f>
        <v>1196</v>
      </c>
      <c r="T142" s="101">
        <f>IF(T$1="",0,операции!T202+(операции!T94*(1+$J$104)+операции!T$136*операции!$M142*операции!$M157)*T127*операции!$M127/1000)</f>
        <v>1320.8</v>
      </c>
      <c r="U142" s="101">
        <f>IF(U$1="",0,операции!U202+(операции!U94*(1+$J$104)+операции!U$136*операции!$M142*операции!$M157)*U127*операции!$M127/1000)</f>
        <v>1528.8</v>
      </c>
      <c r="V142" s="101">
        <f>IF(V$1="",0,операции!V202+(операции!V94*(1+$J$104)+операции!V$136*операции!$M142*операции!$M157)*V127*операции!$M127/1000)</f>
        <v>1820</v>
      </c>
      <c r="W142" s="101">
        <f>IF(W$1="",0,операции!W202+(операции!W94*(1+$J$104)+операции!W$136*операции!$M142*операции!$M157)*W127*операции!$M127/1000)</f>
        <v>0</v>
      </c>
      <c r="X142" s="101">
        <f>IF(X$1="",0,операции!X202+(операции!X94*(1+$J$104)+операции!X$136*операции!$M142*операции!$M157)*X127*операции!$M127/1000)</f>
        <v>0</v>
      </c>
      <c r="Y142" s="101">
        <f>IF(Y$1="",0,операции!Y202+(операции!Y94*(1+$J$104)+операции!Y$136*операции!$M142*операции!$M157)*Y127*операции!$M127/1000)</f>
        <v>0</v>
      </c>
      <c r="Z142" s="101">
        <f>IF(Z$1="",0,операции!Z202+(операции!Z94*(1+$J$104)+операции!Z$136*операции!$M142*операции!$M157)*Z127*операции!$M127/1000)</f>
        <v>0</v>
      </c>
      <c r="AA142" s="101">
        <f>IF(AA$1="",0,операции!AA202+(операции!AA94*(1+$J$104)+операции!AA$136*операции!$M142*операции!$M157)*AA127*операции!$M127/1000)</f>
        <v>0</v>
      </c>
      <c r="AB142" s="22"/>
    </row>
    <row r="143" spans="1:28" s="23" customFormat="1" ht="10.199999999999999" x14ac:dyDescent="0.2">
      <c r="A143" s="22"/>
      <c r="B143" s="22"/>
      <c r="C143" s="22"/>
      <c r="D143" s="22"/>
      <c r="E143" s="22" t="str">
        <f>E137</f>
        <v>доход от продажи услуг</v>
      </c>
      <c r="F143" s="22"/>
      <c r="G143" s="22" t="str">
        <f>IF($E143="","",INDEX(KPI!$G:$G,SUMIFS(KPI!$B:$B,KPI!$E:$E,$E143)))</f>
        <v>тыс.руб.</v>
      </c>
      <c r="H143" s="100">
        <f>структура!$V$17</f>
        <v>6</v>
      </c>
      <c r="I143" s="31"/>
      <c r="J143" s="98" t="str">
        <f>структура!$X$17</f>
        <v>июн</v>
      </c>
      <c r="K143" s="99"/>
      <c r="L143" s="22"/>
      <c r="M143" s="58"/>
      <c r="N143" s="22"/>
      <c r="O143" s="22"/>
      <c r="P143" s="101">
        <f>IF(P$1="",0,операции!P203+(операции!P95*(1+$J$104)+операции!P$136*операции!$M143*операции!$M158)*P128*операции!$M128/1000)</f>
        <v>1325.04</v>
      </c>
      <c r="Q143" s="101">
        <f>IF(Q$1="",0,операции!Q203+(операции!Q95*(1+$J$104)+операции!Q$136*операции!$M143*операции!$M158)*Q128*операции!$M128/1000)</f>
        <v>1453.04</v>
      </c>
      <c r="R143" s="101">
        <f>IF(R$1="",0,операции!R203+(операции!R95*(1+$J$104)+операции!R$136*операции!$M143*операции!$M158)*R128*операции!$M128/1000)</f>
        <v>1645.04</v>
      </c>
      <c r="S143" s="101">
        <f>IF(S$1="",0,операции!S203+(операции!S95*(1+$J$104)+операции!S$136*операции!$M143*операции!$M158)*S128*операции!$M128/1000)</f>
        <v>1773.04</v>
      </c>
      <c r="T143" s="101">
        <f>IF(T$1="",0,операции!T203+(операции!T95*(1+$J$104)+операции!T$136*операции!$M143*операции!$M158)*T128*операции!$M128/1000)</f>
        <v>1965.04</v>
      </c>
      <c r="U143" s="101">
        <f>IF(U$1="",0,операции!U203+(операции!U95*(1+$J$104)+операции!U$136*операции!$M143*операции!$M158)*U128*операции!$M128/1000)</f>
        <v>2285.04</v>
      </c>
      <c r="V143" s="101">
        <f>IF(V$1="",0,операции!V203+(операции!V95*(1+$J$104)+операции!V$136*операции!$M143*операции!$M158)*V128*операции!$M128/1000)</f>
        <v>2733.04</v>
      </c>
      <c r="W143" s="101">
        <f>IF(W$1="",0,операции!W203+(операции!W95*(1+$J$104)+операции!W$136*операции!$M143*операции!$M158)*W128*операции!$M128/1000)</f>
        <v>0</v>
      </c>
      <c r="X143" s="101">
        <f>IF(X$1="",0,операции!X203+(операции!X95*(1+$J$104)+операции!X$136*операции!$M143*операции!$M158)*X128*операции!$M128/1000)</f>
        <v>0</v>
      </c>
      <c r="Y143" s="101">
        <f>IF(Y$1="",0,операции!Y203+(операции!Y95*(1+$J$104)+операции!Y$136*операции!$M143*операции!$M158)*Y128*операции!$M128/1000)</f>
        <v>0</v>
      </c>
      <c r="Z143" s="101">
        <f>IF(Z$1="",0,операции!Z203+(операции!Z95*(1+$J$104)+операции!Z$136*операции!$M143*операции!$M158)*Z128*операции!$M128/1000)</f>
        <v>0</v>
      </c>
      <c r="AA143" s="101">
        <f>IF(AA$1="",0,операции!AA203+(операции!AA95*(1+$J$104)+операции!AA$136*операции!$M143*операции!$M158)*AA128*операции!$M128/1000)</f>
        <v>0</v>
      </c>
      <c r="AB143" s="22"/>
    </row>
    <row r="144" spans="1:28" s="23" customFormat="1" ht="10.199999999999999" x14ac:dyDescent="0.2">
      <c r="A144" s="22"/>
      <c r="B144" s="22"/>
      <c r="C144" s="22"/>
      <c r="D144" s="22"/>
      <c r="E144" s="22" t="str">
        <f>E137</f>
        <v>доход от продажи услуг</v>
      </c>
      <c r="F144" s="22"/>
      <c r="G144" s="22" t="str">
        <f>IF($E144="","",INDEX(KPI!$G:$G,SUMIFS(KPI!$B:$B,KPI!$E:$E,$E144)))</f>
        <v>тыс.руб.</v>
      </c>
      <c r="H144" s="100">
        <f>структура!$V$18</f>
        <v>7</v>
      </c>
      <c r="I144" s="31"/>
      <c r="J144" s="98" t="str">
        <f>структура!$X$18</f>
        <v>июл</v>
      </c>
      <c r="K144" s="99"/>
      <c r="L144" s="22"/>
      <c r="M144" s="58"/>
      <c r="N144" s="22"/>
      <c r="O144" s="22"/>
      <c r="P144" s="101">
        <f>IF(P$1="",0,операции!P204+(операции!P96*(1+$J$104)+операции!P$136*операции!$M144*операции!$M159)*P129*операции!$M129/1000)</f>
        <v>1096.74</v>
      </c>
      <c r="Q144" s="101">
        <f>IF(Q$1="",0,операции!Q204+(операции!Q96*(1+$J$104)+операции!Q$136*операции!$M144*операции!$M159)*Q129*операции!$M129/1000)</f>
        <v>1192.74</v>
      </c>
      <c r="R144" s="101">
        <f>IF(R$1="",0,операции!R204+(операции!R96*(1+$J$104)+операции!R$136*операции!$M144*операции!$M159)*R129*операции!$M129/1000)</f>
        <v>1336.74</v>
      </c>
      <c r="S144" s="101">
        <f>IF(S$1="",0,операции!S204+(операции!S96*(1+$J$104)+операции!S$136*операции!$M144*операции!$M159)*S129*операции!$M129/1000)</f>
        <v>1432.74</v>
      </c>
      <c r="T144" s="101">
        <f>IF(T$1="",0,операции!T204+(операции!T96*(1+$J$104)+операции!T$136*операции!$M144*операции!$M159)*T129*операции!$M129/1000)</f>
        <v>1576.74</v>
      </c>
      <c r="U144" s="101">
        <f>IF(U$1="",0,операции!U204+(операции!U96*(1+$J$104)+операции!U$136*операции!$M144*операции!$M159)*U129*операции!$M129/1000)</f>
        <v>1816.74</v>
      </c>
      <c r="V144" s="101">
        <f>IF(V$1="",0,операции!V204+(операции!V96*(1+$J$104)+операции!V$136*операции!$M144*операции!$M159)*V129*операции!$M129/1000)</f>
        <v>2152.7399999999998</v>
      </c>
      <c r="W144" s="101">
        <f>IF(W$1="",0,операции!W204+(операции!W96*(1+$J$104)+операции!W$136*операции!$M144*операции!$M159)*W129*операции!$M129/1000)</f>
        <v>0</v>
      </c>
      <c r="X144" s="101">
        <f>IF(X$1="",0,операции!X204+(операции!X96*(1+$J$104)+операции!X$136*операции!$M144*операции!$M159)*X129*операции!$M129/1000)</f>
        <v>0</v>
      </c>
      <c r="Y144" s="101">
        <f>IF(Y$1="",0,операции!Y204+(операции!Y96*(1+$J$104)+операции!Y$136*операции!$M144*операции!$M159)*Y129*операции!$M129/1000)</f>
        <v>0</v>
      </c>
      <c r="Z144" s="101">
        <f>IF(Z$1="",0,операции!Z204+(операции!Z96*(1+$J$104)+операции!Z$136*операции!$M144*операции!$M159)*Z129*операции!$M129/1000)</f>
        <v>0</v>
      </c>
      <c r="AA144" s="101">
        <f>IF(AA$1="",0,операции!AA204+(операции!AA96*(1+$J$104)+операции!AA$136*операции!$M144*операции!$M159)*AA129*операции!$M129/1000)</f>
        <v>0</v>
      </c>
      <c r="AB144" s="22"/>
    </row>
    <row r="145" spans="1:28" s="23" customFormat="1" ht="10.199999999999999" x14ac:dyDescent="0.2">
      <c r="A145" s="22"/>
      <c r="B145" s="22"/>
      <c r="C145" s="22"/>
      <c r="D145" s="22"/>
      <c r="E145" s="22" t="str">
        <f>E137</f>
        <v>доход от продажи услуг</v>
      </c>
      <c r="F145" s="22"/>
      <c r="G145" s="22" t="str">
        <f>IF($E145="","",INDEX(KPI!$G:$G,SUMIFS(KPI!$B:$B,KPI!$E:$E,$E145)))</f>
        <v>тыс.руб.</v>
      </c>
      <c r="H145" s="100">
        <f>структура!$V$19</f>
        <v>8</v>
      </c>
      <c r="I145" s="31"/>
      <c r="J145" s="98" t="str">
        <f>структура!$X$19</f>
        <v>авг</v>
      </c>
      <c r="K145" s="99"/>
      <c r="L145" s="22"/>
      <c r="M145" s="58"/>
      <c r="N145" s="22"/>
      <c r="O145" s="22"/>
      <c r="P145" s="101">
        <f>IF(P$1="",0,операции!P205+(операции!P97*(1+$J$104)+операции!P$136*операции!$M145*операции!$M160)*P130*операции!$M130/1000)</f>
        <v>1000.74</v>
      </c>
      <c r="Q145" s="101">
        <f>IF(Q$1="",0,операции!Q205+(операции!Q97*(1+$J$104)+операции!Q$136*операции!$M145*операции!$M160)*Q130*операции!$M130/1000)</f>
        <v>1083.94</v>
      </c>
      <c r="R145" s="101">
        <f>IF(R$1="",0,операции!R205+(операции!R97*(1+$J$104)+операции!R$136*операции!$M145*операции!$M160)*R130*операции!$M130/1000)</f>
        <v>1208.74</v>
      </c>
      <c r="S145" s="101">
        <f>IF(S$1="",0,операции!S205+(операции!S97*(1+$J$104)+операции!S$136*операции!$M145*операции!$M160)*S130*операции!$M130/1000)</f>
        <v>1291.94</v>
      </c>
      <c r="T145" s="101">
        <f>IF(T$1="",0,операции!T205+(операции!T97*(1+$J$104)+операции!T$136*операции!$M145*операции!$M160)*T130*операции!$M130/1000)</f>
        <v>1416.74</v>
      </c>
      <c r="U145" s="101">
        <f>IF(U$1="",0,операции!U205+(операции!U97*(1+$J$104)+операции!U$136*операции!$M145*операции!$M160)*U130*операции!$M130/1000)</f>
        <v>1624.74</v>
      </c>
      <c r="V145" s="101">
        <f>IF(V$1="",0,операции!V205+(операции!V97*(1+$J$104)+операции!V$136*операции!$M145*операции!$M160)*V130*операции!$M130/1000)</f>
        <v>1915.94</v>
      </c>
      <c r="W145" s="101">
        <f>IF(W$1="",0,операции!W205+(операции!W97*(1+$J$104)+операции!W$136*операции!$M145*операции!$M160)*W130*операции!$M130/1000)</f>
        <v>0</v>
      </c>
      <c r="X145" s="101">
        <f>IF(X$1="",0,операции!X205+(операции!X97*(1+$J$104)+операции!X$136*операции!$M145*операции!$M160)*X130*операции!$M130/1000)</f>
        <v>0</v>
      </c>
      <c r="Y145" s="101">
        <f>IF(Y$1="",0,операции!Y205+(операции!Y97*(1+$J$104)+операции!Y$136*операции!$M145*операции!$M160)*Y130*операции!$M130/1000)</f>
        <v>0</v>
      </c>
      <c r="Z145" s="101">
        <f>IF(Z$1="",0,операции!Z205+(операции!Z97*(1+$J$104)+операции!Z$136*операции!$M145*операции!$M160)*Z130*операции!$M130/1000)</f>
        <v>0</v>
      </c>
      <c r="AA145" s="101">
        <f>IF(AA$1="",0,операции!AA205+(операции!AA97*(1+$J$104)+операции!AA$136*операции!$M145*операции!$M160)*AA130*операции!$M130/1000)</f>
        <v>0</v>
      </c>
      <c r="AB145" s="22"/>
    </row>
    <row r="146" spans="1:28" s="23" customFormat="1" ht="10.199999999999999" x14ac:dyDescent="0.2">
      <c r="A146" s="22"/>
      <c r="B146" s="22"/>
      <c r="C146" s="22"/>
      <c r="D146" s="22"/>
      <c r="E146" s="22" t="str">
        <f>E137</f>
        <v>доход от продажи услуг</v>
      </c>
      <c r="F146" s="22"/>
      <c r="G146" s="22" t="str">
        <f>IF($E146="","",INDEX(KPI!$G:$G,SUMIFS(KPI!$B:$B,KPI!$E:$E,$E146)))</f>
        <v>тыс.руб.</v>
      </c>
      <c r="H146" s="100">
        <f>структура!$V$20</f>
        <v>9</v>
      </c>
      <c r="I146" s="31"/>
      <c r="J146" s="98" t="str">
        <f>структура!$X$20</f>
        <v>сен</v>
      </c>
      <c r="K146" s="99"/>
      <c r="L146" s="22"/>
      <c r="M146" s="58"/>
      <c r="N146" s="22"/>
      <c r="O146" s="22"/>
      <c r="P146" s="101">
        <f>IF(P$1="",0,операции!P206+(операции!P98*(1+$J$104)+операции!P$136*операции!$M146*операции!$M161)*P131*операции!$M131/1000)</f>
        <v>433.27499999999998</v>
      </c>
      <c r="Q146" s="101">
        <f>IF(Q$1="",0,операции!Q206+(операции!Q98*(1+$J$104)+операции!Q$136*операции!$M146*операции!$M161)*Q131*операции!$M131/1000)</f>
        <v>464.52499999999998</v>
      </c>
      <c r="R146" s="101">
        <f>IF(R$1="",0,операции!R206+(операции!R98*(1+$J$104)+операции!R$136*операции!$M146*операции!$M161)*R131*операции!$M131/1000)</f>
        <v>511.4</v>
      </c>
      <c r="S146" s="101">
        <f>IF(S$1="",0,операции!S206+(операции!S98*(1+$J$104)+операции!S$136*операции!$M146*операции!$M161)*S131*операции!$M131/1000)</f>
        <v>542.65</v>
      </c>
      <c r="T146" s="101">
        <f>IF(T$1="",0,операции!T206+(операции!T98*(1+$J$104)+операции!T$136*операции!$M146*операции!$M161)*T131*операции!$M131/1000)</f>
        <v>589.52499999999998</v>
      </c>
      <c r="U146" s="101">
        <f>IF(U$1="",0,операции!U206+(операции!U98*(1+$J$104)+операции!U$136*операции!$M146*операции!$M161)*U131*операции!$M131/1000)</f>
        <v>667.65</v>
      </c>
      <c r="V146" s="101">
        <f>IF(V$1="",0,операции!V206+(операции!V98*(1+$J$104)+операции!V$136*операции!$M146*операции!$M161)*V131*операции!$M131/1000)</f>
        <v>777.02499999999998</v>
      </c>
      <c r="W146" s="101">
        <f>IF(W$1="",0,операции!W206+(операции!W98*(1+$J$104)+операции!W$136*операции!$M146*операции!$M161)*W131*операции!$M131/1000)</f>
        <v>0</v>
      </c>
      <c r="X146" s="101">
        <f>IF(X$1="",0,операции!X206+(операции!X98*(1+$J$104)+операции!X$136*операции!$M146*операции!$M161)*X131*операции!$M131/1000)</f>
        <v>0</v>
      </c>
      <c r="Y146" s="101">
        <f>IF(Y$1="",0,операции!Y206+(операции!Y98*(1+$J$104)+операции!Y$136*операции!$M146*операции!$M161)*Y131*операции!$M131/1000)</f>
        <v>0</v>
      </c>
      <c r="Z146" s="101">
        <f>IF(Z$1="",0,операции!Z206+(операции!Z98*(1+$J$104)+операции!Z$136*операции!$M146*операции!$M161)*Z131*операции!$M131/1000)</f>
        <v>0</v>
      </c>
      <c r="AA146" s="101">
        <f>IF(AA$1="",0,операции!AA206+(операции!AA98*(1+$J$104)+операции!AA$136*операции!$M146*операции!$M161)*AA131*операции!$M131/1000)</f>
        <v>0</v>
      </c>
      <c r="AB146" s="22"/>
    </row>
    <row r="147" spans="1:28" s="23" customFormat="1" ht="10.199999999999999" x14ac:dyDescent="0.2">
      <c r="A147" s="22"/>
      <c r="B147" s="22"/>
      <c r="C147" s="22"/>
      <c r="D147" s="22"/>
      <c r="E147" s="22" t="str">
        <f>E137</f>
        <v>доход от продажи услуг</v>
      </c>
      <c r="F147" s="22"/>
      <c r="G147" s="22" t="str">
        <f>IF($E147="","",INDEX(KPI!$G:$G,SUMIFS(KPI!$B:$B,KPI!$E:$E,$E147)))</f>
        <v>тыс.руб.</v>
      </c>
      <c r="H147" s="100">
        <f>структура!$V$21</f>
        <v>10</v>
      </c>
      <c r="I147" s="31"/>
      <c r="J147" s="98" t="str">
        <f>структура!$X$21</f>
        <v>окт</v>
      </c>
      <c r="K147" s="99"/>
      <c r="L147" s="22"/>
      <c r="M147" s="58"/>
      <c r="N147" s="22"/>
      <c r="O147" s="22"/>
      <c r="P147" s="101">
        <f>IF(P$1="",0,операции!P207+(операции!P99*(1+$J$104)+операции!P$136*операции!$M147*операции!$M162)*P132*операции!$M132/1000)</f>
        <v>491.92500000000007</v>
      </c>
      <c r="Q147" s="101">
        <f>IF(Q$1="",0,операции!Q207+(операции!Q99*(1+$J$104)+операции!Q$136*операции!$M147*операции!$M162)*Q132*операции!$M132/1000)</f>
        <v>535.67500000000007</v>
      </c>
      <c r="R147" s="101">
        <f>IF(R$1="",0,операции!R207+(операции!R99*(1+$J$104)+операции!R$136*операции!$M147*операции!$M162)*R132*операции!$M132/1000)</f>
        <v>601.30000000000007</v>
      </c>
      <c r="S147" s="101">
        <f>IF(S$1="",0,операции!S207+(операции!S99*(1+$J$104)+операции!S$136*операции!$M147*операции!$M162)*S132*операции!$M132/1000)</f>
        <v>645.05000000000007</v>
      </c>
      <c r="T147" s="101">
        <f>IF(T$1="",0,операции!T207+(операции!T99*(1+$J$104)+операции!T$136*операции!$M147*операции!$M162)*T132*операции!$M132/1000)</f>
        <v>710.67499999999995</v>
      </c>
      <c r="U147" s="101">
        <f>IF(U$1="",0,операции!U207+(операции!U99*(1+$J$104)+операции!U$136*операции!$M147*операции!$M162)*U132*операции!$M132/1000)</f>
        <v>820.05000000000018</v>
      </c>
      <c r="V147" s="101">
        <f>IF(V$1="",0,операции!V207+(операции!V99*(1+$J$104)+операции!V$136*операции!$M147*операции!$M162)*V132*операции!$M132/1000)</f>
        <v>973.17500000000018</v>
      </c>
      <c r="W147" s="101">
        <f>IF(W$1="",0,операции!W207+(операции!W99*(1+$J$104)+операции!W$136*операции!$M147*операции!$M162)*W132*операции!$M132/1000)</f>
        <v>0</v>
      </c>
      <c r="X147" s="101">
        <f>IF(X$1="",0,операции!X207+(операции!X99*(1+$J$104)+операции!X$136*операции!$M147*операции!$M162)*X132*операции!$M132/1000)</f>
        <v>0</v>
      </c>
      <c r="Y147" s="101">
        <f>IF(Y$1="",0,операции!Y207+(операции!Y99*(1+$J$104)+операции!Y$136*операции!$M147*операции!$M162)*Y132*операции!$M132/1000)</f>
        <v>0</v>
      </c>
      <c r="Z147" s="101">
        <f>IF(Z$1="",0,операции!Z207+(операции!Z99*(1+$J$104)+операции!Z$136*операции!$M147*операции!$M162)*Z132*операции!$M132/1000)</f>
        <v>0</v>
      </c>
      <c r="AA147" s="101">
        <f>IF(AA$1="",0,операции!AA207+(операции!AA99*(1+$J$104)+операции!AA$136*операции!$M147*операции!$M162)*AA132*операции!$M132/1000)</f>
        <v>0</v>
      </c>
      <c r="AB147" s="22"/>
    </row>
    <row r="148" spans="1:28" s="23" customFormat="1" ht="10.199999999999999" x14ac:dyDescent="0.2">
      <c r="A148" s="22"/>
      <c r="B148" s="22"/>
      <c r="C148" s="22"/>
      <c r="D148" s="22"/>
      <c r="E148" s="22" t="str">
        <f>E137</f>
        <v>доход от продажи услуг</v>
      </c>
      <c r="F148" s="22"/>
      <c r="G148" s="22" t="str">
        <f>IF($E148="","",INDEX(KPI!$G:$G,SUMIFS(KPI!$B:$B,KPI!$E:$E,$E148)))</f>
        <v>тыс.руб.</v>
      </c>
      <c r="H148" s="100">
        <f>структура!$V$22</f>
        <v>11</v>
      </c>
      <c r="I148" s="31"/>
      <c r="J148" s="98" t="str">
        <f>структура!$X$22</f>
        <v>ноя</v>
      </c>
      <c r="K148" s="99"/>
      <c r="L148" s="22"/>
      <c r="M148" s="58"/>
      <c r="N148" s="22"/>
      <c r="O148" s="22"/>
      <c r="P148" s="101">
        <f>IF(P$1="",0,операции!P208+(операции!P100*(1+$J$104)+операции!P$136*операции!$M148*операции!$M163)*P133*операции!$M133/1000)</f>
        <v>345.99</v>
      </c>
      <c r="Q148" s="101">
        <f>IF(Q$1="",0,операции!Q208+(операции!Q100*(1+$J$104)+операции!Q$136*операции!$M148*операции!$M163)*Q133*операции!$M133/1000)</f>
        <v>376.99</v>
      </c>
      <c r="R148" s="101">
        <f>IF(R$1="",0,операции!R208+(операции!R100*(1+$J$104)+операции!R$136*операции!$M148*операции!$M163)*R133*операции!$M133/1000)</f>
        <v>423.49</v>
      </c>
      <c r="S148" s="101">
        <f>IF(S$1="",0,операции!S208+(операции!S100*(1+$J$104)+операции!S$136*операции!$M148*операции!$M163)*S133*операции!$M133/1000)</f>
        <v>454.49</v>
      </c>
      <c r="T148" s="101">
        <f>IF(T$1="",0,операции!T208+(операции!T100*(1+$J$104)+операции!T$136*операции!$M148*операции!$M163)*T133*операции!$M133/1000)</f>
        <v>500.99</v>
      </c>
      <c r="U148" s="101">
        <f>IF(U$1="",0,операции!U208+(операции!U100*(1+$J$104)+операции!U$136*операции!$M148*операции!$M163)*U133*операции!$M133/1000)</f>
        <v>578.49</v>
      </c>
      <c r="V148" s="101">
        <f>IF(V$1="",0,операции!V208+(операции!V100*(1+$J$104)+операции!V$136*операции!$M148*операции!$M163)*V133*операции!$M133/1000)</f>
        <v>686.99</v>
      </c>
      <c r="W148" s="101">
        <f>IF(W$1="",0,операции!W208+(операции!W100*(1+$J$104)+операции!W$136*операции!$M148*операции!$M163)*W133*операции!$M133/1000)</f>
        <v>0</v>
      </c>
      <c r="X148" s="101">
        <f>IF(X$1="",0,операции!X208+(операции!X100*(1+$J$104)+операции!X$136*операции!$M148*операции!$M163)*X133*операции!$M133/1000)</f>
        <v>0</v>
      </c>
      <c r="Y148" s="101">
        <f>IF(Y$1="",0,операции!Y208+(операции!Y100*(1+$J$104)+операции!Y$136*операции!$M148*операции!$M163)*Y133*операции!$M133/1000)</f>
        <v>0</v>
      </c>
      <c r="Z148" s="101">
        <f>IF(Z$1="",0,операции!Z208+(операции!Z100*(1+$J$104)+операции!Z$136*операции!$M148*операции!$M163)*Z133*операции!$M133/1000)</f>
        <v>0</v>
      </c>
      <c r="AA148" s="101">
        <f>IF(AA$1="",0,операции!AA208+(операции!AA100*(1+$J$104)+операции!AA$136*операции!$M148*операции!$M163)*AA133*операции!$M133/1000)</f>
        <v>0</v>
      </c>
      <c r="AB148" s="22"/>
    </row>
    <row r="149" spans="1:28" s="23" customFormat="1" ht="10.199999999999999" x14ac:dyDescent="0.2">
      <c r="A149" s="22"/>
      <c r="B149" s="22"/>
      <c r="C149" s="22"/>
      <c r="D149" s="22"/>
      <c r="E149" s="22" t="str">
        <f>E137</f>
        <v>доход от продажи услуг</v>
      </c>
      <c r="F149" s="22"/>
      <c r="G149" s="22" t="str">
        <f>IF($E149="","",INDEX(KPI!$G:$G,SUMIFS(KPI!$B:$B,KPI!$E:$E,$E149)))</f>
        <v>тыс.руб.</v>
      </c>
      <c r="H149" s="100">
        <f>структура!$V$23</f>
        <v>12</v>
      </c>
      <c r="I149" s="31"/>
      <c r="J149" s="98" t="str">
        <f>структура!$X$23</f>
        <v>дек</v>
      </c>
      <c r="K149" s="99"/>
      <c r="L149" s="22"/>
      <c r="M149" s="58"/>
      <c r="N149" s="22"/>
      <c r="O149" s="22"/>
      <c r="P149" s="101">
        <f>IF(P$1="",0,операции!P209+(операции!P101*(1+$J$104)+операции!P$136*операции!$M149*операции!$M164)*P134*операции!$M134/1000)</f>
        <v>376.64999999999918</v>
      </c>
      <c r="Q149" s="101">
        <f>IF(Q$1="",0,операции!Q209+(операции!Q101*(1+$J$104)+операции!Q$136*операции!$M149*операции!$M164)*Q134*операции!$M134/1000)</f>
        <v>408.14999999999907</v>
      </c>
      <c r="R149" s="101">
        <f>IF(R$1="",0,операции!R209+(операции!R101*(1+$J$104)+операции!R$136*операции!$M149*операции!$M164)*R134*операции!$M134/1000)</f>
        <v>455.3999999999989</v>
      </c>
      <c r="S149" s="101">
        <f>IF(S$1="",0,операции!S209+(операции!S101*(1+$J$104)+операции!S$136*операции!$M149*операции!$M164)*S134*операции!$M134/1000)</f>
        <v>486.89999999999878</v>
      </c>
      <c r="T149" s="101">
        <f>IF(T$1="",0,операции!T209+(операции!T101*(1+$J$104)+операции!T$136*операции!$M149*операции!$M164)*T134*операции!$M134/1000)</f>
        <v>534.1499999999985</v>
      </c>
      <c r="U149" s="101">
        <f>IF(U$1="",0,операции!U209+(операции!U101*(1+$J$104)+операции!U$136*операции!$M149*операции!$M164)*U134*операции!$M134/1000)</f>
        <v>612.89999999999827</v>
      </c>
      <c r="V149" s="101">
        <f>IF(V$1="",0,операции!V209+(операции!V101*(1+$J$104)+операции!V$136*операции!$M149*операции!$M164)*V134*операции!$M134/1000)</f>
        <v>723.14999999999793</v>
      </c>
      <c r="W149" s="101">
        <f>IF(W$1="",0,операции!W209+(операции!W101*(1+$J$104)+операции!W$136*операции!$M149*операции!$M164)*W134*операции!$M134/1000)</f>
        <v>0</v>
      </c>
      <c r="X149" s="101">
        <f>IF(X$1="",0,операции!X209+(операции!X101*(1+$J$104)+операции!X$136*операции!$M149*операции!$M164)*X134*операции!$M134/1000)</f>
        <v>0</v>
      </c>
      <c r="Y149" s="101">
        <f>IF(Y$1="",0,операции!Y209+(операции!Y101*(1+$J$104)+операции!Y$136*операции!$M149*операции!$M164)*Y134*операции!$M134/1000)</f>
        <v>0</v>
      </c>
      <c r="Z149" s="101">
        <f>IF(Z$1="",0,операции!Z209+(операции!Z101*(1+$J$104)+операции!Z$136*операции!$M149*операции!$M164)*Z134*операции!$M134/1000)</f>
        <v>0</v>
      </c>
      <c r="AA149" s="101">
        <f>IF(AA$1="",0,операции!AA209+(операции!AA101*(1+$J$104)+операции!AA$136*операции!$M149*операции!$M164)*AA134*операции!$M134/1000)</f>
        <v>0</v>
      </c>
      <c r="AB149" s="22"/>
    </row>
    <row r="150" spans="1:28" ht="3.9" customHeight="1" x14ac:dyDescent="0.25">
      <c r="A150" s="2"/>
      <c r="B150" s="2"/>
      <c r="C150" s="2"/>
      <c r="D150" s="109"/>
      <c r="E150" s="109"/>
      <c r="F150" s="2"/>
      <c r="G150" s="109"/>
      <c r="H150" s="2"/>
      <c r="I150" s="28"/>
      <c r="J150" s="109"/>
      <c r="K150" s="28"/>
      <c r="L150" s="2"/>
      <c r="M150" s="52"/>
      <c r="N150" s="2"/>
      <c r="O150" s="2"/>
      <c r="P150" s="36"/>
      <c r="Q150" s="36"/>
      <c r="R150" s="36"/>
      <c r="S150" s="36"/>
      <c r="T150" s="36"/>
      <c r="U150" s="36"/>
      <c r="V150" s="36"/>
      <c r="W150" s="36"/>
      <c r="X150" s="36"/>
      <c r="Y150" s="36"/>
      <c r="Z150" s="36"/>
      <c r="AA150" s="36"/>
      <c r="AB150" s="2"/>
    </row>
    <row r="151" spans="1:28" ht="8.1" customHeight="1" x14ac:dyDescent="0.25">
      <c r="A151" s="2"/>
      <c r="B151" s="2"/>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2"/>
    </row>
    <row r="152" spans="1:28" x14ac:dyDescent="0.25">
      <c r="A152" s="2"/>
      <c r="B152" s="2"/>
      <c r="C152" s="2"/>
      <c r="D152" s="2"/>
      <c r="E152" s="120" t="str">
        <f>KPI!$E$75</f>
        <v>ОПЕРАЦИОННЫЕ РАСХОДЫ</v>
      </c>
      <c r="F152" s="2"/>
      <c r="G152" s="2"/>
      <c r="H152" s="2"/>
      <c r="I152" s="28"/>
      <c r="J152" s="2"/>
      <c r="K152" s="28"/>
      <c r="L152" s="2"/>
      <c r="M152" s="52"/>
      <c r="N152" s="2"/>
      <c r="O152" s="2"/>
      <c r="P152" s="36"/>
      <c r="Q152" s="36"/>
      <c r="R152" s="36"/>
      <c r="S152" s="36"/>
      <c r="T152" s="36"/>
      <c r="U152" s="36"/>
      <c r="V152" s="36"/>
      <c r="W152" s="36"/>
      <c r="X152" s="36"/>
      <c r="Y152" s="36"/>
      <c r="Z152" s="36"/>
      <c r="AA152" s="36"/>
      <c r="AB152" s="2"/>
    </row>
    <row r="153" spans="1:28" ht="8.1" customHeight="1" x14ac:dyDescent="0.25">
      <c r="A153" s="2"/>
      <c r="B153" s="2"/>
      <c r="C153" s="2"/>
      <c r="D153" s="2"/>
      <c r="E153" s="2"/>
      <c r="F153" s="2"/>
      <c r="G153" s="2"/>
      <c r="H153" s="2"/>
      <c r="I153" s="28"/>
      <c r="J153" s="2"/>
      <c r="K153" s="28"/>
      <c r="L153" s="2"/>
      <c r="M153" s="52"/>
      <c r="N153" s="2"/>
      <c r="O153" s="2"/>
      <c r="P153" s="36"/>
      <c r="Q153" s="36"/>
      <c r="R153" s="36"/>
      <c r="S153" s="36"/>
      <c r="T153" s="36"/>
      <c r="U153" s="36"/>
      <c r="V153" s="36"/>
      <c r="W153" s="36"/>
      <c r="X153" s="36"/>
      <c r="Y153" s="36"/>
      <c r="Z153" s="36"/>
      <c r="AA153" s="36"/>
      <c r="AB153" s="2"/>
    </row>
    <row r="154" spans="1:28" s="5" customFormat="1" x14ac:dyDescent="0.25">
      <c r="A154" s="3"/>
      <c r="B154" s="3"/>
      <c r="C154" s="3"/>
      <c r="D154" s="3"/>
      <c r="E154" s="3" t="str">
        <f>KPI!$E$43</f>
        <v>%-нт маркетинговых расходов от дохода</v>
      </c>
      <c r="F154" s="3"/>
      <c r="G154" s="3" t="str">
        <f>IF($E154="","",INDEX(KPI!$G:$G,SUMIFS(KPI!$B:$B,KPI!$E:$E,$E154)))</f>
        <v>%</v>
      </c>
      <c r="H154" s="3"/>
      <c r="I154" s="28"/>
      <c r="J154" s="2"/>
      <c r="K154" s="28"/>
      <c r="L154" s="2"/>
      <c r="M154" s="52"/>
      <c r="N154" s="3"/>
      <c r="O154" s="6" t="s">
        <v>0</v>
      </c>
      <c r="P154" s="88">
        <v>0.05</v>
      </c>
      <c r="Q154" s="88">
        <v>0.05</v>
      </c>
      <c r="R154" s="88">
        <v>0.04</v>
      </c>
      <c r="S154" s="88">
        <v>0.03</v>
      </c>
      <c r="T154" s="88">
        <v>0.03</v>
      </c>
      <c r="U154" s="88">
        <v>2.7E-2</v>
      </c>
      <c r="V154" s="88">
        <v>2.5000000000000001E-2</v>
      </c>
      <c r="W154" s="88">
        <v>2.5000000000000001E-2</v>
      </c>
      <c r="X154" s="88">
        <v>0.03</v>
      </c>
      <c r="Y154" s="88">
        <v>0.03</v>
      </c>
      <c r="Z154" s="88">
        <v>0.03</v>
      </c>
      <c r="AA154" s="88">
        <v>0.03</v>
      </c>
      <c r="AB154" s="3"/>
    </row>
    <row r="155" spans="1:28" ht="3.9" customHeight="1" x14ac:dyDescent="0.25">
      <c r="A155" s="2"/>
      <c r="B155" s="2"/>
      <c r="C155" s="2"/>
      <c r="D155" s="2"/>
      <c r="E155" s="110"/>
      <c r="F155" s="2"/>
      <c r="G155" s="2"/>
      <c r="H155" s="2"/>
      <c r="I155" s="28"/>
      <c r="J155" s="2"/>
      <c r="K155" s="28"/>
      <c r="L155" s="2"/>
      <c r="M155" s="52"/>
      <c r="N155" s="2"/>
      <c r="O155" s="2"/>
      <c r="P155" s="36"/>
      <c r="Q155" s="36"/>
      <c r="R155" s="36"/>
      <c r="S155" s="36"/>
      <c r="T155" s="36"/>
      <c r="U155" s="36"/>
      <c r="V155" s="36"/>
      <c r="W155" s="36"/>
      <c r="X155" s="36"/>
      <c r="Y155" s="36"/>
      <c r="Z155" s="36"/>
      <c r="AA155" s="36"/>
      <c r="AB155" s="2"/>
    </row>
    <row r="156" spans="1:28" ht="8.1" customHeight="1" x14ac:dyDescent="0.25">
      <c r="A156" s="2"/>
      <c r="B156" s="2"/>
      <c r="C156" s="2"/>
      <c r="D156" s="2"/>
      <c r="E156" s="2"/>
      <c r="F156" s="2"/>
      <c r="G156" s="2"/>
      <c r="H156" s="2"/>
      <c r="I156" s="28"/>
      <c r="J156" s="2"/>
      <c r="K156" s="28"/>
      <c r="L156" s="2"/>
      <c r="M156" s="52"/>
      <c r="N156" s="2"/>
      <c r="O156" s="2"/>
      <c r="P156" s="36"/>
      <c r="Q156" s="36"/>
      <c r="R156" s="36"/>
      <c r="S156" s="36"/>
      <c r="T156" s="36"/>
      <c r="U156" s="36"/>
      <c r="V156" s="36"/>
      <c r="W156" s="36"/>
      <c r="X156" s="36"/>
      <c r="Y156" s="36"/>
      <c r="Z156" s="36"/>
      <c r="AA156" s="36"/>
      <c r="AB156" s="2"/>
    </row>
    <row r="157" spans="1:28" s="5" customFormat="1" x14ac:dyDescent="0.25">
      <c r="A157" s="3"/>
      <c r="B157" s="3"/>
      <c r="C157" s="3"/>
      <c r="D157" s="111"/>
      <c r="E157" s="3" t="str">
        <f>KPI!$E$44</f>
        <v>маркетинговые расходы (начисл/оплаты)</v>
      </c>
      <c r="F157" s="3"/>
      <c r="G157" s="3" t="str">
        <f>IF($E157="","",INDEX(KPI!$G:$G,SUMIFS(KPI!$B:$B,KPI!$E:$E,$E157)))</f>
        <v>тыс.руб.</v>
      </c>
      <c r="H157" s="116" t="str">
        <f>структура!$AL$20</f>
        <v>Заложен сдвиг на один месяц!</v>
      </c>
      <c r="I157" s="28"/>
      <c r="J157" s="44"/>
      <c r="K157" s="28"/>
      <c r="L157" s="3"/>
      <c r="M157" s="55">
        <f>SUM($O157:$AB157)</f>
        <v>5513.1072473076929</v>
      </c>
      <c r="N157" s="3"/>
      <c r="O157" s="3"/>
      <c r="P157" s="46">
        <f>IF(P$1="",0,IF(P$1=0,SUMIFS(P158:P169,H158:H169,"&gt;="&amp;MONTH($J$13)),SUM(P158:P169)))</f>
        <v>982.50267307692309</v>
      </c>
      <c r="Q157" s="46">
        <f t="shared" ref="Q157" si="16">IF(Q$1="",0,SUM(Q158:Q169))</f>
        <v>1014.1751730769231</v>
      </c>
      <c r="R157" s="46">
        <f t="shared" ref="R157:AA157" si="17">IF(R$1="",0,SUM(R158:R169))</f>
        <v>850.74661538461532</v>
      </c>
      <c r="S157" s="46">
        <f t="shared" si="17"/>
        <v>656.01385384615378</v>
      </c>
      <c r="T157" s="46">
        <f t="shared" si="17"/>
        <v>684.51910384615383</v>
      </c>
      <c r="U157" s="46">
        <f t="shared" si="17"/>
        <v>658.82506846153842</v>
      </c>
      <c r="V157" s="46">
        <f t="shared" si="17"/>
        <v>666.32475961538466</v>
      </c>
      <c r="W157" s="46">
        <f t="shared" si="17"/>
        <v>0</v>
      </c>
      <c r="X157" s="46">
        <f t="shared" si="17"/>
        <v>0</v>
      </c>
      <c r="Y157" s="46">
        <f t="shared" si="17"/>
        <v>0</v>
      </c>
      <c r="Z157" s="46">
        <f t="shared" si="17"/>
        <v>0</v>
      </c>
      <c r="AA157" s="46">
        <f t="shared" si="17"/>
        <v>0</v>
      </c>
      <c r="AB157" s="3"/>
    </row>
    <row r="158" spans="1:28" s="23" customFormat="1" ht="10.199999999999999" x14ac:dyDescent="0.2">
      <c r="A158" s="22"/>
      <c r="B158" s="22"/>
      <c r="C158" s="22"/>
      <c r="D158" s="22"/>
      <c r="E158" s="22" t="str">
        <f>E157</f>
        <v>маркетинговые расходы (начисл/оплаты)</v>
      </c>
      <c r="F158" s="22"/>
      <c r="G158" s="22" t="str">
        <f>IF($E158="","",INDEX(KPI!$G:$G,SUMIFS(KPI!$B:$B,KPI!$E:$E,$E158)))</f>
        <v>тыс.руб.</v>
      </c>
      <c r="H158" s="100">
        <f>структура!$V$12</f>
        <v>1</v>
      </c>
      <c r="I158" s="31"/>
      <c r="J158" s="98" t="str">
        <f>структура!$X$12</f>
        <v>янв</v>
      </c>
      <c r="K158" s="99"/>
      <c r="L158" s="22"/>
      <c r="M158" s="58"/>
      <c r="N158" s="22"/>
      <c r="O158" s="22"/>
      <c r="P158" s="101">
        <f t="shared" ref="P158:AA158" si="18">IF(P$1="",0,(P60+P139)*P$154)</f>
        <v>61.252000000000002</v>
      </c>
      <c r="Q158" s="101">
        <f t="shared" si="18"/>
        <v>62.491999999999997</v>
      </c>
      <c r="R158" s="101">
        <f t="shared" si="18"/>
        <v>52.881076923076925</v>
      </c>
      <c r="S158" s="101">
        <f t="shared" si="18"/>
        <v>39.355199999999996</v>
      </c>
      <c r="T158" s="101">
        <f t="shared" si="18"/>
        <v>40.471199999999996</v>
      </c>
      <c r="U158" s="101">
        <f t="shared" si="18"/>
        <v>38.098079999999996</v>
      </c>
      <c r="V158" s="101">
        <f t="shared" si="18"/>
        <v>38.320673076923072</v>
      </c>
      <c r="W158" s="101">
        <f t="shared" si="18"/>
        <v>0</v>
      </c>
      <c r="X158" s="101">
        <f t="shared" si="18"/>
        <v>0</v>
      </c>
      <c r="Y158" s="101">
        <f t="shared" si="18"/>
        <v>0</v>
      </c>
      <c r="Z158" s="101">
        <f t="shared" si="18"/>
        <v>0</v>
      </c>
      <c r="AA158" s="101">
        <f t="shared" si="18"/>
        <v>0</v>
      </c>
      <c r="AB158" s="22"/>
    </row>
    <row r="159" spans="1:28" s="23" customFormat="1" ht="10.199999999999999" x14ac:dyDescent="0.2">
      <c r="A159" s="22"/>
      <c r="B159" s="22"/>
      <c r="C159" s="22"/>
      <c r="D159" s="22"/>
      <c r="E159" s="22" t="str">
        <f>E157</f>
        <v>маркетинговые расходы (начисл/оплаты)</v>
      </c>
      <c r="F159" s="22"/>
      <c r="G159" s="22" t="str">
        <f>IF($E159="","",INDEX(KPI!$G:$G,SUMIFS(KPI!$B:$B,KPI!$E:$E,$E159)))</f>
        <v>тыс.руб.</v>
      </c>
      <c r="H159" s="100">
        <f>структура!$V$13</f>
        <v>2</v>
      </c>
      <c r="I159" s="31"/>
      <c r="J159" s="98" t="str">
        <f>структура!$X$13</f>
        <v>фев</v>
      </c>
      <c r="K159" s="99"/>
      <c r="L159" s="22"/>
      <c r="M159" s="58"/>
      <c r="N159" s="22"/>
      <c r="O159" s="22"/>
      <c r="P159" s="101">
        <f t="shared" ref="P159:AA159" si="19">IF(P$1="",0,(P61+P140)*P$154)</f>
        <v>70.198846153846148</v>
      </c>
      <c r="Q159" s="101">
        <f t="shared" si="19"/>
        <v>71.748846153846145</v>
      </c>
      <c r="R159" s="101">
        <f t="shared" si="19"/>
        <v>59.259076923076918</v>
      </c>
      <c r="S159" s="101">
        <f t="shared" si="19"/>
        <v>45.374307692307688</v>
      </c>
      <c r="T159" s="101">
        <f t="shared" si="19"/>
        <v>46.769307692307684</v>
      </c>
      <c r="U159" s="101">
        <f t="shared" si="19"/>
        <v>44.184876923076921</v>
      </c>
      <c r="V159" s="101">
        <f t="shared" si="19"/>
        <v>43.62442307692308</v>
      </c>
      <c r="W159" s="101">
        <f t="shared" si="19"/>
        <v>0</v>
      </c>
      <c r="X159" s="101">
        <f t="shared" si="19"/>
        <v>0</v>
      </c>
      <c r="Y159" s="101">
        <f t="shared" si="19"/>
        <v>0</v>
      </c>
      <c r="Z159" s="101">
        <f t="shared" si="19"/>
        <v>0</v>
      </c>
      <c r="AA159" s="101">
        <f t="shared" si="19"/>
        <v>0</v>
      </c>
      <c r="AB159" s="22"/>
    </row>
    <row r="160" spans="1:28" s="23" customFormat="1" ht="10.199999999999999" x14ac:dyDescent="0.2">
      <c r="A160" s="22"/>
      <c r="B160" s="22"/>
      <c r="C160" s="22"/>
      <c r="D160" s="22"/>
      <c r="E160" s="22" t="str">
        <f>E157</f>
        <v>маркетинговые расходы (начисл/оплаты)</v>
      </c>
      <c r="F160" s="22"/>
      <c r="G160" s="22" t="str">
        <f>IF($E160="","",INDEX(KPI!$G:$G,SUMIFS(KPI!$B:$B,KPI!$E:$E,$E160)))</f>
        <v>тыс.руб.</v>
      </c>
      <c r="H160" s="100">
        <f>структура!$V$14</f>
        <v>3</v>
      </c>
      <c r="I160" s="31"/>
      <c r="J160" s="98" t="str">
        <f>структура!$X$14</f>
        <v>мар</v>
      </c>
      <c r="K160" s="99"/>
      <c r="L160" s="22"/>
      <c r="M160" s="58"/>
      <c r="N160" s="22"/>
      <c r="O160" s="22"/>
      <c r="P160" s="101">
        <f t="shared" ref="P160:AA160" si="20">IF(P$1="",0,(P62+P141)*P$154)</f>
        <v>69.619500000000002</v>
      </c>
      <c r="Q160" s="101">
        <f t="shared" si="20"/>
        <v>71.169499999999999</v>
      </c>
      <c r="R160" s="101">
        <f t="shared" si="20"/>
        <v>58.795599999999993</v>
      </c>
      <c r="S160" s="101">
        <f t="shared" si="20"/>
        <v>45.026699999999991</v>
      </c>
      <c r="T160" s="101">
        <f t="shared" si="20"/>
        <v>46.421699999999994</v>
      </c>
      <c r="U160" s="101">
        <f t="shared" si="20"/>
        <v>43.872029999999995</v>
      </c>
      <c r="V160" s="101">
        <f t="shared" si="20"/>
        <v>43.33475</v>
      </c>
      <c r="W160" s="101">
        <f t="shared" si="20"/>
        <v>0</v>
      </c>
      <c r="X160" s="101">
        <f t="shared" si="20"/>
        <v>0</v>
      </c>
      <c r="Y160" s="101">
        <f t="shared" si="20"/>
        <v>0</v>
      </c>
      <c r="Z160" s="101">
        <f t="shared" si="20"/>
        <v>0</v>
      </c>
      <c r="AA160" s="101">
        <f t="shared" si="20"/>
        <v>0</v>
      </c>
      <c r="AB160" s="22"/>
    </row>
    <row r="161" spans="1:28" s="23" customFormat="1" ht="10.199999999999999" x14ac:dyDescent="0.2">
      <c r="A161" s="22"/>
      <c r="B161" s="22"/>
      <c r="C161" s="22"/>
      <c r="D161" s="22"/>
      <c r="E161" s="22" t="str">
        <f>E157</f>
        <v>маркетинговые расходы (начисл/оплаты)</v>
      </c>
      <c r="F161" s="22"/>
      <c r="G161" s="22" t="str">
        <f>IF($E161="","",INDEX(KPI!$G:$G,SUMIFS(KPI!$B:$B,KPI!$E:$E,$E161)))</f>
        <v>тыс.руб.</v>
      </c>
      <c r="H161" s="100">
        <f>структура!$V$15</f>
        <v>4</v>
      </c>
      <c r="I161" s="31"/>
      <c r="J161" s="98" t="str">
        <f>структура!$X$15</f>
        <v>апр</v>
      </c>
      <c r="K161" s="99"/>
      <c r="L161" s="22"/>
      <c r="M161" s="58"/>
      <c r="N161" s="22"/>
      <c r="O161" s="22"/>
      <c r="P161" s="101">
        <f t="shared" ref="P161:AA161" si="21">IF(P$1="",0,(P63+P142)*P$154)</f>
        <v>97.963846153846148</v>
      </c>
      <c r="Q161" s="101">
        <f t="shared" si="21"/>
        <v>102.12384615384616</v>
      </c>
      <c r="R161" s="101">
        <f t="shared" si="21"/>
        <v>86.691076923076906</v>
      </c>
      <c r="S161" s="101">
        <f t="shared" si="21"/>
        <v>67.514307692307682</v>
      </c>
      <c r="T161" s="101">
        <f t="shared" si="21"/>
        <v>71.258307692307682</v>
      </c>
      <c r="U161" s="101">
        <f t="shared" si="21"/>
        <v>69.748476923076907</v>
      </c>
      <c r="V161" s="101">
        <f t="shared" si="21"/>
        <v>71.861923076923077</v>
      </c>
      <c r="W161" s="101">
        <f t="shared" si="21"/>
        <v>0</v>
      </c>
      <c r="X161" s="101">
        <f t="shared" si="21"/>
        <v>0</v>
      </c>
      <c r="Y161" s="101">
        <f t="shared" si="21"/>
        <v>0</v>
      </c>
      <c r="Z161" s="101">
        <f t="shared" si="21"/>
        <v>0</v>
      </c>
      <c r="AA161" s="101">
        <f t="shared" si="21"/>
        <v>0</v>
      </c>
      <c r="AB161" s="22"/>
    </row>
    <row r="162" spans="1:28" s="23" customFormat="1" ht="10.199999999999999" x14ac:dyDescent="0.2">
      <c r="A162" s="22"/>
      <c r="B162" s="22"/>
      <c r="C162" s="22"/>
      <c r="D162" s="22"/>
      <c r="E162" s="22" t="str">
        <f>E157</f>
        <v>маркетинговые расходы (начисл/оплаты)</v>
      </c>
      <c r="F162" s="22"/>
      <c r="G162" s="22" t="str">
        <f>IF($E162="","",INDEX(KPI!$G:$G,SUMIFS(KPI!$B:$B,KPI!$E:$E,$E162)))</f>
        <v>тыс.руб.</v>
      </c>
      <c r="H162" s="100">
        <f>структура!$V$16</f>
        <v>5</v>
      </c>
      <c r="I162" s="31"/>
      <c r="J162" s="98" t="str">
        <f>структура!$X$16</f>
        <v>май</v>
      </c>
      <c r="K162" s="99"/>
      <c r="L162" s="22"/>
      <c r="M162" s="58"/>
      <c r="N162" s="22"/>
      <c r="O162" s="22"/>
      <c r="P162" s="101">
        <f t="shared" ref="P162:AA162" si="22">IF(P$1="",0,(P64+P143)*P$154)</f>
        <v>117.402</v>
      </c>
      <c r="Q162" s="101">
        <f t="shared" si="22"/>
        <v>123.80200000000001</v>
      </c>
      <c r="R162" s="101">
        <f t="shared" si="22"/>
        <v>106.7216</v>
      </c>
      <c r="S162" s="101">
        <f t="shared" si="22"/>
        <v>83.881199999999993</v>
      </c>
      <c r="T162" s="101">
        <f t="shared" si="22"/>
        <v>89.641199999999998</v>
      </c>
      <c r="U162" s="101">
        <f t="shared" si="22"/>
        <v>89.317080000000004</v>
      </c>
      <c r="V162" s="101">
        <f t="shared" si="22"/>
        <v>93.90100000000001</v>
      </c>
      <c r="W162" s="101">
        <f t="shared" si="22"/>
        <v>0</v>
      </c>
      <c r="X162" s="101">
        <f t="shared" si="22"/>
        <v>0</v>
      </c>
      <c r="Y162" s="101">
        <f t="shared" si="22"/>
        <v>0</v>
      </c>
      <c r="Z162" s="101">
        <f t="shared" si="22"/>
        <v>0</v>
      </c>
      <c r="AA162" s="101">
        <f t="shared" si="22"/>
        <v>0</v>
      </c>
      <c r="AB162" s="22"/>
    </row>
    <row r="163" spans="1:28" s="23" customFormat="1" ht="10.199999999999999" x14ac:dyDescent="0.2">
      <c r="A163" s="22"/>
      <c r="B163" s="22"/>
      <c r="C163" s="22"/>
      <c r="D163" s="22"/>
      <c r="E163" s="22" t="str">
        <f>E157</f>
        <v>маркетинговые расходы (начисл/оплаты)</v>
      </c>
      <c r="F163" s="22"/>
      <c r="G163" s="22" t="str">
        <f>IF($E163="","",INDEX(KPI!$G:$G,SUMIFS(KPI!$B:$B,KPI!$E:$E,$E163)))</f>
        <v>тыс.руб.</v>
      </c>
      <c r="H163" s="100">
        <f>структура!$V$17</f>
        <v>6</v>
      </c>
      <c r="I163" s="31"/>
      <c r="J163" s="98" t="str">
        <f>структура!$X$17</f>
        <v>июн</v>
      </c>
      <c r="K163" s="99"/>
      <c r="L163" s="22"/>
      <c r="M163" s="58"/>
      <c r="N163" s="22"/>
      <c r="O163" s="22"/>
      <c r="P163" s="101">
        <f t="shared" ref="P163:AA163" si="23">IF(P$1="",0,(P65+P144)*P$154)</f>
        <v>107.56084615384617</v>
      </c>
      <c r="Q163" s="101">
        <f t="shared" si="23"/>
        <v>112.36084615384617</v>
      </c>
      <c r="R163" s="101">
        <f t="shared" si="23"/>
        <v>95.648676923076934</v>
      </c>
      <c r="S163" s="101">
        <f t="shared" si="23"/>
        <v>74.616507692307692</v>
      </c>
      <c r="T163" s="101">
        <f t="shared" si="23"/>
        <v>78.9365076923077</v>
      </c>
      <c r="U163" s="101">
        <f t="shared" si="23"/>
        <v>77.52285692307693</v>
      </c>
      <c r="V163" s="101">
        <f t="shared" si="23"/>
        <v>80.180423076923077</v>
      </c>
      <c r="W163" s="101">
        <f t="shared" si="23"/>
        <v>0</v>
      </c>
      <c r="X163" s="101">
        <f t="shared" si="23"/>
        <v>0</v>
      </c>
      <c r="Y163" s="101">
        <f t="shared" si="23"/>
        <v>0</v>
      </c>
      <c r="Z163" s="101">
        <f t="shared" si="23"/>
        <v>0</v>
      </c>
      <c r="AA163" s="101">
        <f t="shared" si="23"/>
        <v>0</v>
      </c>
      <c r="AB163" s="22"/>
    </row>
    <row r="164" spans="1:28" s="23" customFormat="1" ht="10.199999999999999" x14ac:dyDescent="0.2">
      <c r="A164" s="22"/>
      <c r="B164" s="22"/>
      <c r="C164" s="22"/>
      <c r="D164" s="22"/>
      <c r="E164" s="22" t="str">
        <f>E157</f>
        <v>маркетинговые расходы (начисл/оплаты)</v>
      </c>
      <c r="F164" s="22"/>
      <c r="G164" s="22" t="str">
        <f>IF($E164="","",INDEX(KPI!$G:$G,SUMIFS(KPI!$B:$B,KPI!$E:$E,$E164)))</f>
        <v>тыс.руб.</v>
      </c>
      <c r="H164" s="100">
        <f>структура!$V$18</f>
        <v>7</v>
      </c>
      <c r="I164" s="31"/>
      <c r="J164" s="98" t="str">
        <f>структура!$X$18</f>
        <v>июл</v>
      </c>
      <c r="K164" s="99"/>
      <c r="L164" s="22"/>
      <c r="M164" s="58"/>
      <c r="N164" s="22"/>
      <c r="O164" s="22"/>
      <c r="P164" s="101">
        <f t="shared" ref="P164:AA164" si="24">IF(P$1="",0,(P66+P145)*P$154)</f>
        <v>102.76084615384616</v>
      </c>
      <c r="Q164" s="101">
        <f t="shared" si="24"/>
        <v>106.92084615384616</v>
      </c>
      <c r="R164" s="101">
        <f t="shared" si="24"/>
        <v>90.528676923076929</v>
      </c>
      <c r="S164" s="101">
        <f t="shared" si="24"/>
        <v>70.392507692307689</v>
      </c>
      <c r="T164" s="101">
        <f t="shared" si="24"/>
        <v>74.136507692307688</v>
      </c>
      <c r="U164" s="101">
        <f t="shared" si="24"/>
        <v>72.338856923076932</v>
      </c>
      <c r="V164" s="101">
        <f t="shared" si="24"/>
        <v>74.260423076923075</v>
      </c>
      <c r="W164" s="101">
        <f t="shared" si="24"/>
        <v>0</v>
      </c>
      <c r="X164" s="101">
        <f t="shared" si="24"/>
        <v>0</v>
      </c>
      <c r="Y164" s="101">
        <f t="shared" si="24"/>
        <v>0</v>
      </c>
      <c r="Z164" s="101">
        <f t="shared" si="24"/>
        <v>0</v>
      </c>
      <c r="AA164" s="101">
        <f t="shared" si="24"/>
        <v>0</v>
      </c>
      <c r="AB164" s="22"/>
    </row>
    <row r="165" spans="1:28" s="23" customFormat="1" ht="10.199999999999999" x14ac:dyDescent="0.2">
      <c r="A165" s="22"/>
      <c r="B165" s="22"/>
      <c r="C165" s="22"/>
      <c r="D165" s="22"/>
      <c r="E165" s="22" t="str">
        <f>E157</f>
        <v>маркетинговые расходы (начисл/оплаты)</v>
      </c>
      <c r="F165" s="22"/>
      <c r="G165" s="22" t="str">
        <f>IF($E165="","",INDEX(KPI!$G:$G,SUMIFS(KPI!$B:$B,KPI!$E:$E,$E165)))</f>
        <v>тыс.руб.</v>
      </c>
      <c r="H165" s="100">
        <f>структура!$V$19</f>
        <v>8</v>
      </c>
      <c r="I165" s="31"/>
      <c r="J165" s="98" t="str">
        <f>структура!$X$19</f>
        <v>авг</v>
      </c>
      <c r="K165" s="99"/>
      <c r="L165" s="22"/>
      <c r="M165" s="58"/>
      <c r="N165" s="22"/>
      <c r="O165" s="22"/>
      <c r="P165" s="101">
        <f t="shared" ref="P165:AA165" si="25">IF(P$1="",0,(P67+P146)*P$154)</f>
        <v>72.813749999999999</v>
      </c>
      <c r="Q165" s="101">
        <f t="shared" si="25"/>
        <v>74.376249999999999</v>
      </c>
      <c r="R165" s="101">
        <f t="shared" si="25"/>
        <v>61.375999999999998</v>
      </c>
      <c r="S165" s="101">
        <f t="shared" si="25"/>
        <v>46.969499999999996</v>
      </c>
      <c r="T165" s="101">
        <f t="shared" si="25"/>
        <v>48.375749999999996</v>
      </c>
      <c r="U165" s="101">
        <f t="shared" si="25"/>
        <v>45.647549999999995</v>
      </c>
      <c r="V165" s="101">
        <f t="shared" si="25"/>
        <v>45.000624999999999</v>
      </c>
      <c r="W165" s="101">
        <f t="shared" si="25"/>
        <v>0</v>
      </c>
      <c r="X165" s="101">
        <f t="shared" si="25"/>
        <v>0</v>
      </c>
      <c r="Y165" s="101">
        <f t="shared" si="25"/>
        <v>0</v>
      </c>
      <c r="Z165" s="101">
        <f t="shared" si="25"/>
        <v>0</v>
      </c>
      <c r="AA165" s="101">
        <f t="shared" si="25"/>
        <v>0</v>
      </c>
      <c r="AB165" s="22"/>
    </row>
    <row r="166" spans="1:28" s="23" customFormat="1" ht="10.199999999999999" x14ac:dyDescent="0.2">
      <c r="A166" s="22"/>
      <c r="B166" s="22"/>
      <c r="C166" s="22"/>
      <c r="D166" s="22"/>
      <c r="E166" s="22" t="str">
        <f>E157</f>
        <v>маркетинговые расходы (начисл/оплаты)</v>
      </c>
      <c r="F166" s="22"/>
      <c r="G166" s="22" t="str">
        <f>IF($E166="","",INDEX(KPI!$G:$G,SUMIFS(KPI!$B:$B,KPI!$E:$E,$E166)))</f>
        <v>тыс.руб.</v>
      </c>
      <c r="H166" s="100">
        <f>структура!$V$20</f>
        <v>9</v>
      </c>
      <c r="I166" s="31"/>
      <c r="J166" s="98" t="str">
        <f>структура!$X$20</f>
        <v>сен</v>
      </c>
      <c r="K166" s="99"/>
      <c r="L166" s="22"/>
      <c r="M166" s="58"/>
      <c r="N166" s="22"/>
      <c r="O166" s="22"/>
      <c r="P166" s="101">
        <f t="shared" ref="P166:AA166" si="26">IF(P$1="",0,(P68+P147)*P$154)</f>
        <v>77.320096153846166</v>
      </c>
      <c r="Q166" s="101">
        <f t="shared" si="26"/>
        <v>79.507596153846166</v>
      </c>
      <c r="R166" s="101">
        <f t="shared" si="26"/>
        <v>66.231076923076927</v>
      </c>
      <c r="S166" s="101">
        <f t="shared" si="26"/>
        <v>50.985807692307695</v>
      </c>
      <c r="T166" s="101">
        <f t="shared" si="26"/>
        <v>52.954557692307688</v>
      </c>
      <c r="U166" s="101">
        <f t="shared" si="26"/>
        <v>50.612226923076925</v>
      </c>
      <c r="V166" s="101">
        <f t="shared" si="26"/>
        <v>50.691298076923083</v>
      </c>
      <c r="W166" s="101">
        <f t="shared" si="26"/>
        <v>0</v>
      </c>
      <c r="X166" s="101">
        <f t="shared" si="26"/>
        <v>0</v>
      </c>
      <c r="Y166" s="101">
        <f t="shared" si="26"/>
        <v>0</v>
      </c>
      <c r="Z166" s="101">
        <f t="shared" si="26"/>
        <v>0</v>
      </c>
      <c r="AA166" s="101">
        <f t="shared" si="26"/>
        <v>0</v>
      </c>
      <c r="AB166" s="22"/>
    </row>
    <row r="167" spans="1:28" s="23" customFormat="1" ht="10.199999999999999" x14ac:dyDescent="0.2">
      <c r="A167" s="22"/>
      <c r="B167" s="22"/>
      <c r="C167" s="22"/>
      <c r="D167" s="22"/>
      <c r="E167" s="22" t="str">
        <f>E157</f>
        <v>маркетинговые расходы (начисл/оплаты)</v>
      </c>
      <c r="F167" s="22"/>
      <c r="G167" s="22" t="str">
        <f>IF($E167="","",INDEX(KPI!$G:$G,SUMIFS(KPI!$B:$B,KPI!$E:$E,$E167)))</f>
        <v>тыс.руб.</v>
      </c>
      <c r="H167" s="100">
        <f>структура!$V$21</f>
        <v>10</v>
      </c>
      <c r="I167" s="31"/>
      <c r="J167" s="98" t="str">
        <f>структура!$X$21</f>
        <v>окт</v>
      </c>
      <c r="K167" s="99"/>
      <c r="L167" s="22"/>
      <c r="M167" s="58"/>
      <c r="N167" s="22"/>
      <c r="O167" s="22"/>
      <c r="P167" s="101">
        <f t="shared" ref="P167:AA167" si="27">IF(P$1="",0,(P69+P148)*P$154)</f>
        <v>68.449499999999986</v>
      </c>
      <c r="Q167" s="101">
        <f t="shared" si="27"/>
        <v>69.999499999999998</v>
      </c>
      <c r="R167" s="101">
        <f t="shared" si="27"/>
        <v>57.859599999999993</v>
      </c>
      <c r="S167" s="101">
        <f t="shared" si="27"/>
        <v>44.324699999999993</v>
      </c>
      <c r="T167" s="101">
        <f t="shared" si="27"/>
        <v>45.719699999999989</v>
      </c>
      <c r="U167" s="101">
        <f t="shared" si="27"/>
        <v>43.240229999999997</v>
      </c>
      <c r="V167" s="101">
        <f t="shared" si="27"/>
        <v>42.749749999999999</v>
      </c>
      <c r="W167" s="101">
        <f t="shared" si="27"/>
        <v>0</v>
      </c>
      <c r="X167" s="101">
        <f t="shared" si="27"/>
        <v>0</v>
      </c>
      <c r="Y167" s="101">
        <f t="shared" si="27"/>
        <v>0</v>
      </c>
      <c r="Z167" s="101">
        <f t="shared" si="27"/>
        <v>0</v>
      </c>
      <c r="AA167" s="101">
        <f t="shared" si="27"/>
        <v>0</v>
      </c>
      <c r="AB167" s="22"/>
    </row>
    <row r="168" spans="1:28" s="23" customFormat="1" ht="10.199999999999999" x14ac:dyDescent="0.2">
      <c r="A168" s="22"/>
      <c r="B168" s="22"/>
      <c r="C168" s="22"/>
      <c r="D168" s="22"/>
      <c r="E168" s="22" t="str">
        <f>E157</f>
        <v>маркетинговые расходы (начисл/оплаты)</v>
      </c>
      <c r="F168" s="22"/>
      <c r="G168" s="22" t="str">
        <f>IF($E168="","",INDEX(KPI!$G:$G,SUMIFS(KPI!$B:$B,KPI!$E:$E,$E168)))</f>
        <v>тыс.руб.</v>
      </c>
      <c r="H168" s="100">
        <f>структура!$V$22</f>
        <v>11</v>
      </c>
      <c r="I168" s="31"/>
      <c r="J168" s="98" t="str">
        <f>структура!$X$22</f>
        <v>ноя</v>
      </c>
      <c r="K168" s="99"/>
      <c r="L168" s="22"/>
      <c r="M168" s="58"/>
      <c r="N168" s="22"/>
      <c r="O168" s="22"/>
      <c r="P168" s="101">
        <f t="shared" ref="P168:AA168" si="28">IF(P$1="",0,(P70+P149)*P$154)</f>
        <v>71.556346153846107</v>
      </c>
      <c r="Q168" s="101">
        <f t="shared" si="28"/>
        <v>73.13134615384611</v>
      </c>
      <c r="R168" s="101">
        <f t="shared" si="28"/>
        <v>60.395076923076878</v>
      </c>
      <c r="S168" s="101">
        <f t="shared" si="28"/>
        <v>46.24130769230765</v>
      </c>
      <c r="T168" s="101">
        <f t="shared" si="28"/>
        <v>47.65880769230764</v>
      </c>
      <c r="U168" s="101">
        <f t="shared" si="28"/>
        <v>45.01917692307687</v>
      </c>
      <c r="V168" s="101">
        <f t="shared" si="28"/>
        <v>44.440673076923019</v>
      </c>
      <c r="W168" s="101">
        <f t="shared" si="28"/>
        <v>0</v>
      </c>
      <c r="X168" s="101">
        <f t="shared" si="28"/>
        <v>0</v>
      </c>
      <c r="Y168" s="101">
        <f t="shared" si="28"/>
        <v>0</v>
      </c>
      <c r="Z168" s="101">
        <f t="shared" si="28"/>
        <v>0</v>
      </c>
      <c r="AA168" s="101">
        <f t="shared" si="28"/>
        <v>0</v>
      </c>
      <c r="AB168" s="22"/>
    </row>
    <row r="169" spans="1:28" s="23" customFormat="1" ht="10.199999999999999" x14ac:dyDescent="0.2">
      <c r="A169" s="22"/>
      <c r="B169" s="22"/>
      <c r="C169" s="22"/>
      <c r="D169" s="22"/>
      <c r="E169" s="22" t="str">
        <f>E157</f>
        <v>маркетинговые расходы (начисл/оплаты)</v>
      </c>
      <c r="F169" s="22"/>
      <c r="G169" s="22" t="str">
        <f>IF($E169="","",INDEX(KPI!$G:$G,SUMIFS(KPI!$B:$B,KPI!$E:$E,$E169)))</f>
        <v>тыс.руб.</v>
      </c>
      <c r="H169" s="100">
        <f>структура!$V$23</f>
        <v>12</v>
      </c>
      <c r="I169" s="31"/>
      <c r="J169" s="98" t="str">
        <f>структура!$X$23</f>
        <v>дек</v>
      </c>
      <c r="K169" s="99"/>
      <c r="L169" s="22"/>
      <c r="M169" s="58"/>
      <c r="N169" s="22"/>
      <c r="O169" s="22"/>
      <c r="P169" s="101">
        <f t="shared" ref="P169:AA169" si="29">IF(P$1="",0,(P59+P138)*P$154)</f>
        <v>65.605096153846148</v>
      </c>
      <c r="Q169" s="101">
        <f t="shared" si="29"/>
        <v>66.542596153846148</v>
      </c>
      <c r="R169" s="101">
        <f t="shared" si="29"/>
        <v>54.35907692307692</v>
      </c>
      <c r="S169" s="101">
        <f t="shared" si="29"/>
        <v>41.331807692307684</v>
      </c>
      <c r="T169" s="101">
        <f t="shared" si="29"/>
        <v>42.175557692307684</v>
      </c>
      <c r="U169" s="101">
        <f t="shared" si="29"/>
        <v>39.223626923076921</v>
      </c>
      <c r="V169" s="101">
        <f t="shared" si="29"/>
        <v>37.958798076923074</v>
      </c>
      <c r="W169" s="101">
        <f t="shared" si="29"/>
        <v>0</v>
      </c>
      <c r="X169" s="101">
        <f t="shared" si="29"/>
        <v>0</v>
      </c>
      <c r="Y169" s="101">
        <f t="shared" si="29"/>
        <v>0</v>
      </c>
      <c r="Z169" s="101">
        <f t="shared" si="29"/>
        <v>0</v>
      </c>
      <c r="AA169" s="101">
        <f t="shared" si="29"/>
        <v>0</v>
      </c>
      <c r="AB169" s="22"/>
    </row>
    <row r="170" spans="1:28" ht="3.9" customHeight="1" x14ac:dyDescent="0.25">
      <c r="A170" s="2"/>
      <c r="B170" s="2"/>
      <c r="C170" s="2"/>
      <c r="D170" s="2"/>
      <c r="E170" s="21"/>
      <c r="F170" s="2"/>
      <c r="G170" s="21"/>
      <c r="H170" s="2"/>
      <c r="I170" s="28"/>
      <c r="J170" s="21"/>
      <c r="K170" s="28"/>
      <c r="L170" s="2"/>
      <c r="M170" s="52"/>
      <c r="N170" s="2"/>
      <c r="O170" s="2"/>
      <c r="P170" s="36"/>
      <c r="Q170" s="36"/>
      <c r="R170" s="36"/>
      <c r="S170" s="36"/>
      <c r="T170" s="36"/>
      <c r="U170" s="36"/>
      <c r="V170" s="36"/>
      <c r="W170" s="36"/>
      <c r="X170" s="36"/>
      <c r="Y170" s="36"/>
      <c r="Z170" s="36"/>
      <c r="AA170" s="36"/>
      <c r="AB170" s="2"/>
    </row>
    <row r="171" spans="1:28" ht="8.1" customHeight="1" x14ac:dyDescent="0.25">
      <c r="A171" s="2"/>
      <c r="B171" s="2"/>
      <c r="C171" s="2"/>
      <c r="D171" s="2"/>
      <c r="E171" s="2"/>
      <c r="F171" s="2"/>
      <c r="G171" s="2"/>
      <c r="H171" s="2"/>
      <c r="I171" s="28"/>
      <c r="J171" s="2"/>
      <c r="K171" s="28"/>
      <c r="L171" s="2"/>
      <c r="M171" s="52"/>
      <c r="N171" s="2"/>
      <c r="O171" s="2"/>
      <c r="P171" s="36"/>
      <c r="Q171" s="36"/>
      <c r="R171" s="36"/>
      <c r="S171" s="36"/>
      <c r="T171" s="36"/>
      <c r="U171" s="36"/>
      <c r="V171" s="36"/>
      <c r="W171" s="36"/>
      <c r="X171" s="36"/>
      <c r="Y171" s="36"/>
      <c r="Z171" s="36"/>
      <c r="AA171" s="36"/>
      <c r="AB171" s="2"/>
    </row>
    <row r="172" spans="1:28" s="5" customFormat="1" x14ac:dyDescent="0.25">
      <c r="A172" s="3"/>
      <c r="B172" s="3"/>
      <c r="C172" s="3"/>
      <c r="D172" s="3"/>
      <c r="E172" s="3" t="str">
        <f>KPI!$E$45</f>
        <v>аренда земли в год</v>
      </c>
      <c r="F172" s="3"/>
      <c r="G172" s="3" t="str">
        <f>IF($E172="","",INDEX(KPI!$G:$G,SUMIFS(KPI!$B:$B,KPI!$E:$E,$E172)))</f>
        <v>тыс.руб.</v>
      </c>
      <c r="H172" s="3"/>
      <c r="I172" s="6"/>
      <c r="J172" s="204">
        <f>операции!J247</f>
        <v>2608.6498461975634</v>
      </c>
      <c r="K172" s="28"/>
      <c r="L172" s="2"/>
      <c r="M172" s="52"/>
      <c r="N172" s="3"/>
      <c r="O172" s="2"/>
      <c r="P172" s="36"/>
      <c r="Q172" s="36"/>
      <c r="R172" s="36"/>
      <c r="S172" s="36"/>
      <c r="T172" s="36"/>
      <c r="U172" s="36"/>
      <c r="V172" s="36"/>
      <c r="W172" s="36"/>
      <c r="X172" s="36"/>
      <c r="Y172" s="36"/>
      <c r="Z172" s="36"/>
      <c r="AA172" s="36"/>
      <c r="AB172" s="2"/>
    </row>
    <row r="173" spans="1:28" ht="3.9" customHeight="1" x14ac:dyDescent="0.25">
      <c r="A173" s="2"/>
      <c r="B173" s="2"/>
      <c r="C173" s="2"/>
      <c r="D173" s="2"/>
      <c r="E173" s="110"/>
      <c r="F173" s="2"/>
      <c r="G173" s="2"/>
      <c r="H173" s="2"/>
      <c r="I173" s="28"/>
      <c r="J173" s="2"/>
      <c r="K173" s="28"/>
      <c r="L173" s="2"/>
      <c r="M173" s="52"/>
      <c r="N173" s="2"/>
      <c r="O173" s="2"/>
      <c r="P173" s="36"/>
      <c r="Q173" s="36"/>
      <c r="R173" s="36"/>
      <c r="S173" s="36"/>
      <c r="T173" s="36"/>
      <c r="U173" s="36"/>
      <c r="V173" s="36"/>
      <c r="W173" s="36"/>
      <c r="X173" s="36"/>
      <c r="Y173" s="36"/>
      <c r="Z173" s="36"/>
      <c r="AA173" s="36"/>
      <c r="AB173" s="2"/>
    </row>
    <row r="174" spans="1:28" ht="8.1" customHeight="1" x14ac:dyDescent="0.25">
      <c r="A174" s="2"/>
      <c r="B174" s="2"/>
      <c r="C174" s="2"/>
      <c r="D174" s="2"/>
      <c r="E174" s="2"/>
      <c r="F174" s="2"/>
      <c r="G174" s="2"/>
      <c r="H174" s="2"/>
      <c r="I174" s="28"/>
      <c r="J174" s="2"/>
      <c r="K174" s="28"/>
      <c r="L174" s="2"/>
      <c r="M174" s="52"/>
      <c r="N174" s="2"/>
      <c r="O174" s="2"/>
      <c r="P174" s="36"/>
      <c r="Q174" s="36"/>
      <c r="R174" s="36"/>
      <c r="S174" s="36"/>
      <c r="T174" s="36"/>
      <c r="U174" s="36"/>
      <c r="V174" s="36"/>
      <c r="W174" s="36"/>
      <c r="X174" s="36"/>
      <c r="Y174" s="36"/>
      <c r="Z174" s="36"/>
      <c r="AA174" s="36"/>
      <c r="AB174" s="2"/>
    </row>
    <row r="175" spans="1:28" s="5" customFormat="1" x14ac:dyDescent="0.25">
      <c r="A175" s="3"/>
      <c r="B175" s="3"/>
      <c r="C175" s="3"/>
      <c r="D175" s="111"/>
      <c r="E175" s="3" t="str">
        <f>KPI!$E$46</f>
        <v>аренда земли - начисление</v>
      </c>
      <c r="F175" s="3"/>
      <c r="G175" s="3" t="str">
        <f>IF($E175="","",INDEX(KPI!$G:$G,SUMIFS(KPI!$B:$B,KPI!$E:$E,$E175)))</f>
        <v>тыс.руб.</v>
      </c>
      <c r="H175" s="103"/>
      <c r="I175" s="28"/>
      <c r="J175" s="44"/>
      <c r="K175" s="28"/>
      <c r="L175" s="3"/>
      <c r="M175" s="55">
        <f>SUM($O175:$AB175)</f>
        <v>18260.548923382947</v>
      </c>
      <c r="N175" s="3"/>
      <c r="O175" s="3"/>
      <c r="P175" s="46">
        <f>IF(P$1="",0,IF(P$1=0,SUMIFS(P176:P187,H176:H187,"&gt;="&amp;MONTH($J$13)),SUM(P176:P187)))</f>
        <v>2608.6498461975639</v>
      </c>
      <c r="Q175" s="46">
        <f t="shared" ref="Q175" si="30">IF(Q$1="",0,SUM(Q176:Q187))</f>
        <v>2608.6498461975639</v>
      </c>
      <c r="R175" s="46">
        <f t="shared" ref="R175:AA175" si="31">IF(R$1="",0,SUM(R176:R187))</f>
        <v>2608.6498461975639</v>
      </c>
      <c r="S175" s="46">
        <f t="shared" si="31"/>
        <v>2608.6498461975639</v>
      </c>
      <c r="T175" s="46">
        <f t="shared" si="31"/>
        <v>2608.6498461975639</v>
      </c>
      <c r="U175" s="46">
        <f t="shared" si="31"/>
        <v>2608.6498461975639</v>
      </c>
      <c r="V175" s="46">
        <f t="shared" si="31"/>
        <v>2608.6498461975639</v>
      </c>
      <c r="W175" s="46">
        <f t="shared" si="31"/>
        <v>0</v>
      </c>
      <c r="X175" s="46">
        <f t="shared" si="31"/>
        <v>0</v>
      </c>
      <c r="Y175" s="46">
        <f t="shared" si="31"/>
        <v>0</v>
      </c>
      <c r="Z175" s="46">
        <f t="shared" si="31"/>
        <v>0</v>
      </c>
      <c r="AA175" s="46">
        <f t="shared" si="31"/>
        <v>0</v>
      </c>
      <c r="AB175" s="3"/>
    </row>
    <row r="176" spans="1:28" s="23" customFormat="1" ht="10.199999999999999" x14ac:dyDescent="0.2">
      <c r="A176" s="22"/>
      <c r="B176" s="22"/>
      <c r="C176" s="22"/>
      <c r="D176" s="22"/>
      <c r="E176" s="22" t="str">
        <f>E175</f>
        <v>аренда земли - начисление</v>
      </c>
      <c r="F176" s="22"/>
      <c r="G176" s="22" t="str">
        <f>IF($E176="","",INDEX(KPI!$G:$G,SUMIFS(KPI!$B:$B,KPI!$E:$E,$E176)))</f>
        <v>тыс.руб.</v>
      </c>
      <c r="H176" s="100">
        <f>структура!$V$12</f>
        <v>1</v>
      </c>
      <c r="I176" s="31"/>
      <c r="J176" s="98" t="str">
        <f>структура!$X$12</f>
        <v>янв</v>
      </c>
      <c r="K176" s="99"/>
      <c r="L176" s="22"/>
      <c r="M176" s="58"/>
      <c r="N176" s="22"/>
      <c r="O176" s="22"/>
      <c r="P176" s="101">
        <f t="shared" ref="P176:AA187" si="32">IF(P$1="",0,$J$172/12)</f>
        <v>217.38748718313028</v>
      </c>
      <c r="Q176" s="101">
        <f t="shared" si="32"/>
        <v>217.38748718313028</v>
      </c>
      <c r="R176" s="101">
        <f t="shared" si="32"/>
        <v>217.38748718313028</v>
      </c>
      <c r="S176" s="101">
        <f t="shared" si="32"/>
        <v>217.38748718313028</v>
      </c>
      <c r="T176" s="101">
        <f t="shared" si="32"/>
        <v>217.38748718313028</v>
      </c>
      <c r="U176" s="101">
        <f t="shared" si="32"/>
        <v>217.38748718313028</v>
      </c>
      <c r="V176" s="101">
        <f t="shared" si="32"/>
        <v>217.38748718313028</v>
      </c>
      <c r="W176" s="101">
        <f t="shared" si="32"/>
        <v>0</v>
      </c>
      <c r="X176" s="101">
        <f t="shared" si="32"/>
        <v>0</v>
      </c>
      <c r="Y176" s="101">
        <f t="shared" si="32"/>
        <v>0</v>
      </c>
      <c r="Z176" s="101">
        <f t="shared" si="32"/>
        <v>0</v>
      </c>
      <c r="AA176" s="101">
        <f t="shared" si="32"/>
        <v>0</v>
      </c>
      <c r="AB176" s="22"/>
    </row>
    <row r="177" spans="1:28" s="23" customFormat="1" ht="10.199999999999999" x14ac:dyDescent="0.2">
      <c r="A177" s="22"/>
      <c r="B177" s="22"/>
      <c r="C177" s="22"/>
      <c r="D177" s="22"/>
      <c r="E177" s="22" t="str">
        <f>E175</f>
        <v>аренда земли - начисление</v>
      </c>
      <c r="F177" s="22"/>
      <c r="G177" s="22" t="str">
        <f>IF($E177="","",INDEX(KPI!$G:$G,SUMIFS(KPI!$B:$B,KPI!$E:$E,$E177)))</f>
        <v>тыс.руб.</v>
      </c>
      <c r="H177" s="100">
        <f>структура!$V$13</f>
        <v>2</v>
      </c>
      <c r="I177" s="31"/>
      <c r="J177" s="98" t="str">
        <f>структура!$X$13</f>
        <v>фев</v>
      </c>
      <c r="K177" s="99"/>
      <c r="L177" s="22"/>
      <c r="M177" s="58"/>
      <c r="N177" s="22"/>
      <c r="O177" s="22"/>
      <c r="P177" s="101">
        <f t="shared" si="32"/>
        <v>217.38748718313028</v>
      </c>
      <c r="Q177" s="101">
        <f t="shared" si="32"/>
        <v>217.38748718313028</v>
      </c>
      <c r="R177" s="101">
        <f t="shared" si="32"/>
        <v>217.38748718313028</v>
      </c>
      <c r="S177" s="101">
        <f t="shared" si="32"/>
        <v>217.38748718313028</v>
      </c>
      <c r="T177" s="101">
        <f t="shared" si="32"/>
        <v>217.38748718313028</v>
      </c>
      <c r="U177" s="101">
        <f t="shared" si="32"/>
        <v>217.38748718313028</v>
      </c>
      <c r="V177" s="101">
        <f t="shared" si="32"/>
        <v>217.38748718313028</v>
      </c>
      <c r="W177" s="101">
        <f t="shared" si="32"/>
        <v>0</v>
      </c>
      <c r="X177" s="101">
        <f t="shared" si="32"/>
        <v>0</v>
      </c>
      <c r="Y177" s="101">
        <f t="shared" si="32"/>
        <v>0</v>
      </c>
      <c r="Z177" s="101">
        <f t="shared" si="32"/>
        <v>0</v>
      </c>
      <c r="AA177" s="101">
        <f t="shared" si="32"/>
        <v>0</v>
      </c>
      <c r="AB177" s="22"/>
    </row>
    <row r="178" spans="1:28" s="23" customFormat="1" ht="10.199999999999999" x14ac:dyDescent="0.2">
      <c r="A178" s="22"/>
      <c r="B178" s="22"/>
      <c r="C178" s="22"/>
      <c r="D178" s="22"/>
      <c r="E178" s="22" t="str">
        <f>E175</f>
        <v>аренда земли - начисление</v>
      </c>
      <c r="F178" s="22"/>
      <c r="G178" s="22" t="str">
        <f>IF($E178="","",INDEX(KPI!$G:$G,SUMIFS(KPI!$B:$B,KPI!$E:$E,$E178)))</f>
        <v>тыс.руб.</v>
      </c>
      <c r="H178" s="100">
        <f>структура!$V$14</f>
        <v>3</v>
      </c>
      <c r="I178" s="31"/>
      <c r="J178" s="98" t="str">
        <f>структура!$X$14</f>
        <v>мар</v>
      </c>
      <c r="K178" s="99"/>
      <c r="L178" s="22"/>
      <c r="M178" s="58"/>
      <c r="N178" s="22"/>
      <c r="O178" s="22"/>
      <c r="P178" s="101">
        <f t="shared" si="32"/>
        <v>217.38748718313028</v>
      </c>
      <c r="Q178" s="101">
        <f t="shared" si="32"/>
        <v>217.38748718313028</v>
      </c>
      <c r="R178" s="101">
        <f t="shared" si="32"/>
        <v>217.38748718313028</v>
      </c>
      <c r="S178" s="101">
        <f t="shared" si="32"/>
        <v>217.38748718313028</v>
      </c>
      <c r="T178" s="101">
        <f t="shared" si="32"/>
        <v>217.38748718313028</v>
      </c>
      <c r="U178" s="101">
        <f t="shared" si="32"/>
        <v>217.38748718313028</v>
      </c>
      <c r="V178" s="101">
        <f t="shared" si="32"/>
        <v>217.38748718313028</v>
      </c>
      <c r="W178" s="101">
        <f t="shared" si="32"/>
        <v>0</v>
      </c>
      <c r="X178" s="101">
        <f t="shared" si="32"/>
        <v>0</v>
      </c>
      <c r="Y178" s="101">
        <f t="shared" si="32"/>
        <v>0</v>
      </c>
      <c r="Z178" s="101">
        <f t="shared" si="32"/>
        <v>0</v>
      </c>
      <c r="AA178" s="101">
        <f t="shared" si="32"/>
        <v>0</v>
      </c>
      <c r="AB178" s="22"/>
    </row>
    <row r="179" spans="1:28" s="23" customFormat="1" ht="10.199999999999999" x14ac:dyDescent="0.2">
      <c r="A179" s="22"/>
      <c r="B179" s="22"/>
      <c r="C179" s="22"/>
      <c r="D179" s="22"/>
      <c r="E179" s="22" t="str">
        <f>E175</f>
        <v>аренда земли - начисление</v>
      </c>
      <c r="F179" s="22"/>
      <c r="G179" s="22" t="str">
        <f>IF($E179="","",INDEX(KPI!$G:$G,SUMIFS(KPI!$B:$B,KPI!$E:$E,$E179)))</f>
        <v>тыс.руб.</v>
      </c>
      <c r="H179" s="100">
        <f>структура!$V$15</f>
        <v>4</v>
      </c>
      <c r="I179" s="31"/>
      <c r="J179" s="98" t="str">
        <f>структура!$X$15</f>
        <v>апр</v>
      </c>
      <c r="K179" s="99"/>
      <c r="L179" s="22"/>
      <c r="M179" s="58"/>
      <c r="N179" s="22"/>
      <c r="O179" s="22"/>
      <c r="P179" s="101">
        <f t="shared" si="32"/>
        <v>217.38748718313028</v>
      </c>
      <c r="Q179" s="101">
        <f t="shared" si="32"/>
        <v>217.38748718313028</v>
      </c>
      <c r="R179" s="101">
        <f t="shared" si="32"/>
        <v>217.38748718313028</v>
      </c>
      <c r="S179" s="101">
        <f t="shared" si="32"/>
        <v>217.38748718313028</v>
      </c>
      <c r="T179" s="101">
        <f t="shared" si="32"/>
        <v>217.38748718313028</v>
      </c>
      <c r="U179" s="101">
        <f t="shared" si="32"/>
        <v>217.38748718313028</v>
      </c>
      <c r="V179" s="101">
        <f t="shared" si="32"/>
        <v>217.38748718313028</v>
      </c>
      <c r="W179" s="101">
        <f t="shared" si="32"/>
        <v>0</v>
      </c>
      <c r="X179" s="101">
        <f t="shared" si="32"/>
        <v>0</v>
      </c>
      <c r="Y179" s="101">
        <f t="shared" si="32"/>
        <v>0</v>
      </c>
      <c r="Z179" s="101">
        <f t="shared" si="32"/>
        <v>0</v>
      </c>
      <c r="AA179" s="101">
        <f t="shared" si="32"/>
        <v>0</v>
      </c>
      <c r="AB179" s="22"/>
    </row>
    <row r="180" spans="1:28" s="23" customFormat="1" ht="10.199999999999999" x14ac:dyDescent="0.2">
      <c r="A180" s="22"/>
      <c r="B180" s="22"/>
      <c r="C180" s="22"/>
      <c r="D180" s="22"/>
      <c r="E180" s="22" t="str">
        <f>E175</f>
        <v>аренда земли - начисление</v>
      </c>
      <c r="F180" s="22"/>
      <c r="G180" s="22" t="str">
        <f>IF($E180="","",INDEX(KPI!$G:$G,SUMIFS(KPI!$B:$B,KPI!$E:$E,$E180)))</f>
        <v>тыс.руб.</v>
      </c>
      <c r="H180" s="100">
        <f>структура!$V$16</f>
        <v>5</v>
      </c>
      <c r="I180" s="31"/>
      <c r="J180" s="98" t="str">
        <f>структура!$X$16</f>
        <v>май</v>
      </c>
      <c r="K180" s="99"/>
      <c r="L180" s="22"/>
      <c r="M180" s="58"/>
      <c r="N180" s="22"/>
      <c r="O180" s="22"/>
      <c r="P180" s="101">
        <f t="shared" si="32"/>
        <v>217.38748718313028</v>
      </c>
      <c r="Q180" s="101">
        <f t="shared" si="32"/>
        <v>217.38748718313028</v>
      </c>
      <c r="R180" s="101">
        <f t="shared" si="32"/>
        <v>217.38748718313028</v>
      </c>
      <c r="S180" s="101">
        <f t="shared" si="32"/>
        <v>217.38748718313028</v>
      </c>
      <c r="T180" s="101">
        <f t="shared" si="32"/>
        <v>217.38748718313028</v>
      </c>
      <c r="U180" s="101">
        <f t="shared" si="32"/>
        <v>217.38748718313028</v>
      </c>
      <c r="V180" s="101">
        <f t="shared" si="32"/>
        <v>217.38748718313028</v>
      </c>
      <c r="W180" s="101">
        <f t="shared" si="32"/>
        <v>0</v>
      </c>
      <c r="X180" s="101">
        <f t="shared" si="32"/>
        <v>0</v>
      </c>
      <c r="Y180" s="101">
        <f t="shared" si="32"/>
        <v>0</v>
      </c>
      <c r="Z180" s="101">
        <f t="shared" si="32"/>
        <v>0</v>
      </c>
      <c r="AA180" s="101">
        <f t="shared" si="32"/>
        <v>0</v>
      </c>
      <c r="AB180" s="22"/>
    </row>
    <row r="181" spans="1:28" s="23" customFormat="1" ht="10.199999999999999" x14ac:dyDescent="0.2">
      <c r="A181" s="22"/>
      <c r="B181" s="22"/>
      <c r="C181" s="22"/>
      <c r="D181" s="22"/>
      <c r="E181" s="22" t="str">
        <f>E175</f>
        <v>аренда земли - начисление</v>
      </c>
      <c r="F181" s="22"/>
      <c r="G181" s="22" t="str">
        <f>IF($E181="","",INDEX(KPI!$G:$G,SUMIFS(KPI!$B:$B,KPI!$E:$E,$E181)))</f>
        <v>тыс.руб.</v>
      </c>
      <c r="H181" s="100">
        <f>структура!$V$17</f>
        <v>6</v>
      </c>
      <c r="I181" s="31"/>
      <c r="J181" s="98" t="str">
        <f>структура!$X$17</f>
        <v>июн</v>
      </c>
      <c r="K181" s="99"/>
      <c r="L181" s="22"/>
      <c r="M181" s="58"/>
      <c r="N181" s="22"/>
      <c r="O181" s="22"/>
      <c r="P181" s="101">
        <f t="shared" si="32"/>
        <v>217.38748718313028</v>
      </c>
      <c r="Q181" s="101">
        <f t="shared" si="32"/>
        <v>217.38748718313028</v>
      </c>
      <c r="R181" s="101">
        <f t="shared" si="32"/>
        <v>217.38748718313028</v>
      </c>
      <c r="S181" s="101">
        <f t="shared" si="32"/>
        <v>217.38748718313028</v>
      </c>
      <c r="T181" s="101">
        <f t="shared" si="32"/>
        <v>217.38748718313028</v>
      </c>
      <c r="U181" s="101">
        <f t="shared" si="32"/>
        <v>217.38748718313028</v>
      </c>
      <c r="V181" s="101">
        <f t="shared" si="32"/>
        <v>217.38748718313028</v>
      </c>
      <c r="W181" s="101">
        <f t="shared" si="32"/>
        <v>0</v>
      </c>
      <c r="X181" s="101">
        <f t="shared" si="32"/>
        <v>0</v>
      </c>
      <c r="Y181" s="101">
        <f t="shared" si="32"/>
        <v>0</v>
      </c>
      <c r="Z181" s="101">
        <f t="shared" si="32"/>
        <v>0</v>
      </c>
      <c r="AA181" s="101">
        <f t="shared" si="32"/>
        <v>0</v>
      </c>
      <c r="AB181" s="22"/>
    </row>
    <row r="182" spans="1:28" s="23" customFormat="1" ht="10.199999999999999" x14ac:dyDescent="0.2">
      <c r="A182" s="22"/>
      <c r="B182" s="22"/>
      <c r="C182" s="22"/>
      <c r="D182" s="22"/>
      <c r="E182" s="22" t="str">
        <f>E175</f>
        <v>аренда земли - начисление</v>
      </c>
      <c r="F182" s="22"/>
      <c r="G182" s="22" t="str">
        <f>IF($E182="","",INDEX(KPI!$G:$G,SUMIFS(KPI!$B:$B,KPI!$E:$E,$E182)))</f>
        <v>тыс.руб.</v>
      </c>
      <c r="H182" s="100">
        <f>структура!$V$18</f>
        <v>7</v>
      </c>
      <c r="I182" s="31"/>
      <c r="J182" s="98" t="str">
        <f>структура!$X$18</f>
        <v>июл</v>
      </c>
      <c r="K182" s="99"/>
      <c r="L182" s="22"/>
      <c r="M182" s="58"/>
      <c r="N182" s="22"/>
      <c r="O182" s="22"/>
      <c r="P182" s="101">
        <f t="shared" si="32"/>
        <v>217.38748718313028</v>
      </c>
      <c r="Q182" s="101">
        <f t="shared" si="32"/>
        <v>217.38748718313028</v>
      </c>
      <c r="R182" s="101">
        <f t="shared" si="32"/>
        <v>217.38748718313028</v>
      </c>
      <c r="S182" s="101">
        <f t="shared" si="32"/>
        <v>217.38748718313028</v>
      </c>
      <c r="T182" s="101">
        <f t="shared" si="32"/>
        <v>217.38748718313028</v>
      </c>
      <c r="U182" s="101">
        <f t="shared" si="32"/>
        <v>217.38748718313028</v>
      </c>
      <c r="V182" s="101">
        <f t="shared" si="32"/>
        <v>217.38748718313028</v>
      </c>
      <c r="W182" s="101">
        <f t="shared" si="32"/>
        <v>0</v>
      </c>
      <c r="X182" s="101">
        <f t="shared" si="32"/>
        <v>0</v>
      </c>
      <c r="Y182" s="101">
        <f t="shared" si="32"/>
        <v>0</v>
      </c>
      <c r="Z182" s="101">
        <f t="shared" si="32"/>
        <v>0</v>
      </c>
      <c r="AA182" s="101">
        <f t="shared" si="32"/>
        <v>0</v>
      </c>
      <c r="AB182" s="22"/>
    </row>
    <row r="183" spans="1:28" s="23" customFormat="1" ht="10.199999999999999" x14ac:dyDescent="0.2">
      <c r="A183" s="22"/>
      <c r="B183" s="22"/>
      <c r="C183" s="22"/>
      <c r="D183" s="22"/>
      <c r="E183" s="22" t="str">
        <f>E175</f>
        <v>аренда земли - начисление</v>
      </c>
      <c r="F183" s="22"/>
      <c r="G183" s="22" t="str">
        <f>IF($E183="","",INDEX(KPI!$G:$G,SUMIFS(KPI!$B:$B,KPI!$E:$E,$E183)))</f>
        <v>тыс.руб.</v>
      </c>
      <c r="H183" s="100">
        <f>структура!$V$19</f>
        <v>8</v>
      </c>
      <c r="I183" s="31"/>
      <c r="J183" s="98" t="str">
        <f>структура!$X$19</f>
        <v>авг</v>
      </c>
      <c r="K183" s="99"/>
      <c r="L183" s="22"/>
      <c r="M183" s="58"/>
      <c r="N183" s="22"/>
      <c r="O183" s="22"/>
      <c r="P183" s="101">
        <f t="shared" si="32"/>
        <v>217.38748718313028</v>
      </c>
      <c r="Q183" s="101">
        <f t="shared" si="32"/>
        <v>217.38748718313028</v>
      </c>
      <c r="R183" s="101">
        <f t="shared" si="32"/>
        <v>217.38748718313028</v>
      </c>
      <c r="S183" s="101">
        <f t="shared" si="32"/>
        <v>217.38748718313028</v>
      </c>
      <c r="T183" s="101">
        <f t="shared" si="32"/>
        <v>217.38748718313028</v>
      </c>
      <c r="U183" s="101">
        <f t="shared" si="32"/>
        <v>217.38748718313028</v>
      </c>
      <c r="V183" s="101">
        <f t="shared" si="32"/>
        <v>217.38748718313028</v>
      </c>
      <c r="W183" s="101">
        <f t="shared" si="32"/>
        <v>0</v>
      </c>
      <c r="X183" s="101">
        <f t="shared" si="32"/>
        <v>0</v>
      </c>
      <c r="Y183" s="101">
        <f t="shared" si="32"/>
        <v>0</v>
      </c>
      <c r="Z183" s="101">
        <f t="shared" si="32"/>
        <v>0</v>
      </c>
      <c r="AA183" s="101">
        <f t="shared" si="32"/>
        <v>0</v>
      </c>
      <c r="AB183" s="22"/>
    </row>
    <row r="184" spans="1:28" s="23" customFormat="1" ht="10.199999999999999" x14ac:dyDescent="0.2">
      <c r="A184" s="22"/>
      <c r="B184" s="22"/>
      <c r="C184" s="22"/>
      <c r="D184" s="22"/>
      <c r="E184" s="22" t="str">
        <f>E175</f>
        <v>аренда земли - начисление</v>
      </c>
      <c r="F184" s="22"/>
      <c r="G184" s="22" t="str">
        <f>IF($E184="","",INDEX(KPI!$G:$G,SUMIFS(KPI!$B:$B,KPI!$E:$E,$E184)))</f>
        <v>тыс.руб.</v>
      </c>
      <c r="H184" s="100">
        <f>структура!$V$20</f>
        <v>9</v>
      </c>
      <c r="I184" s="31"/>
      <c r="J184" s="98" t="str">
        <f>структура!$X$20</f>
        <v>сен</v>
      </c>
      <c r="K184" s="99"/>
      <c r="L184" s="22"/>
      <c r="M184" s="58"/>
      <c r="N184" s="22"/>
      <c r="O184" s="22"/>
      <c r="P184" s="101">
        <f t="shared" si="32"/>
        <v>217.38748718313028</v>
      </c>
      <c r="Q184" s="101">
        <f t="shared" si="32"/>
        <v>217.38748718313028</v>
      </c>
      <c r="R184" s="101">
        <f t="shared" si="32"/>
        <v>217.38748718313028</v>
      </c>
      <c r="S184" s="101">
        <f t="shared" si="32"/>
        <v>217.38748718313028</v>
      </c>
      <c r="T184" s="101">
        <f t="shared" si="32"/>
        <v>217.38748718313028</v>
      </c>
      <c r="U184" s="101">
        <f t="shared" si="32"/>
        <v>217.38748718313028</v>
      </c>
      <c r="V184" s="101">
        <f t="shared" si="32"/>
        <v>217.38748718313028</v>
      </c>
      <c r="W184" s="101">
        <f t="shared" si="32"/>
        <v>0</v>
      </c>
      <c r="X184" s="101">
        <f t="shared" si="32"/>
        <v>0</v>
      </c>
      <c r="Y184" s="101">
        <f t="shared" si="32"/>
        <v>0</v>
      </c>
      <c r="Z184" s="101">
        <f t="shared" si="32"/>
        <v>0</v>
      </c>
      <c r="AA184" s="101">
        <f t="shared" si="32"/>
        <v>0</v>
      </c>
      <c r="AB184" s="22"/>
    </row>
    <row r="185" spans="1:28" s="23" customFormat="1" ht="10.199999999999999" x14ac:dyDescent="0.2">
      <c r="A185" s="22"/>
      <c r="B185" s="22"/>
      <c r="C185" s="22"/>
      <c r="D185" s="22"/>
      <c r="E185" s="22" t="str">
        <f>E175</f>
        <v>аренда земли - начисление</v>
      </c>
      <c r="F185" s="22"/>
      <c r="G185" s="22" t="str">
        <f>IF($E185="","",INDEX(KPI!$G:$G,SUMIFS(KPI!$B:$B,KPI!$E:$E,$E185)))</f>
        <v>тыс.руб.</v>
      </c>
      <c r="H185" s="100">
        <f>структура!$V$21</f>
        <v>10</v>
      </c>
      <c r="I185" s="31"/>
      <c r="J185" s="98" t="str">
        <f>структура!$X$21</f>
        <v>окт</v>
      </c>
      <c r="K185" s="99"/>
      <c r="L185" s="22"/>
      <c r="M185" s="58"/>
      <c r="N185" s="22"/>
      <c r="O185" s="22"/>
      <c r="P185" s="101">
        <f t="shared" si="32"/>
        <v>217.38748718313028</v>
      </c>
      <c r="Q185" s="101">
        <f t="shared" si="32"/>
        <v>217.38748718313028</v>
      </c>
      <c r="R185" s="101">
        <f t="shared" si="32"/>
        <v>217.38748718313028</v>
      </c>
      <c r="S185" s="101">
        <f t="shared" si="32"/>
        <v>217.38748718313028</v>
      </c>
      <c r="T185" s="101">
        <f t="shared" si="32"/>
        <v>217.38748718313028</v>
      </c>
      <c r="U185" s="101">
        <f t="shared" si="32"/>
        <v>217.38748718313028</v>
      </c>
      <c r="V185" s="101">
        <f t="shared" si="32"/>
        <v>217.38748718313028</v>
      </c>
      <c r="W185" s="101">
        <f t="shared" si="32"/>
        <v>0</v>
      </c>
      <c r="X185" s="101">
        <f t="shared" si="32"/>
        <v>0</v>
      </c>
      <c r="Y185" s="101">
        <f t="shared" si="32"/>
        <v>0</v>
      </c>
      <c r="Z185" s="101">
        <f t="shared" si="32"/>
        <v>0</v>
      </c>
      <c r="AA185" s="101">
        <f t="shared" si="32"/>
        <v>0</v>
      </c>
      <c r="AB185" s="22"/>
    </row>
    <row r="186" spans="1:28" s="23" customFormat="1" ht="10.199999999999999" x14ac:dyDescent="0.2">
      <c r="A186" s="22"/>
      <c r="B186" s="22"/>
      <c r="C186" s="22"/>
      <c r="D186" s="22"/>
      <c r="E186" s="22" t="str">
        <f>E175</f>
        <v>аренда земли - начисление</v>
      </c>
      <c r="F186" s="22"/>
      <c r="G186" s="22" t="str">
        <f>IF($E186="","",INDEX(KPI!$G:$G,SUMIFS(KPI!$B:$B,KPI!$E:$E,$E186)))</f>
        <v>тыс.руб.</v>
      </c>
      <c r="H186" s="100">
        <f>структура!$V$22</f>
        <v>11</v>
      </c>
      <c r="I186" s="31"/>
      <c r="J186" s="98" t="str">
        <f>структура!$X$22</f>
        <v>ноя</v>
      </c>
      <c r="K186" s="99"/>
      <c r="L186" s="22"/>
      <c r="M186" s="58"/>
      <c r="N186" s="22"/>
      <c r="O186" s="22"/>
      <c r="P186" s="101">
        <f t="shared" si="32"/>
        <v>217.38748718313028</v>
      </c>
      <c r="Q186" s="101">
        <f t="shared" si="32"/>
        <v>217.38748718313028</v>
      </c>
      <c r="R186" s="101">
        <f t="shared" si="32"/>
        <v>217.38748718313028</v>
      </c>
      <c r="S186" s="101">
        <f t="shared" si="32"/>
        <v>217.38748718313028</v>
      </c>
      <c r="T186" s="101">
        <f t="shared" si="32"/>
        <v>217.38748718313028</v>
      </c>
      <c r="U186" s="101">
        <f t="shared" si="32"/>
        <v>217.38748718313028</v>
      </c>
      <c r="V186" s="101">
        <f t="shared" si="32"/>
        <v>217.38748718313028</v>
      </c>
      <c r="W186" s="101">
        <f t="shared" si="32"/>
        <v>0</v>
      </c>
      <c r="X186" s="101">
        <f t="shared" si="32"/>
        <v>0</v>
      </c>
      <c r="Y186" s="101">
        <f t="shared" si="32"/>
        <v>0</v>
      </c>
      <c r="Z186" s="101">
        <f t="shared" si="32"/>
        <v>0</v>
      </c>
      <c r="AA186" s="101">
        <f t="shared" si="32"/>
        <v>0</v>
      </c>
      <c r="AB186" s="22"/>
    </row>
    <row r="187" spans="1:28" s="23" customFormat="1" ht="10.199999999999999" x14ac:dyDescent="0.2">
      <c r="A187" s="22"/>
      <c r="B187" s="22"/>
      <c r="C187" s="22"/>
      <c r="D187" s="22"/>
      <c r="E187" s="22" t="str">
        <f>E175</f>
        <v>аренда земли - начисление</v>
      </c>
      <c r="F187" s="22"/>
      <c r="G187" s="22" t="str">
        <f>IF($E187="","",INDEX(KPI!$G:$G,SUMIFS(KPI!$B:$B,KPI!$E:$E,$E187)))</f>
        <v>тыс.руб.</v>
      </c>
      <c r="H187" s="100">
        <f>структура!$V$23</f>
        <v>12</v>
      </c>
      <c r="I187" s="31"/>
      <c r="J187" s="98" t="str">
        <f>структура!$X$23</f>
        <v>дек</v>
      </c>
      <c r="K187" s="99"/>
      <c r="L187" s="22"/>
      <c r="M187" s="58"/>
      <c r="N187" s="22"/>
      <c r="O187" s="22"/>
      <c r="P187" s="101">
        <f t="shared" si="32"/>
        <v>217.38748718313028</v>
      </c>
      <c r="Q187" s="101">
        <f t="shared" si="32"/>
        <v>217.38748718313028</v>
      </c>
      <c r="R187" s="101">
        <f t="shared" si="32"/>
        <v>217.38748718313028</v>
      </c>
      <c r="S187" s="101">
        <f t="shared" si="32"/>
        <v>217.38748718313028</v>
      </c>
      <c r="T187" s="101">
        <f t="shared" si="32"/>
        <v>217.38748718313028</v>
      </c>
      <c r="U187" s="101">
        <f t="shared" si="32"/>
        <v>217.38748718313028</v>
      </c>
      <c r="V187" s="101">
        <f t="shared" si="32"/>
        <v>217.38748718313028</v>
      </c>
      <c r="W187" s="101">
        <f t="shared" si="32"/>
        <v>0</v>
      </c>
      <c r="X187" s="101">
        <f t="shared" si="32"/>
        <v>0</v>
      </c>
      <c r="Y187" s="101">
        <f t="shared" si="32"/>
        <v>0</v>
      </c>
      <c r="Z187" s="101">
        <f t="shared" si="32"/>
        <v>0</v>
      </c>
      <c r="AA187" s="101">
        <f t="shared" si="32"/>
        <v>0</v>
      </c>
      <c r="AB187" s="22"/>
    </row>
    <row r="188" spans="1:28" ht="3.9" customHeight="1" x14ac:dyDescent="0.25">
      <c r="A188" s="2"/>
      <c r="B188" s="2"/>
      <c r="C188" s="2"/>
      <c r="D188" s="2"/>
      <c r="E188" s="21"/>
      <c r="F188" s="2"/>
      <c r="G188" s="21"/>
      <c r="H188" s="2"/>
      <c r="I188" s="28"/>
      <c r="J188" s="21"/>
      <c r="K188" s="28"/>
      <c r="L188" s="2"/>
      <c r="M188" s="52"/>
      <c r="N188" s="2"/>
      <c r="O188" s="2"/>
      <c r="P188" s="36"/>
      <c r="Q188" s="36"/>
      <c r="R188" s="36"/>
      <c r="S188" s="36"/>
      <c r="T188" s="36"/>
      <c r="U188" s="36"/>
      <c r="V188" s="36"/>
      <c r="W188" s="36"/>
      <c r="X188" s="36"/>
      <c r="Y188" s="36"/>
      <c r="Z188" s="36"/>
      <c r="AA188" s="36"/>
      <c r="AB188" s="2"/>
    </row>
    <row r="189" spans="1:28" ht="8.1" customHeight="1" x14ac:dyDescent="0.25">
      <c r="A189" s="2"/>
      <c r="B189" s="2"/>
      <c r="C189" s="2"/>
      <c r="D189" s="2"/>
      <c r="E189" s="2"/>
      <c r="F189" s="2"/>
      <c r="G189" s="2"/>
      <c r="H189" s="2"/>
      <c r="I189" s="28"/>
      <c r="J189" s="2"/>
      <c r="K189" s="28"/>
      <c r="L189" s="2"/>
      <c r="M189" s="52"/>
      <c r="N189" s="2"/>
      <c r="O189" s="2"/>
      <c r="P189" s="36"/>
      <c r="Q189" s="36"/>
      <c r="R189" s="36"/>
      <c r="S189" s="36"/>
      <c r="T189" s="36"/>
      <c r="U189" s="36"/>
      <c r="V189" s="36"/>
      <c r="W189" s="36"/>
      <c r="X189" s="36"/>
      <c r="Y189" s="36"/>
      <c r="Z189" s="36"/>
      <c r="AA189" s="36"/>
      <c r="AB189" s="2"/>
    </row>
    <row r="190" spans="1:28" s="5" customFormat="1" x14ac:dyDescent="0.25">
      <c r="A190" s="3"/>
      <c r="B190" s="3"/>
      <c r="C190" s="3"/>
      <c r="D190" s="111"/>
      <c r="E190" s="3" t="str">
        <f>KPI!$E$47</f>
        <v>аренда земли - оплата</v>
      </c>
      <c r="F190" s="3"/>
      <c r="G190" s="3" t="str">
        <f>IF($E190="","",INDEX(KPI!$G:$G,SUMIFS(KPI!$B:$B,KPI!$E:$E,$E190)))</f>
        <v>тыс.руб.</v>
      </c>
      <c r="H190" s="103"/>
      <c r="I190" s="28"/>
      <c r="J190" s="44"/>
      <c r="K190" s="28"/>
      <c r="L190" s="3"/>
      <c r="M190" s="55">
        <f>SUM($O190:$AB190)</f>
        <v>18260.548923382947</v>
      </c>
      <c r="N190" s="3"/>
      <c r="O190" s="3"/>
      <c r="P190" s="46">
        <f>IF(P$1="",0,IF(P$1=0,SUMIFS(P191:P202,H191:H202,"&gt;="&amp;MONTH($J$13)),SUM(P191:P202)))</f>
        <v>2608.6498461975634</v>
      </c>
      <c r="Q190" s="46">
        <f t="shared" ref="Q190" si="33">IF(Q$1="",0,SUM(Q191:Q202))</f>
        <v>2608.6498461975634</v>
      </c>
      <c r="R190" s="46">
        <f t="shared" ref="R190:AA190" si="34">IF(R$1="",0,SUM(R191:R202))</f>
        <v>2608.6498461975634</v>
      </c>
      <c r="S190" s="46">
        <f t="shared" si="34"/>
        <v>2608.6498461975634</v>
      </c>
      <c r="T190" s="46">
        <f t="shared" si="34"/>
        <v>2608.6498461975634</v>
      </c>
      <c r="U190" s="46">
        <f t="shared" si="34"/>
        <v>2608.6498461975634</v>
      </c>
      <c r="V190" s="46">
        <f t="shared" si="34"/>
        <v>2608.6498461975634</v>
      </c>
      <c r="W190" s="46">
        <f t="shared" si="34"/>
        <v>0</v>
      </c>
      <c r="X190" s="46">
        <f t="shared" si="34"/>
        <v>0</v>
      </c>
      <c r="Y190" s="46">
        <f t="shared" si="34"/>
        <v>0</v>
      </c>
      <c r="Z190" s="46">
        <f t="shared" si="34"/>
        <v>0</v>
      </c>
      <c r="AA190" s="46">
        <f t="shared" si="34"/>
        <v>0</v>
      </c>
      <c r="AB190" s="3"/>
    </row>
    <row r="191" spans="1:28" s="23" customFormat="1" ht="10.199999999999999" x14ac:dyDescent="0.2">
      <c r="A191" s="22"/>
      <c r="B191" s="22"/>
      <c r="C191" s="22"/>
      <c r="D191" s="22"/>
      <c r="E191" s="22" t="str">
        <f>E190</f>
        <v>аренда земли - оплата</v>
      </c>
      <c r="F191" s="22"/>
      <c r="G191" s="22" t="str">
        <f>IF($E191="","",INDEX(KPI!$G:$G,SUMIFS(KPI!$B:$B,KPI!$E:$E,$E191)))</f>
        <v>тыс.руб.</v>
      </c>
      <c r="H191" s="100">
        <f>структура!$V$12</f>
        <v>1</v>
      </c>
      <c r="I191" s="31"/>
      <c r="J191" s="98" t="str">
        <f>структура!$X$12</f>
        <v>янв</v>
      </c>
      <c r="K191" s="99"/>
      <c r="L191" s="22"/>
      <c r="M191" s="58"/>
      <c r="N191" s="22"/>
      <c r="O191" s="22"/>
      <c r="P191" s="101">
        <f t="shared" ref="P191:AA202" si="35">IF(P$1="",0,IF(P$1=0,$J$172/12,IF($H191=1,$J$172,0)))</f>
        <v>2608.6498461975634</v>
      </c>
      <c r="Q191" s="101">
        <f t="shared" si="35"/>
        <v>2608.6498461975634</v>
      </c>
      <c r="R191" s="101">
        <f t="shared" si="35"/>
        <v>2608.6498461975634</v>
      </c>
      <c r="S191" s="101">
        <f t="shared" si="35"/>
        <v>2608.6498461975634</v>
      </c>
      <c r="T191" s="101">
        <f t="shared" si="35"/>
        <v>2608.6498461975634</v>
      </c>
      <c r="U191" s="101">
        <f t="shared" si="35"/>
        <v>2608.6498461975634</v>
      </c>
      <c r="V191" s="101">
        <f t="shared" si="35"/>
        <v>2608.6498461975634</v>
      </c>
      <c r="W191" s="101">
        <f t="shared" si="35"/>
        <v>0</v>
      </c>
      <c r="X191" s="101">
        <f t="shared" si="35"/>
        <v>0</v>
      </c>
      <c r="Y191" s="101">
        <f t="shared" si="35"/>
        <v>0</v>
      </c>
      <c r="Z191" s="101">
        <f t="shared" si="35"/>
        <v>0</v>
      </c>
      <c r="AA191" s="101">
        <f t="shared" si="35"/>
        <v>0</v>
      </c>
      <c r="AB191" s="22"/>
    </row>
    <row r="192" spans="1:28" s="23" customFormat="1" ht="10.199999999999999" x14ac:dyDescent="0.2">
      <c r="A192" s="22"/>
      <c r="B192" s="22"/>
      <c r="C192" s="22"/>
      <c r="D192" s="22"/>
      <c r="E192" s="22" t="str">
        <f>E190</f>
        <v>аренда земли - оплата</v>
      </c>
      <c r="F192" s="22"/>
      <c r="G192" s="22" t="str">
        <f>IF($E192="","",INDEX(KPI!$G:$G,SUMIFS(KPI!$B:$B,KPI!$E:$E,$E192)))</f>
        <v>тыс.руб.</v>
      </c>
      <c r="H192" s="100">
        <f>структура!$V$13</f>
        <v>2</v>
      </c>
      <c r="I192" s="31"/>
      <c r="J192" s="98" t="str">
        <f>структура!$X$13</f>
        <v>фев</v>
      </c>
      <c r="K192" s="99"/>
      <c r="L192" s="22"/>
      <c r="M192" s="58"/>
      <c r="N192" s="22"/>
      <c r="O192" s="22"/>
      <c r="P192" s="101">
        <f t="shared" si="35"/>
        <v>0</v>
      </c>
      <c r="Q192" s="101">
        <f t="shared" si="35"/>
        <v>0</v>
      </c>
      <c r="R192" s="101">
        <f t="shared" si="35"/>
        <v>0</v>
      </c>
      <c r="S192" s="101">
        <f t="shared" si="35"/>
        <v>0</v>
      </c>
      <c r="T192" s="101">
        <f t="shared" si="35"/>
        <v>0</v>
      </c>
      <c r="U192" s="101">
        <f t="shared" si="35"/>
        <v>0</v>
      </c>
      <c r="V192" s="101">
        <f t="shared" si="35"/>
        <v>0</v>
      </c>
      <c r="W192" s="101">
        <f t="shared" si="35"/>
        <v>0</v>
      </c>
      <c r="X192" s="101">
        <f t="shared" si="35"/>
        <v>0</v>
      </c>
      <c r="Y192" s="101">
        <f t="shared" si="35"/>
        <v>0</v>
      </c>
      <c r="Z192" s="101">
        <f t="shared" si="35"/>
        <v>0</v>
      </c>
      <c r="AA192" s="101">
        <f t="shared" si="35"/>
        <v>0</v>
      </c>
      <c r="AB192" s="22"/>
    </row>
    <row r="193" spans="1:28" s="23" customFormat="1" ht="10.199999999999999" x14ac:dyDescent="0.2">
      <c r="A193" s="22"/>
      <c r="B193" s="22"/>
      <c r="C193" s="22"/>
      <c r="D193" s="22"/>
      <c r="E193" s="22" t="str">
        <f>E190</f>
        <v>аренда земли - оплата</v>
      </c>
      <c r="F193" s="22"/>
      <c r="G193" s="22" t="str">
        <f>IF($E193="","",INDEX(KPI!$G:$G,SUMIFS(KPI!$B:$B,KPI!$E:$E,$E193)))</f>
        <v>тыс.руб.</v>
      </c>
      <c r="H193" s="100">
        <f>структура!$V$14</f>
        <v>3</v>
      </c>
      <c r="I193" s="31"/>
      <c r="J193" s="98" t="str">
        <f>структура!$X$14</f>
        <v>мар</v>
      </c>
      <c r="K193" s="99"/>
      <c r="L193" s="22"/>
      <c r="M193" s="58"/>
      <c r="N193" s="22"/>
      <c r="O193" s="22"/>
      <c r="P193" s="101">
        <f t="shared" si="35"/>
        <v>0</v>
      </c>
      <c r="Q193" s="101">
        <f t="shared" si="35"/>
        <v>0</v>
      </c>
      <c r="R193" s="101">
        <f t="shared" si="35"/>
        <v>0</v>
      </c>
      <c r="S193" s="101">
        <f t="shared" si="35"/>
        <v>0</v>
      </c>
      <c r="T193" s="101">
        <f t="shared" si="35"/>
        <v>0</v>
      </c>
      <c r="U193" s="101">
        <f t="shared" si="35"/>
        <v>0</v>
      </c>
      <c r="V193" s="101">
        <f t="shared" si="35"/>
        <v>0</v>
      </c>
      <c r="W193" s="101">
        <f t="shared" si="35"/>
        <v>0</v>
      </c>
      <c r="X193" s="101">
        <f t="shared" si="35"/>
        <v>0</v>
      </c>
      <c r="Y193" s="101">
        <f t="shared" si="35"/>
        <v>0</v>
      </c>
      <c r="Z193" s="101">
        <f t="shared" si="35"/>
        <v>0</v>
      </c>
      <c r="AA193" s="101">
        <f t="shared" si="35"/>
        <v>0</v>
      </c>
      <c r="AB193" s="22"/>
    </row>
    <row r="194" spans="1:28" s="23" customFormat="1" ht="10.199999999999999" x14ac:dyDescent="0.2">
      <c r="A194" s="22"/>
      <c r="B194" s="22"/>
      <c r="C194" s="22"/>
      <c r="D194" s="22"/>
      <c r="E194" s="22" t="str">
        <f>E190</f>
        <v>аренда земли - оплата</v>
      </c>
      <c r="F194" s="22"/>
      <c r="G194" s="22" t="str">
        <f>IF($E194="","",INDEX(KPI!$G:$G,SUMIFS(KPI!$B:$B,KPI!$E:$E,$E194)))</f>
        <v>тыс.руб.</v>
      </c>
      <c r="H194" s="100">
        <f>структура!$V$15</f>
        <v>4</v>
      </c>
      <c r="I194" s="31"/>
      <c r="J194" s="98" t="str">
        <f>структура!$X$15</f>
        <v>апр</v>
      </c>
      <c r="K194" s="99"/>
      <c r="L194" s="22"/>
      <c r="M194" s="58"/>
      <c r="N194" s="22"/>
      <c r="O194" s="22"/>
      <c r="P194" s="101">
        <f t="shared" si="35"/>
        <v>0</v>
      </c>
      <c r="Q194" s="101">
        <f t="shared" si="35"/>
        <v>0</v>
      </c>
      <c r="R194" s="101">
        <f t="shared" si="35"/>
        <v>0</v>
      </c>
      <c r="S194" s="101">
        <f t="shared" si="35"/>
        <v>0</v>
      </c>
      <c r="T194" s="101">
        <f t="shared" si="35"/>
        <v>0</v>
      </c>
      <c r="U194" s="101">
        <f t="shared" si="35"/>
        <v>0</v>
      </c>
      <c r="V194" s="101">
        <f t="shared" si="35"/>
        <v>0</v>
      </c>
      <c r="W194" s="101">
        <f t="shared" si="35"/>
        <v>0</v>
      </c>
      <c r="X194" s="101">
        <f t="shared" si="35"/>
        <v>0</v>
      </c>
      <c r="Y194" s="101">
        <f t="shared" si="35"/>
        <v>0</v>
      </c>
      <c r="Z194" s="101">
        <f t="shared" si="35"/>
        <v>0</v>
      </c>
      <c r="AA194" s="101">
        <f t="shared" si="35"/>
        <v>0</v>
      </c>
      <c r="AB194" s="22"/>
    </row>
    <row r="195" spans="1:28" s="23" customFormat="1" ht="10.199999999999999" x14ac:dyDescent="0.2">
      <c r="A195" s="22"/>
      <c r="B195" s="22"/>
      <c r="C195" s="22"/>
      <c r="D195" s="22"/>
      <c r="E195" s="22" t="str">
        <f>E190</f>
        <v>аренда земли - оплата</v>
      </c>
      <c r="F195" s="22"/>
      <c r="G195" s="22" t="str">
        <f>IF($E195="","",INDEX(KPI!$G:$G,SUMIFS(KPI!$B:$B,KPI!$E:$E,$E195)))</f>
        <v>тыс.руб.</v>
      </c>
      <c r="H195" s="100">
        <f>структура!$V$16</f>
        <v>5</v>
      </c>
      <c r="I195" s="31"/>
      <c r="J195" s="98" t="str">
        <f>структура!$X$16</f>
        <v>май</v>
      </c>
      <c r="K195" s="99"/>
      <c r="L195" s="22"/>
      <c r="M195" s="58"/>
      <c r="N195" s="22"/>
      <c r="O195" s="22"/>
      <c r="P195" s="101">
        <f t="shared" si="35"/>
        <v>0</v>
      </c>
      <c r="Q195" s="101">
        <f t="shared" si="35"/>
        <v>0</v>
      </c>
      <c r="R195" s="101">
        <f t="shared" si="35"/>
        <v>0</v>
      </c>
      <c r="S195" s="101">
        <f t="shared" si="35"/>
        <v>0</v>
      </c>
      <c r="T195" s="101">
        <f t="shared" si="35"/>
        <v>0</v>
      </c>
      <c r="U195" s="101">
        <f t="shared" si="35"/>
        <v>0</v>
      </c>
      <c r="V195" s="101">
        <f t="shared" si="35"/>
        <v>0</v>
      </c>
      <c r="W195" s="101">
        <f t="shared" si="35"/>
        <v>0</v>
      </c>
      <c r="X195" s="101">
        <f t="shared" si="35"/>
        <v>0</v>
      </c>
      <c r="Y195" s="101">
        <f t="shared" si="35"/>
        <v>0</v>
      </c>
      <c r="Z195" s="101">
        <f t="shared" si="35"/>
        <v>0</v>
      </c>
      <c r="AA195" s="101">
        <f t="shared" si="35"/>
        <v>0</v>
      </c>
      <c r="AB195" s="22"/>
    </row>
    <row r="196" spans="1:28" s="23" customFormat="1" ht="10.199999999999999" x14ac:dyDescent="0.2">
      <c r="A196" s="22"/>
      <c r="B196" s="22"/>
      <c r="C196" s="22"/>
      <c r="D196" s="22"/>
      <c r="E196" s="22" t="str">
        <f>E190</f>
        <v>аренда земли - оплата</v>
      </c>
      <c r="F196" s="22"/>
      <c r="G196" s="22" t="str">
        <f>IF($E196="","",INDEX(KPI!$G:$G,SUMIFS(KPI!$B:$B,KPI!$E:$E,$E196)))</f>
        <v>тыс.руб.</v>
      </c>
      <c r="H196" s="100">
        <f>структура!$V$17</f>
        <v>6</v>
      </c>
      <c r="I196" s="31"/>
      <c r="J196" s="98" t="str">
        <f>структура!$X$17</f>
        <v>июн</v>
      </c>
      <c r="K196" s="99"/>
      <c r="L196" s="22"/>
      <c r="M196" s="58"/>
      <c r="N196" s="22"/>
      <c r="O196" s="22"/>
      <c r="P196" s="101">
        <f t="shared" si="35"/>
        <v>0</v>
      </c>
      <c r="Q196" s="101">
        <f t="shared" si="35"/>
        <v>0</v>
      </c>
      <c r="R196" s="101">
        <f t="shared" si="35"/>
        <v>0</v>
      </c>
      <c r="S196" s="101">
        <f t="shared" si="35"/>
        <v>0</v>
      </c>
      <c r="T196" s="101">
        <f t="shared" si="35"/>
        <v>0</v>
      </c>
      <c r="U196" s="101">
        <f t="shared" si="35"/>
        <v>0</v>
      </c>
      <c r="V196" s="101">
        <f t="shared" si="35"/>
        <v>0</v>
      </c>
      <c r="W196" s="101">
        <f t="shared" si="35"/>
        <v>0</v>
      </c>
      <c r="X196" s="101">
        <f t="shared" si="35"/>
        <v>0</v>
      </c>
      <c r="Y196" s="101">
        <f t="shared" si="35"/>
        <v>0</v>
      </c>
      <c r="Z196" s="101">
        <f t="shared" si="35"/>
        <v>0</v>
      </c>
      <c r="AA196" s="101">
        <f t="shared" si="35"/>
        <v>0</v>
      </c>
      <c r="AB196" s="22"/>
    </row>
    <row r="197" spans="1:28" s="23" customFormat="1" ht="10.199999999999999" x14ac:dyDescent="0.2">
      <c r="A197" s="22"/>
      <c r="B197" s="22"/>
      <c r="C197" s="22"/>
      <c r="D197" s="22"/>
      <c r="E197" s="22" t="str">
        <f>E190</f>
        <v>аренда земли - оплата</v>
      </c>
      <c r="F197" s="22"/>
      <c r="G197" s="22" t="str">
        <f>IF($E197="","",INDEX(KPI!$G:$G,SUMIFS(KPI!$B:$B,KPI!$E:$E,$E197)))</f>
        <v>тыс.руб.</v>
      </c>
      <c r="H197" s="100">
        <f>структура!$V$18</f>
        <v>7</v>
      </c>
      <c r="I197" s="31"/>
      <c r="J197" s="98" t="str">
        <f>структура!$X$18</f>
        <v>июл</v>
      </c>
      <c r="K197" s="99"/>
      <c r="L197" s="22"/>
      <c r="M197" s="58"/>
      <c r="N197" s="22"/>
      <c r="O197" s="22"/>
      <c r="P197" s="101">
        <f t="shared" si="35"/>
        <v>0</v>
      </c>
      <c r="Q197" s="101">
        <f t="shared" si="35"/>
        <v>0</v>
      </c>
      <c r="R197" s="101">
        <f t="shared" si="35"/>
        <v>0</v>
      </c>
      <c r="S197" s="101">
        <f t="shared" si="35"/>
        <v>0</v>
      </c>
      <c r="T197" s="101">
        <f t="shared" si="35"/>
        <v>0</v>
      </c>
      <c r="U197" s="101">
        <f t="shared" si="35"/>
        <v>0</v>
      </c>
      <c r="V197" s="101">
        <f t="shared" si="35"/>
        <v>0</v>
      </c>
      <c r="W197" s="101">
        <f t="shared" si="35"/>
        <v>0</v>
      </c>
      <c r="X197" s="101">
        <f t="shared" si="35"/>
        <v>0</v>
      </c>
      <c r="Y197" s="101">
        <f t="shared" si="35"/>
        <v>0</v>
      </c>
      <c r="Z197" s="101">
        <f t="shared" si="35"/>
        <v>0</v>
      </c>
      <c r="AA197" s="101">
        <f t="shared" si="35"/>
        <v>0</v>
      </c>
      <c r="AB197" s="22"/>
    </row>
    <row r="198" spans="1:28" s="23" customFormat="1" ht="10.199999999999999" x14ac:dyDescent="0.2">
      <c r="A198" s="22"/>
      <c r="B198" s="22"/>
      <c r="C198" s="22"/>
      <c r="D198" s="22"/>
      <c r="E198" s="22" t="str">
        <f>E190</f>
        <v>аренда земли - оплата</v>
      </c>
      <c r="F198" s="22"/>
      <c r="G198" s="22" t="str">
        <f>IF($E198="","",INDEX(KPI!$G:$G,SUMIFS(KPI!$B:$B,KPI!$E:$E,$E198)))</f>
        <v>тыс.руб.</v>
      </c>
      <c r="H198" s="100">
        <f>структура!$V$19</f>
        <v>8</v>
      </c>
      <c r="I198" s="31"/>
      <c r="J198" s="98" t="str">
        <f>структура!$X$19</f>
        <v>авг</v>
      </c>
      <c r="K198" s="99"/>
      <c r="L198" s="22"/>
      <c r="M198" s="58"/>
      <c r="N198" s="22"/>
      <c r="O198" s="22"/>
      <c r="P198" s="101">
        <f t="shared" si="35"/>
        <v>0</v>
      </c>
      <c r="Q198" s="101">
        <f t="shared" si="35"/>
        <v>0</v>
      </c>
      <c r="R198" s="101">
        <f t="shared" si="35"/>
        <v>0</v>
      </c>
      <c r="S198" s="101">
        <f t="shared" si="35"/>
        <v>0</v>
      </c>
      <c r="T198" s="101">
        <f t="shared" si="35"/>
        <v>0</v>
      </c>
      <c r="U198" s="101">
        <f t="shared" si="35"/>
        <v>0</v>
      </c>
      <c r="V198" s="101">
        <f t="shared" si="35"/>
        <v>0</v>
      </c>
      <c r="W198" s="101">
        <f t="shared" si="35"/>
        <v>0</v>
      </c>
      <c r="X198" s="101">
        <f t="shared" si="35"/>
        <v>0</v>
      </c>
      <c r="Y198" s="101">
        <f t="shared" si="35"/>
        <v>0</v>
      </c>
      <c r="Z198" s="101">
        <f t="shared" si="35"/>
        <v>0</v>
      </c>
      <c r="AA198" s="101">
        <f t="shared" si="35"/>
        <v>0</v>
      </c>
      <c r="AB198" s="22"/>
    </row>
    <row r="199" spans="1:28" s="23" customFormat="1" ht="10.199999999999999" x14ac:dyDescent="0.2">
      <c r="A199" s="22"/>
      <c r="B199" s="22"/>
      <c r="C199" s="22"/>
      <c r="D199" s="22"/>
      <c r="E199" s="22" t="str">
        <f>E190</f>
        <v>аренда земли - оплата</v>
      </c>
      <c r="F199" s="22"/>
      <c r="G199" s="22" t="str">
        <f>IF($E199="","",INDEX(KPI!$G:$G,SUMIFS(KPI!$B:$B,KPI!$E:$E,$E199)))</f>
        <v>тыс.руб.</v>
      </c>
      <c r="H199" s="100">
        <f>структура!$V$20</f>
        <v>9</v>
      </c>
      <c r="I199" s="31"/>
      <c r="J199" s="98" t="str">
        <f>структура!$X$20</f>
        <v>сен</v>
      </c>
      <c r="K199" s="99"/>
      <c r="L199" s="22"/>
      <c r="M199" s="58"/>
      <c r="N199" s="22"/>
      <c r="O199" s="22"/>
      <c r="P199" s="101">
        <f t="shared" si="35"/>
        <v>0</v>
      </c>
      <c r="Q199" s="101">
        <f t="shared" si="35"/>
        <v>0</v>
      </c>
      <c r="R199" s="101">
        <f t="shared" si="35"/>
        <v>0</v>
      </c>
      <c r="S199" s="101">
        <f t="shared" si="35"/>
        <v>0</v>
      </c>
      <c r="T199" s="101">
        <f t="shared" si="35"/>
        <v>0</v>
      </c>
      <c r="U199" s="101">
        <f t="shared" si="35"/>
        <v>0</v>
      </c>
      <c r="V199" s="101">
        <f t="shared" si="35"/>
        <v>0</v>
      </c>
      <c r="W199" s="101">
        <f t="shared" si="35"/>
        <v>0</v>
      </c>
      <c r="X199" s="101">
        <f t="shared" si="35"/>
        <v>0</v>
      </c>
      <c r="Y199" s="101">
        <f t="shared" si="35"/>
        <v>0</v>
      </c>
      <c r="Z199" s="101">
        <f t="shared" si="35"/>
        <v>0</v>
      </c>
      <c r="AA199" s="101">
        <f t="shared" si="35"/>
        <v>0</v>
      </c>
      <c r="AB199" s="22"/>
    </row>
    <row r="200" spans="1:28" s="23" customFormat="1" ht="10.199999999999999" x14ac:dyDescent="0.2">
      <c r="A200" s="22"/>
      <c r="B200" s="22"/>
      <c r="C200" s="22"/>
      <c r="D200" s="22"/>
      <c r="E200" s="22" t="str">
        <f>E190</f>
        <v>аренда земли - оплата</v>
      </c>
      <c r="F200" s="22"/>
      <c r="G200" s="22" t="str">
        <f>IF($E200="","",INDEX(KPI!$G:$G,SUMIFS(KPI!$B:$B,KPI!$E:$E,$E200)))</f>
        <v>тыс.руб.</v>
      </c>
      <c r="H200" s="100">
        <f>структура!$V$21</f>
        <v>10</v>
      </c>
      <c r="I200" s="31"/>
      <c r="J200" s="98" t="str">
        <f>структура!$X$21</f>
        <v>окт</v>
      </c>
      <c r="K200" s="99"/>
      <c r="L200" s="22"/>
      <c r="M200" s="58"/>
      <c r="N200" s="22"/>
      <c r="O200" s="22"/>
      <c r="P200" s="101">
        <f t="shared" si="35"/>
        <v>0</v>
      </c>
      <c r="Q200" s="101">
        <f t="shared" si="35"/>
        <v>0</v>
      </c>
      <c r="R200" s="101">
        <f t="shared" si="35"/>
        <v>0</v>
      </c>
      <c r="S200" s="101">
        <f t="shared" si="35"/>
        <v>0</v>
      </c>
      <c r="T200" s="101">
        <f t="shared" si="35"/>
        <v>0</v>
      </c>
      <c r="U200" s="101">
        <f t="shared" si="35"/>
        <v>0</v>
      </c>
      <c r="V200" s="101">
        <f t="shared" si="35"/>
        <v>0</v>
      </c>
      <c r="W200" s="101">
        <f t="shared" si="35"/>
        <v>0</v>
      </c>
      <c r="X200" s="101">
        <f t="shared" si="35"/>
        <v>0</v>
      </c>
      <c r="Y200" s="101">
        <f t="shared" si="35"/>
        <v>0</v>
      </c>
      <c r="Z200" s="101">
        <f t="shared" si="35"/>
        <v>0</v>
      </c>
      <c r="AA200" s="101">
        <f t="shared" si="35"/>
        <v>0</v>
      </c>
      <c r="AB200" s="22"/>
    </row>
    <row r="201" spans="1:28" s="23" customFormat="1" ht="10.199999999999999" x14ac:dyDescent="0.2">
      <c r="A201" s="22"/>
      <c r="B201" s="22"/>
      <c r="C201" s="22"/>
      <c r="D201" s="22"/>
      <c r="E201" s="22" t="str">
        <f>E190</f>
        <v>аренда земли - оплата</v>
      </c>
      <c r="F201" s="22"/>
      <c r="G201" s="22" t="str">
        <f>IF($E201="","",INDEX(KPI!$G:$G,SUMIFS(KPI!$B:$B,KPI!$E:$E,$E201)))</f>
        <v>тыс.руб.</v>
      </c>
      <c r="H201" s="100">
        <f>структура!$V$22</f>
        <v>11</v>
      </c>
      <c r="I201" s="31"/>
      <c r="J201" s="98" t="str">
        <f>структура!$X$22</f>
        <v>ноя</v>
      </c>
      <c r="K201" s="99"/>
      <c r="L201" s="22"/>
      <c r="M201" s="58"/>
      <c r="N201" s="22"/>
      <c r="O201" s="22"/>
      <c r="P201" s="101">
        <f t="shared" si="35"/>
        <v>0</v>
      </c>
      <c r="Q201" s="101">
        <f t="shared" si="35"/>
        <v>0</v>
      </c>
      <c r="R201" s="101">
        <f t="shared" si="35"/>
        <v>0</v>
      </c>
      <c r="S201" s="101">
        <f t="shared" si="35"/>
        <v>0</v>
      </c>
      <c r="T201" s="101">
        <f t="shared" si="35"/>
        <v>0</v>
      </c>
      <c r="U201" s="101">
        <f t="shared" si="35"/>
        <v>0</v>
      </c>
      <c r="V201" s="101">
        <f t="shared" si="35"/>
        <v>0</v>
      </c>
      <c r="W201" s="101">
        <f t="shared" si="35"/>
        <v>0</v>
      </c>
      <c r="X201" s="101">
        <f t="shared" si="35"/>
        <v>0</v>
      </c>
      <c r="Y201" s="101">
        <f t="shared" si="35"/>
        <v>0</v>
      </c>
      <c r="Z201" s="101">
        <f t="shared" si="35"/>
        <v>0</v>
      </c>
      <c r="AA201" s="101">
        <f t="shared" si="35"/>
        <v>0</v>
      </c>
      <c r="AB201" s="22"/>
    </row>
    <row r="202" spans="1:28" s="23" customFormat="1" ht="10.199999999999999" x14ac:dyDescent="0.2">
      <c r="A202" s="22"/>
      <c r="B202" s="22"/>
      <c r="C202" s="22"/>
      <c r="D202" s="22"/>
      <c r="E202" s="22" t="str">
        <f>E190</f>
        <v>аренда земли - оплата</v>
      </c>
      <c r="F202" s="22"/>
      <c r="G202" s="22" t="str">
        <f>IF($E202="","",INDEX(KPI!$G:$G,SUMIFS(KPI!$B:$B,KPI!$E:$E,$E202)))</f>
        <v>тыс.руб.</v>
      </c>
      <c r="H202" s="100">
        <f>структура!$V$23</f>
        <v>12</v>
      </c>
      <c r="I202" s="31"/>
      <c r="J202" s="98" t="str">
        <f>структура!$X$23</f>
        <v>дек</v>
      </c>
      <c r="K202" s="99"/>
      <c r="L202" s="22"/>
      <c r="M202" s="58"/>
      <c r="N202" s="22"/>
      <c r="O202" s="22"/>
      <c r="P202" s="101">
        <f t="shared" si="35"/>
        <v>0</v>
      </c>
      <c r="Q202" s="101">
        <f t="shared" si="35"/>
        <v>0</v>
      </c>
      <c r="R202" s="101">
        <f t="shared" si="35"/>
        <v>0</v>
      </c>
      <c r="S202" s="101">
        <f t="shared" si="35"/>
        <v>0</v>
      </c>
      <c r="T202" s="101">
        <f t="shared" si="35"/>
        <v>0</v>
      </c>
      <c r="U202" s="101">
        <f t="shared" si="35"/>
        <v>0</v>
      </c>
      <c r="V202" s="101">
        <f t="shared" si="35"/>
        <v>0</v>
      </c>
      <c r="W202" s="101">
        <f t="shared" si="35"/>
        <v>0</v>
      </c>
      <c r="X202" s="101">
        <f t="shared" si="35"/>
        <v>0</v>
      </c>
      <c r="Y202" s="101">
        <f t="shared" si="35"/>
        <v>0</v>
      </c>
      <c r="Z202" s="101">
        <f t="shared" si="35"/>
        <v>0</v>
      </c>
      <c r="AA202" s="101">
        <f t="shared" si="35"/>
        <v>0</v>
      </c>
      <c r="AB202" s="22"/>
    </row>
    <row r="203" spans="1:28" ht="3.9" customHeight="1" x14ac:dyDescent="0.25">
      <c r="A203" s="2"/>
      <c r="B203" s="2"/>
      <c r="C203" s="2"/>
      <c r="D203" s="2"/>
      <c r="E203" s="21"/>
      <c r="F203" s="2"/>
      <c r="G203" s="21"/>
      <c r="H203" s="2"/>
      <c r="I203" s="28"/>
      <c r="J203" s="21"/>
      <c r="K203" s="28"/>
      <c r="L203" s="2"/>
      <c r="M203" s="52"/>
      <c r="N203" s="2"/>
      <c r="O203" s="2"/>
      <c r="P203" s="36"/>
      <c r="Q203" s="36"/>
      <c r="R203" s="36"/>
      <c r="S203" s="36"/>
      <c r="T203" s="36"/>
      <c r="U203" s="36"/>
      <c r="V203" s="36"/>
      <c r="W203" s="36"/>
      <c r="X203" s="36"/>
      <c r="Y203" s="36"/>
      <c r="Z203" s="36"/>
      <c r="AA203" s="36"/>
      <c r="AB203" s="2"/>
    </row>
    <row r="204" spans="1:28" ht="8.1" customHeight="1" x14ac:dyDescent="0.25">
      <c r="A204" s="2"/>
      <c r="B204" s="2"/>
      <c r="C204" s="2"/>
      <c r="D204" s="2"/>
      <c r="E204" s="2"/>
      <c r="F204" s="2"/>
      <c r="G204" s="2"/>
      <c r="H204" s="2"/>
      <c r="I204" s="28"/>
      <c r="J204" s="2"/>
      <c r="K204" s="28"/>
      <c r="L204" s="2"/>
      <c r="M204" s="52"/>
      <c r="N204" s="2"/>
      <c r="O204" s="2"/>
      <c r="P204" s="36"/>
      <c r="Q204" s="36"/>
      <c r="R204" s="36"/>
      <c r="S204" s="36"/>
      <c r="T204" s="36"/>
      <c r="U204" s="36"/>
      <c r="V204" s="36"/>
      <c r="W204" s="36"/>
      <c r="X204" s="36"/>
      <c r="Y204" s="36"/>
      <c r="Z204" s="36"/>
      <c r="AA204" s="36"/>
      <c r="AB204" s="2"/>
    </row>
    <row r="205" spans="1:28" s="5" customFormat="1" x14ac:dyDescent="0.25">
      <c r="A205" s="3"/>
      <c r="B205" s="3"/>
      <c r="C205" s="3"/>
      <c r="D205" s="3"/>
      <c r="E205" s="3" t="str">
        <f>KPI!$E$49</f>
        <v>расход э/э в сутки - ЛЕТО</v>
      </c>
      <c r="F205" s="3"/>
      <c r="G205" s="3" t="str">
        <f>IF($E205="","",INDEX(KPI!$G:$G,SUMIFS(KPI!$B:$B,KPI!$E:$E,$E205)))</f>
        <v>кВт</v>
      </c>
      <c r="H205" s="3"/>
      <c r="I205" s="6"/>
      <c r="J205" s="204">
        <f>операции!J280</f>
        <v>103.4</v>
      </c>
      <c r="K205" s="28"/>
      <c r="L205" s="2"/>
      <c r="M205" s="52"/>
      <c r="N205" s="3"/>
      <c r="O205" s="2"/>
      <c r="P205" s="36"/>
      <c r="Q205" s="36"/>
      <c r="R205" s="36"/>
      <c r="S205" s="36"/>
      <c r="T205" s="36"/>
      <c r="U205" s="36"/>
      <c r="V205" s="36"/>
      <c r="W205" s="36"/>
      <c r="X205" s="36"/>
      <c r="Y205" s="36"/>
      <c r="Z205" s="36"/>
      <c r="AA205" s="36"/>
      <c r="AB205" s="2"/>
    </row>
    <row r="206" spans="1:28" s="5" customFormat="1" x14ac:dyDescent="0.25">
      <c r="A206" s="3"/>
      <c r="B206" s="3"/>
      <c r="C206" s="3"/>
      <c r="D206" s="3"/>
      <c r="E206" s="3" t="str">
        <f>KPI!$E$50</f>
        <v>стомость э/э за 1кВт</v>
      </c>
      <c r="F206" s="3"/>
      <c r="G206" s="3" t="str">
        <f>IF($E206="","",INDEX(KPI!$G:$G,SUMIFS(KPI!$B:$B,KPI!$E:$E,$E206)))</f>
        <v>руб.</v>
      </c>
      <c r="H206" s="3"/>
      <c r="I206" s="6"/>
      <c r="J206" s="204">
        <f>операции!J281</f>
        <v>6</v>
      </c>
      <c r="K206" s="28"/>
      <c r="L206" s="2"/>
      <c r="M206" s="52"/>
      <c r="N206" s="3"/>
      <c r="O206" s="2"/>
      <c r="P206" s="36"/>
      <c r="Q206" s="36"/>
      <c r="R206" s="36"/>
      <c r="S206" s="36"/>
      <c r="T206" s="36"/>
      <c r="U206" s="36"/>
      <c r="V206" s="36"/>
      <c r="W206" s="36"/>
      <c r="X206" s="36"/>
      <c r="Y206" s="36"/>
      <c r="Z206" s="36"/>
      <c r="AA206" s="36"/>
      <c r="AB206" s="2"/>
    </row>
    <row r="207" spans="1:28" s="5" customFormat="1" x14ac:dyDescent="0.25">
      <c r="A207" s="3"/>
      <c r="B207" s="3"/>
      <c r="C207" s="3"/>
      <c r="D207" s="3"/>
      <c r="E207" s="3" t="str">
        <f>KPI!$E$48</f>
        <v>коммунальные расходы (э/э) в сутки - ЛЕТО</v>
      </c>
      <c r="F207" s="3"/>
      <c r="G207" s="3" t="str">
        <f>IF($E207="","",INDEX(KPI!$G:$G,SUMIFS(KPI!$B:$B,KPI!$E:$E,$E207)))</f>
        <v>тыс.руб.</v>
      </c>
      <c r="H207" s="3"/>
      <c r="I207" s="6"/>
      <c r="J207" s="114">
        <f>J205*J206/1000</f>
        <v>0.62040000000000006</v>
      </c>
      <c r="K207" s="28"/>
      <c r="L207" s="2"/>
      <c r="M207" s="52"/>
      <c r="N207" s="3"/>
      <c r="O207" s="2"/>
      <c r="P207" s="36"/>
      <c r="Q207" s="36"/>
      <c r="R207" s="36"/>
      <c r="S207" s="36"/>
      <c r="T207" s="36"/>
      <c r="U207" s="36"/>
      <c r="V207" s="36"/>
      <c r="W207" s="36"/>
      <c r="X207" s="36"/>
      <c r="Y207" s="36"/>
      <c r="Z207" s="36"/>
      <c r="AA207" s="36"/>
      <c r="AB207" s="2"/>
    </row>
    <row r="208" spans="1:28" ht="3.9" customHeight="1" x14ac:dyDescent="0.25">
      <c r="A208" s="2"/>
      <c r="B208" s="2"/>
      <c r="C208" s="2"/>
      <c r="D208" s="2"/>
      <c r="E208" s="110"/>
      <c r="F208" s="2"/>
      <c r="G208" s="2"/>
      <c r="H208" s="2"/>
      <c r="I208" s="28"/>
      <c r="J208" s="2"/>
      <c r="K208" s="28"/>
      <c r="L208" s="2"/>
      <c r="M208" s="52"/>
      <c r="N208" s="2"/>
      <c r="O208" s="2"/>
      <c r="P208" s="36"/>
      <c r="Q208" s="36"/>
      <c r="R208" s="36"/>
      <c r="S208" s="36"/>
      <c r="T208" s="36"/>
      <c r="U208" s="36"/>
      <c r="V208" s="36"/>
      <c r="W208" s="36"/>
      <c r="X208" s="36"/>
      <c r="Y208" s="36"/>
      <c r="Z208" s="36"/>
      <c r="AA208" s="36"/>
      <c r="AB208" s="2"/>
    </row>
    <row r="209" spans="1:28" ht="8.1" customHeight="1" x14ac:dyDescent="0.25">
      <c r="A209" s="2"/>
      <c r="B209" s="2"/>
      <c r="C209" s="2"/>
      <c r="D209" s="2"/>
      <c r="E209" s="2"/>
      <c r="F209" s="2"/>
      <c r="G209" s="2"/>
      <c r="H209" s="2"/>
      <c r="I209" s="28"/>
      <c r="J209" s="2"/>
      <c r="K209" s="28"/>
      <c r="L209" s="2"/>
      <c r="M209" s="52"/>
      <c r="N209" s="2"/>
      <c r="O209" s="2"/>
      <c r="P209" s="36"/>
      <c r="Q209" s="36"/>
      <c r="R209" s="36"/>
      <c r="S209" s="36"/>
      <c r="T209" s="36"/>
      <c r="U209" s="36"/>
      <c r="V209" s="36"/>
      <c r="W209" s="36"/>
      <c r="X209" s="36"/>
      <c r="Y209" s="36"/>
      <c r="Z209" s="36"/>
      <c r="AA209" s="36"/>
      <c r="AB209" s="2"/>
    </row>
    <row r="210" spans="1:28" x14ac:dyDescent="0.25">
      <c r="A210" s="2"/>
      <c r="B210" s="2"/>
      <c r="C210" s="2"/>
      <c r="D210" s="2"/>
      <c r="E210" s="3" t="str">
        <f>KPI!$E$51</f>
        <v>сезонный коэффициент по коммуналке</v>
      </c>
      <c r="F210" s="3"/>
      <c r="G210" s="3" t="str">
        <f>IF($E210="","",INDEX(KPI!$G:$G,SUMIFS(KPI!$B:$B,KPI!$E:$E,$E210)))</f>
        <v>%</v>
      </c>
      <c r="H210" s="3"/>
      <c r="I210" s="28"/>
      <c r="J210" s="44"/>
      <c r="K210" s="28"/>
      <c r="L210" s="3"/>
      <c r="M210" s="55"/>
      <c r="N210" s="2"/>
      <c r="O210" s="2"/>
      <c r="P210" s="36"/>
      <c r="Q210" s="36"/>
      <c r="R210" s="36"/>
      <c r="S210" s="36"/>
      <c r="T210" s="36"/>
      <c r="U210" s="36"/>
      <c r="V210" s="36"/>
      <c r="W210" s="36"/>
      <c r="X210" s="36"/>
      <c r="Y210" s="36"/>
      <c r="Z210" s="36"/>
      <c r="AA210" s="36"/>
      <c r="AB210" s="2"/>
    </row>
    <row r="211" spans="1:28" s="23" customFormat="1" x14ac:dyDescent="0.25">
      <c r="A211" s="22"/>
      <c r="B211" s="22"/>
      <c r="C211" s="22"/>
      <c r="D211" s="22"/>
      <c r="E211" s="22" t="str">
        <f>E210</f>
        <v>сезонный коэффициент по коммуналке</v>
      </c>
      <c r="F211" s="22"/>
      <c r="G211" s="22" t="str">
        <f>IF($E211="","",INDEX(KPI!$G:$G,SUMIFS(KPI!$B:$B,KPI!$E:$E,$E211)))</f>
        <v>%</v>
      </c>
      <c r="H211" s="100">
        <f>структура!$V$12</f>
        <v>1</v>
      </c>
      <c r="I211" s="31"/>
      <c r="J211" s="98" t="str">
        <f>структура!$X$12</f>
        <v>янв</v>
      </c>
      <c r="K211" s="99"/>
      <c r="L211" s="31"/>
      <c r="M211" s="229">
        <f>операции!M286</f>
        <v>1.4</v>
      </c>
      <c r="N211" s="22"/>
      <c r="O211" s="22"/>
      <c r="P211" s="100"/>
      <c r="Q211" s="100"/>
      <c r="R211" s="100"/>
      <c r="S211" s="100"/>
      <c r="T211" s="100"/>
      <c r="U211" s="100"/>
      <c r="V211" s="100"/>
      <c r="W211" s="100"/>
      <c r="X211" s="100"/>
      <c r="Y211" s="100"/>
      <c r="Z211" s="100"/>
      <c r="AA211" s="100"/>
      <c r="AB211" s="22"/>
    </row>
    <row r="212" spans="1:28" s="23" customFormat="1" x14ac:dyDescent="0.25">
      <c r="A212" s="22"/>
      <c r="B212" s="22"/>
      <c r="C212" s="22"/>
      <c r="D212" s="22"/>
      <c r="E212" s="22" t="str">
        <f>E210</f>
        <v>сезонный коэффициент по коммуналке</v>
      </c>
      <c r="F212" s="22"/>
      <c r="G212" s="22" t="str">
        <f>IF($E212="","",INDEX(KPI!$G:$G,SUMIFS(KPI!$B:$B,KPI!$E:$E,$E212)))</f>
        <v>%</v>
      </c>
      <c r="H212" s="100">
        <f>структура!$V$13</f>
        <v>2</v>
      </c>
      <c r="I212" s="31"/>
      <c r="J212" s="98" t="str">
        <f>структура!$X$13</f>
        <v>фев</v>
      </c>
      <c r="K212" s="99"/>
      <c r="L212" s="31"/>
      <c r="M212" s="229">
        <f>операции!M287</f>
        <v>1.4</v>
      </c>
      <c r="N212" s="22"/>
      <c r="O212" s="22"/>
      <c r="P212" s="100"/>
      <c r="Q212" s="100"/>
      <c r="R212" s="100"/>
      <c r="S212" s="100"/>
      <c r="T212" s="100"/>
      <c r="U212" s="100"/>
      <c r="V212" s="100"/>
      <c r="W212" s="100"/>
      <c r="X212" s="100"/>
      <c r="Y212" s="100"/>
      <c r="Z212" s="100"/>
      <c r="AA212" s="100"/>
      <c r="AB212" s="22"/>
    </row>
    <row r="213" spans="1:28" s="23" customFormat="1" x14ac:dyDescent="0.25">
      <c r="A213" s="22"/>
      <c r="B213" s="22"/>
      <c r="C213" s="22"/>
      <c r="D213" s="22"/>
      <c r="E213" s="22" t="str">
        <f>E210</f>
        <v>сезонный коэффициент по коммуналке</v>
      </c>
      <c r="F213" s="22"/>
      <c r="G213" s="22" t="str">
        <f>IF($E213="","",INDEX(KPI!$G:$G,SUMIFS(KPI!$B:$B,KPI!$E:$E,$E213)))</f>
        <v>%</v>
      </c>
      <c r="H213" s="100">
        <f>структура!$V$14</f>
        <v>3</v>
      </c>
      <c r="I213" s="31"/>
      <c r="J213" s="98" t="str">
        <f>структура!$X$14</f>
        <v>мар</v>
      </c>
      <c r="K213" s="99"/>
      <c r="L213" s="31"/>
      <c r="M213" s="229">
        <f>операции!M288</f>
        <v>1.2</v>
      </c>
      <c r="N213" s="22"/>
      <c r="O213" s="22"/>
      <c r="P213" s="100"/>
      <c r="Q213" s="100"/>
      <c r="R213" s="100"/>
      <c r="S213" s="100"/>
      <c r="T213" s="100"/>
      <c r="U213" s="100"/>
      <c r="V213" s="100"/>
      <c r="W213" s="100"/>
      <c r="X213" s="100"/>
      <c r="Y213" s="100"/>
      <c r="Z213" s="100"/>
      <c r="AA213" s="100"/>
      <c r="AB213" s="22"/>
    </row>
    <row r="214" spans="1:28" s="23" customFormat="1" x14ac:dyDescent="0.25">
      <c r="A214" s="22"/>
      <c r="B214" s="22"/>
      <c r="C214" s="22"/>
      <c r="D214" s="22"/>
      <c r="E214" s="22" t="str">
        <f>E210</f>
        <v>сезонный коэффициент по коммуналке</v>
      </c>
      <c r="F214" s="22"/>
      <c r="G214" s="22" t="str">
        <f>IF($E214="","",INDEX(KPI!$G:$G,SUMIFS(KPI!$B:$B,KPI!$E:$E,$E214)))</f>
        <v>%</v>
      </c>
      <c r="H214" s="100">
        <f>структура!$V$15</f>
        <v>4</v>
      </c>
      <c r="I214" s="31"/>
      <c r="J214" s="98" t="str">
        <f>структура!$X$15</f>
        <v>апр</v>
      </c>
      <c r="K214" s="99"/>
      <c r="L214" s="31"/>
      <c r="M214" s="229">
        <f>операции!M289</f>
        <v>1.1499999999999999</v>
      </c>
      <c r="N214" s="22"/>
      <c r="O214" s="22"/>
      <c r="P214" s="100"/>
      <c r="Q214" s="100"/>
      <c r="R214" s="100"/>
      <c r="S214" s="100"/>
      <c r="T214" s="100"/>
      <c r="U214" s="100"/>
      <c r="V214" s="100"/>
      <c r="W214" s="100"/>
      <c r="X214" s="100"/>
      <c r="Y214" s="100"/>
      <c r="Z214" s="100"/>
      <c r="AA214" s="100"/>
      <c r="AB214" s="22"/>
    </row>
    <row r="215" spans="1:28" s="23" customFormat="1" x14ac:dyDescent="0.25">
      <c r="A215" s="22"/>
      <c r="B215" s="22"/>
      <c r="C215" s="22"/>
      <c r="D215" s="22"/>
      <c r="E215" s="22" t="str">
        <f>E210</f>
        <v>сезонный коэффициент по коммуналке</v>
      </c>
      <c r="F215" s="22"/>
      <c r="G215" s="22" t="str">
        <f>IF($E215="","",INDEX(KPI!$G:$G,SUMIFS(KPI!$B:$B,KPI!$E:$E,$E215)))</f>
        <v>%</v>
      </c>
      <c r="H215" s="100">
        <f>структура!$V$16</f>
        <v>5</v>
      </c>
      <c r="I215" s="31"/>
      <c r="J215" s="98" t="str">
        <f>структура!$X$16</f>
        <v>май</v>
      </c>
      <c r="K215" s="99"/>
      <c r="L215" s="31"/>
      <c r="M215" s="229">
        <f>операции!M290</f>
        <v>1.1000000000000001</v>
      </c>
      <c r="N215" s="22"/>
      <c r="O215" s="22"/>
      <c r="P215" s="100"/>
      <c r="Q215" s="100"/>
      <c r="R215" s="100"/>
      <c r="S215" s="100"/>
      <c r="T215" s="100"/>
      <c r="U215" s="100"/>
      <c r="V215" s="100"/>
      <c r="W215" s="100"/>
      <c r="X215" s="100"/>
      <c r="Y215" s="100"/>
      <c r="Z215" s="100"/>
      <c r="AA215" s="100"/>
      <c r="AB215" s="22"/>
    </row>
    <row r="216" spans="1:28" s="23" customFormat="1" x14ac:dyDescent="0.25">
      <c r="A216" s="22"/>
      <c r="B216" s="22"/>
      <c r="C216" s="22"/>
      <c r="D216" s="22"/>
      <c r="E216" s="22" t="str">
        <f>E210</f>
        <v>сезонный коэффициент по коммуналке</v>
      </c>
      <c r="F216" s="22"/>
      <c r="G216" s="22" t="str">
        <f>IF($E216="","",INDEX(KPI!$G:$G,SUMIFS(KPI!$B:$B,KPI!$E:$E,$E216)))</f>
        <v>%</v>
      </c>
      <c r="H216" s="100">
        <f>структура!$V$17</f>
        <v>6</v>
      </c>
      <c r="I216" s="31"/>
      <c r="J216" s="98" t="str">
        <f>структура!$X$17</f>
        <v>июн</v>
      </c>
      <c r="K216" s="99"/>
      <c r="L216" s="31"/>
      <c r="M216" s="229">
        <f>операции!M291</f>
        <v>1</v>
      </c>
      <c r="N216" s="22"/>
      <c r="O216" s="22"/>
      <c r="P216" s="100"/>
      <c r="Q216" s="100"/>
      <c r="R216" s="100"/>
      <c r="S216" s="100"/>
      <c r="T216" s="100"/>
      <c r="U216" s="100"/>
      <c r="V216" s="100"/>
      <c r="W216" s="100"/>
      <c r="X216" s="100"/>
      <c r="Y216" s="100"/>
      <c r="Z216" s="100"/>
      <c r="AA216" s="100"/>
      <c r="AB216" s="22"/>
    </row>
    <row r="217" spans="1:28" s="23" customFormat="1" x14ac:dyDescent="0.25">
      <c r="A217" s="22"/>
      <c r="B217" s="22"/>
      <c r="C217" s="22"/>
      <c r="D217" s="22"/>
      <c r="E217" s="22" t="str">
        <f>E210</f>
        <v>сезонный коэффициент по коммуналке</v>
      </c>
      <c r="F217" s="22"/>
      <c r="G217" s="22" t="str">
        <f>IF($E217="","",INDEX(KPI!$G:$G,SUMIFS(KPI!$B:$B,KPI!$E:$E,$E217)))</f>
        <v>%</v>
      </c>
      <c r="H217" s="100">
        <f>структура!$V$18</f>
        <v>7</v>
      </c>
      <c r="I217" s="31"/>
      <c r="J217" s="98" t="str">
        <f>структура!$X$18</f>
        <v>июл</v>
      </c>
      <c r="K217" s="99"/>
      <c r="L217" s="31"/>
      <c r="M217" s="229">
        <f>операции!M292</f>
        <v>1</v>
      </c>
      <c r="N217" s="22"/>
      <c r="O217" s="22"/>
      <c r="P217" s="100"/>
      <c r="Q217" s="100"/>
      <c r="R217" s="100"/>
      <c r="S217" s="100"/>
      <c r="T217" s="100"/>
      <c r="U217" s="100"/>
      <c r="V217" s="100"/>
      <c r="W217" s="100"/>
      <c r="X217" s="100"/>
      <c r="Y217" s="100"/>
      <c r="Z217" s="100"/>
      <c r="AA217" s="100"/>
      <c r="AB217" s="22"/>
    </row>
    <row r="218" spans="1:28" s="23" customFormat="1" x14ac:dyDescent="0.25">
      <c r="A218" s="22"/>
      <c r="B218" s="22"/>
      <c r="C218" s="22"/>
      <c r="D218" s="22"/>
      <c r="E218" s="22" t="str">
        <f>E210</f>
        <v>сезонный коэффициент по коммуналке</v>
      </c>
      <c r="F218" s="22"/>
      <c r="G218" s="22" t="str">
        <f>IF($E218="","",INDEX(KPI!$G:$G,SUMIFS(KPI!$B:$B,KPI!$E:$E,$E218)))</f>
        <v>%</v>
      </c>
      <c r="H218" s="100">
        <f>структура!$V$19</f>
        <v>8</v>
      </c>
      <c r="I218" s="31"/>
      <c r="J218" s="98" t="str">
        <f>структура!$X$19</f>
        <v>авг</v>
      </c>
      <c r="K218" s="99"/>
      <c r="L218" s="31"/>
      <c r="M218" s="229">
        <f>операции!M293</f>
        <v>1</v>
      </c>
      <c r="N218" s="22"/>
      <c r="O218" s="22"/>
      <c r="P218" s="100"/>
      <c r="Q218" s="100"/>
      <c r="R218" s="100"/>
      <c r="S218" s="100"/>
      <c r="T218" s="100"/>
      <c r="U218" s="100"/>
      <c r="V218" s="100"/>
      <c r="W218" s="100"/>
      <c r="X218" s="100"/>
      <c r="Y218" s="100"/>
      <c r="Z218" s="100"/>
      <c r="AA218" s="100"/>
      <c r="AB218" s="22"/>
    </row>
    <row r="219" spans="1:28" s="23" customFormat="1" x14ac:dyDescent="0.25">
      <c r="A219" s="22"/>
      <c r="B219" s="22"/>
      <c r="C219" s="22"/>
      <c r="D219" s="22"/>
      <c r="E219" s="22" t="str">
        <f>E210</f>
        <v>сезонный коэффициент по коммуналке</v>
      </c>
      <c r="F219" s="22"/>
      <c r="G219" s="22" t="str">
        <f>IF($E219="","",INDEX(KPI!$G:$G,SUMIFS(KPI!$B:$B,KPI!$E:$E,$E219)))</f>
        <v>%</v>
      </c>
      <c r="H219" s="100">
        <f>структура!$V$20</f>
        <v>9</v>
      </c>
      <c r="I219" s="31"/>
      <c r="J219" s="98" t="str">
        <f>структура!$X$20</f>
        <v>сен</v>
      </c>
      <c r="K219" s="99"/>
      <c r="L219" s="31"/>
      <c r="M219" s="229">
        <f>операции!M294</f>
        <v>1.1000000000000001</v>
      </c>
      <c r="N219" s="22"/>
      <c r="O219" s="22"/>
      <c r="P219" s="100"/>
      <c r="Q219" s="100"/>
      <c r="R219" s="100"/>
      <c r="S219" s="100"/>
      <c r="T219" s="100"/>
      <c r="U219" s="100"/>
      <c r="V219" s="100"/>
      <c r="W219" s="100"/>
      <c r="X219" s="100"/>
      <c r="Y219" s="100"/>
      <c r="Z219" s="100"/>
      <c r="AA219" s="100"/>
      <c r="AB219" s="22"/>
    </row>
    <row r="220" spans="1:28" s="23" customFormat="1" x14ac:dyDescent="0.25">
      <c r="A220" s="22"/>
      <c r="B220" s="22"/>
      <c r="C220" s="22"/>
      <c r="D220" s="22"/>
      <c r="E220" s="22" t="str">
        <f>E210</f>
        <v>сезонный коэффициент по коммуналке</v>
      </c>
      <c r="F220" s="22"/>
      <c r="G220" s="22" t="str">
        <f>IF($E220="","",INDEX(KPI!$G:$G,SUMIFS(KPI!$B:$B,KPI!$E:$E,$E220)))</f>
        <v>%</v>
      </c>
      <c r="H220" s="100">
        <f>структура!$V$21</f>
        <v>10</v>
      </c>
      <c r="I220" s="31"/>
      <c r="J220" s="98" t="str">
        <f>структура!$X$21</f>
        <v>окт</v>
      </c>
      <c r="K220" s="99"/>
      <c r="L220" s="31"/>
      <c r="M220" s="229">
        <f>операции!M295</f>
        <v>1.1499999999999999</v>
      </c>
      <c r="N220" s="22"/>
      <c r="O220" s="22"/>
      <c r="P220" s="100"/>
      <c r="Q220" s="100"/>
      <c r="R220" s="100"/>
      <c r="S220" s="100"/>
      <c r="T220" s="100"/>
      <c r="U220" s="100"/>
      <c r="V220" s="100"/>
      <c r="W220" s="100"/>
      <c r="X220" s="100"/>
      <c r="Y220" s="100"/>
      <c r="Z220" s="100"/>
      <c r="AA220" s="100"/>
      <c r="AB220" s="22"/>
    </row>
    <row r="221" spans="1:28" s="23" customFormat="1" x14ac:dyDescent="0.25">
      <c r="A221" s="22"/>
      <c r="B221" s="22"/>
      <c r="C221" s="22"/>
      <c r="D221" s="22"/>
      <c r="E221" s="22" t="str">
        <f>E210</f>
        <v>сезонный коэффициент по коммуналке</v>
      </c>
      <c r="F221" s="22"/>
      <c r="G221" s="22" t="str">
        <f>IF($E221="","",INDEX(KPI!$G:$G,SUMIFS(KPI!$B:$B,KPI!$E:$E,$E221)))</f>
        <v>%</v>
      </c>
      <c r="H221" s="100">
        <f>структура!$V$22</f>
        <v>11</v>
      </c>
      <c r="I221" s="31"/>
      <c r="J221" s="98" t="str">
        <f>структура!$X$22</f>
        <v>ноя</v>
      </c>
      <c r="K221" s="99"/>
      <c r="L221" s="31"/>
      <c r="M221" s="229">
        <f>операции!M296</f>
        <v>1.2</v>
      </c>
      <c r="N221" s="22"/>
      <c r="O221" s="22"/>
      <c r="P221" s="100"/>
      <c r="Q221" s="100"/>
      <c r="R221" s="100"/>
      <c r="S221" s="100"/>
      <c r="T221" s="100"/>
      <c r="U221" s="100"/>
      <c r="V221" s="100"/>
      <c r="W221" s="100"/>
      <c r="X221" s="100"/>
      <c r="Y221" s="100"/>
      <c r="Z221" s="100"/>
      <c r="AA221" s="100"/>
      <c r="AB221" s="22"/>
    </row>
    <row r="222" spans="1:28" s="23" customFormat="1" x14ac:dyDescent="0.25">
      <c r="A222" s="22"/>
      <c r="B222" s="22"/>
      <c r="C222" s="22"/>
      <c r="D222" s="22"/>
      <c r="E222" s="22" t="str">
        <f>E210</f>
        <v>сезонный коэффициент по коммуналке</v>
      </c>
      <c r="F222" s="22"/>
      <c r="G222" s="22" t="str">
        <f>IF($E222="","",INDEX(KPI!$G:$G,SUMIFS(KPI!$B:$B,KPI!$E:$E,$E222)))</f>
        <v>%</v>
      </c>
      <c r="H222" s="100">
        <f>структура!$V$23</f>
        <v>12</v>
      </c>
      <c r="I222" s="31"/>
      <c r="J222" s="98" t="str">
        <f>структура!$X$23</f>
        <v>дек</v>
      </c>
      <c r="K222" s="99"/>
      <c r="L222" s="31"/>
      <c r="M222" s="229">
        <f>операции!M297</f>
        <v>1.4</v>
      </c>
      <c r="N222" s="22"/>
      <c r="O222" s="22"/>
      <c r="P222" s="100"/>
      <c r="Q222" s="100"/>
      <c r="R222" s="100"/>
      <c r="S222" s="100"/>
      <c r="T222" s="100"/>
      <c r="U222" s="100"/>
      <c r="V222" s="100"/>
      <c r="W222" s="100"/>
      <c r="X222" s="100"/>
      <c r="Y222" s="100"/>
      <c r="Z222" s="100"/>
      <c r="AA222" s="100"/>
      <c r="AB222" s="22"/>
    </row>
    <row r="223" spans="1:28" ht="3.9" customHeight="1" x14ac:dyDescent="0.25">
      <c r="A223" s="2"/>
      <c r="B223" s="2"/>
      <c r="C223" s="2"/>
      <c r="D223" s="2"/>
      <c r="E223" s="21"/>
      <c r="F223" s="2"/>
      <c r="G223" s="21"/>
      <c r="H223" s="2"/>
      <c r="I223" s="28"/>
      <c r="J223" s="21"/>
      <c r="K223" s="28"/>
      <c r="L223" s="2"/>
      <c r="M223" s="52"/>
      <c r="N223" s="2"/>
      <c r="O223" s="2"/>
      <c r="P223" s="36"/>
      <c r="Q223" s="36"/>
      <c r="R223" s="36"/>
      <c r="S223" s="36"/>
      <c r="T223" s="36"/>
      <c r="U223" s="36"/>
      <c r="V223" s="36"/>
      <c r="W223" s="36"/>
      <c r="X223" s="36"/>
      <c r="Y223" s="36"/>
      <c r="Z223" s="36"/>
      <c r="AA223" s="36"/>
      <c r="AB223" s="2"/>
    </row>
    <row r="224" spans="1:28" ht="8.1" customHeight="1" x14ac:dyDescent="0.25">
      <c r="A224" s="2"/>
      <c r="B224" s="2"/>
      <c r="C224" s="2"/>
      <c r="D224" s="2"/>
      <c r="E224" s="2"/>
      <c r="F224" s="2"/>
      <c r="G224" s="2"/>
      <c r="H224" s="2"/>
      <c r="I224" s="28"/>
      <c r="J224" s="2"/>
      <c r="K224" s="28"/>
      <c r="L224" s="2"/>
      <c r="M224" s="52"/>
      <c r="N224" s="2"/>
      <c r="O224" s="2"/>
      <c r="P224" s="36"/>
      <c r="Q224" s="36"/>
      <c r="R224" s="36"/>
      <c r="S224" s="36"/>
      <c r="T224" s="36"/>
      <c r="U224" s="36"/>
      <c r="V224" s="36"/>
      <c r="W224" s="36"/>
      <c r="X224" s="36"/>
      <c r="Y224" s="36"/>
      <c r="Z224" s="36"/>
      <c r="AA224" s="36"/>
      <c r="AB224" s="2"/>
    </row>
    <row r="225" spans="1:28" s="5" customFormat="1" x14ac:dyDescent="0.25">
      <c r="A225" s="3"/>
      <c r="B225" s="3"/>
      <c r="C225" s="3"/>
      <c r="D225" s="111"/>
      <c r="E225" s="3" t="str">
        <f>KPI!$E$52</f>
        <v>коммунальные расходы - начисление</v>
      </c>
      <c r="F225" s="3"/>
      <c r="G225" s="3" t="str">
        <f>IF($E225="","",INDEX(KPI!$G:$G,SUMIFS(KPI!$B:$B,KPI!$E:$E,$E225)))</f>
        <v>тыс.руб.</v>
      </c>
      <c r="H225" s="103"/>
      <c r="I225" s="28"/>
      <c r="J225" s="44"/>
      <c r="K225" s="28"/>
      <c r="L225" s="3"/>
      <c r="M225" s="55">
        <f>SUM($O225:$AB225)</f>
        <v>1862.4097800000006</v>
      </c>
      <c r="N225" s="3"/>
      <c r="O225" s="3"/>
      <c r="P225" s="46">
        <f>IF(P$1="",0,IF(P$1=0,SUMIFS(P226:P237,H226:H237,"&gt;="&amp;MONTH($J$13)),SUM(P226:P237)))</f>
        <v>265.81038000000007</v>
      </c>
      <c r="Q225" s="46">
        <f t="shared" ref="Q225" si="36">IF(Q$1="",0,SUM(Q226:Q237))</f>
        <v>265.81038000000007</v>
      </c>
      <c r="R225" s="46">
        <f t="shared" ref="R225:AA225" si="37">IF(R$1="",0,SUM(R226:R237))</f>
        <v>266.67894000000007</v>
      </c>
      <c r="S225" s="46">
        <f t="shared" si="37"/>
        <v>265.81038000000007</v>
      </c>
      <c r="T225" s="46">
        <f t="shared" si="37"/>
        <v>265.81038000000007</v>
      </c>
      <c r="U225" s="46">
        <f t="shared" si="37"/>
        <v>265.81038000000007</v>
      </c>
      <c r="V225" s="46">
        <f t="shared" si="37"/>
        <v>266.67894000000007</v>
      </c>
      <c r="W225" s="46">
        <f t="shared" si="37"/>
        <v>0</v>
      </c>
      <c r="X225" s="46">
        <f t="shared" si="37"/>
        <v>0</v>
      </c>
      <c r="Y225" s="46">
        <f t="shared" si="37"/>
        <v>0</v>
      </c>
      <c r="Z225" s="46">
        <f t="shared" si="37"/>
        <v>0</v>
      </c>
      <c r="AA225" s="46">
        <f t="shared" si="37"/>
        <v>0</v>
      </c>
      <c r="AB225" s="3"/>
    </row>
    <row r="226" spans="1:28" s="23" customFormat="1" ht="10.199999999999999" x14ac:dyDescent="0.2">
      <c r="A226" s="22"/>
      <c r="B226" s="22"/>
      <c r="C226" s="22"/>
      <c r="D226" s="22"/>
      <c r="E226" s="22" t="str">
        <f>E225</f>
        <v>коммунальные расходы - начисление</v>
      </c>
      <c r="F226" s="22"/>
      <c r="G226" s="22" t="str">
        <f>IF($E226="","",INDEX(KPI!$G:$G,SUMIFS(KPI!$B:$B,KPI!$E:$E,$E226)))</f>
        <v>тыс.руб.</v>
      </c>
      <c r="H226" s="100">
        <f>структура!$V$12</f>
        <v>1</v>
      </c>
      <c r="I226" s="31"/>
      <c r="J226" s="98" t="str">
        <f>структура!$X$12</f>
        <v>янв</v>
      </c>
      <c r="K226" s="99"/>
      <c r="L226" s="22"/>
      <c r="M226" s="58"/>
      <c r="N226" s="22"/>
      <c r="O226" s="22"/>
      <c r="P226" s="101">
        <f t="shared" ref="P226:AA226" si="38">IF(P$1="",0,$J$207*$M211*DAY(EOMONTH(P$8,$H226-MONTH(P$8))))</f>
        <v>26.925360000000001</v>
      </c>
      <c r="Q226" s="101">
        <f t="shared" si="38"/>
        <v>26.925360000000001</v>
      </c>
      <c r="R226" s="101">
        <f t="shared" si="38"/>
        <v>26.925360000000001</v>
      </c>
      <c r="S226" s="101">
        <f t="shared" si="38"/>
        <v>26.925360000000001</v>
      </c>
      <c r="T226" s="101">
        <f t="shared" si="38"/>
        <v>26.925360000000001</v>
      </c>
      <c r="U226" s="101">
        <f t="shared" si="38"/>
        <v>26.925360000000001</v>
      </c>
      <c r="V226" s="101">
        <f t="shared" si="38"/>
        <v>26.925360000000001</v>
      </c>
      <c r="W226" s="101">
        <f t="shared" si="38"/>
        <v>0</v>
      </c>
      <c r="X226" s="101">
        <f t="shared" si="38"/>
        <v>0</v>
      </c>
      <c r="Y226" s="101">
        <f t="shared" si="38"/>
        <v>0</v>
      </c>
      <c r="Z226" s="101">
        <f t="shared" si="38"/>
        <v>0</v>
      </c>
      <c r="AA226" s="101">
        <f t="shared" si="38"/>
        <v>0</v>
      </c>
      <c r="AB226" s="22"/>
    </row>
    <row r="227" spans="1:28" s="23" customFormat="1" ht="10.199999999999999" x14ac:dyDescent="0.2">
      <c r="A227" s="22"/>
      <c r="B227" s="22"/>
      <c r="C227" s="22"/>
      <c r="D227" s="22"/>
      <c r="E227" s="22" t="str">
        <f>E225</f>
        <v>коммунальные расходы - начисление</v>
      </c>
      <c r="F227" s="22"/>
      <c r="G227" s="22" t="str">
        <f>IF($E227="","",INDEX(KPI!$G:$G,SUMIFS(KPI!$B:$B,KPI!$E:$E,$E227)))</f>
        <v>тыс.руб.</v>
      </c>
      <c r="H227" s="100">
        <f>структура!$V$13</f>
        <v>2</v>
      </c>
      <c r="I227" s="31"/>
      <c r="J227" s="98" t="str">
        <f>структура!$X$13</f>
        <v>фев</v>
      </c>
      <c r="K227" s="99"/>
      <c r="L227" s="22"/>
      <c r="M227" s="58"/>
      <c r="N227" s="22"/>
      <c r="O227" s="22"/>
      <c r="P227" s="101">
        <f t="shared" ref="P227:AA227" si="39">IF(P$1="",0,$J$207*$M212*DAY(EOMONTH(P$8,$H227-MONTH(P$8))))</f>
        <v>24.319679999999998</v>
      </c>
      <c r="Q227" s="101">
        <f t="shared" si="39"/>
        <v>24.319679999999998</v>
      </c>
      <c r="R227" s="101">
        <f t="shared" si="39"/>
        <v>25.18824</v>
      </c>
      <c r="S227" s="101">
        <f t="shared" si="39"/>
        <v>24.319679999999998</v>
      </c>
      <c r="T227" s="101">
        <f t="shared" si="39"/>
        <v>24.319679999999998</v>
      </c>
      <c r="U227" s="101">
        <f t="shared" si="39"/>
        <v>24.319679999999998</v>
      </c>
      <c r="V227" s="101">
        <f t="shared" si="39"/>
        <v>25.18824</v>
      </c>
      <c r="W227" s="101">
        <f t="shared" si="39"/>
        <v>0</v>
      </c>
      <c r="X227" s="101">
        <f t="shared" si="39"/>
        <v>0</v>
      </c>
      <c r="Y227" s="101">
        <f t="shared" si="39"/>
        <v>0</v>
      </c>
      <c r="Z227" s="101">
        <f t="shared" si="39"/>
        <v>0</v>
      </c>
      <c r="AA227" s="101">
        <f t="shared" si="39"/>
        <v>0</v>
      </c>
      <c r="AB227" s="22"/>
    </row>
    <row r="228" spans="1:28" s="23" customFormat="1" ht="10.199999999999999" x14ac:dyDescent="0.2">
      <c r="A228" s="22"/>
      <c r="B228" s="22"/>
      <c r="C228" s="22"/>
      <c r="D228" s="22"/>
      <c r="E228" s="22" t="str">
        <f>E225</f>
        <v>коммунальные расходы - начисление</v>
      </c>
      <c r="F228" s="22"/>
      <c r="G228" s="22" t="str">
        <f>IF($E228="","",INDEX(KPI!$G:$G,SUMIFS(KPI!$B:$B,KPI!$E:$E,$E228)))</f>
        <v>тыс.руб.</v>
      </c>
      <c r="H228" s="100">
        <f>структура!$V$14</f>
        <v>3</v>
      </c>
      <c r="I228" s="31"/>
      <c r="J228" s="98" t="str">
        <f>структура!$X$14</f>
        <v>мар</v>
      </c>
      <c r="K228" s="99"/>
      <c r="L228" s="22"/>
      <c r="M228" s="58"/>
      <c r="N228" s="22"/>
      <c r="O228" s="22"/>
      <c r="P228" s="101">
        <f t="shared" ref="P228:AA228" si="40">IF(P$1="",0,$J$207*$M213*DAY(EOMONTH(P$8,$H228-MONTH(P$8))))</f>
        <v>23.078880000000002</v>
      </c>
      <c r="Q228" s="101">
        <f t="shared" si="40"/>
        <v>23.078880000000002</v>
      </c>
      <c r="R228" s="101">
        <f t="shared" si="40"/>
        <v>23.078880000000002</v>
      </c>
      <c r="S228" s="101">
        <f t="shared" si="40"/>
        <v>23.078880000000002</v>
      </c>
      <c r="T228" s="101">
        <f t="shared" si="40"/>
        <v>23.078880000000002</v>
      </c>
      <c r="U228" s="101">
        <f t="shared" si="40"/>
        <v>23.078880000000002</v>
      </c>
      <c r="V228" s="101">
        <f t="shared" si="40"/>
        <v>23.078880000000002</v>
      </c>
      <c r="W228" s="101">
        <f t="shared" si="40"/>
        <v>0</v>
      </c>
      <c r="X228" s="101">
        <f t="shared" si="40"/>
        <v>0</v>
      </c>
      <c r="Y228" s="101">
        <f t="shared" si="40"/>
        <v>0</v>
      </c>
      <c r="Z228" s="101">
        <f t="shared" si="40"/>
        <v>0</v>
      </c>
      <c r="AA228" s="101">
        <f t="shared" si="40"/>
        <v>0</v>
      </c>
      <c r="AB228" s="22"/>
    </row>
    <row r="229" spans="1:28" s="23" customFormat="1" ht="10.199999999999999" x14ac:dyDescent="0.2">
      <c r="A229" s="22"/>
      <c r="B229" s="22"/>
      <c r="C229" s="22"/>
      <c r="D229" s="22"/>
      <c r="E229" s="22" t="str">
        <f>E225</f>
        <v>коммунальные расходы - начисление</v>
      </c>
      <c r="F229" s="22"/>
      <c r="G229" s="22" t="str">
        <f>IF($E229="","",INDEX(KPI!$G:$G,SUMIFS(KPI!$B:$B,KPI!$E:$E,$E229)))</f>
        <v>тыс.руб.</v>
      </c>
      <c r="H229" s="100">
        <f>структура!$V$15</f>
        <v>4</v>
      </c>
      <c r="I229" s="31"/>
      <c r="J229" s="98" t="str">
        <f>структура!$X$15</f>
        <v>апр</v>
      </c>
      <c r="K229" s="99"/>
      <c r="L229" s="22"/>
      <c r="M229" s="58"/>
      <c r="N229" s="22"/>
      <c r="O229" s="22"/>
      <c r="P229" s="101">
        <f t="shared" ref="P229:AA229" si="41">IF(P$1="",0,$J$207*$M214*DAY(EOMONTH(P$8,$H229-MONTH(P$8))))</f>
        <v>21.4038</v>
      </c>
      <c r="Q229" s="101">
        <f t="shared" si="41"/>
        <v>21.4038</v>
      </c>
      <c r="R229" s="101">
        <f t="shared" si="41"/>
        <v>21.4038</v>
      </c>
      <c r="S229" s="101">
        <f t="shared" si="41"/>
        <v>21.4038</v>
      </c>
      <c r="T229" s="101">
        <f t="shared" si="41"/>
        <v>21.4038</v>
      </c>
      <c r="U229" s="101">
        <f t="shared" si="41"/>
        <v>21.4038</v>
      </c>
      <c r="V229" s="101">
        <f t="shared" si="41"/>
        <v>21.4038</v>
      </c>
      <c r="W229" s="101">
        <f t="shared" si="41"/>
        <v>0</v>
      </c>
      <c r="X229" s="101">
        <f t="shared" si="41"/>
        <v>0</v>
      </c>
      <c r="Y229" s="101">
        <f t="shared" si="41"/>
        <v>0</v>
      </c>
      <c r="Z229" s="101">
        <f t="shared" si="41"/>
        <v>0</v>
      </c>
      <c r="AA229" s="101">
        <f t="shared" si="41"/>
        <v>0</v>
      </c>
      <c r="AB229" s="22"/>
    </row>
    <row r="230" spans="1:28" s="23" customFormat="1" ht="10.199999999999999" x14ac:dyDescent="0.2">
      <c r="A230" s="22"/>
      <c r="B230" s="22"/>
      <c r="C230" s="22"/>
      <c r="D230" s="22"/>
      <c r="E230" s="22" t="str">
        <f>E225</f>
        <v>коммунальные расходы - начисление</v>
      </c>
      <c r="F230" s="22"/>
      <c r="G230" s="22" t="str">
        <f>IF($E230="","",INDEX(KPI!$G:$G,SUMIFS(KPI!$B:$B,KPI!$E:$E,$E230)))</f>
        <v>тыс.руб.</v>
      </c>
      <c r="H230" s="100">
        <f>структура!$V$16</f>
        <v>5</v>
      </c>
      <c r="I230" s="31"/>
      <c r="J230" s="98" t="str">
        <f>структура!$X$16</f>
        <v>май</v>
      </c>
      <c r="K230" s="99"/>
      <c r="L230" s="22"/>
      <c r="M230" s="58"/>
      <c r="N230" s="22"/>
      <c r="O230" s="22"/>
      <c r="P230" s="101">
        <f t="shared" ref="P230:AA230" si="42">IF(P$1="",0,$J$207*$M215*DAY(EOMONTH(P$8,$H230-MONTH(P$8))))</f>
        <v>21.155640000000005</v>
      </c>
      <c r="Q230" s="101">
        <f t="shared" si="42"/>
        <v>21.155640000000005</v>
      </c>
      <c r="R230" s="101">
        <f t="shared" si="42"/>
        <v>21.155640000000005</v>
      </c>
      <c r="S230" s="101">
        <f t="shared" si="42"/>
        <v>21.155640000000005</v>
      </c>
      <c r="T230" s="101">
        <f t="shared" si="42"/>
        <v>21.155640000000005</v>
      </c>
      <c r="U230" s="101">
        <f t="shared" si="42"/>
        <v>21.155640000000005</v>
      </c>
      <c r="V230" s="101">
        <f t="shared" si="42"/>
        <v>21.155640000000005</v>
      </c>
      <c r="W230" s="101">
        <f t="shared" si="42"/>
        <v>0</v>
      </c>
      <c r="X230" s="101">
        <f t="shared" si="42"/>
        <v>0</v>
      </c>
      <c r="Y230" s="101">
        <f t="shared" si="42"/>
        <v>0</v>
      </c>
      <c r="Z230" s="101">
        <f t="shared" si="42"/>
        <v>0</v>
      </c>
      <c r="AA230" s="101">
        <f t="shared" si="42"/>
        <v>0</v>
      </c>
      <c r="AB230" s="22"/>
    </row>
    <row r="231" spans="1:28" s="23" customFormat="1" ht="10.199999999999999" x14ac:dyDescent="0.2">
      <c r="A231" s="22"/>
      <c r="B231" s="22"/>
      <c r="C231" s="22"/>
      <c r="D231" s="22"/>
      <c r="E231" s="22" t="str">
        <f>E225</f>
        <v>коммунальные расходы - начисление</v>
      </c>
      <c r="F231" s="22"/>
      <c r="G231" s="22" t="str">
        <f>IF($E231="","",INDEX(KPI!$G:$G,SUMIFS(KPI!$B:$B,KPI!$E:$E,$E231)))</f>
        <v>тыс.руб.</v>
      </c>
      <c r="H231" s="100">
        <f>структура!$V$17</f>
        <v>6</v>
      </c>
      <c r="I231" s="31"/>
      <c r="J231" s="98" t="str">
        <f>структура!$X$17</f>
        <v>июн</v>
      </c>
      <c r="K231" s="99"/>
      <c r="L231" s="22"/>
      <c r="M231" s="58"/>
      <c r="N231" s="22"/>
      <c r="O231" s="22"/>
      <c r="P231" s="101">
        <f t="shared" ref="P231:AA231" si="43">IF(P$1="",0,$J$207*$M216*DAY(EOMONTH(P$8,$H231-MONTH(P$8))))</f>
        <v>18.612000000000002</v>
      </c>
      <c r="Q231" s="101">
        <f t="shared" si="43"/>
        <v>18.612000000000002</v>
      </c>
      <c r="R231" s="101">
        <f t="shared" si="43"/>
        <v>18.612000000000002</v>
      </c>
      <c r="S231" s="101">
        <f t="shared" si="43"/>
        <v>18.612000000000002</v>
      </c>
      <c r="T231" s="101">
        <f t="shared" si="43"/>
        <v>18.612000000000002</v>
      </c>
      <c r="U231" s="101">
        <f t="shared" si="43"/>
        <v>18.612000000000002</v>
      </c>
      <c r="V231" s="101">
        <f t="shared" si="43"/>
        <v>18.612000000000002</v>
      </c>
      <c r="W231" s="101">
        <f t="shared" si="43"/>
        <v>0</v>
      </c>
      <c r="X231" s="101">
        <f t="shared" si="43"/>
        <v>0</v>
      </c>
      <c r="Y231" s="101">
        <f t="shared" si="43"/>
        <v>0</v>
      </c>
      <c r="Z231" s="101">
        <f t="shared" si="43"/>
        <v>0</v>
      </c>
      <c r="AA231" s="101">
        <f t="shared" si="43"/>
        <v>0</v>
      </c>
      <c r="AB231" s="22"/>
    </row>
    <row r="232" spans="1:28" s="23" customFormat="1" ht="10.199999999999999" x14ac:dyDescent="0.2">
      <c r="A232" s="22"/>
      <c r="B232" s="22"/>
      <c r="C232" s="22"/>
      <c r="D232" s="22"/>
      <c r="E232" s="22" t="str">
        <f>E225</f>
        <v>коммунальные расходы - начисление</v>
      </c>
      <c r="F232" s="22"/>
      <c r="G232" s="22" t="str">
        <f>IF($E232="","",INDEX(KPI!$G:$G,SUMIFS(KPI!$B:$B,KPI!$E:$E,$E232)))</f>
        <v>тыс.руб.</v>
      </c>
      <c r="H232" s="100">
        <f>структура!$V$18</f>
        <v>7</v>
      </c>
      <c r="I232" s="31"/>
      <c r="J232" s="98" t="str">
        <f>структура!$X$18</f>
        <v>июл</v>
      </c>
      <c r="K232" s="99"/>
      <c r="L232" s="22"/>
      <c r="M232" s="58"/>
      <c r="N232" s="22"/>
      <c r="O232" s="22"/>
      <c r="P232" s="101">
        <f t="shared" ref="P232:AA232" si="44">IF(P$1="",0,$J$207*$M217*DAY(EOMONTH(P$8,$H232-MONTH(P$8))))</f>
        <v>19.232400000000002</v>
      </c>
      <c r="Q232" s="101">
        <f t="shared" si="44"/>
        <v>19.232400000000002</v>
      </c>
      <c r="R232" s="101">
        <f t="shared" si="44"/>
        <v>19.232400000000002</v>
      </c>
      <c r="S232" s="101">
        <f t="shared" si="44"/>
        <v>19.232400000000002</v>
      </c>
      <c r="T232" s="101">
        <f t="shared" si="44"/>
        <v>19.232400000000002</v>
      </c>
      <c r="U232" s="101">
        <f t="shared" si="44"/>
        <v>19.232400000000002</v>
      </c>
      <c r="V232" s="101">
        <f t="shared" si="44"/>
        <v>19.232400000000002</v>
      </c>
      <c r="W232" s="101">
        <f t="shared" si="44"/>
        <v>0</v>
      </c>
      <c r="X232" s="101">
        <f t="shared" si="44"/>
        <v>0</v>
      </c>
      <c r="Y232" s="101">
        <f t="shared" si="44"/>
        <v>0</v>
      </c>
      <c r="Z232" s="101">
        <f t="shared" si="44"/>
        <v>0</v>
      </c>
      <c r="AA232" s="101">
        <f t="shared" si="44"/>
        <v>0</v>
      </c>
      <c r="AB232" s="22"/>
    </row>
    <row r="233" spans="1:28" s="23" customFormat="1" ht="10.199999999999999" x14ac:dyDescent="0.2">
      <c r="A233" s="22"/>
      <c r="B233" s="22"/>
      <c r="C233" s="22"/>
      <c r="D233" s="22"/>
      <c r="E233" s="22" t="str">
        <f>E225</f>
        <v>коммунальные расходы - начисление</v>
      </c>
      <c r="F233" s="22"/>
      <c r="G233" s="22" t="str">
        <f>IF($E233="","",INDEX(KPI!$G:$G,SUMIFS(KPI!$B:$B,KPI!$E:$E,$E233)))</f>
        <v>тыс.руб.</v>
      </c>
      <c r="H233" s="100">
        <f>структура!$V$19</f>
        <v>8</v>
      </c>
      <c r="I233" s="31"/>
      <c r="J233" s="98" t="str">
        <f>структура!$X$19</f>
        <v>авг</v>
      </c>
      <c r="K233" s="99"/>
      <c r="L233" s="22"/>
      <c r="M233" s="58"/>
      <c r="N233" s="22"/>
      <c r="O233" s="22"/>
      <c r="P233" s="101">
        <f t="shared" ref="P233:AA233" si="45">IF(P$1="",0,$J$207*$M218*DAY(EOMONTH(P$8,$H233-MONTH(P$8))))</f>
        <v>19.232400000000002</v>
      </c>
      <c r="Q233" s="101">
        <f t="shared" si="45"/>
        <v>19.232400000000002</v>
      </c>
      <c r="R233" s="101">
        <f t="shared" si="45"/>
        <v>19.232400000000002</v>
      </c>
      <c r="S233" s="101">
        <f t="shared" si="45"/>
        <v>19.232400000000002</v>
      </c>
      <c r="T233" s="101">
        <f t="shared" si="45"/>
        <v>19.232400000000002</v>
      </c>
      <c r="U233" s="101">
        <f t="shared" si="45"/>
        <v>19.232400000000002</v>
      </c>
      <c r="V233" s="101">
        <f t="shared" si="45"/>
        <v>19.232400000000002</v>
      </c>
      <c r="W233" s="101">
        <f t="shared" si="45"/>
        <v>0</v>
      </c>
      <c r="X233" s="101">
        <f t="shared" si="45"/>
        <v>0</v>
      </c>
      <c r="Y233" s="101">
        <f t="shared" si="45"/>
        <v>0</v>
      </c>
      <c r="Z233" s="101">
        <f t="shared" si="45"/>
        <v>0</v>
      </c>
      <c r="AA233" s="101">
        <f t="shared" si="45"/>
        <v>0</v>
      </c>
      <c r="AB233" s="22"/>
    </row>
    <row r="234" spans="1:28" s="23" customFormat="1" ht="10.199999999999999" x14ac:dyDescent="0.2">
      <c r="A234" s="22"/>
      <c r="B234" s="22"/>
      <c r="C234" s="22"/>
      <c r="D234" s="22"/>
      <c r="E234" s="22" t="str">
        <f>E225</f>
        <v>коммунальные расходы - начисление</v>
      </c>
      <c r="F234" s="22"/>
      <c r="G234" s="22" t="str">
        <f>IF($E234="","",INDEX(KPI!$G:$G,SUMIFS(KPI!$B:$B,KPI!$E:$E,$E234)))</f>
        <v>тыс.руб.</v>
      </c>
      <c r="H234" s="100">
        <f>структура!$V$20</f>
        <v>9</v>
      </c>
      <c r="I234" s="31"/>
      <c r="J234" s="98" t="str">
        <f>структура!$X$20</f>
        <v>сен</v>
      </c>
      <c r="K234" s="99"/>
      <c r="L234" s="22"/>
      <c r="M234" s="58"/>
      <c r="N234" s="22"/>
      <c r="O234" s="22"/>
      <c r="P234" s="101">
        <f t="shared" ref="P234:AA234" si="46">IF(P$1="",0,$J$207*$M219*DAY(EOMONTH(P$8,$H234-MONTH(P$8))))</f>
        <v>20.473200000000006</v>
      </c>
      <c r="Q234" s="101">
        <f t="shared" si="46"/>
        <v>20.473200000000006</v>
      </c>
      <c r="R234" s="101">
        <f t="shared" si="46"/>
        <v>20.473200000000006</v>
      </c>
      <c r="S234" s="101">
        <f t="shared" si="46"/>
        <v>20.473200000000006</v>
      </c>
      <c r="T234" s="101">
        <f t="shared" si="46"/>
        <v>20.473200000000006</v>
      </c>
      <c r="U234" s="101">
        <f t="shared" si="46"/>
        <v>20.473200000000006</v>
      </c>
      <c r="V234" s="101">
        <f t="shared" si="46"/>
        <v>20.473200000000006</v>
      </c>
      <c r="W234" s="101">
        <f t="shared" si="46"/>
        <v>0</v>
      </c>
      <c r="X234" s="101">
        <f t="shared" si="46"/>
        <v>0</v>
      </c>
      <c r="Y234" s="101">
        <f t="shared" si="46"/>
        <v>0</v>
      </c>
      <c r="Z234" s="101">
        <f t="shared" si="46"/>
        <v>0</v>
      </c>
      <c r="AA234" s="101">
        <f t="shared" si="46"/>
        <v>0</v>
      </c>
      <c r="AB234" s="22"/>
    </row>
    <row r="235" spans="1:28" s="23" customFormat="1" ht="10.199999999999999" x14ac:dyDescent="0.2">
      <c r="A235" s="22"/>
      <c r="B235" s="22"/>
      <c r="C235" s="22"/>
      <c r="D235" s="22"/>
      <c r="E235" s="22" t="str">
        <f>E225</f>
        <v>коммунальные расходы - начисление</v>
      </c>
      <c r="F235" s="22"/>
      <c r="G235" s="22" t="str">
        <f>IF($E235="","",INDEX(KPI!$G:$G,SUMIFS(KPI!$B:$B,KPI!$E:$E,$E235)))</f>
        <v>тыс.руб.</v>
      </c>
      <c r="H235" s="100">
        <f>структура!$V$21</f>
        <v>10</v>
      </c>
      <c r="I235" s="31"/>
      <c r="J235" s="98" t="str">
        <f>структура!$X$21</f>
        <v>окт</v>
      </c>
      <c r="K235" s="99"/>
      <c r="L235" s="22"/>
      <c r="M235" s="58"/>
      <c r="N235" s="22"/>
      <c r="O235" s="22"/>
      <c r="P235" s="101">
        <f t="shared" ref="P235:AA235" si="47">IF(P$1="",0,$J$207*$M220*DAY(EOMONTH(P$8,$H235-MONTH(P$8))))</f>
        <v>22.117259999999998</v>
      </c>
      <c r="Q235" s="101">
        <f t="shared" si="47"/>
        <v>22.117259999999998</v>
      </c>
      <c r="R235" s="101">
        <f t="shared" si="47"/>
        <v>22.117259999999998</v>
      </c>
      <c r="S235" s="101">
        <f t="shared" si="47"/>
        <v>22.117259999999998</v>
      </c>
      <c r="T235" s="101">
        <f t="shared" si="47"/>
        <v>22.117259999999998</v>
      </c>
      <c r="U235" s="101">
        <f t="shared" si="47"/>
        <v>22.117259999999998</v>
      </c>
      <c r="V235" s="101">
        <f t="shared" si="47"/>
        <v>22.117259999999998</v>
      </c>
      <c r="W235" s="101">
        <f t="shared" si="47"/>
        <v>0</v>
      </c>
      <c r="X235" s="101">
        <f t="shared" si="47"/>
        <v>0</v>
      </c>
      <c r="Y235" s="101">
        <f t="shared" si="47"/>
        <v>0</v>
      </c>
      <c r="Z235" s="101">
        <f t="shared" si="47"/>
        <v>0</v>
      </c>
      <c r="AA235" s="101">
        <f t="shared" si="47"/>
        <v>0</v>
      </c>
      <c r="AB235" s="22"/>
    </row>
    <row r="236" spans="1:28" s="23" customFormat="1" ht="10.199999999999999" x14ac:dyDescent="0.2">
      <c r="A236" s="22"/>
      <c r="B236" s="22"/>
      <c r="C236" s="22"/>
      <c r="D236" s="22"/>
      <c r="E236" s="22" t="str">
        <f>E225</f>
        <v>коммунальные расходы - начисление</v>
      </c>
      <c r="F236" s="22"/>
      <c r="G236" s="22" t="str">
        <f>IF($E236="","",INDEX(KPI!$G:$G,SUMIFS(KPI!$B:$B,KPI!$E:$E,$E236)))</f>
        <v>тыс.руб.</v>
      </c>
      <c r="H236" s="100">
        <f>структура!$V$22</f>
        <v>11</v>
      </c>
      <c r="I236" s="31"/>
      <c r="J236" s="98" t="str">
        <f>структура!$X$22</f>
        <v>ноя</v>
      </c>
      <c r="K236" s="99"/>
      <c r="L236" s="22"/>
      <c r="M236" s="58"/>
      <c r="N236" s="22"/>
      <c r="O236" s="22"/>
      <c r="P236" s="101">
        <f t="shared" ref="P236:AA236" si="48">IF(P$1="",0,$J$207*$M221*DAY(EOMONTH(P$8,$H236-MONTH(P$8))))</f>
        <v>22.334400000000002</v>
      </c>
      <c r="Q236" s="101">
        <f t="shared" si="48"/>
        <v>22.334400000000002</v>
      </c>
      <c r="R236" s="101">
        <f t="shared" si="48"/>
        <v>22.334400000000002</v>
      </c>
      <c r="S236" s="101">
        <f t="shared" si="48"/>
        <v>22.334400000000002</v>
      </c>
      <c r="T236" s="101">
        <f t="shared" si="48"/>
        <v>22.334400000000002</v>
      </c>
      <c r="U236" s="101">
        <f t="shared" si="48"/>
        <v>22.334400000000002</v>
      </c>
      <c r="V236" s="101">
        <f t="shared" si="48"/>
        <v>22.334400000000002</v>
      </c>
      <c r="W236" s="101">
        <f t="shared" si="48"/>
        <v>0</v>
      </c>
      <c r="X236" s="101">
        <f t="shared" si="48"/>
        <v>0</v>
      </c>
      <c r="Y236" s="101">
        <f t="shared" si="48"/>
        <v>0</v>
      </c>
      <c r="Z236" s="101">
        <f t="shared" si="48"/>
        <v>0</v>
      </c>
      <c r="AA236" s="101">
        <f t="shared" si="48"/>
        <v>0</v>
      </c>
      <c r="AB236" s="22"/>
    </row>
    <row r="237" spans="1:28" s="23" customFormat="1" ht="10.199999999999999" x14ac:dyDescent="0.2">
      <c r="A237" s="22"/>
      <c r="B237" s="22"/>
      <c r="C237" s="22"/>
      <c r="D237" s="22"/>
      <c r="E237" s="22" t="str">
        <f>E225</f>
        <v>коммунальные расходы - начисление</v>
      </c>
      <c r="F237" s="22"/>
      <c r="G237" s="22" t="str">
        <f>IF($E237="","",INDEX(KPI!$G:$G,SUMIFS(KPI!$B:$B,KPI!$E:$E,$E237)))</f>
        <v>тыс.руб.</v>
      </c>
      <c r="H237" s="100">
        <f>структура!$V$23</f>
        <v>12</v>
      </c>
      <c r="I237" s="31"/>
      <c r="J237" s="98" t="str">
        <f>структура!$X$23</f>
        <v>дек</v>
      </c>
      <c r="K237" s="99"/>
      <c r="L237" s="22"/>
      <c r="M237" s="58"/>
      <c r="N237" s="22"/>
      <c r="O237" s="22"/>
      <c r="P237" s="101">
        <f t="shared" ref="P237:AA237" si="49">IF(P$1="",0,$J$207*$M222*DAY(EOMONTH(P$8,$H237-MONTH(P$8))))</f>
        <v>26.925360000000001</v>
      </c>
      <c r="Q237" s="101">
        <f t="shared" si="49"/>
        <v>26.925360000000001</v>
      </c>
      <c r="R237" s="101">
        <f t="shared" si="49"/>
        <v>26.925360000000001</v>
      </c>
      <c r="S237" s="101">
        <f t="shared" si="49"/>
        <v>26.925360000000001</v>
      </c>
      <c r="T237" s="101">
        <f t="shared" si="49"/>
        <v>26.925360000000001</v>
      </c>
      <c r="U237" s="101">
        <f t="shared" si="49"/>
        <v>26.925360000000001</v>
      </c>
      <c r="V237" s="101">
        <f t="shared" si="49"/>
        <v>26.925360000000001</v>
      </c>
      <c r="W237" s="101">
        <f t="shared" si="49"/>
        <v>0</v>
      </c>
      <c r="X237" s="101">
        <f t="shared" si="49"/>
        <v>0</v>
      </c>
      <c r="Y237" s="101">
        <f t="shared" si="49"/>
        <v>0</v>
      </c>
      <c r="Z237" s="101">
        <f t="shared" si="49"/>
        <v>0</v>
      </c>
      <c r="AA237" s="101">
        <f t="shared" si="49"/>
        <v>0</v>
      </c>
      <c r="AB237" s="22"/>
    </row>
    <row r="238" spans="1:28" ht="3.9" customHeight="1" x14ac:dyDescent="0.25">
      <c r="A238" s="2"/>
      <c r="B238" s="2"/>
      <c r="C238" s="2"/>
      <c r="D238" s="2"/>
      <c r="E238" s="21"/>
      <c r="F238" s="2"/>
      <c r="G238" s="21"/>
      <c r="H238" s="2"/>
      <c r="I238" s="28"/>
      <c r="J238" s="21"/>
      <c r="K238" s="28"/>
      <c r="L238" s="2"/>
      <c r="M238" s="52"/>
      <c r="N238" s="2"/>
      <c r="O238" s="2"/>
      <c r="P238" s="36"/>
      <c r="Q238" s="36"/>
      <c r="R238" s="36"/>
      <c r="S238" s="36"/>
      <c r="T238" s="36"/>
      <c r="U238" s="36"/>
      <c r="V238" s="36"/>
      <c r="W238" s="36"/>
      <c r="X238" s="36"/>
      <c r="Y238" s="36"/>
      <c r="Z238" s="36"/>
      <c r="AA238" s="36"/>
      <c r="AB238" s="2"/>
    </row>
    <row r="239" spans="1:28" ht="8.1" customHeight="1" x14ac:dyDescent="0.25">
      <c r="A239" s="2"/>
      <c r="B239" s="2"/>
      <c r="C239" s="2"/>
      <c r="D239" s="2"/>
      <c r="E239" s="2"/>
      <c r="F239" s="2"/>
      <c r="G239" s="2"/>
      <c r="H239" s="2"/>
      <c r="I239" s="28"/>
      <c r="J239" s="2"/>
      <c r="K239" s="28"/>
      <c r="L239" s="2"/>
      <c r="M239" s="52"/>
      <c r="N239" s="2"/>
      <c r="O239" s="2"/>
      <c r="P239" s="36"/>
      <c r="Q239" s="36"/>
      <c r="R239" s="36"/>
      <c r="S239" s="36"/>
      <c r="T239" s="36"/>
      <c r="U239" s="36"/>
      <c r="V239" s="36"/>
      <c r="W239" s="36"/>
      <c r="X239" s="36"/>
      <c r="Y239" s="36"/>
      <c r="Z239" s="36"/>
      <c r="AA239" s="36"/>
      <c r="AB239" s="2"/>
    </row>
    <row r="240" spans="1:28" s="5" customFormat="1" x14ac:dyDescent="0.25">
      <c r="A240" s="3"/>
      <c r="B240" s="3"/>
      <c r="C240" s="3"/>
      <c r="D240" s="111"/>
      <c r="E240" s="3" t="str">
        <f>KPI!$E$53</f>
        <v>коммунальные расходы - оплата</v>
      </c>
      <c r="F240" s="3"/>
      <c r="G240" s="3" t="str">
        <f>IF($E240="","",INDEX(KPI!$G:$G,SUMIFS(KPI!$B:$B,KPI!$E:$E,$E240)))</f>
        <v>тыс.руб.</v>
      </c>
      <c r="H240" s="116" t="str">
        <f>структура!$AL$20</f>
        <v>Заложен сдвиг на один месяц!</v>
      </c>
      <c r="I240" s="28"/>
      <c r="J240" s="44"/>
      <c r="K240" s="28"/>
      <c r="L240" s="3"/>
      <c r="M240" s="55">
        <f>SUM($O240:$AB240)</f>
        <v>1835.48442</v>
      </c>
      <c r="N240" s="3"/>
      <c r="O240" s="3"/>
      <c r="P240" s="46">
        <f>IF(P$1="",0,IF(P$1=0,SUMIFS(P241:P252,H241:H252,"&gt;="&amp;MONTH($J$13)),SUM(P241:P252)))</f>
        <v>238.88502000000005</v>
      </c>
      <c r="Q240" s="46">
        <f t="shared" ref="Q240" si="50">IF(Q$1="",0,SUM(Q241:Q252))</f>
        <v>265.81038000000001</v>
      </c>
      <c r="R240" s="46">
        <f t="shared" ref="R240:AA240" si="51">IF(R$1="",0,SUM(R241:R252))</f>
        <v>266.67894000000001</v>
      </c>
      <c r="S240" s="46">
        <f t="shared" si="51"/>
        <v>265.81038000000001</v>
      </c>
      <c r="T240" s="46">
        <f t="shared" si="51"/>
        <v>265.81038000000001</v>
      </c>
      <c r="U240" s="46">
        <f t="shared" si="51"/>
        <v>265.81038000000001</v>
      </c>
      <c r="V240" s="46">
        <f t="shared" si="51"/>
        <v>266.67894000000001</v>
      </c>
      <c r="W240" s="46">
        <f t="shared" si="51"/>
        <v>0</v>
      </c>
      <c r="X240" s="46">
        <f t="shared" si="51"/>
        <v>0</v>
      </c>
      <c r="Y240" s="46">
        <f t="shared" si="51"/>
        <v>0</v>
      </c>
      <c r="Z240" s="46">
        <f t="shared" si="51"/>
        <v>0</v>
      </c>
      <c r="AA240" s="46">
        <f t="shared" si="51"/>
        <v>0</v>
      </c>
      <c r="AB240" s="3"/>
    </row>
    <row r="241" spans="1:28" s="23" customFormat="1" ht="10.199999999999999" x14ac:dyDescent="0.2">
      <c r="A241" s="22"/>
      <c r="B241" s="22"/>
      <c r="C241" s="22"/>
      <c r="D241" s="22"/>
      <c r="E241" s="22" t="str">
        <f>E240</f>
        <v>коммунальные расходы - оплата</v>
      </c>
      <c r="F241" s="22"/>
      <c r="G241" s="22" t="str">
        <f>IF($E241="","",INDEX(KPI!$G:$G,SUMIFS(KPI!$B:$B,KPI!$E:$E,$E241)))</f>
        <v>тыс.руб.</v>
      </c>
      <c r="H241" s="100">
        <f>структура!$V$12</f>
        <v>1</v>
      </c>
      <c r="I241" s="31"/>
      <c r="J241" s="98" t="str">
        <f>структура!$X$12</f>
        <v>янв</v>
      </c>
      <c r="K241" s="99"/>
      <c r="L241" s="22"/>
      <c r="M241" s="58"/>
      <c r="N241" s="22"/>
      <c r="O241" s="22"/>
      <c r="P241" s="101">
        <f t="shared" ref="P241" si="52">IF(P$1="",0,O237)</f>
        <v>0</v>
      </c>
      <c r="Q241" s="101">
        <f>IF(Q$1="",0,P237)</f>
        <v>26.925360000000001</v>
      </c>
      <c r="R241" s="101">
        <f t="shared" ref="R241:AA241" si="53">IF(R$1="",0,Q237)</f>
        <v>26.925360000000001</v>
      </c>
      <c r="S241" s="101">
        <f t="shared" si="53"/>
        <v>26.925360000000001</v>
      </c>
      <c r="T241" s="101">
        <f t="shared" si="53"/>
        <v>26.925360000000001</v>
      </c>
      <c r="U241" s="101">
        <f t="shared" si="53"/>
        <v>26.925360000000001</v>
      </c>
      <c r="V241" s="101">
        <f t="shared" si="53"/>
        <v>26.925360000000001</v>
      </c>
      <c r="W241" s="101">
        <f t="shared" si="53"/>
        <v>0</v>
      </c>
      <c r="X241" s="101">
        <f t="shared" si="53"/>
        <v>0</v>
      </c>
      <c r="Y241" s="101">
        <f t="shared" si="53"/>
        <v>0</v>
      </c>
      <c r="Z241" s="101">
        <f t="shared" si="53"/>
        <v>0</v>
      </c>
      <c r="AA241" s="101">
        <f t="shared" si="53"/>
        <v>0</v>
      </c>
      <c r="AB241" s="22"/>
    </row>
    <row r="242" spans="1:28" s="23" customFormat="1" ht="10.199999999999999" x14ac:dyDescent="0.2">
      <c r="A242" s="22"/>
      <c r="B242" s="22"/>
      <c r="C242" s="22"/>
      <c r="D242" s="22"/>
      <c r="E242" s="22" t="str">
        <f>E240</f>
        <v>коммунальные расходы - оплата</v>
      </c>
      <c r="F242" s="22"/>
      <c r="G242" s="22" t="str">
        <f>IF($E242="","",INDEX(KPI!$G:$G,SUMIFS(KPI!$B:$B,KPI!$E:$E,$E242)))</f>
        <v>тыс.руб.</v>
      </c>
      <c r="H242" s="100">
        <f>структура!$V$13</f>
        <v>2</v>
      </c>
      <c r="I242" s="31"/>
      <c r="J242" s="98" t="str">
        <f>структура!$X$13</f>
        <v>фев</v>
      </c>
      <c r="K242" s="99"/>
      <c r="L242" s="22"/>
      <c r="M242" s="58"/>
      <c r="N242" s="22"/>
      <c r="O242" s="22"/>
      <c r="P242" s="101">
        <f>IF(P$1="",0,P226)</f>
        <v>26.925360000000001</v>
      </c>
      <c r="Q242" s="101">
        <f t="shared" ref="Q242:AA242" si="54">IF(Q$1="",0,Q226)</f>
        <v>26.925360000000001</v>
      </c>
      <c r="R242" s="101">
        <f t="shared" si="54"/>
        <v>26.925360000000001</v>
      </c>
      <c r="S242" s="101">
        <f t="shared" si="54"/>
        <v>26.925360000000001</v>
      </c>
      <c r="T242" s="101">
        <f t="shared" si="54"/>
        <v>26.925360000000001</v>
      </c>
      <c r="U242" s="101">
        <f t="shared" si="54"/>
        <v>26.925360000000001</v>
      </c>
      <c r="V242" s="101">
        <f t="shared" si="54"/>
        <v>26.925360000000001</v>
      </c>
      <c r="W242" s="101">
        <f t="shared" si="54"/>
        <v>0</v>
      </c>
      <c r="X242" s="101">
        <f t="shared" si="54"/>
        <v>0</v>
      </c>
      <c r="Y242" s="101">
        <f t="shared" si="54"/>
        <v>0</v>
      </c>
      <c r="Z242" s="101">
        <f t="shared" si="54"/>
        <v>0</v>
      </c>
      <c r="AA242" s="101">
        <f t="shared" si="54"/>
        <v>0</v>
      </c>
      <c r="AB242" s="22"/>
    </row>
    <row r="243" spans="1:28" s="23" customFormat="1" ht="10.199999999999999" x14ac:dyDescent="0.2">
      <c r="A243" s="22"/>
      <c r="B243" s="22"/>
      <c r="C243" s="22"/>
      <c r="D243" s="22"/>
      <c r="E243" s="22" t="str">
        <f>E240</f>
        <v>коммунальные расходы - оплата</v>
      </c>
      <c r="F243" s="22"/>
      <c r="G243" s="22" t="str">
        <f>IF($E243="","",INDEX(KPI!$G:$G,SUMIFS(KPI!$B:$B,KPI!$E:$E,$E243)))</f>
        <v>тыс.руб.</v>
      </c>
      <c r="H243" s="100">
        <f>структура!$V$14</f>
        <v>3</v>
      </c>
      <c r="I243" s="31"/>
      <c r="J243" s="98" t="str">
        <f>структура!$X$14</f>
        <v>мар</v>
      </c>
      <c r="K243" s="99"/>
      <c r="L243" s="22"/>
      <c r="M243" s="58"/>
      <c r="N243" s="22"/>
      <c r="O243" s="22"/>
      <c r="P243" s="101">
        <f t="shared" ref="P243:AA252" si="55">IF(P$1="",0,P227)</f>
        <v>24.319679999999998</v>
      </c>
      <c r="Q243" s="101">
        <f t="shared" si="55"/>
        <v>24.319679999999998</v>
      </c>
      <c r="R243" s="101">
        <f t="shared" si="55"/>
        <v>25.18824</v>
      </c>
      <c r="S243" s="101">
        <f t="shared" si="55"/>
        <v>24.319679999999998</v>
      </c>
      <c r="T243" s="101">
        <f t="shared" si="55"/>
        <v>24.319679999999998</v>
      </c>
      <c r="U243" s="101">
        <f t="shared" si="55"/>
        <v>24.319679999999998</v>
      </c>
      <c r="V243" s="101">
        <f t="shared" si="55"/>
        <v>25.18824</v>
      </c>
      <c r="W243" s="101">
        <f t="shared" si="55"/>
        <v>0</v>
      </c>
      <c r="X243" s="101">
        <f t="shared" si="55"/>
        <v>0</v>
      </c>
      <c r="Y243" s="101">
        <f t="shared" si="55"/>
        <v>0</v>
      </c>
      <c r="Z243" s="101">
        <f t="shared" si="55"/>
        <v>0</v>
      </c>
      <c r="AA243" s="101">
        <f t="shared" si="55"/>
        <v>0</v>
      </c>
      <c r="AB243" s="22"/>
    </row>
    <row r="244" spans="1:28" s="23" customFormat="1" ht="10.199999999999999" x14ac:dyDescent="0.2">
      <c r="A244" s="22"/>
      <c r="B244" s="22"/>
      <c r="C244" s="22"/>
      <c r="D244" s="22"/>
      <c r="E244" s="22" t="str">
        <f>E240</f>
        <v>коммунальные расходы - оплата</v>
      </c>
      <c r="F244" s="22"/>
      <c r="G244" s="22" t="str">
        <f>IF($E244="","",INDEX(KPI!$G:$G,SUMIFS(KPI!$B:$B,KPI!$E:$E,$E244)))</f>
        <v>тыс.руб.</v>
      </c>
      <c r="H244" s="100">
        <f>структура!$V$15</f>
        <v>4</v>
      </c>
      <c r="I244" s="31"/>
      <c r="J244" s="98" t="str">
        <f>структура!$X$15</f>
        <v>апр</v>
      </c>
      <c r="K244" s="99"/>
      <c r="L244" s="22"/>
      <c r="M244" s="58"/>
      <c r="N244" s="22"/>
      <c r="O244" s="22"/>
      <c r="P244" s="101">
        <f t="shared" si="55"/>
        <v>23.078880000000002</v>
      </c>
      <c r="Q244" s="101">
        <f>IF(Q$1="",0,Q228)</f>
        <v>23.078880000000002</v>
      </c>
      <c r="R244" s="101">
        <f t="shared" si="55"/>
        <v>23.078880000000002</v>
      </c>
      <c r="S244" s="101">
        <f t="shared" si="55"/>
        <v>23.078880000000002</v>
      </c>
      <c r="T244" s="101">
        <f t="shared" si="55"/>
        <v>23.078880000000002</v>
      </c>
      <c r="U244" s="101">
        <f t="shared" si="55"/>
        <v>23.078880000000002</v>
      </c>
      <c r="V244" s="101">
        <f t="shared" si="55"/>
        <v>23.078880000000002</v>
      </c>
      <c r="W244" s="101">
        <f t="shared" si="55"/>
        <v>0</v>
      </c>
      <c r="X244" s="101">
        <f t="shared" si="55"/>
        <v>0</v>
      </c>
      <c r="Y244" s="101">
        <f t="shared" si="55"/>
        <v>0</v>
      </c>
      <c r="Z244" s="101">
        <f t="shared" si="55"/>
        <v>0</v>
      </c>
      <c r="AA244" s="101">
        <f t="shared" si="55"/>
        <v>0</v>
      </c>
      <c r="AB244" s="22"/>
    </row>
    <row r="245" spans="1:28" s="23" customFormat="1" ht="10.199999999999999" x14ac:dyDescent="0.2">
      <c r="A245" s="22"/>
      <c r="B245" s="22"/>
      <c r="C245" s="22"/>
      <c r="D245" s="22"/>
      <c r="E245" s="22" t="str">
        <f>E240</f>
        <v>коммунальные расходы - оплата</v>
      </c>
      <c r="F245" s="22"/>
      <c r="G245" s="22" t="str">
        <f>IF($E245="","",INDEX(KPI!$G:$G,SUMIFS(KPI!$B:$B,KPI!$E:$E,$E245)))</f>
        <v>тыс.руб.</v>
      </c>
      <c r="H245" s="100">
        <f>структура!$V$16</f>
        <v>5</v>
      </c>
      <c r="I245" s="31"/>
      <c r="J245" s="98" t="str">
        <f>структура!$X$16</f>
        <v>май</v>
      </c>
      <c r="K245" s="99"/>
      <c r="L245" s="22"/>
      <c r="M245" s="58"/>
      <c r="N245" s="22"/>
      <c r="O245" s="22"/>
      <c r="P245" s="101">
        <f t="shared" si="55"/>
        <v>21.4038</v>
      </c>
      <c r="Q245" s="101">
        <f t="shared" si="55"/>
        <v>21.4038</v>
      </c>
      <c r="R245" s="101">
        <f t="shared" si="55"/>
        <v>21.4038</v>
      </c>
      <c r="S245" s="101">
        <f t="shared" si="55"/>
        <v>21.4038</v>
      </c>
      <c r="T245" s="101">
        <f t="shared" si="55"/>
        <v>21.4038</v>
      </c>
      <c r="U245" s="101">
        <f t="shared" si="55"/>
        <v>21.4038</v>
      </c>
      <c r="V245" s="101">
        <f t="shared" si="55"/>
        <v>21.4038</v>
      </c>
      <c r="W245" s="101">
        <f t="shared" si="55"/>
        <v>0</v>
      </c>
      <c r="X245" s="101">
        <f t="shared" si="55"/>
        <v>0</v>
      </c>
      <c r="Y245" s="101">
        <f t="shared" si="55"/>
        <v>0</v>
      </c>
      <c r="Z245" s="101">
        <f t="shared" si="55"/>
        <v>0</v>
      </c>
      <c r="AA245" s="101">
        <f t="shared" si="55"/>
        <v>0</v>
      </c>
      <c r="AB245" s="22"/>
    </row>
    <row r="246" spans="1:28" s="23" customFormat="1" ht="10.199999999999999" x14ac:dyDescent="0.2">
      <c r="A246" s="22"/>
      <c r="B246" s="22"/>
      <c r="C246" s="22"/>
      <c r="D246" s="22"/>
      <c r="E246" s="22" t="str">
        <f>E240</f>
        <v>коммунальные расходы - оплата</v>
      </c>
      <c r="F246" s="22"/>
      <c r="G246" s="22" t="str">
        <f>IF($E246="","",INDEX(KPI!$G:$G,SUMIFS(KPI!$B:$B,KPI!$E:$E,$E246)))</f>
        <v>тыс.руб.</v>
      </c>
      <c r="H246" s="100">
        <f>структура!$V$17</f>
        <v>6</v>
      </c>
      <c r="I246" s="31"/>
      <c r="J246" s="98" t="str">
        <f>структура!$X$17</f>
        <v>июн</v>
      </c>
      <c r="K246" s="99"/>
      <c r="L246" s="22"/>
      <c r="M246" s="58"/>
      <c r="N246" s="22"/>
      <c r="O246" s="22"/>
      <c r="P246" s="101">
        <f t="shared" si="55"/>
        <v>21.155640000000005</v>
      </c>
      <c r="Q246" s="101">
        <f t="shared" si="55"/>
        <v>21.155640000000005</v>
      </c>
      <c r="R246" s="101">
        <f t="shared" si="55"/>
        <v>21.155640000000005</v>
      </c>
      <c r="S246" s="101">
        <f t="shared" si="55"/>
        <v>21.155640000000005</v>
      </c>
      <c r="T246" s="101">
        <f t="shared" si="55"/>
        <v>21.155640000000005</v>
      </c>
      <c r="U246" s="101">
        <f t="shared" si="55"/>
        <v>21.155640000000005</v>
      </c>
      <c r="V246" s="101">
        <f t="shared" si="55"/>
        <v>21.155640000000005</v>
      </c>
      <c r="W246" s="101">
        <f t="shared" si="55"/>
        <v>0</v>
      </c>
      <c r="X246" s="101">
        <f t="shared" si="55"/>
        <v>0</v>
      </c>
      <c r="Y246" s="101">
        <f t="shared" si="55"/>
        <v>0</v>
      </c>
      <c r="Z246" s="101">
        <f t="shared" si="55"/>
        <v>0</v>
      </c>
      <c r="AA246" s="101">
        <f t="shared" si="55"/>
        <v>0</v>
      </c>
      <c r="AB246" s="22"/>
    </row>
    <row r="247" spans="1:28" s="23" customFormat="1" ht="10.199999999999999" x14ac:dyDescent="0.2">
      <c r="A247" s="22"/>
      <c r="B247" s="22"/>
      <c r="C247" s="22"/>
      <c r="D247" s="22"/>
      <c r="E247" s="22" t="str">
        <f>E240</f>
        <v>коммунальные расходы - оплата</v>
      </c>
      <c r="F247" s="22"/>
      <c r="G247" s="22" t="str">
        <f>IF($E247="","",INDEX(KPI!$G:$G,SUMIFS(KPI!$B:$B,KPI!$E:$E,$E247)))</f>
        <v>тыс.руб.</v>
      </c>
      <c r="H247" s="100">
        <f>структура!$V$18</f>
        <v>7</v>
      </c>
      <c r="I247" s="31"/>
      <c r="J247" s="98" t="str">
        <f>структура!$X$18</f>
        <v>июл</v>
      </c>
      <c r="K247" s="99"/>
      <c r="L247" s="22"/>
      <c r="M247" s="58"/>
      <c r="N247" s="22"/>
      <c r="O247" s="22"/>
      <c r="P247" s="101">
        <f t="shared" si="55"/>
        <v>18.612000000000002</v>
      </c>
      <c r="Q247" s="101">
        <f t="shared" si="55"/>
        <v>18.612000000000002</v>
      </c>
      <c r="R247" s="101">
        <f t="shared" si="55"/>
        <v>18.612000000000002</v>
      </c>
      <c r="S247" s="101">
        <f t="shared" si="55"/>
        <v>18.612000000000002</v>
      </c>
      <c r="T247" s="101">
        <f t="shared" si="55"/>
        <v>18.612000000000002</v>
      </c>
      <c r="U247" s="101">
        <f t="shared" si="55"/>
        <v>18.612000000000002</v>
      </c>
      <c r="V247" s="101">
        <f t="shared" si="55"/>
        <v>18.612000000000002</v>
      </c>
      <c r="W247" s="101">
        <f t="shared" si="55"/>
        <v>0</v>
      </c>
      <c r="X247" s="101">
        <f t="shared" si="55"/>
        <v>0</v>
      </c>
      <c r="Y247" s="101">
        <f t="shared" si="55"/>
        <v>0</v>
      </c>
      <c r="Z247" s="101">
        <f t="shared" si="55"/>
        <v>0</v>
      </c>
      <c r="AA247" s="101">
        <f t="shared" si="55"/>
        <v>0</v>
      </c>
      <c r="AB247" s="22"/>
    </row>
    <row r="248" spans="1:28" s="23" customFormat="1" ht="10.199999999999999" x14ac:dyDescent="0.2">
      <c r="A248" s="22"/>
      <c r="B248" s="22"/>
      <c r="C248" s="22"/>
      <c r="D248" s="22"/>
      <c r="E248" s="22" t="str">
        <f>E240</f>
        <v>коммунальные расходы - оплата</v>
      </c>
      <c r="F248" s="22"/>
      <c r="G248" s="22" t="str">
        <f>IF($E248="","",INDEX(KPI!$G:$G,SUMIFS(KPI!$B:$B,KPI!$E:$E,$E248)))</f>
        <v>тыс.руб.</v>
      </c>
      <c r="H248" s="100">
        <f>структура!$V$19</f>
        <v>8</v>
      </c>
      <c r="I248" s="31"/>
      <c r="J248" s="98" t="str">
        <f>структура!$X$19</f>
        <v>авг</v>
      </c>
      <c r="K248" s="99"/>
      <c r="L248" s="22"/>
      <c r="M248" s="58"/>
      <c r="N248" s="22"/>
      <c r="O248" s="22"/>
      <c r="P248" s="101">
        <f t="shared" si="55"/>
        <v>19.232400000000002</v>
      </c>
      <c r="Q248" s="101">
        <f t="shared" si="55"/>
        <v>19.232400000000002</v>
      </c>
      <c r="R248" s="101">
        <f t="shared" si="55"/>
        <v>19.232400000000002</v>
      </c>
      <c r="S248" s="101">
        <f t="shared" si="55"/>
        <v>19.232400000000002</v>
      </c>
      <c r="T248" s="101">
        <f t="shared" si="55"/>
        <v>19.232400000000002</v>
      </c>
      <c r="U248" s="101">
        <f t="shared" si="55"/>
        <v>19.232400000000002</v>
      </c>
      <c r="V248" s="101">
        <f t="shared" si="55"/>
        <v>19.232400000000002</v>
      </c>
      <c r="W248" s="101">
        <f t="shared" si="55"/>
        <v>0</v>
      </c>
      <c r="X248" s="101">
        <f t="shared" si="55"/>
        <v>0</v>
      </c>
      <c r="Y248" s="101">
        <f t="shared" si="55"/>
        <v>0</v>
      </c>
      <c r="Z248" s="101">
        <f t="shared" si="55"/>
        <v>0</v>
      </c>
      <c r="AA248" s="101">
        <f t="shared" si="55"/>
        <v>0</v>
      </c>
      <c r="AB248" s="22"/>
    </row>
    <row r="249" spans="1:28" s="23" customFormat="1" ht="10.199999999999999" x14ac:dyDescent="0.2">
      <c r="A249" s="22"/>
      <c r="B249" s="22"/>
      <c r="C249" s="22"/>
      <c r="D249" s="22"/>
      <c r="E249" s="22" t="str">
        <f>E240</f>
        <v>коммунальные расходы - оплата</v>
      </c>
      <c r="F249" s="22"/>
      <c r="G249" s="22" t="str">
        <f>IF($E249="","",INDEX(KPI!$G:$G,SUMIFS(KPI!$B:$B,KPI!$E:$E,$E249)))</f>
        <v>тыс.руб.</v>
      </c>
      <c r="H249" s="100">
        <f>структура!$V$20</f>
        <v>9</v>
      </c>
      <c r="I249" s="31"/>
      <c r="J249" s="98" t="str">
        <f>структура!$X$20</f>
        <v>сен</v>
      </c>
      <c r="K249" s="99"/>
      <c r="L249" s="22"/>
      <c r="M249" s="58"/>
      <c r="N249" s="22"/>
      <c r="O249" s="22"/>
      <c r="P249" s="101">
        <f t="shared" si="55"/>
        <v>19.232400000000002</v>
      </c>
      <c r="Q249" s="101">
        <f t="shared" si="55"/>
        <v>19.232400000000002</v>
      </c>
      <c r="R249" s="101">
        <f t="shared" si="55"/>
        <v>19.232400000000002</v>
      </c>
      <c r="S249" s="101">
        <f t="shared" si="55"/>
        <v>19.232400000000002</v>
      </c>
      <c r="T249" s="101">
        <f t="shared" si="55"/>
        <v>19.232400000000002</v>
      </c>
      <c r="U249" s="101">
        <f t="shared" si="55"/>
        <v>19.232400000000002</v>
      </c>
      <c r="V249" s="101">
        <f t="shared" si="55"/>
        <v>19.232400000000002</v>
      </c>
      <c r="W249" s="101">
        <f t="shared" si="55"/>
        <v>0</v>
      </c>
      <c r="X249" s="101">
        <f t="shared" si="55"/>
        <v>0</v>
      </c>
      <c r="Y249" s="101">
        <f t="shared" si="55"/>
        <v>0</v>
      </c>
      <c r="Z249" s="101">
        <f t="shared" si="55"/>
        <v>0</v>
      </c>
      <c r="AA249" s="101">
        <f t="shared" si="55"/>
        <v>0</v>
      </c>
      <c r="AB249" s="22"/>
    </row>
    <row r="250" spans="1:28" s="23" customFormat="1" ht="10.199999999999999" x14ac:dyDescent="0.2">
      <c r="A250" s="22"/>
      <c r="B250" s="22"/>
      <c r="C250" s="22"/>
      <c r="D250" s="22"/>
      <c r="E250" s="22" t="str">
        <f>E240</f>
        <v>коммунальные расходы - оплата</v>
      </c>
      <c r="F250" s="22"/>
      <c r="G250" s="22" t="str">
        <f>IF($E250="","",INDEX(KPI!$G:$G,SUMIFS(KPI!$B:$B,KPI!$E:$E,$E250)))</f>
        <v>тыс.руб.</v>
      </c>
      <c r="H250" s="100">
        <f>структура!$V$21</f>
        <v>10</v>
      </c>
      <c r="I250" s="31"/>
      <c r="J250" s="98" t="str">
        <f>структура!$X$21</f>
        <v>окт</v>
      </c>
      <c r="K250" s="99"/>
      <c r="L250" s="22"/>
      <c r="M250" s="58"/>
      <c r="N250" s="22"/>
      <c r="O250" s="22"/>
      <c r="P250" s="101">
        <f t="shared" si="55"/>
        <v>20.473200000000006</v>
      </c>
      <c r="Q250" s="101">
        <f t="shared" si="55"/>
        <v>20.473200000000006</v>
      </c>
      <c r="R250" s="101">
        <f t="shared" si="55"/>
        <v>20.473200000000006</v>
      </c>
      <c r="S250" s="101">
        <f t="shared" si="55"/>
        <v>20.473200000000006</v>
      </c>
      <c r="T250" s="101">
        <f t="shared" si="55"/>
        <v>20.473200000000006</v>
      </c>
      <c r="U250" s="101">
        <f t="shared" si="55"/>
        <v>20.473200000000006</v>
      </c>
      <c r="V250" s="101">
        <f t="shared" si="55"/>
        <v>20.473200000000006</v>
      </c>
      <c r="W250" s="101">
        <f t="shared" si="55"/>
        <v>0</v>
      </c>
      <c r="X250" s="101">
        <f t="shared" si="55"/>
        <v>0</v>
      </c>
      <c r="Y250" s="101">
        <f t="shared" si="55"/>
        <v>0</v>
      </c>
      <c r="Z250" s="101">
        <f t="shared" si="55"/>
        <v>0</v>
      </c>
      <c r="AA250" s="101">
        <f t="shared" si="55"/>
        <v>0</v>
      </c>
      <c r="AB250" s="22"/>
    </row>
    <row r="251" spans="1:28" s="23" customFormat="1" ht="10.199999999999999" x14ac:dyDescent="0.2">
      <c r="A251" s="22"/>
      <c r="B251" s="22"/>
      <c r="C251" s="22"/>
      <c r="D251" s="22"/>
      <c r="E251" s="22" t="str">
        <f>E240</f>
        <v>коммунальные расходы - оплата</v>
      </c>
      <c r="F251" s="22"/>
      <c r="G251" s="22" t="str">
        <f>IF($E251="","",INDEX(KPI!$G:$G,SUMIFS(KPI!$B:$B,KPI!$E:$E,$E251)))</f>
        <v>тыс.руб.</v>
      </c>
      <c r="H251" s="100">
        <f>структура!$V$22</f>
        <v>11</v>
      </c>
      <c r="I251" s="31"/>
      <c r="J251" s="98" t="str">
        <f>структура!$X$22</f>
        <v>ноя</v>
      </c>
      <c r="K251" s="99"/>
      <c r="L251" s="22"/>
      <c r="M251" s="58"/>
      <c r="N251" s="22"/>
      <c r="O251" s="22"/>
      <c r="P251" s="101">
        <f t="shared" si="55"/>
        <v>22.117259999999998</v>
      </c>
      <c r="Q251" s="101">
        <f>IF(Q$1="",0,Q235)</f>
        <v>22.117259999999998</v>
      </c>
      <c r="R251" s="101">
        <f t="shared" si="55"/>
        <v>22.117259999999998</v>
      </c>
      <c r="S251" s="101">
        <f t="shared" si="55"/>
        <v>22.117259999999998</v>
      </c>
      <c r="T251" s="101">
        <f t="shared" si="55"/>
        <v>22.117259999999998</v>
      </c>
      <c r="U251" s="101">
        <f t="shared" si="55"/>
        <v>22.117259999999998</v>
      </c>
      <c r="V251" s="101">
        <f t="shared" si="55"/>
        <v>22.117259999999998</v>
      </c>
      <c r="W251" s="101">
        <f t="shared" si="55"/>
        <v>0</v>
      </c>
      <c r="X251" s="101">
        <f t="shared" si="55"/>
        <v>0</v>
      </c>
      <c r="Y251" s="101">
        <f t="shared" si="55"/>
        <v>0</v>
      </c>
      <c r="Z251" s="101">
        <f t="shared" si="55"/>
        <v>0</v>
      </c>
      <c r="AA251" s="101">
        <f t="shared" si="55"/>
        <v>0</v>
      </c>
      <c r="AB251" s="22"/>
    </row>
    <row r="252" spans="1:28" s="23" customFormat="1" ht="10.199999999999999" x14ac:dyDescent="0.2">
      <c r="A252" s="22"/>
      <c r="B252" s="22"/>
      <c r="C252" s="22"/>
      <c r="D252" s="22"/>
      <c r="E252" s="22" t="str">
        <f>E240</f>
        <v>коммунальные расходы - оплата</v>
      </c>
      <c r="F252" s="22"/>
      <c r="G252" s="22" t="str">
        <f>IF($E252="","",INDEX(KPI!$G:$G,SUMIFS(KPI!$B:$B,KPI!$E:$E,$E252)))</f>
        <v>тыс.руб.</v>
      </c>
      <c r="H252" s="100">
        <f>структура!$V$23</f>
        <v>12</v>
      </c>
      <c r="I252" s="31"/>
      <c r="J252" s="98" t="str">
        <f>структура!$X$23</f>
        <v>дек</v>
      </c>
      <c r="K252" s="99"/>
      <c r="L252" s="22"/>
      <c r="M252" s="58"/>
      <c r="N252" s="22"/>
      <c r="O252" s="22"/>
      <c r="P252" s="101">
        <f t="shared" si="55"/>
        <v>22.334400000000002</v>
      </c>
      <c r="Q252" s="101">
        <f>IF(Q$1="",0,Q236)</f>
        <v>22.334400000000002</v>
      </c>
      <c r="R252" s="101">
        <f t="shared" si="55"/>
        <v>22.334400000000002</v>
      </c>
      <c r="S252" s="101">
        <f t="shared" si="55"/>
        <v>22.334400000000002</v>
      </c>
      <c r="T252" s="101">
        <f t="shared" si="55"/>
        <v>22.334400000000002</v>
      </c>
      <c r="U252" s="101">
        <f t="shared" si="55"/>
        <v>22.334400000000002</v>
      </c>
      <c r="V252" s="101">
        <f t="shared" si="55"/>
        <v>22.334400000000002</v>
      </c>
      <c r="W252" s="101">
        <f t="shared" si="55"/>
        <v>0</v>
      </c>
      <c r="X252" s="101">
        <f t="shared" si="55"/>
        <v>0</v>
      </c>
      <c r="Y252" s="101">
        <f t="shared" si="55"/>
        <v>0</v>
      </c>
      <c r="Z252" s="101">
        <f t="shared" si="55"/>
        <v>0</v>
      </c>
      <c r="AA252" s="101">
        <f t="shared" si="55"/>
        <v>0</v>
      </c>
      <c r="AB252" s="22"/>
    </row>
    <row r="253" spans="1:28" ht="3.9" customHeight="1" x14ac:dyDescent="0.25">
      <c r="A253" s="2"/>
      <c r="B253" s="2"/>
      <c r="C253" s="2"/>
      <c r="D253" s="2"/>
      <c r="E253" s="21"/>
      <c r="F253" s="2"/>
      <c r="G253" s="21"/>
      <c r="H253" s="2"/>
      <c r="I253" s="28"/>
      <c r="J253" s="21"/>
      <c r="K253" s="28"/>
      <c r="L253" s="2"/>
      <c r="M253" s="52"/>
      <c r="N253" s="2"/>
      <c r="O253" s="2"/>
      <c r="P253" s="36"/>
      <c r="Q253" s="36"/>
      <c r="R253" s="36"/>
      <c r="S253" s="36"/>
      <c r="T253" s="36"/>
      <c r="U253" s="36"/>
      <c r="V253" s="36"/>
      <c r="W253" s="36"/>
      <c r="X253" s="36"/>
      <c r="Y253" s="36"/>
      <c r="Z253" s="36"/>
      <c r="AA253" s="36"/>
      <c r="AB253" s="2"/>
    </row>
    <row r="254" spans="1:28" ht="8.1" customHeight="1" x14ac:dyDescent="0.25">
      <c r="A254" s="2"/>
      <c r="B254" s="2"/>
      <c r="C254" s="2"/>
      <c r="D254" s="2"/>
      <c r="E254" s="2"/>
      <c r="F254" s="2"/>
      <c r="G254" s="2"/>
      <c r="H254" s="2"/>
      <c r="I254" s="28"/>
      <c r="J254" s="2"/>
      <c r="K254" s="28"/>
      <c r="L254" s="2"/>
      <c r="M254" s="52"/>
      <c r="N254" s="2"/>
      <c r="O254" s="2"/>
      <c r="P254" s="36"/>
      <c r="Q254" s="36"/>
      <c r="R254" s="36"/>
      <c r="S254" s="36"/>
      <c r="T254" s="36"/>
      <c r="U254" s="36"/>
      <c r="V254" s="36"/>
      <c r="W254" s="36"/>
      <c r="X254" s="36"/>
      <c r="Y254" s="36"/>
      <c r="Z254" s="36"/>
      <c r="AA254" s="36"/>
      <c r="AB254" s="2"/>
    </row>
    <row r="255" spans="1:28" s="5" customFormat="1" x14ac:dyDescent="0.25">
      <c r="A255" s="3"/>
      <c r="B255" s="3"/>
      <c r="C255" s="3"/>
      <c r="D255" s="3"/>
      <c r="E255" s="3" t="str">
        <f>KPI!$E$54</f>
        <v>количество персонала</v>
      </c>
      <c r="F255" s="3"/>
      <c r="G255" s="3" t="str">
        <f>IF($E255="","",INDEX(KPI!$G:$G,SUMIFS(KPI!$B:$B,KPI!$E:$E,$E255)))</f>
        <v>чел</v>
      </c>
      <c r="H255" s="3"/>
      <c r="I255" s="6"/>
      <c r="J255" s="204">
        <f>операции!J330</f>
        <v>0</v>
      </c>
      <c r="K255" s="28"/>
      <c r="L255" s="2"/>
      <c r="M255" s="52"/>
      <c r="N255" s="3"/>
      <c r="O255" s="2"/>
      <c r="P255" s="36"/>
      <c r="Q255" s="36"/>
      <c r="R255" s="36"/>
      <c r="S255" s="36"/>
      <c r="T255" s="36"/>
      <c r="U255" s="36"/>
      <c r="V255" s="36"/>
      <c r="W255" s="36"/>
      <c r="X255" s="36"/>
      <c r="Y255" s="36"/>
      <c r="Z255" s="36"/>
      <c r="AA255" s="36"/>
      <c r="AB255" s="2"/>
    </row>
    <row r="256" spans="1:28" s="5" customFormat="1" x14ac:dyDescent="0.25">
      <c r="A256" s="3"/>
      <c r="B256" s="3"/>
      <c r="C256" s="3"/>
      <c r="D256" s="3"/>
      <c r="E256" s="3" t="str">
        <f>KPI!$E$55</f>
        <v>средний оклад одного сотрудника</v>
      </c>
      <c r="F256" s="3"/>
      <c r="G256" s="3" t="str">
        <f>IF($E256="","",INDEX(KPI!$G:$G,SUMIFS(KPI!$B:$B,KPI!$E:$E,$E256)))</f>
        <v>тыс.руб.</v>
      </c>
      <c r="H256" s="3"/>
      <c r="I256" s="6"/>
      <c r="J256" s="204">
        <f>операции!J331</f>
        <v>0</v>
      </c>
      <c r="K256" s="28"/>
      <c r="L256" s="2"/>
      <c r="M256" s="52"/>
      <c r="N256" s="3"/>
      <c r="O256" s="2"/>
      <c r="P256" s="36"/>
      <c r="Q256" s="36"/>
      <c r="R256" s="36"/>
      <c r="S256" s="36"/>
      <c r="T256" s="36"/>
      <c r="U256" s="36"/>
      <c r="V256" s="36"/>
      <c r="W256" s="36"/>
      <c r="X256" s="36"/>
      <c r="Y256" s="36"/>
      <c r="Z256" s="36"/>
      <c r="AA256" s="36"/>
      <c r="AB256" s="2"/>
    </row>
    <row r="257" spans="1:28" s="5" customFormat="1" x14ac:dyDescent="0.25">
      <c r="A257" s="3"/>
      <c r="B257" s="3"/>
      <c r="C257" s="3"/>
      <c r="D257" s="3"/>
      <c r="E257" s="3" t="str">
        <f>KPI!$E$56</f>
        <v>ФОТ в месяц</v>
      </c>
      <c r="F257" s="3"/>
      <c r="G257" s="3" t="str">
        <f>IF($E257="","",INDEX(KPI!$G:$G,SUMIFS(KPI!$B:$B,KPI!$E:$E,$E257)))</f>
        <v>тыс.руб.</v>
      </c>
      <c r="H257" s="3"/>
      <c r="I257" s="6"/>
      <c r="J257" s="115">
        <f>J255*J256</f>
        <v>0</v>
      </c>
      <c r="K257" s="28"/>
      <c r="L257" s="2"/>
      <c r="M257" s="52"/>
      <c r="N257" s="3"/>
      <c r="O257" s="2"/>
      <c r="P257" s="36"/>
      <c r="Q257" s="36"/>
      <c r="R257" s="36"/>
      <c r="S257" s="36"/>
      <c r="T257" s="36"/>
      <c r="U257" s="36"/>
      <c r="V257" s="36"/>
      <c r="W257" s="36"/>
      <c r="X257" s="36"/>
      <c r="Y257" s="36"/>
      <c r="Z257" s="36"/>
      <c r="AA257" s="36"/>
      <c r="AB257" s="2"/>
    </row>
    <row r="258" spans="1:28" ht="3.9" customHeight="1" x14ac:dyDescent="0.25">
      <c r="A258" s="2"/>
      <c r="B258" s="2"/>
      <c r="C258" s="2"/>
      <c r="D258" s="2"/>
      <c r="E258" s="110"/>
      <c r="F258" s="2"/>
      <c r="G258" s="2"/>
      <c r="H258" s="2"/>
      <c r="I258" s="28"/>
      <c r="J258" s="2"/>
      <c r="K258" s="28"/>
      <c r="L258" s="2"/>
      <c r="M258" s="52"/>
      <c r="N258" s="2"/>
      <c r="O258" s="2"/>
      <c r="P258" s="36"/>
      <c r="Q258" s="36"/>
      <c r="R258" s="36"/>
      <c r="S258" s="36"/>
      <c r="T258" s="36"/>
      <c r="U258" s="36"/>
      <c r="V258" s="36"/>
      <c r="W258" s="36"/>
      <c r="X258" s="36"/>
      <c r="Y258" s="36"/>
      <c r="Z258" s="36"/>
      <c r="AA258" s="36"/>
      <c r="AB258" s="2"/>
    </row>
    <row r="259" spans="1:28" ht="8.1" customHeight="1" x14ac:dyDescent="0.25">
      <c r="A259" s="2"/>
      <c r="B259" s="2"/>
      <c r="C259" s="2"/>
      <c r="D259" s="2"/>
      <c r="E259" s="2"/>
      <c r="F259" s="2"/>
      <c r="G259" s="2"/>
      <c r="H259" s="2"/>
      <c r="I259" s="28"/>
      <c r="J259" s="2"/>
      <c r="K259" s="28"/>
      <c r="L259" s="2"/>
      <c r="M259" s="52"/>
      <c r="N259" s="2"/>
      <c r="O259" s="2"/>
      <c r="P259" s="36"/>
      <c r="Q259" s="36"/>
      <c r="R259" s="36"/>
      <c r="S259" s="36"/>
      <c r="T259" s="36"/>
      <c r="U259" s="36"/>
      <c r="V259" s="36"/>
      <c r="W259" s="36"/>
      <c r="X259" s="36"/>
      <c r="Y259" s="36"/>
      <c r="Z259" s="36"/>
      <c r="AA259" s="36"/>
      <c r="AB259" s="2"/>
    </row>
    <row r="260" spans="1:28" s="5" customFormat="1" x14ac:dyDescent="0.25">
      <c r="A260" s="3"/>
      <c r="B260" s="3"/>
      <c r="C260" s="3"/>
      <c r="D260" s="111"/>
      <c r="E260" s="3" t="str">
        <f>KPI!$E$57</f>
        <v>ФОТ - начисления/оплаты</v>
      </c>
      <c r="F260" s="3"/>
      <c r="G260" s="3" t="str">
        <f>IF($E260="","",INDEX(KPI!$G:$G,SUMIFS(KPI!$B:$B,KPI!$E:$E,$E260)))</f>
        <v>тыс.руб.</v>
      </c>
      <c r="H260" s="103"/>
      <c r="I260" s="28"/>
      <c r="J260" s="44"/>
      <c r="K260" s="28"/>
      <c r="L260" s="3"/>
      <c r="M260" s="55">
        <f>SUM($O260:$AB260)</f>
        <v>15540</v>
      </c>
      <c r="N260" s="3"/>
      <c r="O260" s="3"/>
      <c r="P260" s="46">
        <f>IF(P$1="",0,IF(P$1=0,SUMIFS(P261:P272,H261:H272,"&gt;="&amp;MONTH($J$13)),SUM(P261:P272)))</f>
        <v>2220</v>
      </c>
      <c r="Q260" s="46">
        <f t="shared" ref="Q260" si="56">IF(Q$1="",0,SUM(Q261:Q272))</f>
        <v>2220</v>
      </c>
      <c r="R260" s="46">
        <f t="shared" ref="R260:AA260" si="57">IF(R$1="",0,SUM(R261:R272))</f>
        <v>2220</v>
      </c>
      <c r="S260" s="46">
        <f t="shared" si="57"/>
        <v>2220</v>
      </c>
      <c r="T260" s="46">
        <f t="shared" si="57"/>
        <v>2220</v>
      </c>
      <c r="U260" s="46">
        <f t="shared" si="57"/>
        <v>2220</v>
      </c>
      <c r="V260" s="46">
        <f t="shared" si="57"/>
        <v>2220</v>
      </c>
      <c r="W260" s="46">
        <f t="shared" si="57"/>
        <v>0</v>
      </c>
      <c r="X260" s="46">
        <f t="shared" si="57"/>
        <v>0</v>
      </c>
      <c r="Y260" s="46">
        <f t="shared" si="57"/>
        <v>0</v>
      </c>
      <c r="Z260" s="46">
        <f t="shared" si="57"/>
        <v>0</v>
      </c>
      <c r="AA260" s="46">
        <f t="shared" si="57"/>
        <v>0</v>
      </c>
      <c r="AB260" s="3"/>
    </row>
    <row r="261" spans="1:28" s="23" customFormat="1" ht="10.199999999999999" x14ac:dyDescent="0.2">
      <c r="A261" s="22"/>
      <c r="B261" s="22"/>
      <c r="C261" s="22"/>
      <c r="D261" s="22"/>
      <c r="E261" s="22" t="str">
        <f>E260</f>
        <v>ФОТ - начисления/оплаты</v>
      </c>
      <c r="F261" s="22"/>
      <c r="G261" s="22" t="str">
        <f>IF($E261="","",INDEX(KPI!$G:$G,SUMIFS(KPI!$B:$B,KPI!$E:$E,$E261)))</f>
        <v>тыс.руб.</v>
      </c>
      <c r="H261" s="100">
        <f>структура!$V$12</f>
        <v>1</v>
      </c>
      <c r="I261" s="31"/>
      <c r="J261" s="98" t="str">
        <f>структура!$X$12</f>
        <v>янв</v>
      </c>
      <c r="K261" s="99"/>
      <c r="L261" s="22"/>
      <c r="M261" s="58"/>
      <c r="N261" s="22"/>
      <c r="O261" s="22"/>
      <c r="P261" s="101">
        <f>IF(P$1="",0,операции!P336)</f>
        <v>185</v>
      </c>
      <c r="Q261" s="101">
        <f>IF(Q$1="",0,операции!Q336)</f>
        <v>185</v>
      </c>
      <c r="R261" s="101">
        <f>IF(R$1="",0,операции!R336)</f>
        <v>185</v>
      </c>
      <c r="S261" s="101">
        <f>IF(S$1="",0,операции!S336)</f>
        <v>185</v>
      </c>
      <c r="T261" s="101">
        <f>IF(T$1="",0,операции!T336)</f>
        <v>185</v>
      </c>
      <c r="U261" s="101">
        <f>IF(U$1="",0,операции!U336)</f>
        <v>185</v>
      </c>
      <c r="V261" s="101">
        <f>IF(V$1="",0,операции!V336)</f>
        <v>185</v>
      </c>
      <c r="W261" s="101">
        <f>IF(W$1="",0,операции!W336)</f>
        <v>0</v>
      </c>
      <c r="X261" s="101">
        <f>IF(X$1="",0,операции!X336)</f>
        <v>0</v>
      </c>
      <c r="Y261" s="101">
        <f>IF(Y$1="",0,операции!Y336)</f>
        <v>0</v>
      </c>
      <c r="Z261" s="101">
        <f>IF(Z$1="",0,операции!Z336)</f>
        <v>0</v>
      </c>
      <c r="AA261" s="101">
        <f>IF(AA$1="",0,операции!AA336)</f>
        <v>0</v>
      </c>
      <c r="AB261" s="22"/>
    </row>
    <row r="262" spans="1:28" s="23" customFormat="1" ht="10.199999999999999" x14ac:dyDescent="0.2">
      <c r="A262" s="22"/>
      <c r="B262" s="22"/>
      <c r="C262" s="22"/>
      <c r="D262" s="22"/>
      <c r="E262" s="22" t="str">
        <f>E260</f>
        <v>ФОТ - начисления/оплаты</v>
      </c>
      <c r="F262" s="22"/>
      <c r="G262" s="22" t="str">
        <f>IF($E262="","",INDEX(KPI!$G:$G,SUMIFS(KPI!$B:$B,KPI!$E:$E,$E262)))</f>
        <v>тыс.руб.</v>
      </c>
      <c r="H262" s="100">
        <f>структура!$V$13</f>
        <v>2</v>
      </c>
      <c r="I262" s="31"/>
      <c r="J262" s="98" t="str">
        <f>структура!$X$13</f>
        <v>фев</v>
      </c>
      <c r="K262" s="99"/>
      <c r="L262" s="22"/>
      <c r="M262" s="58"/>
      <c r="N262" s="22"/>
      <c r="O262" s="22"/>
      <c r="P262" s="101">
        <f>IF(P$1="",0,операции!P337)</f>
        <v>185</v>
      </c>
      <c r="Q262" s="101">
        <f>IF(Q$1="",0,операции!Q337)</f>
        <v>185</v>
      </c>
      <c r="R262" s="101">
        <f>IF(R$1="",0,операции!R337)</f>
        <v>185</v>
      </c>
      <c r="S262" s="101">
        <f>IF(S$1="",0,операции!S337)</f>
        <v>185</v>
      </c>
      <c r="T262" s="101">
        <f>IF(T$1="",0,операции!T337)</f>
        <v>185</v>
      </c>
      <c r="U262" s="101">
        <f>IF(U$1="",0,операции!U337)</f>
        <v>185</v>
      </c>
      <c r="V262" s="101">
        <f>IF(V$1="",0,операции!V337)</f>
        <v>185</v>
      </c>
      <c r="W262" s="101">
        <f>IF(W$1="",0,операции!W337)</f>
        <v>0</v>
      </c>
      <c r="X262" s="101">
        <f>IF(X$1="",0,операции!X337)</f>
        <v>0</v>
      </c>
      <c r="Y262" s="101">
        <f>IF(Y$1="",0,операции!Y337)</f>
        <v>0</v>
      </c>
      <c r="Z262" s="101">
        <f>IF(Z$1="",0,операции!Z337)</f>
        <v>0</v>
      </c>
      <c r="AA262" s="101">
        <f>IF(AA$1="",0,операции!AA337)</f>
        <v>0</v>
      </c>
      <c r="AB262" s="22"/>
    </row>
    <row r="263" spans="1:28" s="23" customFormat="1" ht="10.199999999999999" x14ac:dyDescent="0.2">
      <c r="A263" s="22"/>
      <c r="B263" s="22"/>
      <c r="C263" s="22"/>
      <c r="D263" s="22"/>
      <c r="E263" s="22" t="str">
        <f>E260</f>
        <v>ФОТ - начисления/оплаты</v>
      </c>
      <c r="F263" s="22"/>
      <c r="G263" s="22" t="str">
        <f>IF($E263="","",INDEX(KPI!$G:$G,SUMIFS(KPI!$B:$B,KPI!$E:$E,$E263)))</f>
        <v>тыс.руб.</v>
      </c>
      <c r="H263" s="100">
        <f>структура!$V$14</f>
        <v>3</v>
      </c>
      <c r="I263" s="31"/>
      <c r="J263" s="98" t="str">
        <f>структура!$X$14</f>
        <v>мар</v>
      </c>
      <c r="K263" s="99"/>
      <c r="L263" s="22"/>
      <c r="M263" s="58"/>
      <c r="N263" s="22"/>
      <c r="O263" s="22"/>
      <c r="P263" s="101">
        <f>IF(P$1="",0,операции!P338)</f>
        <v>185</v>
      </c>
      <c r="Q263" s="101">
        <f>IF(Q$1="",0,операции!Q338)</f>
        <v>185</v>
      </c>
      <c r="R263" s="101">
        <f>IF(R$1="",0,операции!R338)</f>
        <v>185</v>
      </c>
      <c r="S263" s="101">
        <f>IF(S$1="",0,операции!S338)</f>
        <v>185</v>
      </c>
      <c r="T263" s="101">
        <f>IF(T$1="",0,операции!T338)</f>
        <v>185</v>
      </c>
      <c r="U263" s="101">
        <f>IF(U$1="",0,операции!U338)</f>
        <v>185</v>
      </c>
      <c r="V263" s="101">
        <f>IF(V$1="",0,операции!V338)</f>
        <v>185</v>
      </c>
      <c r="W263" s="101">
        <f>IF(W$1="",0,операции!W338)</f>
        <v>0</v>
      </c>
      <c r="X263" s="101">
        <f>IF(X$1="",0,операции!X338)</f>
        <v>0</v>
      </c>
      <c r="Y263" s="101">
        <f>IF(Y$1="",0,операции!Y338)</f>
        <v>0</v>
      </c>
      <c r="Z263" s="101">
        <f>IF(Z$1="",0,операции!Z338)</f>
        <v>0</v>
      </c>
      <c r="AA263" s="101">
        <f>IF(AA$1="",0,операции!AA338)</f>
        <v>0</v>
      </c>
      <c r="AB263" s="22"/>
    </row>
    <row r="264" spans="1:28" s="23" customFormat="1" ht="10.199999999999999" x14ac:dyDescent="0.2">
      <c r="A264" s="22"/>
      <c r="B264" s="22"/>
      <c r="C264" s="22"/>
      <c r="D264" s="22"/>
      <c r="E264" s="22" t="str">
        <f>E260</f>
        <v>ФОТ - начисления/оплаты</v>
      </c>
      <c r="F264" s="22"/>
      <c r="G264" s="22" t="str">
        <f>IF($E264="","",INDEX(KPI!$G:$G,SUMIFS(KPI!$B:$B,KPI!$E:$E,$E264)))</f>
        <v>тыс.руб.</v>
      </c>
      <c r="H264" s="100">
        <f>структура!$V$15</f>
        <v>4</v>
      </c>
      <c r="I264" s="31"/>
      <c r="J264" s="98" t="str">
        <f>структура!$X$15</f>
        <v>апр</v>
      </c>
      <c r="K264" s="99"/>
      <c r="L264" s="22"/>
      <c r="M264" s="58"/>
      <c r="N264" s="22"/>
      <c r="O264" s="22"/>
      <c r="P264" s="101">
        <f>IF(P$1="",0,операции!P339)</f>
        <v>185</v>
      </c>
      <c r="Q264" s="101">
        <f>IF(Q$1="",0,операции!Q339)</f>
        <v>185</v>
      </c>
      <c r="R264" s="101">
        <f>IF(R$1="",0,операции!R339)</f>
        <v>185</v>
      </c>
      <c r="S264" s="101">
        <f>IF(S$1="",0,операции!S339)</f>
        <v>185</v>
      </c>
      <c r="T264" s="101">
        <f>IF(T$1="",0,операции!T339)</f>
        <v>185</v>
      </c>
      <c r="U264" s="101">
        <f>IF(U$1="",0,операции!U339)</f>
        <v>185</v>
      </c>
      <c r="V264" s="101">
        <f>IF(V$1="",0,операции!V339)</f>
        <v>185</v>
      </c>
      <c r="W264" s="101">
        <f>IF(W$1="",0,операции!W339)</f>
        <v>0</v>
      </c>
      <c r="X264" s="101">
        <f>IF(X$1="",0,операции!X339)</f>
        <v>0</v>
      </c>
      <c r="Y264" s="101">
        <f>IF(Y$1="",0,операции!Y339)</f>
        <v>0</v>
      </c>
      <c r="Z264" s="101">
        <f>IF(Z$1="",0,операции!Z339)</f>
        <v>0</v>
      </c>
      <c r="AA264" s="101">
        <f>IF(AA$1="",0,операции!AA339)</f>
        <v>0</v>
      </c>
      <c r="AB264" s="22"/>
    </row>
    <row r="265" spans="1:28" s="23" customFormat="1" ht="10.199999999999999" x14ac:dyDescent="0.2">
      <c r="A265" s="22"/>
      <c r="B265" s="22"/>
      <c r="C265" s="22"/>
      <c r="D265" s="22"/>
      <c r="E265" s="22" t="str">
        <f>E260</f>
        <v>ФОТ - начисления/оплаты</v>
      </c>
      <c r="F265" s="22"/>
      <c r="G265" s="22" t="str">
        <f>IF($E265="","",INDEX(KPI!$G:$G,SUMIFS(KPI!$B:$B,KPI!$E:$E,$E265)))</f>
        <v>тыс.руб.</v>
      </c>
      <c r="H265" s="100">
        <f>структура!$V$16</f>
        <v>5</v>
      </c>
      <c r="I265" s="31"/>
      <c r="J265" s="98" t="str">
        <f>структура!$X$16</f>
        <v>май</v>
      </c>
      <c r="K265" s="99"/>
      <c r="L265" s="22"/>
      <c r="M265" s="58"/>
      <c r="N265" s="22"/>
      <c r="O265" s="22"/>
      <c r="P265" s="101">
        <f>IF(P$1="",0,операции!P340)</f>
        <v>185</v>
      </c>
      <c r="Q265" s="101">
        <f>IF(Q$1="",0,операции!Q340)</f>
        <v>185</v>
      </c>
      <c r="R265" s="101">
        <f>IF(R$1="",0,операции!R340)</f>
        <v>185</v>
      </c>
      <c r="S265" s="101">
        <f>IF(S$1="",0,операции!S340)</f>
        <v>185</v>
      </c>
      <c r="T265" s="101">
        <f>IF(T$1="",0,операции!T340)</f>
        <v>185</v>
      </c>
      <c r="U265" s="101">
        <f>IF(U$1="",0,операции!U340)</f>
        <v>185</v>
      </c>
      <c r="V265" s="101">
        <f>IF(V$1="",0,операции!V340)</f>
        <v>185</v>
      </c>
      <c r="W265" s="101">
        <f>IF(W$1="",0,операции!W340)</f>
        <v>0</v>
      </c>
      <c r="X265" s="101">
        <f>IF(X$1="",0,операции!X340)</f>
        <v>0</v>
      </c>
      <c r="Y265" s="101">
        <f>IF(Y$1="",0,операции!Y340)</f>
        <v>0</v>
      </c>
      <c r="Z265" s="101">
        <f>IF(Z$1="",0,операции!Z340)</f>
        <v>0</v>
      </c>
      <c r="AA265" s="101">
        <f>IF(AA$1="",0,операции!AA340)</f>
        <v>0</v>
      </c>
      <c r="AB265" s="22"/>
    </row>
    <row r="266" spans="1:28" s="23" customFormat="1" ht="10.199999999999999" x14ac:dyDescent="0.2">
      <c r="A266" s="22"/>
      <c r="B266" s="22"/>
      <c r="C266" s="22"/>
      <c r="D266" s="22"/>
      <c r="E266" s="22" t="str">
        <f>E260</f>
        <v>ФОТ - начисления/оплаты</v>
      </c>
      <c r="F266" s="22"/>
      <c r="G266" s="22" t="str">
        <f>IF($E266="","",INDEX(KPI!$G:$G,SUMIFS(KPI!$B:$B,KPI!$E:$E,$E266)))</f>
        <v>тыс.руб.</v>
      </c>
      <c r="H266" s="100">
        <f>структура!$V$17</f>
        <v>6</v>
      </c>
      <c r="I266" s="31"/>
      <c r="J266" s="98" t="str">
        <f>структура!$X$17</f>
        <v>июн</v>
      </c>
      <c r="K266" s="99"/>
      <c r="L266" s="22"/>
      <c r="M266" s="58"/>
      <c r="N266" s="22"/>
      <c r="O266" s="22"/>
      <c r="P266" s="101">
        <f>IF(P$1="",0,операции!P341)</f>
        <v>185</v>
      </c>
      <c r="Q266" s="101">
        <f>IF(Q$1="",0,операции!Q341)</f>
        <v>185</v>
      </c>
      <c r="R266" s="101">
        <f>IF(R$1="",0,операции!R341)</f>
        <v>185</v>
      </c>
      <c r="S266" s="101">
        <f>IF(S$1="",0,операции!S341)</f>
        <v>185</v>
      </c>
      <c r="T266" s="101">
        <f>IF(T$1="",0,операции!T341)</f>
        <v>185</v>
      </c>
      <c r="U266" s="101">
        <f>IF(U$1="",0,операции!U341)</f>
        <v>185</v>
      </c>
      <c r="V266" s="101">
        <f>IF(V$1="",0,операции!V341)</f>
        <v>185</v>
      </c>
      <c r="W266" s="101">
        <f>IF(W$1="",0,операции!W341)</f>
        <v>0</v>
      </c>
      <c r="X266" s="101">
        <f>IF(X$1="",0,операции!X341)</f>
        <v>0</v>
      </c>
      <c r="Y266" s="101">
        <f>IF(Y$1="",0,операции!Y341)</f>
        <v>0</v>
      </c>
      <c r="Z266" s="101">
        <f>IF(Z$1="",0,операции!Z341)</f>
        <v>0</v>
      </c>
      <c r="AA266" s="101">
        <f>IF(AA$1="",0,операции!AA341)</f>
        <v>0</v>
      </c>
      <c r="AB266" s="22"/>
    </row>
    <row r="267" spans="1:28" s="23" customFormat="1" ht="10.199999999999999" x14ac:dyDescent="0.2">
      <c r="A267" s="22"/>
      <c r="B267" s="22"/>
      <c r="C267" s="22"/>
      <c r="D267" s="22"/>
      <c r="E267" s="22" t="str">
        <f>E260</f>
        <v>ФОТ - начисления/оплаты</v>
      </c>
      <c r="F267" s="22"/>
      <c r="G267" s="22" t="str">
        <f>IF($E267="","",INDEX(KPI!$G:$G,SUMIFS(KPI!$B:$B,KPI!$E:$E,$E267)))</f>
        <v>тыс.руб.</v>
      </c>
      <c r="H267" s="100">
        <f>структура!$V$18</f>
        <v>7</v>
      </c>
      <c r="I267" s="31"/>
      <c r="J267" s="98" t="str">
        <f>структура!$X$18</f>
        <v>июл</v>
      </c>
      <c r="K267" s="99"/>
      <c r="L267" s="22"/>
      <c r="M267" s="58"/>
      <c r="N267" s="22"/>
      <c r="O267" s="22"/>
      <c r="P267" s="101">
        <f>IF(P$1="",0,операции!P342)</f>
        <v>185</v>
      </c>
      <c r="Q267" s="101">
        <f>IF(Q$1="",0,операции!Q342)</f>
        <v>185</v>
      </c>
      <c r="R267" s="101">
        <f>IF(R$1="",0,операции!R342)</f>
        <v>185</v>
      </c>
      <c r="S267" s="101">
        <f>IF(S$1="",0,операции!S342)</f>
        <v>185</v>
      </c>
      <c r="T267" s="101">
        <f>IF(T$1="",0,операции!T342)</f>
        <v>185</v>
      </c>
      <c r="U267" s="101">
        <f>IF(U$1="",0,операции!U342)</f>
        <v>185</v>
      </c>
      <c r="V267" s="101">
        <f>IF(V$1="",0,операции!V342)</f>
        <v>185</v>
      </c>
      <c r="W267" s="101">
        <f>IF(W$1="",0,операции!W342)</f>
        <v>0</v>
      </c>
      <c r="X267" s="101">
        <f>IF(X$1="",0,операции!X342)</f>
        <v>0</v>
      </c>
      <c r="Y267" s="101">
        <f>IF(Y$1="",0,операции!Y342)</f>
        <v>0</v>
      </c>
      <c r="Z267" s="101">
        <f>IF(Z$1="",0,операции!Z342)</f>
        <v>0</v>
      </c>
      <c r="AA267" s="101">
        <f>IF(AA$1="",0,операции!AA342)</f>
        <v>0</v>
      </c>
      <c r="AB267" s="22"/>
    </row>
    <row r="268" spans="1:28" s="23" customFormat="1" ht="10.199999999999999" x14ac:dyDescent="0.2">
      <c r="A268" s="22"/>
      <c r="B268" s="22"/>
      <c r="C268" s="22"/>
      <c r="D268" s="22"/>
      <c r="E268" s="22" t="str">
        <f>E260</f>
        <v>ФОТ - начисления/оплаты</v>
      </c>
      <c r="F268" s="22"/>
      <c r="G268" s="22" t="str">
        <f>IF($E268="","",INDEX(KPI!$G:$G,SUMIFS(KPI!$B:$B,KPI!$E:$E,$E268)))</f>
        <v>тыс.руб.</v>
      </c>
      <c r="H268" s="100">
        <f>структура!$V$19</f>
        <v>8</v>
      </c>
      <c r="I268" s="31"/>
      <c r="J268" s="98" t="str">
        <f>структура!$X$19</f>
        <v>авг</v>
      </c>
      <c r="K268" s="99"/>
      <c r="L268" s="22"/>
      <c r="M268" s="58"/>
      <c r="N268" s="22"/>
      <c r="O268" s="22"/>
      <c r="P268" s="101">
        <f>IF(P$1="",0,операции!P343)</f>
        <v>185</v>
      </c>
      <c r="Q268" s="101">
        <f>IF(Q$1="",0,операции!Q343)</f>
        <v>185</v>
      </c>
      <c r="R268" s="101">
        <f>IF(R$1="",0,операции!R343)</f>
        <v>185</v>
      </c>
      <c r="S268" s="101">
        <f>IF(S$1="",0,операции!S343)</f>
        <v>185</v>
      </c>
      <c r="T268" s="101">
        <f>IF(T$1="",0,операции!T343)</f>
        <v>185</v>
      </c>
      <c r="U268" s="101">
        <f>IF(U$1="",0,операции!U343)</f>
        <v>185</v>
      </c>
      <c r="V268" s="101">
        <f>IF(V$1="",0,операции!V343)</f>
        <v>185</v>
      </c>
      <c r="W268" s="101">
        <f>IF(W$1="",0,операции!W343)</f>
        <v>0</v>
      </c>
      <c r="X268" s="101">
        <f>IF(X$1="",0,операции!X343)</f>
        <v>0</v>
      </c>
      <c r="Y268" s="101">
        <f>IF(Y$1="",0,операции!Y343)</f>
        <v>0</v>
      </c>
      <c r="Z268" s="101">
        <f>IF(Z$1="",0,операции!Z343)</f>
        <v>0</v>
      </c>
      <c r="AA268" s="101">
        <f>IF(AA$1="",0,операции!AA343)</f>
        <v>0</v>
      </c>
      <c r="AB268" s="22"/>
    </row>
    <row r="269" spans="1:28" s="23" customFormat="1" ht="10.199999999999999" x14ac:dyDescent="0.2">
      <c r="A269" s="22"/>
      <c r="B269" s="22"/>
      <c r="C269" s="22"/>
      <c r="D269" s="22"/>
      <c r="E269" s="22" t="str">
        <f>E260</f>
        <v>ФОТ - начисления/оплаты</v>
      </c>
      <c r="F269" s="22"/>
      <c r="G269" s="22" t="str">
        <f>IF($E269="","",INDEX(KPI!$G:$G,SUMIFS(KPI!$B:$B,KPI!$E:$E,$E269)))</f>
        <v>тыс.руб.</v>
      </c>
      <c r="H269" s="100">
        <f>структура!$V$20</f>
        <v>9</v>
      </c>
      <c r="I269" s="31"/>
      <c r="J269" s="98" t="str">
        <f>структура!$X$20</f>
        <v>сен</v>
      </c>
      <c r="K269" s="99"/>
      <c r="L269" s="22"/>
      <c r="M269" s="58"/>
      <c r="N269" s="22"/>
      <c r="O269" s="22"/>
      <c r="P269" s="101">
        <f>IF(P$1="",0,операции!P344)</f>
        <v>185</v>
      </c>
      <c r="Q269" s="101">
        <f>IF(Q$1="",0,операции!Q344)</f>
        <v>185</v>
      </c>
      <c r="R269" s="101">
        <f>IF(R$1="",0,операции!R344)</f>
        <v>185</v>
      </c>
      <c r="S269" s="101">
        <f>IF(S$1="",0,операции!S344)</f>
        <v>185</v>
      </c>
      <c r="T269" s="101">
        <f>IF(T$1="",0,операции!T344)</f>
        <v>185</v>
      </c>
      <c r="U269" s="101">
        <f>IF(U$1="",0,операции!U344)</f>
        <v>185</v>
      </c>
      <c r="V269" s="101">
        <f>IF(V$1="",0,операции!V344)</f>
        <v>185</v>
      </c>
      <c r="W269" s="101">
        <f>IF(W$1="",0,операции!W344)</f>
        <v>0</v>
      </c>
      <c r="X269" s="101">
        <f>IF(X$1="",0,операции!X344)</f>
        <v>0</v>
      </c>
      <c r="Y269" s="101">
        <f>IF(Y$1="",0,операции!Y344)</f>
        <v>0</v>
      </c>
      <c r="Z269" s="101">
        <f>IF(Z$1="",0,операции!Z344)</f>
        <v>0</v>
      </c>
      <c r="AA269" s="101">
        <f>IF(AA$1="",0,операции!AA344)</f>
        <v>0</v>
      </c>
      <c r="AB269" s="22"/>
    </row>
    <row r="270" spans="1:28" s="23" customFormat="1" ht="10.199999999999999" x14ac:dyDescent="0.2">
      <c r="A270" s="22"/>
      <c r="B270" s="22"/>
      <c r="C270" s="22"/>
      <c r="D270" s="22"/>
      <c r="E270" s="22" t="str">
        <f>E260</f>
        <v>ФОТ - начисления/оплаты</v>
      </c>
      <c r="F270" s="22"/>
      <c r="G270" s="22" t="str">
        <f>IF($E270="","",INDEX(KPI!$G:$G,SUMIFS(KPI!$B:$B,KPI!$E:$E,$E270)))</f>
        <v>тыс.руб.</v>
      </c>
      <c r="H270" s="100">
        <f>структура!$V$21</f>
        <v>10</v>
      </c>
      <c r="I270" s="31"/>
      <c r="J270" s="98" t="str">
        <f>структура!$X$21</f>
        <v>окт</v>
      </c>
      <c r="K270" s="99"/>
      <c r="L270" s="22"/>
      <c r="M270" s="58"/>
      <c r="N270" s="22"/>
      <c r="O270" s="22"/>
      <c r="P270" s="101">
        <f>IF(P$1="",0,операции!P345)</f>
        <v>185</v>
      </c>
      <c r="Q270" s="101">
        <f>IF(Q$1="",0,операции!Q345)</f>
        <v>185</v>
      </c>
      <c r="R270" s="101">
        <f>IF(R$1="",0,операции!R345)</f>
        <v>185</v>
      </c>
      <c r="S270" s="101">
        <f>IF(S$1="",0,операции!S345)</f>
        <v>185</v>
      </c>
      <c r="T270" s="101">
        <f>IF(T$1="",0,операции!T345)</f>
        <v>185</v>
      </c>
      <c r="U270" s="101">
        <f>IF(U$1="",0,операции!U345)</f>
        <v>185</v>
      </c>
      <c r="V270" s="101">
        <f>IF(V$1="",0,операции!V345)</f>
        <v>185</v>
      </c>
      <c r="W270" s="101">
        <f>IF(W$1="",0,операции!W345)</f>
        <v>0</v>
      </c>
      <c r="X270" s="101">
        <f>IF(X$1="",0,операции!X345)</f>
        <v>0</v>
      </c>
      <c r="Y270" s="101">
        <f>IF(Y$1="",0,операции!Y345)</f>
        <v>0</v>
      </c>
      <c r="Z270" s="101">
        <f>IF(Z$1="",0,операции!Z345)</f>
        <v>0</v>
      </c>
      <c r="AA270" s="101">
        <f>IF(AA$1="",0,операции!AA345)</f>
        <v>0</v>
      </c>
      <c r="AB270" s="22"/>
    </row>
    <row r="271" spans="1:28" s="23" customFormat="1" ht="10.199999999999999" x14ac:dyDescent="0.2">
      <c r="A271" s="22"/>
      <c r="B271" s="22"/>
      <c r="C271" s="22"/>
      <c r="D271" s="22"/>
      <c r="E271" s="22" t="str">
        <f>E260</f>
        <v>ФОТ - начисления/оплаты</v>
      </c>
      <c r="F271" s="22"/>
      <c r="G271" s="22" t="str">
        <f>IF($E271="","",INDEX(KPI!$G:$G,SUMIFS(KPI!$B:$B,KPI!$E:$E,$E271)))</f>
        <v>тыс.руб.</v>
      </c>
      <c r="H271" s="100">
        <f>структура!$V$22</f>
        <v>11</v>
      </c>
      <c r="I271" s="31"/>
      <c r="J271" s="98" t="str">
        <f>структура!$X$22</f>
        <v>ноя</v>
      </c>
      <c r="K271" s="99"/>
      <c r="L271" s="22"/>
      <c r="M271" s="58"/>
      <c r="N271" s="22"/>
      <c r="O271" s="22"/>
      <c r="P271" s="101">
        <f>IF(P$1="",0,операции!P346)</f>
        <v>185</v>
      </c>
      <c r="Q271" s="101">
        <f>IF(Q$1="",0,операции!Q346)</f>
        <v>185</v>
      </c>
      <c r="R271" s="101">
        <f>IF(R$1="",0,операции!R346)</f>
        <v>185</v>
      </c>
      <c r="S271" s="101">
        <f>IF(S$1="",0,операции!S346)</f>
        <v>185</v>
      </c>
      <c r="T271" s="101">
        <f>IF(T$1="",0,операции!T346)</f>
        <v>185</v>
      </c>
      <c r="U271" s="101">
        <f>IF(U$1="",0,операции!U346)</f>
        <v>185</v>
      </c>
      <c r="V271" s="101">
        <f>IF(V$1="",0,операции!V346)</f>
        <v>185</v>
      </c>
      <c r="W271" s="101">
        <f>IF(W$1="",0,операции!W346)</f>
        <v>0</v>
      </c>
      <c r="X271" s="101">
        <f>IF(X$1="",0,операции!X346)</f>
        <v>0</v>
      </c>
      <c r="Y271" s="101">
        <f>IF(Y$1="",0,операции!Y346)</f>
        <v>0</v>
      </c>
      <c r="Z271" s="101">
        <f>IF(Z$1="",0,операции!Z346)</f>
        <v>0</v>
      </c>
      <c r="AA271" s="101">
        <f>IF(AA$1="",0,операции!AA346)</f>
        <v>0</v>
      </c>
      <c r="AB271" s="22"/>
    </row>
    <row r="272" spans="1:28" s="23" customFormat="1" ht="10.199999999999999" x14ac:dyDescent="0.2">
      <c r="A272" s="22"/>
      <c r="B272" s="22"/>
      <c r="C272" s="22"/>
      <c r="D272" s="22"/>
      <c r="E272" s="22" t="str">
        <f>E260</f>
        <v>ФОТ - начисления/оплаты</v>
      </c>
      <c r="F272" s="22"/>
      <c r="G272" s="22" t="str">
        <f>IF($E272="","",INDEX(KPI!$G:$G,SUMIFS(KPI!$B:$B,KPI!$E:$E,$E272)))</f>
        <v>тыс.руб.</v>
      </c>
      <c r="H272" s="100">
        <f>структура!$V$23</f>
        <v>12</v>
      </c>
      <c r="I272" s="31"/>
      <c r="J272" s="98" t="str">
        <f>структура!$X$23</f>
        <v>дек</v>
      </c>
      <c r="K272" s="99"/>
      <c r="L272" s="22"/>
      <c r="M272" s="58"/>
      <c r="N272" s="22"/>
      <c r="O272" s="22"/>
      <c r="P272" s="101">
        <f>IF(P$1="",0,операции!P347)</f>
        <v>185</v>
      </c>
      <c r="Q272" s="101">
        <f>IF(Q$1="",0,операции!Q347)</f>
        <v>185</v>
      </c>
      <c r="R272" s="101">
        <f>IF(R$1="",0,операции!R347)</f>
        <v>185</v>
      </c>
      <c r="S272" s="101">
        <f>IF(S$1="",0,операции!S347)</f>
        <v>185</v>
      </c>
      <c r="T272" s="101">
        <f>IF(T$1="",0,операции!T347)</f>
        <v>185</v>
      </c>
      <c r="U272" s="101">
        <f>IF(U$1="",0,операции!U347)</f>
        <v>185</v>
      </c>
      <c r="V272" s="101">
        <f>IF(V$1="",0,операции!V347)</f>
        <v>185</v>
      </c>
      <c r="W272" s="101">
        <f>IF(W$1="",0,операции!W347)</f>
        <v>0</v>
      </c>
      <c r="X272" s="101">
        <f>IF(X$1="",0,операции!X347)</f>
        <v>0</v>
      </c>
      <c r="Y272" s="101">
        <f>IF(Y$1="",0,операции!Y347)</f>
        <v>0</v>
      </c>
      <c r="Z272" s="101">
        <f>IF(Z$1="",0,операции!Z347)</f>
        <v>0</v>
      </c>
      <c r="AA272" s="101">
        <f>IF(AA$1="",0,операции!AA347)</f>
        <v>0</v>
      </c>
      <c r="AB272" s="22"/>
    </row>
    <row r="273" spans="1:28" ht="3.9" customHeight="1" x14ac:dyDescent="0.25">
      <c r="A273" s="2"/>
      <c r="B273" s="2"/>
      <c r="C273" s="2"/>
      <c r="D273" s="2"/>
      <c r="E273" s="21"/>
      <c r="F273" s="2"/>
      <c r="G273" s="21"/>
      <c r="H273" s="2"/>
      <c r="I273" s="28"/>
      <c r="J273" s="21"/>
      <c r="K273" s="28"/>
      <c r="L273" s="2"/>
      <c r="M273" s="52"/>
      <c r="N273" s="2"/>
      <c r="O273" s="2"/>
      <c r="P273" s="36"/>
      <c r="Q273" s="36"/>
      <c r="R273" s="36"/>
      <c r="S273" s="36"/>
      <c r="T273" s="36"/>
      <c r="U273" s="36"/>
      <c r="V273" s="36"/>
      <c r="W273" s="36"/>
      <c r="X273" s="36"/>
      <c r="Y273" s="36"/>
      <c r="Z273" s="36"/>
      <c r="AA273" s="36"/>
      <c r="AB273" s="2"/>
    </row>
    <row r="274" spans="1:28" ht="8.1" customHeight="1" x14ac:dyDescent="0.25">
      <c r="A274" s="2"/>
      <c r="B274" s="2"/>
      <c r="C274" s="2"/>
      <c r="D274" s="2"/>
      <c r="E274" s="2"/>
      <c r="F274" s="2"/>
      <c r="G274" s="2"/>
      <c r="H274" s="2"/>
      <c r="I274" s="28"/>
      <c r="J274" s="2"/>
      <c r="K274" s="28"/>
      <c r="L274" s="2"/>
      <c r="M274" s="52"/>
      <c r="N274" s="2"/>
      <c r="O274" s="2"/>
      <c r="P274" s="36"/>
      <c r="Q274" s="36"/>
      <c r="R274" s="36"/>
      <c r="S274" s="36"/>
      <c r="T274" s="36"/>
      <c r="U274" s="36"/>
      <c r="V274" s="36"/>
      <c r="W274" s="36"/>
      <c r="X274" s="36"/>
      <c r="Y274" s="36"/>
      <c r="Z274" s="36"/>
      <c r="AA274" s="36"/>
      <c r="AB274" s="2"/>
    </row>
    <row r="275" spans="1:28" s="5" customFormat="1" x14ac:dyDescent="0.25">
      <c r="A275" s="3"/>
      <c r="B275" s="3"/>
      <c r="C275" s="3"/>
      <c r="D275" s="3"/>
      <c r="E275" s="3" t="str">
        <f>KPI!$E$58</f>
        <v>ставка отчислений в соцфонды+страхНС</v>
      </c>
      <c r="F275" s="3"/>
      <c r="G275" s="3" t="str">
        <f>IF($E275="","",INDEX(KPI!$G:$G,SUMIFS(KPI!$B:$B,KPI!$E:$E,$E275)))</f>
        <v>%</v>
      </c>
      <c r="H275" s="3"/>
      <c r="I275" s="6"/>
      <c r="J275" s="229">
        <f>операции!J350</f>
        <v>0.30199999999999999</v>
      </c>
      <c r="K275" s="28"/>
      <c r="L275" s="2"/>
      <c r="M275" s="52"/>
      <c r="N275" s="3"/>
      <c r="O275" s="2"/>
      <c r="P275" s="36"/>
      <c r="Q275" s="36"/>
      <c r="R275" s="36"/>
      <c r="S275" s="36"/>
      <c r="T275" s="36"/>
      <c r="U275" s="36"/>
      <c r="V275" s="36"/>
      <c r="W275" s="36"/>
      <c r="X275" s="36"/>
      <c r="Y275" s="36"/>
      <c r="Z275" s="36"/>
      <c r="AA275" s="36"/>
      <c r="AB275" s="2"/>
    </row>
    <row r="276" spans="1:28" ht="3.9" customHeight="1" x14ac:dyDescent="0.25">
      <c r="A276" s="2"/>
      <c r="B276" s="2"/>
      <c r="C276" s="2"/>
      <c r="D276" s="2"/>
      <c r="E276" s="110"/>
      <c r="F276" s="2"/>
      <c r="G276" s="2"/>
      <c r="H276" s="2"/>
      <c r="I276" s="28"/>
      <c r="J276" s="2"/>
      <c r="K276" s="28"/>
      <c r="L276" s="2"/>
      <c r="M276" s="52"/>
      <c r="N276" s="2"/>
      <c r="O276" s="2"/>
      <c r="P276" s="36"/>
      <c r="Q276" s="36"/>
      <c r="R276" s="36"/>
      <c r="S276" s="36"/>
      <c r="T276" s="36"/>
      <c r="U276" s="36"/>
      <c r="V276" s="36"/>
      <c r="W276" s="36"/>
      <c r="X276" s="36"/>
      <c r="Y276" s="36"/>
      <c r="Z276" s="36"/>
      <c r="AA276" s="36"/>
      <c r="AB276" s="2"/>
    </row>
    <row r="277" spans="1:28" ht="8.1" customHeight="1" x14ac:dyDescent="0.25">
      <c r="A277" s="2"/>
      <c r="B277" s="2"/>
      <c r="C277" s="2"/>
      <c r="D277" s="2"/>
      <c r="E277" s="2"/>
      <c r="F277" s="2"/>
      <c r="G277" s="2"/>
      <c r="H277" s="2"/>
      <c r="I277" s="28"/>
      <c r="J277" s="2"/>
      <c r="K277" s="28"/>
      <c r="L277" s="2"/>
      <c r="M277" s="52"/>
      <c r="N277" s="2"/>
      <c r="O277" s="2"/>
      <c r="P277" s="36"/>
      <c r="Q277" s="36"/>
      <c r="R277" s="36"/>
      <c r="S277" s="36"/>
      <c r="T277" s="36"/>
      <c r="U277" s="36"/>
      <c r="V277" s="36"/>
      <c r="W277" s="36"/>
      <c r="X277" s="36"/>
      <c r="Y277" s="36"/>
      <c r="Z277" s="36"/>
      <c r="AA277" s="36"/>
      <c r="AB277" s="2"/>
    </row>
    <row r="278" spans="1:28" s="5" customFormat="1" x14ac:dyDescent="0.25">
      <c r="A278" s="3"/>
      <c r="B278" s="3"/>
      <c r="C278" s="3"/>
      <c r="D278" s="111"/>
      <c r="E278" s="3" t="str">
        <f>KPI!$E$59</f>
        <v>начисления в соцфонды</v>
      </c>
      <c r="F278" s="3"/>
      <c r="G278" s="3" t="str">
        <f>IF($E278="","",INDEX(KPI!$G:$G,SUMIFS(KPI!$B:$B,KPI!$E:$E,$E278)))</f>
        <v>тыс.руб.</v>
      </c>
      <c r="H278" s="103"/>
      <c r="I278" s="28"/>
      <c r="J278" s="44"/>
      <c r="K278" s="28"/>
      <c r="L278" s="3"/>
      <c r="M278" s="55">
        <f>SUM($O278:$AB278)</f>
        <v>4693.08</v>
      </c>
      <c r="N278" s="3"/>
      <c r="O278" s="3"/>
      <c r="P278" s="46">
        <f>IF(P$1="",0,IF(P$1=0,SUMIFS(P279:P290,H279:H290,"&gt;="&amp;MONTH($J$13)),SUM(P279:P290)))</f>
        <v>670.43999999999994</v>
      </c>
      <c r="Q278" s="46">
        <f t="shared" ref="Q278" si="58">IF(Q$1="",0,SUM(Q279:Q290))</f>
        <v>670.43999999999994</v>
      </c>
      <c r="R278" s="46">
        <f t="shared" ref="R278:AA278" si="59">IF(R$1="",0,SUM(R279:R290))</f>
        <v>670.43999999999994</v>
      </c>
      <c r="S278" s="46">
        <f t="shared" si="59"/>
        <v>670.43999999999994</v>
      </c>
      <c r="T278" s="46">
        <f t="shared" si="59"/>
        <v>670.43999999999994</v>
      </c>
      <c r="U278" s="46">
        <f t="shared" si="59"/>
        <v>670.43999999999994</v>
      </c>
      <c r="V278" s="46">
        <f t="shared" si="59"/>
        <v>670.43999999999994</v>
      </c>
      <c r="W278" s="46">
        <f t="shared" si="59"/>
        <v>0</v>
      </c>
      <c r="X278" s="46">
        <f t="shared" si="59"/>
        <v>0</v>
      </c>
      <c r="Y278" s="46">
        <f t="shared" si="59"/>
        <v>0</v>
      </c>
      <c r="Z278" s="46">
        <f t="shared" si="59"/>
        <v>0</v>
      </c>
      <c r="AA278" s="46">
        <f t="shared" si="59"/>
        <v>0</v>
      </c>
      <c r="AB278" s="3"/>
    </row>
    <row r="279" spans="1:28" s="23" customFormat="1" ht="10.199999999999999" x14ac:dyDescent="0.2">
      <c r="A279" s="22"/>
      <c r="B279" s="22"/>
      <c r="C279" s="22"/>
      <c r="D279" s="22"/>
      <c r="E279" s="22" t="str">
        <f>E278</f>
        <v>начисления в соцфонды</v>
      </c>
      <c r="F279" s="22"/>
      <c r="G279" s="22" t="str">
        <f>IF($E279="","",INDEX(KPI!$G:$G,SUMIFS(KPI!$B:$B,KPI!$E:$E,$E279)))</f>
        <v>тыс.руб.</v>
      </c>
      <c r="H279" s="100">
        <f>структура!$V$12</f>
        <v>1</v>
      </c>
      <c r="I279" s="31"/>
      <c r="J279" s="98" t="str">
        <f>структура!$X$12</f>
        <v>янв</v>
      </c>
      <c r="K279" s="99"/>
      <c r="L279" s="22"/>
      <c r="M279" s="58"/>
      <c r="N279" s="22"/>
      <c r="O279" s="22"/>
      <c r="P279" s="101">
        <f>IF(P$1="",0,операции!P354)</f>
        <v>55.87</v>
      </c>
      <c r="Q279" s="101">
        <f>IF(Q$1="",0,операции!Q354)</f>
        <v>55.87</v>
      </c>
      <c r="R279" s="101">
        <f>IF(R$1="",0,операции!R354)</f>
        <v>55.87</v>
      </c>
      <c r="S279" s="101">
        <f>IF(S$1="",0,операции!S354)</f>
        <v>55.87</v>
      </c>
      <c r="T279" s="101">
        <f>IF(T$1="",0,операции!T354)</f>
        <v>55.87</v>
      </c>
      <c r="U279" s="101">
        <f>IF(U$1="",0,операции!U354)</f>
        <v>55.87</v>
      </c>
      <c r="V279" s="101">
        <f>IF(V$1="",0,операции!V354)</f>
        <v>55.87</v>
      </c>
      <c r="W279" s="101">
        <f>IF(W$1="",0,операции!W354)</f>
        <v>0</v>
      </c>
      <c r="X279" s="101">
        <f>IF(X$1="",0,операции!X354)</f>
        <v>0</v>
      </c>
      <c r="Y279" s="101">
        <f>IF(Y$1="",0,операции!Y354)</f>
        <v>0</v>
      </c>
      <c r="Z279" s="101">
        <f>IF(Z$1="",0,операции!Z354)</f>
        <v>0</v>
      </c>
      <c r="AA279" s="101">
        <f>IF(AA$1="",0,операции!AA354)</f>
        <v>0</v>
      </c>
      <c r="AB279" s="22"/>
    </row>
    <row r="280" spans="1:28" s="23" customFormat="1" ht="10.199999999999999" x14ac:dyDescent="0.2">
      <c r="A280" s="22"/>
      <c r="B280" s="22"/>
      <c r="C280" s="22"/>
      <c r="D280" s="22"/>
      <c r="E280" s="22" t="str">
        <f>E278</f>
        <v>начисления в соцфонды</v>
      </c>
      <c r="F280" s="22"/>
      <c r="G280" s="22" t="str">
        <f>IF($E280="","",INDEX(KPI!$G:$G,SUMIFS(KPI!$B:$B,KPI!$E:$E,$E280)))</f>
        <v>тыс.руб.</v>
      </c>
      <c r="H280" s="100">
        <f>структура!$V$13</f>
        <v>2</v>
      </c>
      <c r="I280" s="31"/>
      <c r="J280" s="98" t="str">
        <f>структура!$X$13</f>
        <v>фев</v>
      </c>
      <c r="K280" s="99"/>
      <c r="L280" s="22"/>
      <c r="M280" s="58"/>
      <c r="N280" s="22"/>
      <c r="O280" s="22"/>
      <c r="P280" s="101">
        <f>IF(P$1="",0,операции!P355)</f>
        <v>55.87</v>
      </c>
      <c r="Q280" s="101">
        <f>IF(Q$1="",0,операции!Q355)</f>
        <v>55.87</v>
      </c>
      <c r="R280" s="101">
        <f>IF(R$1="",0,операции!R355)</f>
        <v>55.87</v>
      </c>
      <c r="S280" s="101">
        <f>IF(S$1="",0,операции!S355)</f>
        <v>55.87</v>
      </c>
      <c r="T280" s="101">
        <f>IF(T$1="",0,операции!T355)</f>
        <v>55.87</v>
      </c>
      <c r="U280" s="101">
        <f>IF(U$1="",0,операции!U355)</f>
        <v>55.87</v>
      </c>
      <c r="V280" s="101">
        <f>IF(V$1="",0,операции!V355)</f>
        <v>55.87</v>
      </c>
      <c r="W280" s="101">
        <f>IF(W$1="",0,операции!W355)</f>
        <v>0</v>
      </c>
      <c r="X280" s="101">
        <f>IF(X$1="",0,операции!X355)</f>
        <v>0</v>
      </c>
      <c r="Y280" s="101">
        <f>IF(Y$1="",0,операции!Y355)</f>
        <v>0</v>
      </c>
      <c r="Z280" s="101">
        <f>IF(Z$1="",0,операции!Z355)</f>
        <v>0</v>
      </c>
      <c r="AA280" s="101">
        <f>IF(AA$1="",0,операции!AA355)</f>
        <v>0</v>
      </c>
      <c r="AB280" s="22"/>
    </row>
    <row r="281" spans="1:28" s="23" customFormat="1" ht="10.199999999999999" x14ac:dyDescent="0.2">
      <c r="A281" s="22"/>
      <c r="B281" s="22"/>
      <c r="C281" s="22"/>
      <c r="D281" s="22"/>
      <c r="E281" s="22" t="str">
        <f>E278</f>
        <v>начисления в соцфонды</v>
      </c>
      <c r="F281" s="22"/>
      <c r="G281" s="22" t="str">
        <f>IF($E281="","",INDEX(KPI!$G:$G,SUMIFS(KPI!$B:$B,KPI!$E:$E,$E281)))</f>
        <v>тыс.руб.</v>
      </c>
      <c r="H281" s="100">
        <f>структура!$V$14</f>
        <v>3</v>
      </c>
      <c r="I281" s="31"/>
      <c r="J281" s="98" t="str">
        <f>структура!$X$14</f>
        <v>мар</v>
      </c>
      <c r="K281" s="99"/>
      <c r="L281" s="22"/>
      <c r="M281" s="58"/>
      <c r="N281" s="22"/>
      <c r="O281" s="22"/>
      <c r="P281" s="101">
        <f>IF(P$1="",0,операции!P356)</f>
        <v>55.87</v>
      </c>
      <c r="Q281" s="101">
        <f>IF(Q$1="",0,операции!Q356)</f>
        <v>55.87</v>
      </c>
      <c r="R281" s="101">
        <f>IF(R$1="",0,операции!R356)</f>
        <v>55.87</v>
      </c>
      <c r="S281" s="101">
        <f>IF(S$1="",0,операции!S356)</f>
        <v>55.87</v>
      </c>
      <c r="T281" s="101">
        <f>IF(T$1="",0,операции!T356)</f>
        <v>55.87</v>
      </c>
      <c r="U281" s="101">
        <f>IF(U$1="",0,операции!U356)</f>
        <v>55.87</v>
      </c>
      <c r="V281" s="101">
        <f>IF(V$1="",0,операции!V356)</f>
        <v>55.87</v>
      </c>
      <c r="W281" s="101">
        <f>IF(W$1="",0,операции!W356)</f>
        <v>0</v>
      </c>
      <c r="X281" s="101">
        <f>IF(X$1="",0,операции!X356)</f>
        <v>0</v>
      </c>
      <c r="Y281" s="101">
        <f>IF(Y$1="",0,операции!Y356)</f>
        <v>0</v>
      </c>
      <c r="Z281" s="101">
        <f>IF(Z$1="",0,операции!Z356)</f>
        <v>0</v>
      </c>
      <c r="AA281" s="101">
        <f>IF(AA$1="",0,операции!AA356)</f>
        <v>0</v>
      </c>
      <c r="AB281" s="22"/>
    </row>
    <row r="282" spans="1:28" s="23" customFormat="1" ht="10.199999999999999" x14ac:dyDescent="0.2">
      <c r="A282" s="22"/>
      <c r="B282" s="22"/>
      <c r="C282" s="22"/>
      <c r="D282" s="22"/>
      <c r="E282" s="22" t="str">
        <f>E278</f>
        <v>начисления в соцфонды</v>
      </c>
      <c r="F282" s="22"/>
      <c r="G282" s="22" t="str">
        <f>IF($E282="","",INDEX(KPI!$G:$G,SUMIFS(KPI!$B:$B,KPI!$E:$E,$E282)))</f>
        <v>тыс.руб.</v>
      </c>
      <c r="H282" s="100">
        <f>структура!$V$15</f>
        <v>4</v>
      </c>
      <c r="I282" s="31"/>
      <c r="J282" s="98" t="str">
        <f>структура!$X$15</f>
        <v>апр</v>
      </c>
      <c r="K282" s="99"/>
      <c r="L282" s="22"/>
      <c r="M282" s="58"/>
      <c r="N282" s="22"/>
      <c r="O282" s="22"/>
      <c r="P282" s="101">
        <f>IF(P$1="",0,операции!P357)</f>
        <v>55.87</v>
      </c>
      <c r="Q282" s="101">
        <f>IF(Q$1="",0,операции!Q357)</f>
        <v>55.87</v>
      </c>
      <c r="R282" s="101">
        <f>IF(R$1="",0,операции!R357)</f>
        <v>55.87</v>
      </c>
      <c r="S282" s="101">
        <f>IF(S$1="",0,операции!S357)</f>
        <v>55.87</v>
      </c>
      <c r="T282" s="101">
        <f>IF(T$1="",0,операции!T357)</f>
        <v>55.87</v>
      </c>
      <c r="U282" s="101">
        <f>IF(U$1="",0,операции!U357)</f>
        <v>55.87</v>
      </c>
      <c r="V282" s="101">
        <f>IF(V$1="",0,операции!V357)</f>
        <v>55.87</v>
      </c>
      <c r="W282" s="101">
        <f>IF(W$1="",0,операции!W357)</f>
        <v>0</v>
      </c>
      <c r="X282" s="101">
        <f>IF(X$1="",0,операции!X357)</f>
        <v>0</v>
      </c>
      <c r="Y282" s="101">
        <f>IF(Y$1="",0,операции!Y357)</f>
        <v>0</v>
      </c>
      <c r="Z282" s="101">
        <f>IF(Z$1="",0,операции!Z357)</f>
        <v>0</v>
      </c>
      <c r="AA282" s="101">
        <f>IF(AA$1="",0,операции!AA357)</f>
        <v>0</v>
      </c>
      <c r="AB282" s="22"/>
    </row>
    <row r="283" spans="1:28" s="23" customFormat="1" ht="10.199999999999999" x14ac:dyDescent="0.2">
      <c r="A283" s="22"/>
      <c r="B283" s="22"/>
      <c r="C283" s="22"/>
      <c r="D283" s="22"/>
      <c r="E283" s="22" t="str">
        <f>E278</f>
        <v>начисления в соцфонды</v>
      </c>
      <c r="F283" s="22"/>
      <c r="G283" s="22" t="str">
        <f>IF($E283="","",INDEX(KPI!$G:$G,SUMIFS(KPI!$B:$B,KPI!$E:$E,$E283)))</f>
        <v>тыс.руб.</v>
      </c>
      <c r="H283" s="100">
        <f>структура!$V$16</f>
        <v>5</v>
      </c>
      <c r="I283" s="31"/>
      <c r="J283" s="98" t="str">
        <f>структура!$X$16</f>
        <v>май</v>
      </c>
      <c r="K283" s="99"/>
      <c r="L283" s="22"/>
      <c r="M283" s="58"/>
      <c r="N283" s="22"/>
      <c r="O283" s="22"/>
      <c r="P283" s="101">
        <f>IF(P$1="",0,операции!P358)</f>
        <v>55.87</v>
      </c>
      <c r="Q283" s="101">
        <f>IF(Q$1="",0,операции!Q358)</f>
        <v>55.87</v>
      </c>
      <c r="R283" s="101">
        <f>IF(R$1="",0,операции!R358)</f>
        <v>55.87</v>
      </c>
      <c r="S283" s="101">
        <f>IF(S$1="",0,операции!S358)</f>
        <v>55.87</v>
      </c>
      <c r="T283" s="101">
        <f>IF(T$1="",0,операции!T358)</f>
        <v>55.87</v>
      </c>
      <c r="U283" s="101">
        <f>IF(U$1="",0,операции!U358)</f>
        <v>55.87</v>
      </c>
      <c r="V283" s="101">
        <f>IF(V$1="",0,операции!V358)</f>
        <v>55.87</v>
      </c>
      <c r="W283" s="101">
        <f>IF(W$1="",0,операции!W358)</f>
        <v>0</v>
      </c>
      <c r="X283" s="101">
        <f>IF(X$1="",0,операции!X358)</f>
        <v>0</v>
      </c>
      <c r="Y283" s="101">
        <f>IF(Y$1="",0,операции!Y358)</f>
        <v>0</v>
      </c>
      <c r="Z283" s="101">
        <f>IF(Z$1="",0,операции!Z358)</f>
        <v>0</v>
      </c>
      <c r="AA283" s="101">
        <f>IF(AA$1="",0,операции!AA358)</f>
        <v>0</v>
      </c>
      <c r="AB283" s="22"/>
    </row>
    <row r="284" spans="1:28" s="23" customFormat="1" ht="10.199999999999999" x14ac:dyDescent="0.2">
      <c r="A284" s="22"/>
      <c r="B284" s="22"/>
      <c r="C284" s="22"/>
      <c r="D284" s="22"/>
      <c r="E284" s="22" t="str">
        <f>E278</f>
        <v>начисления в соцфонды</v>
      </c>
      <c r="F284" s="22"/>
      <c r="G284" s="22" t="str">
        <f>IF($E284="","",INDEX(KPI!$G:$G,SUMIFS(KPI!$B:$B,KPI!$E:$E,$E284)))</f>
        <v>тыс.руб.</v>
      </c>
      <c r="H284" s="100">
        <f>структура!$V$17</f>
        <v>6</v>
      </c>
      <c r="I284" s="31"/>
      <c r="J284" s="98" t="str">
        <f>структура!$X$17</f>
        <v>июн</v>
      </c>
      <c r="K284" s="99"/>
      <c r="L284" s="22"/>
      <c r="M284" s="58"/>
      <c r="N284" s="22"/>
      <c r="O284" s="22"/>
      <c r="P284" s="101">
        <f>IF(P$1="",0,операции!P359)</f>
        <v>55.87</v>
      </c>
      <c r="Q284" s="101">
        <f>IF(Q$1="",0,операции!Q359)</f>
        <v>55.87</v>
      </c>
      <c r="R284" s="101">
        <f>IF(R$1="",0,операции!R359)</f>
        <v>55.87</v>
      </c>
      <c r="S284" s="101">
        <f>IF(S$1="",0,операции!S359)</f>
        <v>55.87</v>
      </c>
      <c r="T284" s="101">
        <f>IF(T$1="",0,операции!T359)</f>
        <v>55.87</v>
      </c>
      <c r="U284" s="101">
        <f>IF(U$1="",0,операции!U359)</f>
        <v>55.87</v>
      </c>
      <c r="V284" s="101">
        <f>IF(V$1="",0,операции!V359)</f>
        <v>55.87</v>
      </c>
      <c r="W284" s="101">
        <f>IF(W$1="",0,операции!W359)</f>
        <v>0</v>
      </c>
      <c r="X284" s="101">
        <f>IF(X$1="",0,операции!X359)</f>
        <v>0</v>
      </c>
      <c r="Y284" s="101">
        <f>IF(Y$1="",0,операции!Y359)</f>
        <v>0</v>
      </c>
      <c r="Z284" s="101">
        <f>IF(Z$1="",0,операции!Z359)</f>
        <v>0</v>
      </c>
      <c r="AA284" s="101">
        <f>IF(AA$1="",0,операции!AA359)</f>
        <v>0</v>
      </c>
      <c r="AB284" s="22"/>
    </row>
    <row r="285" spans="1:28" s="23" customFormat="1" ht="10.199999999999999" x14ac:dyDescent="0.2">
      <c r="A285" s="22"/>
      <c r="B285" s="22"/>
      <c r="C285" s="22"/>
      <c r="D285" s="22"/>
      <c r="E285" s="22" t="str">
        <f>E278</f>
        <v>начисления в соцфонды</v>
      </c>
      <c r="F285" s="22"/>
      <c r="G285" s="22" t="str">
        <f>IF($E285="","",INDEX(KPI!$G:$G,SUMIFS(KPI!$B:$B,KPI!$E:$E,$E285)))</f>
        <v>тыс.руб.</v>
      </c>
      <c r="H285" s="100">
        <f>структура!$V$18</f>
        <v>7</v>
      </c>
      <c r="I285" s="31"/>
      <c r="J285" s="98" t="str">
        <f>структура!$X$18</f>
        <v>июл</v>
      </c>
      <c r="K285" s="99"/>
      <c r="L285" s="22"/>
      <c r="M285" s="58"/>
      <c r="N285" s="22"/>
      <c r="O285" s="22"/>
      <c r="P285" s="101">
        <f>IF(P$1="",0,операции!P360)</f>
        <v>55.87</v>
      </c>
      <c r="Q285" s="101">
        <f>IF(Q$1="",0,операции!Q360)</f>
        <v>55.87</v>
      </c>
      <c r="R285" s="101">
        <f>IF(R$1="",0,операции!R360)</f>
        <v>55.87</v>
      </c>
      <c r="S285" s="101">
        <f>IF(S$1="",0,операции!S360)</f>
        <v>55.87</v>
      </c>
      <c r="T285" s="101">
        <f>IF(T$1="",0,операции!T360)</f>
        <v>55.87</v>
      </c>
      <c r="U285" s="101">
        <f>IF(U$1="",0,операции!U360)</f>
        <v>55.87</v>
      </c>
      <c r="V285" s="101">
        <f>IF(V$1="",0,операции!V360)</f>
        <v>55.87</v>
      </c>
      <c r="W285" s="101">
        <f>IF(W$1="",0,операции!W360)</f>
        <v>0</v>
      </c>
      <c r="X285" s="101">
        <f>IF(X$1="",0,операции!X360)</f>
        <v>0</v>
      </c>
      <c r="Y285" s="101">
        <f>IF(Y$1="",0,операции!Y360)</f>
        <v>0</v>
      </c>
      <c r="Z285" s="101">
        <f>IF(Z$1="",0,операции!Z360)</f>
        <v>0</v>
      </c>
      <c r="AA285" s="101">
        <f>IF(AA$1="",0,операции!AA360)</f>
        <v>0</v>
      </c>
      <c r="AB285" s="22"/>
    </row>
    <row r="286" spans="1:28" s="23" customFormat="1" ht="10.199999999999999" x14ac:dyDescent="0.2">
      <c r="A286" s="22"/>
      <c r="B286" s="22"/>
      <c r="C286" s="22"/>
      <c r="D286" s="22"/>
      <c r="E286" s="22" t="str">
        <f>E278</f>
        <v>начисления в соцфонды</v>
      </c>
      <c r="F286" s="22"/>
      <c r="G286" s="22" t="str">
        <f>IF($E286="","",INDEX(KPI!$G:$G,SUMIFS(KPI!$B:$B,KPI!$E:$E,$E286)))</f>
        <v>тыс.руб.</v>
      </c>
      <c r="H286" s="100">
        <f>структура!$V$19</f>
        <v>8</v>
      </c>
      <c r="I286" s="31"/>
      <c r="J286" s="98" t="str">
        <f>структура!$X$19</f>
        <v>авг</v>
      </c>
      <c r="K286" s="99"/>
      <c r="L286" s="22"/>
      <c r="M286" s="58"/>
      <c r="N286" s="22"/>
      <c r="O286" s="22"/>
      <c r="P286" s="101">
        <f>IF(P$1="",0,операции!P361)</f>
        <v>55.87</v>
      </c>
      <c r="Q286" s="101">
        <f>IF(Q$1="",0,операции!Q361)</f>
        <v>55.87</v>
      </c>
      <c r="R286" s="101">
        <f>IF(R$1="",0,операции!R361)</f>
        <v>55.87</v>
      </c>
      <c r="S286" s="101">
        <f>IF(S$1="",0,операции!S361)</f>
        <v>55.87</v>
      </c>
      <c r="T286" s="101">
        <f>IF(T$1="",0,операции!T361)</f>
        <v>55.87</v>
      </c>
      <c r="U286" s="101">
        <f>IF(U$1="",0,операции!U361)</f>
        <v>55.87</v>
      </c>
      <c r="V286" s="101">
        <f>IF(V$1="",0,операции!V361)</f>
        <v>55.87</v>
      </c>
      <c r="W286" s="101">
        <f>IF(W$1="",0,операции!W361)</f>
        <v>0</v>
      </c>
      <c r="X286" s="101">
        <f>IF(X$1="",0,операции!X361)</f>
        <v>0</v>
      </c>
      <c r="Y286" s="101">
        <f>IF(Y$1="",0,операции!Y361)</f>
        <v>0</v>
      </c>
      <c r="Z286" s="101">
        <f>IF(Z$1="",0,операции!Z361)</f>
        <v>0</v>
      </c>
      <c r="AA286" s="101">
        <f>IF(AA$1="",0,операции!AA361)</f>
        <v>0</v>
      </c>
      <c r="AB286" s="22"/>
    </row>
    <row r="287" spans="1:28" s="23" customFormat="1" ht="10.199999999999999" x14ac:dyDescent="0.2">
      <c r="A287" s="22"/>
      <c r="B287" s="22"/>
      <c r="C287" s="22"/>
      <c r="D287" s="22"/>
      <c r="E287" s="22" t="str">
        <f>E278</f>
        <v>начисления в соцфонды</v>
      </c>
      <c r="F287" s="22"/>
      <c r="G287" s="22" t="str">
        <f>IF($E287="","",INDEX(KPI!$G:$G,SUMIFS(KPI!$B:$B,KPI!$E:$E,$E287)))</f>
        <v>тыс.руб.</v>
      </c>
      <c r="H287" s="100">
        <f>структура!$V$20</f>
        <v>9</v>
      </c>
      <c r="I287" s="31"/>
      <c r="J287" s="98" t="str">
        <f>структура!$X$20</f>
        <v>сен</v>
      </c>
      <c r="K287" s="99"/>
      <c r="L287" s="22"/>
      <c r="M287" s="58"/>
      <c r="N287" s="22"/>
      <c r="O287" s="22"/>
      <c r="P287" s="101">
        <f>IF(P$1="",0,операции!P362)</f>
        <v>55.87</v>
      </c>
      <c r="Q287" s="101">
        <f>IF(Q$1="",0,операции!Q362)</f>
        <v>55.87</v>
      </c>
      <c r="R287" s="101">
        <f>IF(R$1="",0,операции!R362)</f>
        <v>55.87</v>
      </c>
      <c r="S287" s="101">
        <f>IF(S$1="",0,операции!S362)</f>
        <v>55.87</v>
      </c>
      <c r="T287" s="101">
        <f>IF(T$1="",0,операции!T362)</f>
        <v>55.87</v>
      </c>
      <c r="U287" s="101">
        <f>IF(U$1="",0,операции!U362)</f>
        <v>55.87</v>
      </c>
      <c r="V287" s="101">
        <f>IF(V$1="",0,операции!V362)</f>
        <v>55.87</v>
      </c>
      <c r="W287" s="101">
        <f>IF(W$1="",0,операции!W362)</f>
        <v>0</v>
      </c>
      <c r="X287" s="101">
        <f>IF(X$1="",0,операции!X362)</f>
        <v>0</v>
      </c>
      <c r="Y287" s="101">
        <f>IF(Y$1="",0,операции!Y362)</f>
        <v>0</v>
      </c>
      <c r="Z287" s="101">
        <f>IF(Z$1="",0,операции!Z362)</f>
        <v>0</v>
      </c>
      <c r="AA287" s="101">
        <f>IF(AA$1="",0,операции!AA362)</f>
        <v>0</v>
      </c>
      <c r="AB287" s="22"/>
    </row>
    <row r="288" spans="1:28" s="23" customFormat="1" ht="10.199999999999999" x14ac:dyDescent="0.2">
      <c r="A288" s="22"/>
      <c r="B288" s="22"/>
      <c r="C288" s="22"/>
      <c r="D288" s="22"/>
      <c r="E288" s="22" t="str">
        <f>E278</f>
        <v>начисления в соцфонды</v>
      </c>
      <c r="F288" s="22"/>
      <c r="G288" s="22" t="str">
        <f>IF($E288="","",INDEX(KPI!$G:$G,SUMIFS(KPI!$B:$B,KPI!$E:$E,$E288)))</f>
        <v>тыс.руб.</v>
      </c>
      <c r="H288" s="100">
        <f>структура!$V$21</f>
        <v>10</v>
      </c>
      <c r="I288" s="31"/>
      <c r="J288" s="98" t="str">
        <f>структура!$X$21</f>
        <v>окт</v>
      </c>
      <c r="K288" s="99"/>
      <c r="L288" s="22"/>
      <c r="M288" s="58"/>
      <c r="N288" s="22"/>
      <c r="O288" s="22"/>
      <c r="P288" s="101">
        <f>IF(P$1="",0,операции!P363)</f>
        <v>55.87</v>
      </c>
      <c r="Q288" s="101">
        <f>IF(Q$1="",0,операции!Q363)</f>
        <v>55.87</v>
      </c>
      <c r="R288" s="101">
        <f>IF(R$1="",0,операции!R363)</f>
        <v>55.87</v>
      </c>
      <c r="S288" s="101">
        <f>IF(S$1="",0,операции!S363)</f>
        <v>55.87</v>
      </c>
      <c r="T288" s="101">
        <f>IF(T$1="",0,операции!T363)</f>
        <v>55.87</v>
      </c>
      <c r="U288" s="101">
        <f>IF(U$1="",0,операции!U363)</f>
        <v>55.87</v>
      </c>
      <c r="V288" s="101">
        <f>IF(V$1="",0,операции!V363)</f>
        <v>55.87</v>
      </c>
      <c r="W288" s="101">
        <f>IF(W$1="",0,операции!W363)</f>
        <v>0</v>
      </c>
      <c r="X288" s="101">
        <f>IF(X$1="",0,операции!X363)</f>
        <v>0</v>
      </c>
      <c r="Y288" s="101">
        <f>IF(Y$1="",0,операции!Y363)</f>
        <v>0</v>
      </c>
      <c r="Z288" s="101">
        <f>IF(Z$1="",0,операции!Z363)</f>
        <v>0</v>
      </c>
      <c r="AA288" s="101">
        <f>IF(AA$1="",0,операции!AA363)</f>
        <v>0</v>
      </c>
      <c r="AB288" s="22"/>
    </row>
    <row r="289" spans="1:28" s="23" customFormat="1" ht="10.199999999999999" x14ac:dyDescent="0.2">
      <c r="A289" s="22"/>
      <c r="B289" s="22"/>
      <c r="C289" s="22"/>
      <c r="D289" s="22"/>
      <c r="E289" s="22" t="str">
        <f>E278</f>
        <v>начисления в соцфонды</v>
      </c>
      <c r="F289" s="22"/>
      <c r="G289" s="22" t="str">
        <f>IF($E289="","",INDEX(KPI!$G:$G,SUMIFS(KPI!$B:$B,KPI!$E:$E,$E289)))</f>
        <v>тыс.руб.</v>
      </c>
      <c r="H289" s="100">
        <f>структура!$V$22</f>
        <v>11</v>
      </c>
      <c r="I289" s="31"/>
      <c r="J289" s="98" t="str">
        <f>структура!$X$22</f>
        <v>ноя</v>
      </c>
      <c r="K289" s="99"/>
      <c r="L289" s="22"/>
      <c r="M289" s="58"/>
      <c r="N289" s="22"/>
      <c r="O289" s="22"/>
      <c r="P289" s="101">
        <f>IF(P$1="",0,операции!P364)</f>
        <v>55.87</v>
      </c>
      <c r="Q289" s="101">
        <f>IF(Q$1="",0,операции!Q364)</f>
        <v>55.87</v>
      </c>
      <c r="R289" s="101">
        <f>IF(R$1="",0,операции!R364)</f>
        <v>55.87</v>
      </c>
      <c r="S289" s="101">
        <f>IF(S$1="",0,операции!S364)</f>
        <v>55.87</v>
      </c>
      <c r="T289" s="101">
        <f>IF(T$1="",0,операции!T364)</f>
        <v>55.87</v>
      </c>
      <c r="U289" s="101">
        <f>IF(U$1="",0,операции!U364)</f>
        <v>55.87</v>
      </c>
      <c r="V289" s="101">
        <f>IF(V$1="",0,операции!V364)</f>
        <v>55.87</v>
      </c>
      <c r="W289" s="101">
        <f>IF(W$1="",0,операции!W364)</f>
        <v>0</v>
      </c>
      <c r="X289" s="101">
        <f>IF(X$1="",0,операции!X364)</f>
        <v>0</v>
      </c>
      <c r="Y289" s="101">
        <f>IF(Y$1="",0,операции!Y364)</f>
        <v>0</v>
      </c>
      <c r="Z289" s="101">
        <f>IF(Z$1="",0,операции!Z364)</f>
        <v>0</v>
      </c>
      <c r="AA289" s="101">
        <f>IF(AA$1="",0,операции!AA364)</f>
        <v>0</v>
      </c>
      <c r="AB289" s="22"/>
    </row>
    <row r="290" spans="1:28" s="23" customFormat="1" ht="10.199999999999999" x14ac:dyDescent="0.2">
      <c r="A290" s="22"/>
      <c r="B290" s="22"/>
      <c r="C290" s="22"/>
      <c r="D290" s="22"/>
      <c r="E290" s="22" t="str">
        <f>E278</f>
        <v>начисления в соцфонды</v>
      </c>
      <c r="F290" s="22"/>
      <c r="G290" s="22" t="str">
        <f>IF($E290="","",INDEX(KPI!$G:$G,SUMIFS(KPI!$B:$B,KPI!$E:$E,$E290)))</f>
        <v>тыс.руб.</v>
      </c>
      <c r="H290" s="100">
        <f>структура!$V$23</f>
        <v>12</v>
      </c>
      <c r="I290" s="31"/>
      <c r="J290" s="98" t="str">
        <f>структура!$X$23</f>
        <v>дек</v>
      </c>
      <c r="K290" s="99"/>
      <c r="L290" s="22"/>
      <c r="M290" s="58"/>
      <c r="N290" s="22"/>
      <c r="O290" s="22"/>
      <c r="P290" s="101">
        <f>IF(P$1="",0,операции!P365)</f>
        <v>55.87</v>
      </c>
      <c r="Q290" s="101">
        <f>IF(Q$1="",0,операции!Q365)</f>
        <v>55.87</v>
      </c>
      <c r="R290" s="101">
        <f>IF(R$1="",0,операции!R365)</f>
        <v>55.87</v>
      </c>
      <c r="S290" s="101">
        <f>IF(S$1="",0,операции!S365)</f>
        <v>55.87</v>
      </c>
      <c r="T290" s="101">
        <f>IF(T$1="",0,операции!T365)</f>
        <v>55.87</v>
      </c>
      <c r="U290" s="101">
        <f>IF(U$1="",0,операции!U365)</f>
        <v>55.87</v>
      </c>
      <c r="V290" s="101">
        <f>IF(V$1="",0,операции!V365)</f>
        <v>55.87</v>
      </c>
      <c r="W290" s="101">
        <f>IF(W$1="",0,операции!W365)</f>
        <v>0</v>
      </c>
      <c r="X290" s="101">
        <f>IF(X$1="",0,операции!X365)</f>
        <v>0</v>
      </c>
      <c r="Y290" s="101">
        <f>IF(Y$1="",0,операции!Y365)</f>
        <v>0</v>
      </c>
      <c r="Z290" s="101">
        <f>IF(Z$1="",0,операции!Z365)</f>
        <v>0</v>
      </c>
      <c r="AA290" s="101">
        <f>IF(AA$1="",0,операции!AA365)</f>
        <v>0</v>
      </c>
      <c r="AB290" s="22"/>
    </row>
    <row r="291" spans="1:28" ht="3.9" customHeight="1" x14ac:dyDescent="0.25">
      <c r="A291" s="2"/>
      <c r="B291" s="2"/>
      <c r="C291" s="2"/>
      <c r="D291" s="2"/>
      <c r="E291" s="21"/>
      <c r="F291" s="2"/>
      <c r="G291" s="21"/>
      <c r="H291" s="2"/>
      <c r="I291" s="28"/>
      <c r="J291" s="21"/>
      <c r="K291" s="28"/>
      <c r="L291" s="2"/>
      <c r="M291" s="52"/>
      <c r="N291" s="2"/>
      <c r="O291" s="2"/>
      <c r="P291" s="36"/>
      <c r="Q291" s="36"/>
      <c r="R291" s="36"/>
      <c r="S291" s="36"/>
      <c r="T291" s="36"/>
      <c r="U291" s="36"/>
      <c r="V291" s="36"/>
      <c r="W291" s="36"/>
      <c r="X291" s="36"/>
      <c r="Y291" s="36"/>
      <c r="Z291" s="36"/>
      <c r="AA291" s="36"/>
      <c r="AB291" s="2"/>
    </row>
    <row r="292" spans="1:28" ht="8.1" customHeight="1" x14ac:dyDescent="0.25">
      <c r="A292" s="2"/>
      <c r="B292" s="2"/>
      <c r="C292" s="2"/>
      <c r="D292" s="2"/>
      <c r="E292" s="2"/>
      <c r="F292" s="2"/>
      <c r="G292" s="2"/>
      <c r="H292" s="2"/>
      <c r="I292" s="28"/>
      <c r="J292" s="2"/>
      <c r="K292" s="28"/>
      <c r="L292" s="2"/>
      <c r="M292" s="52"/>
      <c r="N292" s="2"/>
      <c r="O292" s="2"/>
      <c r="P292" s="36"/>
      <c r="Q292" s="36"/>
      <c r="R292" s="36"/>
      <c r="S292" s="36"/>
      <c r="T292" s="36"/>
      <c r="U292" s="36"/>
      <c r="V292" s="36"/>
      <c r="W292" s="36"/>
      <c r="X292" s="36"/>
      <c r="Y292" s="36"/>
      <c r="Z292" s="36"/>
      <c r="AA292" s="36"/>
      <c r="AB292" s="2"/>
    </row>
    <row r="293" spans="1:28" s="5" customFormat="1" x14ac:dyDescent="0.25">
      <c r="A293" s="3"/>
      <c r="B293" s="3"/>
      <c r="C293" s="3"/>
      <c r="D293" s="111"/>
      <c r="E293" s="3" t="str">
        <f>KPI!$E$60</f>
        <v>оплаты в соцфонды</v>
      </c>
      <c r="F293" s="3"/>
      <c r="G293" s="3" t="str">
        <f>IF($E293="","",INDEX(KPI!$G:$G,SUMIFS(KPI!$B:$B,KPI!$E:$E,$E293)))</f>
        <v>тыс.руб.</v>
      </c>
      <c r="H293" s="116" t="str">
        <f>структура!$AL$20</f>
        <v>Заложен сдвиг на один месяц!</v>
      </c>
      <c r="I293" s="28"/>
      <c r="J293" s="44"/>
      <c r="K293" s="28"/>
      <c r="L293" s="3"/>
      <c r="M293" s="55">
        <f>SUM($O293:$AB293)</f>
        <v>4637.21</v>
      </c>
      <c r="N293" s="3"/>
      <c r="O293" s="3"/>
      <c r="P293" s="46">
        <f>IF(P$1="",0,IF(P$1=0,SUMIFS(P294:P305,H294:H305,"&gt;="&amp;MONTH($J$13)),SUM(P294:P305)))</f>
        <v>614.56999999999994</v>
      </c>
      <c r="Q293" s="46">
        <f t="shared" ref="Q293" si="60">IF(Q$1="",0,SUM(Q294:Q305))</f>
        <v>670.43999999999994</v>
      </c>
      <c r="R293" s="46">
        <f t="shared" ref="R293:AA293" si="61">IF(R$1="",0,SUM(R294:R305))</f>
        <v>670.43999999999994</v>
      </c>
      <c r="S293" s="46">
        <f t="shared" si="61"/>
        <v>670.43999999999994</v>
      </c>
      <c r="T293" s="46">
        <f t="shared" si="61"/>
        <v>670.43999999999994</v>
      </c>
      <c r="U293" s="46">
        <f t="shared" si="61"/>
        <v>670.43999999999994</v>
      </c>
      <c r="V293" s="46">
        <f t="shared" si="61"/>
        <v>670.43999999999994</v>
      </c>
      <c r="W293" s="46">
        <f t="shared" si="61"/>
        <v>0</v>
      </c>
      <c r="X293" s="46">
        <f t="shared" si="61"/>
        <v>0</v>
      </c>
      <c r="Y293" s="46">
        <f t="shared" si="61"/>
        <v>0</v>
      </c>
      <c r="Z293" s="46">
        <f t="shared" si="61"/>
        <v>0</v>
      </c>
      <c r="AA293" s="46">
        <f t="shared" si="61"/>
        <v>0</v>
      </c>
      <c r="AB293" s="3"/>
    </row>
    <row r="294" spans="1:28" s="23" customFormat="1" ht="10.199999999999999" x14ac:dyDescent="0.2">
      <c r="A294" s="22"/>
      <c r="B294" s="22"/>
      <c r="C294" s="22"/>
      <c r="D294" s="22"/>
      <c r="E294" s="22" t="str">
        <f>E293</f>
        <v>оплаты в соцфонды</v>
      </c>
      <c r="F294" s="22"/>
      <c r="G294" s="22" t="str">
        <f>IF($E294="","",INDEX(KPI!$G:$G,SUMIFS(KPI!$B:$B,KPI!$E:$E,$E294)))</f>
        <v>тыс.руб.</v>
      </c>
      <c r="H294" s="100">
        <f>структура!$V$12</f>
        <v>1</v>
      </c>
      <c r="I294" s="31"/>
      <c r="J294" s="98" t="str">
        <f>структура!$X$12</f>
        <v>янв</v>
      </c>
      <c r="K294" s="99"/>
      <c r="L294" s="22"/>
      <c r="M294" s="58"/>
      <c r="N294" s="22"/>
      <c r="O294" s="22"/>
      <c r="P294" s="101">
        <f>IF(P$1="",0,операции!P369)</f>
        <v>0</v>
      </c>
      <c r="Q294" s="101">
        <f>IF(Q$1="",0,операции!Q369)</f>
        <v>55.87</v>
      </c>
      <c r="R294" s="101">
        <f>IF(R$1="",0,операции!R369)</f>
        <v>55.87</v>
      </c>
      <c r="S294" s="101">
        <f>IF(S$1="",0,операции!S369)</f>
        <v>55.87</v>
      </c>
      <c r="T294" s="101">
        <f>IF(T$1="",0,операции!T369)</f>
        <v>55.87</v>
      </c>
      <c r="U294" s="101">
        <f>IF(U$1="",0,операции!U369)</f>
        <v>55.87</v>
      </c>
      <c r="V294" s="101">
        <f>IF(V$1="",0,операции!V369)</f>
        <v>55.87</v>
      </c>
      <c r="W294" s="101">
        <f>IF(W$1="",0,операции!W369)</f>
        <v>0</v>
      </c>
      <c r="X294" s="101">
        <f>IF(X$1="",0,операции!X369)</f>
        <v>0</v>
      </c>
      <c r="Y294" s="101">
        <f>IF(Y$1="",0,операции!Y369)</f>
        <v>0</v>
      </c>
      <c r="Z294" s="101">
        <f>IF(Z$1="",0,операции!Z369)</f>
        <v>0</v>
      </c>
      <c r="AA294" s="101">
        <f>IF(AA$1="",0,операции!AA369)</f>
        <v>0</v>
      </c>
      <c r="AB294" s="22"/>
    </row>
    <row r="295" spans="1:28" s="23" customFormat="1" ht="10.199999999999999" x14ac:dyDescent="0.2">
      <c r="A295" s="22"/>
      <c r="B295" s="22"/>
      <c r="C295" s="22"/>
      <c r="D295" s="22"/>
      <c r="E295" s="22" t="str">
        <f>E293</f>
        <v>оплаты в соцфонды</v>
      </c>
      <c r="F295" s="22"/>
      <c r="G295" s="22" t="str">
        <f>IF($E295="","",INDEX(KPI!$G:$G,SUMIFS(KPI!$B:$B,KPI!$E:$E,$E295)))</f>
        <v>тыс.руб.</v>
      </c>
      <c r="H295" s="100">
        <f>структура!$V$13</f>
        <v>2</v>
      </c>
      <c r="I295" s="31"/>
      <c r="J295" s="98" t="str">
        <f>структура!$X$13</f>
        <v>фев</v>
      </c>
      <c r="K295" s="99"/>
      <c r="L295" s="22"/>
      <c r="M295" s="58"/>
      <c r="N295" s="22"/>
      <c r="O295" s="22"/>
      <c r="P295" s="101">
        <f>IF(P$1="",0,операции!P370)</f>
        <v>55.87</v>
      </c>
      <c r="Q295" s="101">
        <f>IF(Q$1="",0,операции!Q370)</f>
        <v>55.87</v>
      </c>
      <c r="R295" s="101">
        <f>IF(R$1="",0,операции!R370)</f>
        <v>55.87</v>
      </c>
      <c r="S295" s="101">
        <f>IF(S$1="",0,операции!S370)</f>
        <v>55.87</v>
      </c>
      <c r="T295" s="101">
        <f>IF(T$1="",0,операции!T370)</f>
        <v>55.87</v>
      </c>
      <c r="U295" s="101">
        <f>IF(U$1="",0,операции!U370)</f>
        <v>55.87</v>
      </c>
      <c r="V295" s="101">
        <f>IF(V$1="",0,операции!V370)</f>
        <v>55.87</v>
      </c>
      <c r="W295" s="101">
        <f>IF(W$1="",0,операции!W370)</f>
        <v>0</v>
      </c>
      <c r="X295" s="101">
        <f>IF(X$1="",0,операции!X370)</f>
        <v>0</v>
      </c>
      <c r="Y295" s="101">
        <f>IF(Y$1="",0,операции!Y370)</f>
        <v>0</v>
      </c>
      <c r="Z295" s="101">
        <f>IF(Z$1="",0,операции!Z370)</f>
        <v>0</v>
      </c>
      <c r="AA295" s="101">
        <f>IF(AA$1="",0,операции!AA370)</f>
        <v>0</v>
      </c>
      <c r="AB295" s="22"/>
    </row>
    <row r="296" spans="1:28" s="23" customFormat="1" ht="10.199999999999999" x14ac:dyDescent="0.2">
      <c r="A296" s="22"/>
      <c r="B296" s="22"/>
      <c r="C296" s="22"/>
      <c r="D296" s="22"/>
      <c r="E296" s="22" t="str">
        <f>E293</f>
        <v>оплаты в соцфонды</v>
      </c>
      <c r="F296" s="22"/>
      <c r="G296" s="22" t="str">
        <f>IF($E296="","",INDEX(KPI!$G:$G,SUMIFS(KPI!$B:$B,KPI!$E:$E,$E296)))</f>
        <v>тыс.руб.</v>
      </c>
      <c r="H296" s="100">
        <f>структура!$V$14</f>
        <v>3</v>
      </c>
      <c r="I296" s="31"/>
      <c r="J296" s="98" t="str">
        <f>структура!$X$14</f>
        <v>мар</v>
      </c>
      <c r="K296" s="99"/>
      <c r="L296" s="22"/>
      <c r="M296" s="58"/>
      <c r="N296" s="22"/>
      <c r="O296" s="22"/>
      <c r="P296" s="101">
        <f>IF(P$1="",0,операции!P371)</f>
        <v>55.87</v>
      </c>
      <c r="Q296" s="101">
        <f>IF(Q$1="",0,операции!Q371)</f>
        <v>55.87</v>
      </c>
      <c r="R296" s="101">
        <f>IF(R$1="",0,операции!R371)</f>
        <v>55.87</v>
      </c>
      <c r="S296" s="101">
        <f>IF(S$1="",0,операции!S371)</f>
        <v>55.87</v>
      </c>
      <c r="T296" s="101">
        <f>IF(T$1="",0,операции!T371)</f>
        <v>55.87</v>
      </c>
      <c r="U296" s="101">
        <f>IF(U$1="",0,операции!U371)</f>
        <v>55.87</v>
      </c>
      <c r="V296" s="101">
        <f>IF(V$1="",0,операции!V371)</f>
        <v>55.87</v>
      </c>
      <c r="W296" s="101">
        <f>IF(W$1="",0,операции!W371)</f>
        <v>0</v>
      </c>
      <c r="X296" s="101">
        <f>IF(X$1="",0,операции!X371)</f>
        <v>0</v>
      </c>
      <c r="Y296" s="101">
        <f>IF(Y$1="",0,операции!Y371)</f>
        <v>0</v>
      </c>
      <c r="Z296" s="101">
        <f>IF(Z$1="",0,операции!Z371)</f>
        <v>0</v>
      </c>
      <c r="AA296" s="101">
        <f>IF(AA$1="",0,операции!AA371)</f>
        <v>0</v>
      </c>
      <c r="AB296" s="22"/>
    </row>
    <row r="297" spans="1:28" s="23" customFormat="1" ht="10.199999999999999" x14ac:dyDescent="0.2">
      <c r="A297" s="22"/>
      <c r="B297" s="22"/>
      <c r="C297" s="22"/>
      <c r="D297" s="22"/>
      <c r="E297" s="22" t="str">
        <f>E293</f>
        <v>оплаты в соцфонды</v>
      </c>
      <c r="F297" s="22"/>
      <c r="G297" s="22" t="str">
        <f>IF($E297="","",INDEX(KPI!$G:$G,SUMIFS(KPI!$B:$B,KPI!$E:$E,$E297)))</f>
        <v>тыс.руб.</v>
      </c>
      <c r="H297" s="100">
        <f>структура!$V$15</f>
        <v>4</v>
      </c>
      <c r="I297" s="31"/>
      <c r="J297" s="98" t="str">
        <f>структура!$X$15</f>
        <v>апр</v>
      </c>
      <c r="K297" s="99"/>
      <c r="L297" s="22"/>
      <c r="M297" s="58"/>
      <c r="N297" s="22"/>
      <c r="O297" s="22"/>
      <c r="P297" s="101">
        <f>IF(P$1="",0,операции!P372)</f>
        <v>55.87</v>
      </c>
      <c r="Q297" s="101">
        <f>IF(Q$1="",0,операции!Q372)</f>
        <v>55.87</v>
      </c>
      <c r="R297" s="101">
        <f>IF(R$1="",0,операции!R372)</f>
        <v>55.87</v>
      </c>
      <c r="S297" s="101">
        <f>IF(S$1="",0,операции!S372)</f>
        <v>55.87</v>
      </c>
      <c r="T297" s="101">
        <f>IF(T$1="",0,операции!T372)</f>
        <v>55.87</v>
      </c>
      <c r="U297" s="101">
        <f>IF(U$1="",0,операции!U372)</f>
        <v>55.87</v>
      </c>
      <c r="V297" s="101">
        <f>IF(V$1="",0,операции!V372)</f>
        <v>55.87</v>
      </c>
      <c r="W297" s="101">
        <f>IF(W$1="",0,операции!W372)</f>
        <v>0</v>
      </c>
      <c r="X297" s="101">
        <f>IF(X$1="",0,операции!X372)</f>
        <v>0</v>
      </c>
      <c r="Y297" s="101">
        <f>IF(Y$1="",0,операции!Y372)</f>
        <v>0</v>
      </c>
      <c r="Z297" s="101">
        <f>IF(Z$1="",0,операции!Z372)</f>
        <v>0</v>
      </c>
      <c r="AA297" s="101">
        <f>IF(AA$1="",0,операции!AA372)</f>
        <v>0</v>
      </c>
      <c r="AB297" s="22"/>
    </row>
    <row r="298" spans="1:28" s="23" customFormat="1" ht="10.199999999999999" x14ac:dyDescent="0.2">
      <c r="A298" s="22"/>
      <c r="B298" s="22"/>
      <c r="C298" s="22"/>
      <c r="D298" s="22"/>
      <c r="E298" s="22" t="str">
        <f>E293</f>
        <v>оплаты в соцфонды</v>
      </c>
      <c r="F298" s="22"/>
      <c r="G298" s="22" t="str">
        <f>IF($E298="","",INDEX(KPI!$G:$G,SUMIFS(KPI!$B:$B,KPI!$E:$E,$E298)))</f>
        <v>тыс.руб.</v>
      </c>
      <c r="H298" s="100">
        <f>структура!$V$16</f>
        <v>5</v>
      </c>
      <c r="I298" s="31"/>
      <c r="J298" s="98" t="str">
        <f>структура!$X$16</f>
        <v>май</v>
      </c>
      <c r="K298" s="99"/>
      <c r="L298" s="22"/>
      <c r="M298" s="58"/>
      <c r="N298" s="22"/>
      <c r="O298" s="22"/>
      <c r="P298" s="101">
        <f>IF(P$1="",0,операции!P373)</f>
        <v>55.87</v>
      </c>
      <c r="Q298" s="101">
        <f>IF(Q$1="",0,операции!Q373)</f>
        <v>55.87</v>
      </c>
      <c r="R298" s="101">
        <f>IF(R$1="",0,операции!R373)</f>
        <v>55.87</v>
      </c>
      <c r="S298" s="101">
        <f>IF(S$1="",0,операции!S373)</f>
        <v>55.87</v>
      </c>
      <c r="T298" s="101">
        <f>IF(T$1="",0,операции!T373)</f>
        <v>55.87</v>
      </c>
      <c r="U298" s="101">
        <f>IF(U$1="",0,операции!U373)</f>
        <v>55.87</v>
      </c>
      <c r="V298" s="101">
        <f>IF(V$1="",0,операции!V373)</f>
        <v>55.87</v>
      </c>
      <c r="W298" s="101">
        <f>IF(W$1="",0,операции!W373)</f>
        <v>0</v>
      </c>
      <c r="X298" s="101">
        <f>IF(X$1="",0,операции!X373)</f>
        <v>0</v>
      </c>
      <c r="Y298" s="101">
        <f>IF(Y$1="",0,операции!Y373)</f>
        <v>0</v>
      </c>
      <c r="Z298" s="101">
        <f>IF(Z$1="",0,операции!Z373)</f>
        <v>0</v>
      </c>
      <c r="AA298" s="101">
        <f>IF(AA$1="",0,операции!AA373)</f>
        <v>0</v>
      </c>
      <c r="AB298" s="22"/>
    </row>
    <row r="299" spans="1:28" s="23" customFormat="1" ht="10.199999999999999" x14ac:dyDescent="0.2">
      <c r="A299" s="22"/>
      <c r="B299" s="22"/>
      <c r="C299" s="22"/>
      <c r="D299" s="22"/>
      <c r="E299" s="22" t="str">
        <f>E293</f>
        <v>оплаты в соцфонды</v>
      </c>
      <c r="F299" s="22"/>
      <c r="G299" s="22" t="str">
        <f>IF($E299="","",INDEX(KPI!$G:$G,SUMIFS(KPI!$B:$B,KPI!$E:$E,$E299)))</f>
        <v>тыс.руб.</v>
      </c>
      <c r="H299" s="100">
        <f>структура!$V$17</f>
        <v>6</v>
      </c>
      <c r="I299" s="31"/>
      <c r="J299" s="98" t="str">
        <f>структура!$X$17</f>
        <v>июн</v>
      </c>
      <c r="K299" s="99"/>
      <c r="L299" s="22"/>
      <c r="M299" s="58"/>
      <c r="N299" s="22"/>
      <c r="O299" s="22"/>
      <c r="P299" s="101">
        <f>IF(P$1="",0,операции!P374)</f>
        <v>55.87</v>
      </c>
      <c r="Q299" s="101">
        <f>IF(Q$1="",0,операции!Q374)</f>
        <v>55.87</v>
      </c>
      <c r="R299" s="101">
        <f>IF(R$1="",0,операции!R374)</f>
        <v>55.87</v>
      </c>
      <c r="S299" s="101">
        <f>IF(S$1="",0,операции!S374)</f>
        <v>55.87</v>
      </c>
      <c r="T299" s="101">
        <f>IF(T$1="",0,операции!T374)</f>
        <v>55.87</v>
      </c>
      <c r="U299" s="101">
        <f>IF(U$1="",0,операции!U374)</f>
        <v>55.87</v>
      </c>
      <c r="V299" s="101">
        <f>IF(V$1="",0,операции!V374)</f>
        <v>55.87</v>
      </c>
      <c r="W299" s="101">
        <f>IF(W$1="",0,операции!W374)</f>
        <v>0</v>
      </c>
      <c r="X299" s="101">
        <f>IF(X$1="",0,операции!X374)</f>
        <v>0</v>
      </c>
      <c r="Y299" s="101">
        <f>IF(Y$1="",0,операции!Y374)</f>
        <v>0</v>
      </c>
      <c r="Z299" s="101">
        <f>IF(Z$1="",0,операции!Z374)</f>
        <v>0</v>
      </c>
      <c r="AA299" s="101">
        <f>IF(AA$1="",0,операции!AA374)</f>
        <v>0</v>
      </c>
      <c r="AB299" s="22"/>
    </row>
    <row r="300" spans="1:28" s="23" customFormat="1" ht="10.199999999999999" x14ac:dyDescent="0.2">
      <c r="A300" s="22"/>
      <c r="B300" s="22"/>
      <c r="C300" s="22"/>
      <c r="D300" s="22"/>
      <c r="E300" s="22" t="str">
        <f>E293</f>
        <v>оплаты в соцфонды</v>
      </c>
      <c r="F300" s="22"/>
      <c r="G300" s="22" t="str">
        <f>IF($E300="","",INDEX(KPI!$G:$G,SUMIFS(KPI!$B:$B,KPI!$E:$E,$E300)))</f>
        <v>тыс.руб.</v>
      </c>
      <c r="H300" s="100">
        <f>структура!$V$18</f>
        <v>7</v>
      </c>
      <c r="I300" s="31"/>
      <c r="J300" s="98" t="str">
        <f>структура!$X$18</f>
        <v>июл</v>
      </c>
      <c r="K300" s="99"/>
      <c r="L300" s="22"/>
      <c r="M300" s="58"/>
      <c r="N300" s="22"/>
      <c r="O300" s="22"/>
      <c r="P300" s="101">
        <f>IF(P$1="",0,операции!P375)</f>
        <v>55.87</v>
      </c>
      <c r="Q300" s="101">
        <f>IF(Q$1="",0,операции!Q375)</f>
        <v>55.87</v>
      </c>
      <c r="R300" s="101">
        <f>IF(R$1="",0,операции!R375)</f>
        <v>55.87</v>
      </c>
      <c r="S300" s="101">
        <f>IF(S$1="",0,операции!S375)</f>
        <v>55.87</v>
      </c>
      <c r="T300" s="101">
        <f>IF(T$1="",0,операции!T375)</f>
        <v>55.87</v>
      </c>
      <c r="U300" s="101">
        <f>IF(U$1="",0,операции!U375)</f>
        <v>55.87</v>
      </c>
      <c r="V300" s="101">
        <f>IF(V$1="",0,операции!V375)</f>
        <v>55.87</v>
      </c>
      <c r="W300" s="101">
        <f>IF(W$1="",0,операции!W375)</f>
        <v>0</v>
      </c>
      <c r="X300" s="101">
        <f>IF(X$1="",0,операции!X375)</f>
        <v>0</v>
      </c>
      <c r="Y300" s="101">
        <f>IF(Y$1="",0,операции!Y375)</f>
        <v>0</v>
      </c>
      <c r="Z300" s="101">
        <f>IF(Z$1="",0,операции!Z375)</f>
        <v>0</v>
      </c>
      <c r="AA300" s="101">
        <f>IF(AA$1="",0,операции!AA375)</f>
        <v>0</v>
      </c>
      <c r="AB300" s="22"/>
    </row>
    <row r="301" spans="1:28" s="23" customFormat="1" ht="10.199999999999999" x14ac:dyDescent="0.2">
      <c r="A301" s="22"/>
      <c r="B301" s="22"/>
      <c r="C301" s="22"/>
      <c r="D301" s="22"/>
      <c r="E301" s="22" t="str">
        <f>E293</f>
        <v>оплаты в соцфонды</v>
      </c>
      <c r="F301" s="22"/>
      <c r="G301" s="22" t="str">
        <f>IF($E301="","",INDEX(KPI!$G:$G,SUMIFS(KPI!$B:$B,KPI!$E:$E,$E301)))</f>
        <v>тыс.руб.</v>
      </c>
      <c r="H301" s="100">
        <f>структура!$V$19</f>
        <v>8</v>
      </c>
      <c r="I301" s="31"/>
      <c r="J301" s="98" t="str">
        <f>структура!$X$19</f>
        <v>авг</v>
      </c>
      <c r="K301" s="99"/>
      <c r="L301" s="22"/>
      <c r="M301" s="58"/>
      <c r="N301" s="22"/>
      <c r="O301" s="22"/>
      <c r="P301" s="101">
        <f>IF(P$1="",0,операции!P376)</f>
        <v>55.87</v>
      </c>
      <c r="Q301" s="101">
        <f>IF(Q$1="",0,операции!Q376)</f>
        <v>55.87</v>
      </c>
      <c r="R301" s="101">
        <f>IF(R$1="",0,операции!R376)</f>
        <v>55.87</v>
      </c>
      <c r="S301" s="101">
        <f>IF(S$1="",0,операции!S376)</f>
        <v>55.87</v>
      </c>
      <c r="T301" s="101">
        <f>IF(T$1="",0,операции!T376)</f>
        <v>55.87</v>
      </c>
      <c r="U301" s="101">
        <f>IF(U$1="",0,операции!U376)</f>
        <v>55.87</v>
      </c>
      <c r="V301" s="101">
        <f>IF(V$1="",0,операции!V376)</f>
        <v>55.87</v>
      </c>
      <c r="W301" s="101">
        <f>IF(W$1="",0,операции!W376)</f>
        <v>0</v>
      </c>
      <c r="X301" s="101">
        <f>IF(X$1="",0,операции!X376)</f>
        <v>0</v>
      </c>
      <c r="Y301" s="101">
        <f>IF(Y$1="",0,операции!Y376)</f>
        <v>0</v>
      </c>
      <c r="Z301" s="101">
        <f>IF(Z$1="",0,операции!Z376)</f>
        <v>0</v>
      </c>
      <c r="AA301" s="101">
        <f>IF(AA$1="",0,операции!AA376)</f>
        <v>0</v>
      </c>
      <c r="AB301" s="22"/>
    </row>
    <row r="302" spans="1:28" s="23" customFormat="1" ht="10.199999999999999" x14ac:dyDescent="0.2">
      <c r="A302" s="22"/>
      <c r="B302" s="22"/>
      <c r="C302" s="22"/>
      <c r="D302" s="22"/>
      <c r="E302" s="22" t="str">
        <f>E293</f>
        <v>оплаты в соцфонды</v>
      </c>
      <c r="F302" s="22"/>
      <c r="G302" s="22" t="str">
        <f>IF($E302="","",INDEX(KPI!$G:$G,SUMIFS(KPI!$B:$B,KPI!$E:$E,$E302)))</f>
        <v>тыс.руб.</v>
      </c>
      <c r="H302" s="100">
        <f>структура!$V$20</f>
        <v>9</v>
      </c>
      <c r="I302" s="31"/>
      <c r="J302" s="98" t="str">
        <f>структура!$X$20</f>
        <v>сен</v>
      </c>
      <c r="K302" s="99"/>
      <c r="L302" s="22"/>
      <c r="M302" s="58"/>
      <c r="N302" s="22"/>
      <c r="O302" s="22"/>
      <c r="P302" s="101">
        <f>IF(P$1="",0,операции!P377)</f>
        <v>55.87</v>
      </c>
      <c r="Q302" s="101">
        <f>IF(Q$1="",0,операции!Q377)</f>
        <v>55.87</v>
      </c>
      <c r="R302" s="101">
        <f>IF(R$1="",0,операции!R377)</f>
        <v>55.87</v>
      </c>
      <c r="S302" s="101">
        <f>IF(S$1="",0,операции!S377)</f>
        <v>55.87</v>
      </c>
      <c r="T302" s="101">
        <f>IF(T$1="",0,операции!T377)</f>
        <v>55.87</v>
      </c>
      <c r="U302" s="101">
        <f>IF(U$1="",0,операции!U377)</f>
        <v>55.87</v>
      </c>
      <c r="V302" s="101">
        <f>IF(V$1="",0,операции!V377)</f>
        <v>55.87</v>
      </c>
      <c r="W302" s="101">
        <f>IF(W$1="",0,операции!W377)</f>
        <v>0</v>
      </c>
      <c r="X302" s="101">
        <f>IF(X$1="",0,операции!X377)</f>
        <v>0</v>
      </c>
      <c r="Y302" s="101">
        <f>IF(Y$1="",0,операции!Y377)</f>
        <v>0</v>
      </c>
      <c r="Z302" s="101">
        <f>IF(Z$1="",0,операции!Z377)</f>
        <v>0</v>
      </c>
      <c r="AA302" s="101">
        <f>IF(AA$1="",0,операции!AA377)</f>
        <v>0</v>
      </c>
      <c r="AB302" s="22"/>
    </row>
    <row r="303" spans="1:28" s="23" customFormat="1" ht="10.199999999999999" x14ac:dyDescent="0.2">
      <c r="A303" s="22"/>
      <c r="B303" s="22"/>
      <c r="C303" s="22"/>
      <c r="D303" s="22"/>
      <c r="E303" s="22" t="str">
        <f>E293</f>
        <v>оплаты в соцфонды</v>
      </c>
      <c r="F303" s="22"/>
      <c r="G303" s="22" t="str">
        <f>IF($E303="","",INDEX(KPI!$G:$G,SUMIFS(KPI!$B:$B,KPI!$E:$E,$E303)))</f>
        <v>тыс.руб.</v>
      </c>
      <c r="H303" s="100">
        <f>структура!$V$21</f>
        <v>10</v>
      </c>
      <c r="I303" s="31"/>
      <c r="J303" s="98" t="str">
        <f>структура!$X$21</f>
        <v>окт</v>
      </c>
      <c r="K303" s="99"/>
      <c r="L303" s="22"/>
      <c r="M303" s="58"/>
      <c r="N303" s="22"/>
      <c r="O303" s="22"/>
      <c r="P303" s="101">
        <f>IF(P$1="",0,операции!P378)</f>
        <v>55.87</v>
      </c>
      <c r="Q303" s="101">
        <f>IF(Q$1="",0,операции!Q378)</f>
        <v>55.87</v>
      </c>
      <c r="R303" s="101">
        <f>IF(R$1="",0,операции!R378)</f>
        <v>55.87</v>
      </c>
      <c r="S303" s="101">
        <f>IF(S$1="",0,операции!S378)</f>
        <v>55.87</v>
      </c>
      <c r="T303" s="101">
        <f>IF(T$1="",0,операции!T378)</f>
        <v>55.87</v>
      </c>
      <c r="U303" s="101">
        <f>IF(U$1="",0,операции!U378)</f>
        <v>55.87</v>
      </c>
      <c r="V303" s="101">
        <f>IF(V$1="",0,операции!V378)</f>
        <v>55.87</v>
      </c>
      <c r="W303" s="101">
        <f>IF(W$1="",0,операции!W378)</f>
        <v>0</v>
      </c>
      <c r="X303" s="101">
        <f>IF(X$1="",0,операции!X378)</f>
        <v>0</v>
      </c>
      <c r="Y303" s="101">
        <f>IF(Y$1="",0,операции!Y378)</f>
        <v>0</v>
      </c>
      <c r="Z303" s="101">
        <f>IF(Z$1="",0,операции!Z378)</f>
        <v>0</v>
      </c>
      <c r="AA303" s="101">
        <f>IF(AA$1="",0,операции!AA378)</f>
        <v>0</v>
      </c>
      <c r="AB303" s="22"/>
    </row>
    <row r="304" spans="1:28" s="23" customFormat="1" ht="10.199999999999999" x14ac:dyDescent="0.2">
      <c r="A304" s="22"/>
      <c r="B304" s="22"/>
      <c r="C304" s="22"/>
      <c r="D304" s="22"/>
      <c r="E304" s="22" t="str">
        <f>E293</f>
        <v>оплаты в соцфонды</v>
      </c>
      <c r="F304" s="22"/>
      <c r="G304" s="22" t="str">
        <f>IF($E304="","",INDEX(KPI!$G:$G,SUMIFS(KPI!$B:$B,KPI!$E:$E,$E304)))</f>
        <v>тыс.руб.</v>
      </c>
      <c r="H304" s="100">
        <f>структура!$V$22</f>
        <v>11</v>
      </c>
      <c r="I304" s="31"/>
      <c r="J304" s="98" t="str">
        <f>структура!$X$22</f>
        <v>ноя</v>
      </c>
      <c r="K304" s="99"/>
      <c r="L304" s="22"/>
      <c r="M304" s="58"/>
      <c r="N304" s="22"/>
      <c r="O304" s="22"/>
      <c r="P304" s="101">
        <f>IF(P$1="",0,операции!P379)</f>
        <v>55.87</v>
      </c>
      <c r="Q304" s="101">
        <f>IF(Q$1="",0,операции!Q379)</f>
        <v>55.87</v>
      </c>
      <c r="R304" s="101">
        <f>IF(R$1="",0,операции!R379)</f>
        <v>55.87</v>
      </c>
      <c r="S304" s="101">
        <f>IF(S$1="",0,операции!S379)</f>
        <v>55.87</v>
      </c>
      <c r="T304" s="101">
        <f>IF(T$1="",0,операции!T379)</f>
        <v>55.87</v>
      </c>
      <c r="U304" s="101">
        <f>IF(U$1="",0,операции!U379)</f>
        <v>55.87</v>
      </c>
      <c r="V304" s="101">
        <f>IF(V$1="",0,операции!V379)</f>
        <v>55.87</v>
      </c>
      <c r="W304" s="101">
        <f>IF(W$1="",0,операции!W379)</f>
        <v>0</v>
      </c>
      <c r="X304" s="101">
        <f>IF(X$1="",0,операции!X379)</f>
        <v>0</v>
      </c>
      <c r="Y304" s="101">
        <f>IF(Y$1="",0,операции!Y379)</f>
        <v>0</v>
      </c>
      <c r="Z304" s="101">
        <f>IF(Z$1="",0,операции!Z379)</f>
        <v>0</v>
      </c>
      <c r="AA304" s="101">
        <f>IF(AA$1="",0,операции!AA379)</f>
        <v>0</v>
      </c>
      <c r="AB304" s="22"/>
    </row>
    <row r="305" spans="1:28" s="23" customFormat="1" ht="10.199999999999999" x14ac:dyDescent="0.2">
      <c r="A305" s="22"/>
      <c r="B305" s="22"/>
      <c r="C305" s="22"/>
      <c r="D305" s="22"/>
      <c r="E305" s="22" t="str">
        <f>E293</f>
        <v>оплаты в соцфонды</v>
      </c>
      <c r="F305" s="22"/>
      <c r="G305" s="22" t="str">
        <f>IF($E305="","",INDEX(KPI!$G:$G,SUMIFS(KPI!$B:$B,KPI!$E:$E,$E305)))</f>
        <v>тыс.руб.</v>
      </c>
      <c r="H305" s="100">
        <f>структура!$V$23</f>
        <v>12</v>
      </c>
      <c r="I305" s="31"/>
      <c r="J305" s="98" t="str">
        <f>структура!$X$23</f>
        <v>дек</v>
      </c>
      <c r="K305" s="99"/>
      <c r="L305" s="22"/>
      <c r="M305" s="58"/>
      <c r="N305" s="22"/>
      <c r="O305" s="22"/>
      <c r="P305" s="101">
        <f>IF(P$1="",0,операции!P380)</f>
        <v>55.87</v>
      </c>
      <c r="Q305" s="101">
        <f>IF(Q$1="",0,операции!Q380)</f>
        <v>55.87</v>
      </c>
      <c r="R305" s="101">
        <f>IF(R$1="",0,операции!R380)</f>
        <v>55.87</v>
      </c>
      <c r="S305" s="101">
        <f>IF(S$1="",0,операции!S380)</f>
        <v>55.87</v>
      </c>
      <c r="T305" s="101">
        <f>IF(T$1="",0,операции!T380)</f>
        <v>55.87</v>
      </c>
      <c r="U305" s="101">
        <f>IF(U$1="",0,операции!U380)</f>
        <v>55.87</v>
      </c>
      <c r="V305" s="101">
        <f>IF(V$1="",0,операции!V380)</f>
        <v>55.87</v>
      </c>
      <c r="W305" s="101">
        <f>IF(W$1="",0,операции!W380)</f>
        <v>0</v>
      </c>
      <c r="X305" s="101">
        <f>IF(X$1="",0,операции!X380)</f>
        <v>0</v>
      </c>
      <c r="Y305" s="101">
        <f>IF(Y$1="",0,операции!Y380)</f>
        <v>0</v>
      </c>
      <c r="Z305" s="101">
        <f>IF(Z$1="",0,операции!Z380)</f>
        <v>0</v>
      </c>
      <c r="AA305" s="101">
        <f>IF(AA$1="",0,операции!AA380)</f>
        <v>0</v>
      </c>
      <c r="AB305" s="22"/>
    </row>
    <row r="306" spans="1:28" ht="3.9" customHeight="1" x14ac:dyDescent="0.25">
      <c r="A306" s="2"/>
      <c r="B306" s="2"/>
      <c r="C306" s="2"/>
      <c r="D306" s="2"/>
      <c r="E306" s="21"/>
      <c r="F306" s="2"/>
      <c r="G306" s="21"/>
      <c r="H306" s="2"/>
      <c r="I306" s="28"/>
      <c r="J306" s="21"/>
      <c r="K306" s="28"/>
      <c r="L306" s="2"/>
      <c r="M306" s="52"/>
      <c r="N306" s="2"/>
      <c r="O306" s="2"/>
      <c r="P306" s="36"/>
      <c r="Q306" s="36"/>
      <c r="R306" s="36"/>
      <c r="S306" s="36"/>
      <c r="T306" s="36"/>
      <c r="U306" s="36"/>
      <c r="V306" s="36"/>
      <c r="W306" s="36"/>
      <c r="X306" s="36"/>
      <c r="Y306" s="36"/>
      <c r="Z306" s="36"/>
      <c r="AA306" s="36"/>
      <c r="AB306" s="2"/>
    </row>
    <row r="307" spans="1:28" ht="8.1" customHeight="1" x14ac:dyDescent="0.25">
      <c r="A307" s="2"/>
      <c r="B307" s="2"/>
      <c r="C307" s="2"/>
      <c r="D307" s="2"/>
      <c r="E307" s="2"/>
      <c r="F307" s="2"/>
      <c r="G307" s="2"/>
      <c r="H307" s="2"/>
      <c r="I307" s="28"/>
      <c r="J307" s="2"/>
      <c r="K307" s="28"/>
      <c r="L307" s="2"/>
      <c r="M307" s="52"/>
      <c r="N307" s="2"/>
      <c r="O307" s="2"/>
      <c r="P307" s="36"/>
      <c r="Q307" s="36"/>
      <c r="R307" s="36"/>
      <c r="S307" s="36"/>
      <c r="T307" s="36"/>
      <c r="U307" s="36"/>
      <c r="V307" s="36"/>
      <c r="W307" s="36"/>
      <c r="X307" s="36"/>
      <c r="Y307" s="36"/>
      <c r="Z307" s="36"/>
      <c r="AA307" s="36"/>
      <c r="AB307" s="2"/>
    </row>
    <row r="308" spans="1:28" s="5" customFormat="1" x14ac:dyDescent="0.25">
      <c r="A308" s="3"/>
      <c r="B308" s="3"/>
      <c r="C308" s="3"/>
      <c r="D308" s="3"/>
      <c r="E308" s="3" t="str">
        <f>KPI!$E$61</f>
        <v>доля общехоз. расходов в доходах</v>
      </c>
      <c r="F308" s="3"/>
      <c r="G308" s="3" t="str">
        <f>IF($E308="","",INDEX(KPI!$G:$G,SUMIFS(KPI!$B:$B,KPI!$E:$E,$E308)))</f>
        <v>%</v>
      </c>
      <c r="H308" s="3"/>
      <c r="I308" s="6"/>
      <c r="J308" s="229">
        <f>операции!J383</f>
        <v>7.0000000000000007E-2</v>
      </c>
      <c r="K308" s="28"/>
      <c r="L308" s="2"/>
      <c r="M308" s="52"/>
      <c r="N308" s="3"/>
      <c r="O308" s="2"/>
      <c r="P308" s="36"/>
      <c r="Q308" s="36"/>
      <c r="R308" s="36"/>
      <c r="S308" s="36"/>
      <c r="T308" s="36"/>
      <c r="U308" s="36"/>
      <c r="V308" s="36"/>
      <c r="W308" s="36"/>
      <c r="X308" s="36"/>
      <c r="Y308" s="36"/>
      <c r="Z308" s="36"/>
      <c r="AA308" s="36"/>
      <c r="AB308" s="2"/>
    </row>
    <row r="309" spans="1:28" ht="3.9" customHeight="1" x14ac:dyDescent="0.25">
      <c r="A309" s="2"/>
      <c r="B309" s="2"/>
      <c r="C309" s="2"/>
      <c r="D309" s="2"/>
      <c r="E309" s="110"/>
      <c r="F309" s="2"/>
      <c r="G309" s="2"/>
      <c r="H309" s="2"/>
      <c r="I309" s="28"/>
      <c r="J309" s="2"/>
      <c r="K309" s="28"/>
      <c r="L309" s="2"/>
      <c r="M309" s="52"/>
      <c r="N309" s="2"/>
      <c r="O309" s="2"/>
      <c r="P309" s="36"/>
      <c r="Q309" s="36"/>
      <c r="R309" s="36"/>
      <c r="S309" s="36"/>
      <c r="T309" s="36"/>
      <c r="U309" s="36"/>
      <c r="V309" s="36"/>
      <c r="W309" s="36"/>
      <c r="X309" s="36"/>
      <c r="Y309" s="36"/>
      <c r="Z309" s="36"/>
      <c r="AA309" s="36"/>
      <c r="AB309" s="2"/>
    </row>
    <row r="310" spans="1:28" ht="8.1" customHeight="1" x14ac:dyDescent="0.25">
      <c r="A310" s="2"/>
      <c r="B310" s="2"/>
      <c r="C310" s="2"/>
      <c r="D310" s="2"/>
      <c r="E310" s="2"/>
      <c r="F310" s="2"/>
      <c r="G310" s="2"/>
      <c r="H310" s="2"/>
      <c r="I310" s="28"/>
      <c r="J310" s="2"/>
      <c r="K310" s="28"/>
      <c r="L310" s="2"/>
      <c r="M310" s="52"/>
      <c r="N310" s="2"/>
      <c r="O310" s="2"/>
      <c r="P310" s="36"/>
      <c r="Q310" s="36"/>
      <c r="R310" s="36"/>
      <c r="S310" s="36"/>
      <c r="T310" s="36"/>
      <c r="U310" s="36"/>
      <c r="V310" s="36"/>
      <c r="W310" s="36"/>
      <c r="X310" s="36"/>
      <c r="Y310" s="36"/>
      <c r="Z310" s="36"/>
      <c r="AA310" s="36"/>
      <c r="AB310" s="2"/>
    </row>
    <row r="311" spans="1:28" s="5" customFormat="1" x14ac:dyDescent="0.25">
      <c r="A311" s="3"/>
      <c r="B311" s="3"/>
      <c r="C311" s="3"/>
      <c r="D311" s="111"/>
      <c r="E311" s="3" t="str">
        <f>KPI!$E$62</f>
        <v>общехоз. расходы - начисление/оплата</v>
      </c>
      <c r="F311" s="3"/>
      <c r="G311" s="3" t="str">
        <f>IF($E311="","",INDEX(KPI!$G:$G,SUMIFS(KPI!$B:$B,KPI!$E:$E,$E311)))</f>
        <v>тыс.руб.</v>
      </c>
      <c r="H311" s="103"/>
      <c r="I311" s="28"/>
      <c r="J311" s="44"/>
      <c r="K311" s="28"/>
      <c r="L311" s="3"/>
      <c r="M311" s="55">
        <f>SUM($O311:$AB311)</f>
        <v>10985.840115384615</v>
      </c>
      <c r="N311" s="3"/>
      <c r="O311" s="3"/>
      <c r="P311" s="46">
        <f>IF(P$1="",0,IF(P$1=0,SUMIFS(P312:P323,H312:H323,"&gt;="&amp;MONTH($J$13)),SUM(P312:P323)))</f>
        <v>1375.5037423076919</v>
      </c>
      <c r="Q311" s="46">
        <f t="shared" ref="Q311" si="62">IF(Q$1="",0,SUM(Q312:Q323))</f>
        <v>1419.8452423076922</v>
      </c>
      <c r="R311" s="46">
        <f t="shared" ref="R311:AA311" si="63">IF(R$1="",0,SUM(R312:R323))</f>
        <v>1488.8065769230768</v>
      </c>
      <c r="S311" s="46">
        <f t="shared" si="63"/>
        <v>1530.6989923076922</v>
      </c>
      <c r="T311" s="46">
        <f t="shared" si="63"/>
        <v>1597.2112423076921</v>
      </c>
      <c r="U311" s="46">
        <f t="shared" si="63"/>
        <v>1708.0649923076921</v>
      </c>
      <c r="V311" s="46">
        <f t="shared" si="63"/>
        <v>1865.7093269230768</v>
      </c>
      <c r="W311" s="46">
        <f t="shared" si="63"/>
        <v>0</v>
      </c>
      <c r="X311" s="46">
        <f t="shared" si="63"/>
        <v>0</v>
      </c>
      <c r="Y311" s="46">
        <f t="shared" si="63"/>
        <v>0</v>
      </c>
      <c r="Z311" s="46">
        <f t="shared" si="63"/>
        <v>0</v>
      </c>
      <c r="AA311" s="46">
        <f t="shared" si="63"/>
        <v>0</v>
      </c>
      <c r="AB311" s="3"/>
    </row>
    <row r="312" spans="1:28" s="23" customFormat="1" ht="10.199999999999999" x14ac:dyDescent="0.2">
      <c r="A312" s="22"/>
      <c r="B312" s="22"/>
      <c r="C312" s="22"/>
      <c r="D312" s="22"/>
      <c r="E312" s="22" t="str">
        <f>E311</f>
        <v>общехоз. расходы - начисление/оплата</v>
      </c>
      <c r="F312" s="22"/>
      <c r="G312" s="22" t="str">
        <f>IF($E312="","",INDEX(KPI!$G:$G,SUMIFS(KPI!$B:$B,KPI!$E:$E,$E312)))</f>
        <v>тыс.руб.</v>
      </c>
      <c r="H312" s="100">
        <f>структура!$V$12</f>
        <v>1</v>
      </c>
      <c r="I312" s="31"/>
      <c r="J312" s="98" t="str">
        <f>структура!$X$12</f>
        <v>янв</v>
      </c>
      <c r="K312" s="99"/>
      <c r="L312" s="22"/>
      <c r="M312" s="58"/>
      <c r="N312" s="22"/>
      <c r="O312" s="22"/>
      <c r="P312" s="101">
        <f t="shared" ref="P312:AA312" si="64">IF(P$1="",0,(P59+P138)*$J$308)</f>
        <v>91.847134615384618</v>
      </c>
      <c r="Q312" s="101">
        <f t="shared" si="64"/>
        <v>93.159634615384618</v>
      </c>
      <c r="R312" s="101">
        <f t="shared" si="64"/>
        <v>95.128384615384618</v>
      </c>
      <c r="S312" s="101">
        <f t="shared" si="64"/>
        <v>96.440884615384618</v>
      </c>
      <c r="T312" s="101">
        <f t="shared" si="64"/>
        <v>98.409634615384618</v>
      </c>
      <c r="U312" s="101">
        <f t="shared" si="64"/>
        <v>101.69088461538462</v>
      </c>
      <c r="V312" s="101">
        <f t="shared" si="64"/>
        <v>106.28463461538462</v>
      </c>
      <c r="W312" s="101">
        <f t="shared" si="64"/>
        <v>0</v>
      </c>
      <c r="X312" s="101">
        <f t="shared" si="64"/>
        <v>0</v>
      </c>
      <c r="Y312" s="101">
        <f t="shared" si="64"/>
        <v>0</v>
      </c>
      <c r="Z312" s="101">
        <f t="shared" si="64"/>
        <v>0</v>
      </c>
      <c r="AA312" s="101">
        <f t="shared" si="64"/>
        <v>0</v>
      </c>
      <c r="AB312" s="22"/>
    </row>
    <row r="313" spans="1:28" s="23" customFormat="1" ht="10.199999999999999" x14ac:dyDescent="0.2">
      <c r="A313" s="22"/>
      <c r="B313" s="22"/>
      <c r="C313" s="22"/>
      <c r="D313" s="22"/>
      <c r="E313" s="22" t="str">
        <f>E311</f>
        <v>общехоз. расходы - начисление/оплата</v>
      </c>
      <c r="F313" s="22"/>
      <c r="G313" s="22" t="str">
        <f>IF($E313="","",INDEX(KPI!$G:$G,SUMIFS(KPI!$B:$B,KPI!$E:$E,$E313)))</f>
        <v>тыс.руб.</v>
      </c>
      <c r="H313" s="100">
        <f>структура!$V$13</f>
        <v>2</v>
      </c>
      <c r="I313" s="31"/>
      <c r="J313" s="98" t="str">
        <f>структура!$X$13</f>
        <v>фев</v>
      </c>
      <c r="K313" s="99"/>
      <c r="L313" s="22"/>
      <c r="M313" s="58"/>
      <c r="N313" s="22"/>
      <c r="O313" s="22"/>
      <c r="P313" s="101">
        <f t="shared" ref="P313:AA313" si="65">IF(P$1="",0,(P60+P139)*$J$308)</f>
        <v>85.752800000000008</v>
      </c>
      <c r="Q313" s="101">
        <f t="shared" si="65"/>
        <v>87.488799999999998</v>
      </c>
      <c r="R313" s="101">
        <f t="shared" si="65"/>
        <v>92.541884615384632</v>
      </c>
      <c r="S313" s="101">
        <f t="shared" si="65"/>
        <v>91.828800000000001</v>
      </c>
      <c r="T313" s="101">
        <f t="shared" si="65"/>
        <v>94.4328</v>
      </c>
      <c r="U313" s="101">
        <f t="shared" si="65"/>
        <v>98.772800000000004</v>
      </c>
      <c r="V313" s="101">
        <f t="shared" si="65"/>
        <v>107.29788461538462</v>
      </c>
      <c r="W313" s="101">
        <f t="shared" si="65"/>
        <v>0</v>
      </c>
      <c r="X313" s="101">
        <f t="shared" si="65"/>
        <v>0</v>
      </c>
      <c r="Y313" s="101">
        <f t="shared" si="65"/>
        <v>0</v>
      </c>
      <c r="Z313" s="101">
        <f t="shared" si="65"/>
        <v>0</v>
      </c>
      <c r="AA313" s="101">
        <f t="shared" si="65"/>
        <v>0</v>
      </c>
      <c r="AB313" s="22"/>
    </row>
    <row r="314" spans="1:28" s="23" customFormat="1" ht="10.199999999999999" x14ac:dyDescent="0.2">
      <c r="A314" s="22"/>
      <c r="B314" s="22"/>
      <c r="C314" s="22"/>
      <c r="D314" s="22"/>
      <c r="E314" s="22" t="str">
        <f>E311</f>
        <v>общехоз. расходы - начисление/оплата</v>
      </c>
      <c r="F314" s="22"/>
      <c r="G314" s="22" t="str">
        <f>IF($E314="","",INDEX(KPI!$G:$G,SUMIFS(KPI!$B:$B,KPI!$E:$E,$E314)))</f>
        <v>тыс.руб.</v>
      </c>
      <c r="H314" s="100">
        <f>структура!$V$14</f>
        <v>3</v>
      </c>
      <c r="I314" s="31"/>
      <c r="J314" s="98" t="str">
        <f>структура!$X$14</f>
        <v>мар</v>
      </c>
      <c r="K314" s="99"/>
      <c r="L314" s="22"/>
      <c r="M314" s="58"/>
      <c r="N314" s="22"/>
      <c r="O314" s="22"/>
      <c r="P314" s="101">
        <f t="shared" ref="P314:AA314" si="66">IF(P$1="",0,(P61+P140)*$J$308)</f>
        <v>98.27838461538461</v>
      </c>
      <c r="Q314" s="101">
        <f t="shared" si="66"/>
        <v>100.44838461538461</v>
      </c>
      <c r="R314" s="101">
        <f t="shared" si="66"/>
        <v>103.70338461538462</v>
      </c>
      <c r="S314" s="101">
        <f t="shared" si="66"/>
        <v>105.87338461538462</v>
      </c>
      <c r="T314" s="101">
        <f t="shared" si="66"/>
        <v>109.12838461538462</v>
      </c>
      <c r="U314" s="101">
        <f t="shared" si="66"/>
        <v>114.55338461538462</v>
      </c>
      <c r="V314" s="101">
        <f t="shared" si="66"/>
        <v>122.14838461538461</v>
      </c>
      <c r="W314" s="101">
        <f t="shared" si="66"/>
        <v>0</v>
      </c>
      <c r="X314" s="101">
        <f t="shared" si="66"/>
        <v>0</v>
      </c>
      <c r="Y314" s="101">
        <f t="shared" si="66"/>
        <v>0</v>
      </c>
      <c r="Z314" s="101">
        <f t="shared" si="66"/>
        <v>0</v>
      </c>
      <c r="AA314" s="101">
        <f t="shared" si="66"/>
        <v>0</v>
      </c>
      <c r="AB314" s="22"/>
    </row>
    <row r="315" spans="1:28" s="23" customFormat="1" ht="10.199999999999999" x14ac:dyDescent="0.2">
      <c r="A315" s="22"/>
      <c r="B315" s="22"/>
      <c r="C315" s="22"/>
      <c r="D315" s="22"/>
      <c r="E315" s="22" t="str">
        <f>E311</f>
        <v>общехоз. расходы - начисление/оплата</v>
      </c>
      <c r="F315" s="22"/>
      <c r="G315" s="22" t="str">
        <f>IF($E315="","",INDEX(KPI!$G:$G,SUMIFS(KPI!$B:$B,KPI!$E:$E,$E315)))</f>
        <v>тыс.руб.</v>
      </c>
      <c r="H315" s="100">
        <f>структура!$V$15</f>
        <v>4</v>
      </c>
      <c r="I315" s="31"/>
      <c r="J315" s="98" t="str">
        <f>структура!$X$15</f>
        <v>апр</v>
      </c>
      <c r="K315" s="99"/>
      <c r="L315" s="22"/>
      <c r="M315" s="58"/>
      <c r="N315" s="22"/>
      <c r="O315" s="22"/>
      <c r="P315" s="101">
        <f t="shared" ref="P315:AA315" si="67">IF(P$1="",0,(P62+P141)*$J$308)</f>
        <v>97.467299999999994</v>
      </c>
      <c r="Q315" s="101">
        <f t="shared" si="67"/>
        <v>99.637299999999996</v>
      </c>
      <c r="R315" s="101">
        <f t="shared" si="67"/>
        <v>102.89230000000001</v>
      </c>
      <c r="S315" s="101">
        <f t="shared" si="67"/>
        <v>105.06230000000001</v>
      </c>
      <c r="T315" s="101">
        <f t="shared" si="67"/>
        <v>108.3173</v>
      </c>
      <c r="U315" s="101">
        <f t="shared" si="67"/>
        <v>113.7423</v>
      </c>
      <c r="V315" s="101">
        <f t="shared" si="67"/>
        <v>121.3373</v>
      </c>
      <c r="W315" s="101">
        <f t="shared" si="67"/>
        <v>0</v>
      </c>
      <c r="X315" s="101">
        <f t="shared" si="67"/>
        <v>0</v>
      </c>
      <c r="Y315" s="101">
        <f t="shared" si="67"/>
        <v>0</v>
      </c>
      <c r="Z315" s="101">
        <f t="shared" si="67"/>
        <v>0</v>
      </c>
      <c r="AA315" s="101">
        <f t="shared" si="67"/>
        <v>0</v>
      </c>
      <c r="AB315" s="22"/>
    </row>
    <row r="316" spans="1:28" s="23" customFormat="1" ht="10.199999999999999" x14ac:dyDescent="0.2">
      <c r="A316" s="22"/>
      <c r="B316" s="22"/>
      <c r="C316" s="22"/>
      <c r="D316" s="22"/>
      <c r="E316" s="22" t="str">
        <f>E311</f>
        <v>общехоз. расходы - начисление/оплата</v>
      </c>
      <c r="F316" s="22"/>
      <c r="G316" s="22" t="str">
        <f>IF($E316="","",INDEX(KPI!$G:$G,SUMIFS(KPI!$B:$B,KPI!$E:$E,$E316)))</f>
        <v>тыс.руб.</v>
      </c>
      <c r="H316" s="100">
        <f>структура!$V$16</f>
        <v>5</v>
      </c>
      <c r="I316" s="31"/>
      <c r="J316" s="98" t="str">
        <f>структура!$X$16</f>
        <v>май</v>
      </c>
      <c r="K316" s="99"/>
      <c r="L316" s="22"/>
      <c r="M316" s="58"/>
      <c r="N316" s="22"/>
      <c r="O316" s="22"/>
      <c r="P316" s="101">
        <f t="shared" ref="P316:AA316" si="68">IF(P$1="",0,(P63+P142)*$J$308)</f>
        <v>137.14938461538461</v>
      </c>
      <c r="Q316" s="101">
        <f t="shared" si="68"/>
        <v>142.97338461538462</v>
      </c>
      <c r="R316" s="101">
        <f t="shared" si="68"/>
        <v>151.70938461538461</v>
      </c>
      <c r="S316" s="101">
        <f t="shared" si="68"/>
        <v>157.53338461538462</v>
      </c>
      <c r="T316" s="101">
        <f t="shared" si="68"/>
        <v>166.26938461538461</v>
      </c>
      <c r="U316" s="101">
        <f t="shared" si="68"/>
        <v>180.82938461538461</v>
      </c>
      <c r="V316" s="101">
        <f t="shared" si="68"/>
        <v>201.21338461538463</v>
      </c>
      <c r="W316" s="101">
        <f t="shared" si="68"/>
        <v>0</v>
      </c>
      <c r="X316" s="101">
        <f t="shared" si="68"/>
        <v>0</v>
      </c>
      <c r="Y316" s="101">
        <f t="shared" si="68"/>
        <v>0</v>
      </c>
      <c r="Z316" s="101">
        <f t="shared" si="68"/>
        <v>0</v>
      </c>
      <c r="AA316" s="101">
        <f t="shared" si="68"/>
        <v>0</v>
      </c>
      <c r="AB316" s="22"/>
    </row>
    <row r="317" spans="1:28" s="23" customFormat="1" ht="10.199999999999999" x14ac:dyDescent="0.2">
      <c r="A317" s="22"/>
      <c r="B317" s="22"/>
      <c r="C317" s="22"/>
      <c r="D317" s="22"/>
      <c r="E317" s="22" t="str">
        <f>E311</f>
        <v>общехоз. расходы - начисление/оплата</v>
      </c>
      <c r="F317" s="22"/>
      <c r="G317" s="22" t="str">
        <f>IF($E317="","",INDEX(KPI!$G:$G,SUMIFS(KPI!$B:$B,KPI!$E:$E,$E317)))</f>
        <v>тыс.руб.</v>
      </c>
      <c r="H317" s="100">
        <f>структура!$V$17</f>
        <v>6</v>
      </c>
      <c r="I317" s="31"/>
      <c r="J317" s="98" t="str">
        <f>структура!$X$17</f>
        <v>июн</v>
      </c>
      <c r="K317" s="99"/>
      <c r="L317" s="22"/>
      <c r="M317" s="58"/>
      <c r="N317" s="22"/>
      <c r="O317" s="22"/>
      <c r="P317" s="101">
        <f t="shared" ref="P317:AA317" si="69">IF(P$1="",0,(P64+P143)*$J$308)</f>
        <v>164.36280000000002</v>
      </c>
      <c r="Q317" s="101">
        <f t="shared" si="69"/>
        <v>173.3228</v>
      </c>
      <c r="R317" s="101">
        <f t="shared" si="69"/>
        <v>186.76280000000003</v>
      </c>
      <c r="S317" s="101">
        <f t="shared" si="69"/>
        <v>195.72280000000001</v>
      </c>
      <c r="T317" s="101">
        <f t="shared" si="69"/>
        <v>209.1628</v>
      </c>
      <c r="U317" s="101">
        <f t="shared" si="69"/>
        <v>231.56280000000001</v>
      </c>
      <c r="V317" s="101">
        <f t="shared" si="69"/>
        <v>262.9228</v>
      </c>
      <c r="W317" s="101">
        <f t="shared" si="69"/>
        <v>0</v>
      </c>
      <c r="X317" s="101">
        <f t="shared" si="69"/>
        <v>0</v>
      </c>
      <c r="Y317" s="101">
        <f t="shared" si="69"/>
        <v>0</v>
      </c>
      <c r="Z317" s="101">
        <f t="shared" si="69"/>
        <v>0</v>
      </c>
      <c r="AA317" s="101">
        <f t="shared" si="69"/>
        <v>0</v>
      </c>
      <c r="AB317" s="22"/>
    </row>
    <row r="318" spans="1:28" s="23" customFormat="1" ht="10.199999999999999" x14ac:dyDescent="0.2">
      <c r="A318" s="22"/>
      <c r="B318" s="22"/>
      <c r="C318" s="22"/>
      <c r="D318" s="22"/>
      <c r="E318" s="22" t="str">
        <f>E311</f>
        <v>общехоз. расходы - начисление/оплата</v>
      </c>
      <c r="F318" s="22"/>
      <c r="G318" s="22" t="str">
        <f>IF($E318="","",INDEX(KPI!$G:$G,SUMIFS(KPI!$B:$B,KPI!$E:$E,$E318)))</f>
        <v>тыс.руб.</v>
      </c>
      <c r="H318" s="100">
        <f>структура!$V$18</f>
        <v>7</v>
      </c>
      <c r="I318" s="31"/>
      <c r="J318" s="98" t="str">
        <f>структура!$X$18</f>
        <v>июл</v>
      </c>
      <c r="K318" s="99"/>
      <c r="L318" s="22"/>
      <c r="M318" s="58"/>
      <c r="N318" s="22"/>
      <c r="O318" s="22"/>
      <c r="P318" s="101">
        <f t="shared" ref="P318:AA318" si="70">IF(P$1="",0,(P65+P144)*$J$308)</f>
        <v>150.58518461538463</v>
      </c>
      <c r="Q318" s="101">
        <f t="shared" si="70"/>
        <v>157.30518461538463</v>
      </c>
      <c r="R318" s="101">
        <f t="shared" si="70"/>
        <v>167.38518461538465</v>
      </c>
      <c r="S318" s="101">
        <f t="shared" si="70"/>
        <v>174.10518461538464</v>
      </c>
      <c r="T318" s="101">
        <f t="shared" si="70"/>
        <v>184.18518461538463</v>
      </c>
      <c r="U318" s="101">
        <f t="shared" si="70"/>
        <v>200.98518461538464</v>
      </c>
      <c r="V318" s="101">
        <f t="shared" si="70"/>
        <v>224.50518461538462</v>
      </c>
      <c r="W318" s="101">
        <f t="shared" si="70"/>
        <v>0</v>
      </c>
      <c r="X318" s="101">
        <f t="shared" si="70"/>
        <v>0</v>
      </c>
      <c r="Y318" s="101">
        <f t="shared" si="70"/>
        <v>0</v>
      </c>
      <c r="Z318" s="101">
        <f t="shared" si="70"/>
        <v>0</v>
      </c>
      <c r="AA318" s="101">
        <f t="shared" si="70"/>
        <v>0</v>
      </c>
      <c r="AB318" s="22"/>
    </row>
    <row r="319" spans="1:28" s="23" customFormat="1" ht="10.199999999999999" x14ac:dyDescent="0.2">
      <c r="A319" s="22"/>
      <c r="B319" s="22"/>
      <c r="C319" s="22"/>
      <c r="D319" s="22"/>
      <c r="E319" s="22" t="str">
        <f>E311</f>
        <v>общехоз. расходы - начисление/оплата</v>
      </c>
      <c r="F319" s="22"/>
      <c r="G319" s="22" t="str">
        <f>IF($E319="","",INDEX(KPI!$G:$G,SUMIFS(KPI!$B:$B,KPI!$E:$E,$E319)))</f>
        <v>тыс.руб.</v>
      </c>
      <c r="H319" s="100">
        <f>структура!$V$19</f>
        <v>8</v>
      </c>
      <c r="I319" s="31"/>
      <c r="J319" s="98" t="str">
        <f>структура!$X$19</f>
        <v>авг</v>
      </c>
      <c r="K319" s="99"/>
      <c r="L319" s="22"/>
      <c r="M319" s="58"/>
      <c r="N319" s="22"/>
      <c r="O319" s="22"/>
      <c r="P319" s="101">
        <f t="shared" ref="P319:AA319" si="71">IF(P$1="",0,(P66+P145)*$J$308)</f>
        <v>143.86518461538463</v>
      </c>
      <c r="Q319" s="101">
        <f t="shared" si="71"/>
        <v>149.68918461538462</v>
      </c>
      <c r="R319" s="101">
        <f t="shared" si="71"/>
        <v>158.42518461538464</v>
      </c>
      <c r="S319" s="101">
        <f t="shared" si="71"/>
        <v>164.24918461538462</v>
      </c>
      <c r="T319" s="101">
        <f t="shared" si="71"/>
        <v>172.98518461538464</v>
      </c>
      <c r="U319" s="101">
        <f t="shared" si="71"/>
        <v>187.54518461538464</v>
      </c>
      <c r="V319" s="101">
        <f t="shared" si="71"/>
        <v>207.92918461538463</v>
      </c>
      <c r="W319" s="101">
        <f t="shared" si="71"/>
        <v>0</v>
      </c>
      <c r="X319" s="101">
        <f t="shared" si="71"/>
        <v>0</v>
      </c>
      <c r="Y319" s="101">
        <f t="shared" si="71"/>
        <v>0</v>
      </c>
      <c r="Z319" s="101">
        <f t="shared" si="71"/>
        <v>0</v>
      </c>
      <c r="AA319" s="101">
        <f t="shared" si="71"/>
        <v>0</v>
      </c>
      <c r="AB319" s="22"/>
    </row>
    <row r="320" spans="1:28" s="23" customFormat="1" ht="10.199999999999999" x14ac:dyDescent="0.2">
      <c r="A320" s="22"/>
      <c r="B320" s="22"/>
      <c r="C320" s="22"/>
      <c r="D320" s="22"/>
      <c r="E320" s="22" t="str">
        <f>E311</f>
        <v>общехоз. расходы - начисление/оплата</v>
      </c>
      <c r="F320" s="22"/>
      <c r="G320" s="22" t="str">
        <f>IF($E320="","",INDEX(KPI!$G:$G,SUMIFS(KPI!$B:$B,KPI!$E:$E,$E320)))</f>
        <v>тыс.руб.</v>
      </c>
      <c r="H320" s="100">
        <f>структура!$V$20</f>
        <v>9</v>
      </c>
      <c r="I320" s="31"/>
      <c r="J320" s="98" t="str">
        <f>структура!$X$20</f>
        <v>сен</v>
      </c>
      <c r="K320" s="99"/>
      <c r="L320" s="22"/>
      <c r="M320" s="58"/>
      <c r="N320" s="22"/>
      <c r="O320" s="22"/>
      <c r="P320" s="101">
        <f t="shared" ref="P320:AA320" si="72">IF(P$1="",0,(P67+P146)*$J$308)</f>
        <v>101.93925</v>
      </c>
      <c r="Q320" s="101">
        <f t="shared" si="72"/>
        <v>104.12675</v>
      </c>
      <c r="R320" s="101">
        <f t="shared" si="72"/>
        <v>107.408</v>
      </c>
      <c r="S320" s="101">
        <f t="shared" si="72"/>
        <v>109.5955</v>
      </c>
      <c r="T320" s="101">
        <f t="shared" si="72"/>
        <v>112.87675</v>
      </c>
      <c r="U320" s="101">
        <f t="shared" si="72"/>
        <v>118.3455</v>
      </c>
      <c r="V320" s="101">
        <f t="shared" si="72"/>
        <v>126.00175</v>
      </c>
      <c r="W320" s="101">
        <f t="shared" si="72"/>
        <v>0</v>
      </c>
      <c r="X320" s="101">
        <f t="shared" si="72"/>
        <v>0</v>
      </c>
      <c r="Y320" s="101">
        <f t="shared" si="72"/>
        <v>0</v>
      </c>
      <c r="Z320" s="101">
        <f t="shared" si="72"/>
        <v>0</v>
      </c>
      <c r="AA320" s="101">
        <f t="shared" si="72"/>
        <v>0</v>
      </c>
      <c r="AB320" s="22"/>
    </row>
    <row r="321" spans="1:28" s="23" customFormat="1" ht="10.199999999999999" x14ac:dyDescent="0.2">
      <c r="A321" s="22"/>
      <c r="B321" s="22"/>
      <c r="C321" s="22"/>
      <c r="D321" s="22"/>
      <c r="E321" s="22" t="str">
        <f>E311</f>
        <v>общехоз. расходы - начисление/оплата</v>
      </c>
      <c r="F321" s="22"/>
      <c r="G321" s="22" t="str">
        <f>IF($E321="","",INDEX(KPI!$G:$G,SUMIFS(KPI!$B:$B,KPI!$E:$E,$E321)))</f>
        <v>тыс.руб.</v>
      </c>
      <c r="H321" s="100">
        <f>структура!$V$21</f>
        <v>10</v>
      </c>
      <c r="I321" s="31"/>
      <c r="J321" s="98" t="str">
        <f>структура!$X$21</f>
        <v>окт</v>
      </c>
      <c r="K321" s="99"/>
      <c r="L321" s="22"/>
      <c r="M321" s="58"/>
      <c r="N321" s="22"/>
      <c r="O321" s="22"/>
      <c r="P321" s="101">
        <f t="shared" ref="P321:AA321" si="73">IF(P$1="",0,(P68+P147)*$J$308)</f>
        <v>108.24813461538463</v>
      </c>
      <c r="Q321" s="101">
        <f t="shared" si="73"/>
        <v>111.31063461538463</v>
      </c>
      <c r="R321" s="101">
        <f t="shared" si="73"/>
        <v>115.90438461538463</v>
      </c>
      <c r="S321" s="101">
        <f t="shared" si="73"/>
        <v>118.96688461538463</v>
      </c>
      <c r="T321" s="101">
        <f t="shared" si="73"/>
        <v>123.56063461538461</v>
      </c>
      <c r="U321" s="101">
        <f t="shared" si="73"/>
        <v>131.21688461538463</v>
      </c>
      <c r="V321" s="101">
        <f t="shared" si="73"/>
        <v>141.93563461538463</v>
      </c>
      <c r="W321" s="101">
        <f t="shared" si="73"/>
        <v>0</v>
      </c>
      <c r="X321" s="101">
        <f t="shared" si="73"/>
        <v>0</v>
      </c>
      <c r="Y321" s="101">
        <f t="shared" si="73"/>
        <v>0</v>
      </c>
      <c r="Z321" s="101">
        <f t="shared" si="73"/>
        <v>0</v>
      </c>
      <c r="AA321" s="101">
        <f t="shared" si="73"/>
        <v>0</v>
      </c>
      <c r="AB321" s="22"/>
    </row>
    <row r="322" spans="1:28" s="23" customFormat="1" ht="10.199999999999999" x14ac:dyDescent="0.2">
      <c r="A322" s="22"/>
      <c r="B322" s="22"/>
      <c r="C322" s="22"/>
      <c r="D322" s="22"/>
      <c r="E322" s="22" t="str">
        <f>E311</f>
        <v>общехоз. расходы - начисление/оплата</v>
      </c>
      <c r="F322" s="22"/>
      <c r="G322" s="22" t="str">
        <f>IF($E322="","",INDEX(KPI!$G:$G,SUMIFS(KPI!$B:$B,KPI!$E:$E,$E322)))</f>
        <v>тыс.руб.</v>
      </c>
      <c r="H322" s="100">
        <f>структура!$V$22</f>
        <v>11</v>
      </c>
      <c r="I322" s="31"/>
      <c r="J322" s="98" t="str">
        <f>структура!$X$22</f>
        <v>ноя</v>
      </c>
      <c r="K322" s="99"/>
      <c r="L322" s="22"/>
      <c r="M322" s="58"/>
      <c r="N322" s="22"/>
      <c r="O322" s="22"/>
      <c r="P322" s="101">
        <f t="shared" ref="P322:AA322" si="74">IF(P$1="",0,(P69+P148)*$J$308)</f>
        <v>95.829299999999989</v>
      </c>
      <c r="Q322" s="101">
        <f t="shared" si="74"/>
        <v>97.999299999999991</v>
      </c>
      <c r="R322" s="101">
        <f t="shared" si="74"/>
        <v>101.2543</v>
      </c>
      <c r="S322" s="101">
        <f t="shared" si="74"/>
        <v>103.42429999999999</v>
      </c>
      <c r="T322" s="101">
        <f t="shared" si="74"/>
        <v>106.6793</v>
      </c>
      <c r="U322" s="101">
        <f t="shared" si="74"/>
        <v>112.10429999999999</v>
      </c>
      <c r="V322" s="101">
        <f t="shared" si="74"/>
        <v>119.69929999999999</v>
      </c>
      <c r="W322" s="101">
        <f t="shared" si="74"/>
        <v>0</v>
      </c>
      <c r="X322" s="101">
        <f t="shared" si="74"/>
        <v>0</v>
      </c>
      <c r="Y322" s="101">
        <f t="shared" si="74"/>
        <v>0</v>
      </c>
      <c r="Z322" s="101">
        <f t="shared" si="74"/>
        <v>0</v>
      </c>
      <c r="AA322" s="101">
        <f t="shared" si="74"/>
        <v>0</v>
      </c>
      <c r="AB322" s="22"/>
    </row>
    <row r="323" spans="1:28" s="23" customFormat="1" ht="10.199999999999999" x14ac:dyDescent="0.2">
      <c r="A323" s="22"/>
      <c r="B323" s="22"/>
      <c r="C323" s="22"/>
      <c r="D323" s="22"/>
      <c r="E323" s="22" t="str">
        <f>E311</f>
        <v>общехоз. расходы - начисление/оплата</v>
      </c>
      <c r="F323" s="22"/>
      <c r="G323" s="22" t="str">
        <f>IF($E323="","",INDEX(KPI!$G:$G,SUMIFS(KPI!$B:$B,KPI!$E:$E,$E323)))</f>
        <v>тыс.руб.</v>
      </c>
      <c r="H323" s="100">
        <f>структура!$V$23</f>
        <v>12</v>
      </c>
      <c r="I323" s="31"/>
      <c r="J323" s="98" t="str">
        <f>структура!$X$23</f>
        <v>дек</v>
      </c>
      <c r="K323" s="99"/>
      <c r="L323" s="22"/>
      <c r="M323" s="58"/>
      <c r="N323" s="22"/>
      <c r="O323" s="22"/>
      <c r="P323" s="101">
        <f t="shared" ref="P323:AA323" si="75">IF(P$1="",0,(P70+P149)*$J$308)</f>
        <v>100.17888461538456</v>
      </c>
      <c r="Q323" s="101">
        <f t="shared" si="75"/>
        <v>102.38388461538456</v>
      </c>
      <c r="R323" s="101">
        <f t="shared" si="75"/>
        <v>105.69138461538455</v>
      </c>
      <c r="S323" s="101">
        <f t="shared" si="75"/>
        <v>107.89638461538453</v>
      </c>
      <c r="T323" s="101">
        <f t="shared" si="75"/>
        <v>111.20388461538451</v>
      </c>
      <c r="U323" s="101">
        <f t="shared" si="75"/>
        <v>116.7163846153845</v>
      </c>
      <c r="V323" s="101">
        <f t="shared" si="75"/>
        <v>124.43388461538447</v>
      </c>
      <c r="W323" s="101">
        <f t="shared" si="75"/>
        <v>0</v>
      </c>
      <c r="X323" s="101">
        <f t="shared" si="75"/>
        <v>0</v>
      </c>
      <c r="Y323" s="101">
        <f t="shared" si="75"/>
        <v>0</v>
      </c>
      <c r="Z323" s="101">
        <f t="shared" si="75"/>
        <v>0</v>
      </c>
      <c r="AA323" s="101">
        <f t="shared" si="75"/>
        <v>0</v>
      </c>
      <c r="AB323" s="22"/>
    </row>
    <row r="324" spans="1:28" ht="3.9" customHeight="1" x14ac:dyDescent="0.25">
      <c r="A324" s="2"/>
      <c r="B324" s="2"/>
      <c r="C324" s="2"/>
      <c r="D324" s="2"/>
      <c r="E324" s="21"/>
      <c r="F324" s="2"/>
      <c r="G324" s="21"/>
      <c r="H324" s="2"/>
      <c r="I324" s="28"/>
      <c r="J324" s="21"/>
      <c r="K324" s="28"/>
      <c r="L324" s="2"/>
      <c r="M324" s="52"/>
      <c r="N324" s="2"/>
      <c r="O324" s="2"/>
      <c r="P324" s="36"/>
      <c r="Q324" s="36"/>
      <c r="R324" s="36"/>
      <c r="S324" s="36"/>
      <c r="T324" s="36"/>
      <c r="U324" s="36"/>
      <c r="V324" s="36"/>
      <c r="W324" s="36"/>
      <c r="X324" s="36"/>
      <c r="Y324" s="36"/>
      <c r="Z324" s="36"/>
      <c r="AA324" s="36"/>
      <c r="AB324" s="2"/>
    </row>
    <row r="325" spans="1:28" ht="8.1" customHeight="1" x14ac:dyDescent="0.25">
      <c r="A325" s="2"/>
      <c r="B325" s="2"/>
      <c r="C325" s="2"/>
      <c r="D325" s="2"/>
      <c r="E325" s="2"/>
      <c r="F325" s="2"/>
      <c r="G325" s="2"/>
      <c r="H325" s="2"/>
      <c r="I325" s="28"/>
      <c r="J325" s="2"/>
      <c r="K325" s="28"/>
      <c r="L325" s="2"/>
      <c r="M325" s="52"/>
      <c r="N325" s="2"/>
      <c r="O325" s="2"/>
      <c r="P325" s="36"/>
      <c r="Q325" s="36"/>
      <c r="R325" s="36"/>
      <c r="S325" s="36"/>
      <c r="T325" s="36"/>
      <c r="U325" s="36"/>
      <c r="V325" s="36"/>
      <c r="W325" s="36"/>
      <c r="X325" s="36"/>
      <c r="Y325" s="36"/>
      <c r="Z325" s="36"/>
      <c r="AA325" s="36"/>
      <c r="AB325" s="2"/>
    </row>
    <row r="326" spans="1:28" s="5" customFormat="1" x14ac:dyDescent="0.25">
      <c r="A326" s="3"/>
      <c r="B326" s="3"/>
      <c r="C326" s="3"/>
      <c r="D326" s="3"/>
      <c r="E326" s="3" t="str">
        <f>KPI!$E$63</f>
        <v>доля непредв. расходов в доходах</v>
      </c>
      <c r="F326" s="3"/>
      <c r="G326" s="3" t="str">
        <f>IF($E326="","",INDEX(KPI!$G:$G,SUMIFS(KPI!$B:$B,KPI!$E:$E,$E326)))</f>
        <v>%</v>
      </c>
      <c r="H326" s="3"/>
      <c r="I326" s="6"/>
      <c r="J326" s="229">
        <f>операции!J401</f>
        <v>0.03</v>
      </c>
      <c r="K326" s="28"/>
      <c r="L326" s="2"/>
      <c r="M326" s="52"/>
      <c r="N326" s="3"/>
      <c r="O326" s="2"/>
      <c r="P326" s="36"/>
      <c r="Q326" s="36"/>
      <c r="R326" s="36"/>
      <c r="S326" s="36"/>
      <c r="T326" s="36"/>
      <c r="U326" s="36"/>
      <c r="V326" s="36"/>
      <c r="W326" s="36"/>
      <c r="X326" s="36"/>
      <c r="Y326" s="36"/>
      <c r="Z326" s="36"/>
      <c r="AA326" s="36"/>
      <c r="AB326" s="2"/>
    </row>
    <row r="327" spans="1:28" ht="3.9" customHeight="1" x14ac:dyDescent="0.25">
      <c r="A327" s="2"/>
      <c r="B327" s="2"/>
      <c r="C327" s="2"/>
      <c r="D327" s="2"/>
      <c r="E327" s="110"/>
      <c r="F327" s="2"/>
      <c r="G327" s="2"/>
      <c r="H327" s="2"/>
      <c r="I327" s="28"/>
      <c r="J327" s="2"/>
      <c r="K327" s="28"/>
      <c r="L327" s="2"/>
      <c r="M327" s="52"/>
      <c r="N327" s="2"/>
      <c r="O327" s="2"/>
      <c r="P327" s="36"/>
      <c r="Q327" s="36"/>
      <c r="R327" s="36"/>
      <c r="S327" s="36"/>
      <c r="T327" s="36"/>
      <c r="U327" s="36"/>
      <c r="V327" s="36"/>
      <c r="W327" s="36"/>
      <c r="X327" s="36"/>
      <c r="Y327" s="36"/>
      <c r="Z327" s="36"/>
      <c r="AA327" s="36"/>
      <c r="AB327" s="2"/>
    </row>
    <row r="328" spans="1:28" ht="8.1" customHeight="1" x14ac:dyDescent="0.25">
      <c r="A328" s="2"/>
      <c r="B328" s="2"/>
      <c r="C328" s="2"/>
      <c r="D328" s="2"/>
      <c r="E328" s="2"/>
      <c r="F328" s="2"/>
      <c r="G328" s="2"/>
      <c r="H328" s="2"/>
      <c r="I328" s="28"/>
      <c r="J328" s="2"/>
      <c r="K328" s="28"/>
      <c r="L328" s="2"/>
      <c r="M328" s="52"/>
      <c r="N328" s="2"/>
      <c r="O328" s="2"/>
      <c r="P328" s="36"/>
      <c r="Q328" s="36"/>
      <c r="R328" s="36"/>
      <c r="S328" s="36"/>
      <c r="T328" s="36"/>
      <c r="U328" s="36"/>
      <c r="V328" s="36"/>
      <c r="W328" s="36"/>
      <c r="X328" s="36"/>
      <c r="Y328" s="36"/>
      <c r="Z328" s="36"/>
      <c r="AA328" s="36"/>
      <c r="AB328" s="2"/>
    </row>
    <row r="329" spans="1:28" s="5" customFormat="1" x14ac:dyDescent="0.25">
      <c r="A329" s="3"/>
      <c r="B329" s="3"/>
      <c r="C329" s="3"/>
      <c r="D329" s="111"/>
      <c r="E329" s="3" t="str">
        <f>KPI!$E$64</f>
        <v>непредв. расходы - начисление/оплата</v>
      </c>
      <c r="F329" s="3"/>
      <c r="G329" s="3" t="str">
        <f>IF($E329="","",INDEX(KPI!$G:$G,SUMIFS(KPI!$B:$B,KPI!$E:$E,$E329)))</f>
        <v>тыс.руб.</v>
      </c>
      <c r="H329" s="103"/>
      <c r="I329" s="28"/>
      <c r="J329" s="44"/>
      <c r="K329" s="28"/>
      <c r="L329" s="3"/>
      <c r="M329" s="55">
        <f>SUM($O329:$AB329)</f>
        <v>4708.2171923076912</v>
      </c>
      <c r="N329" s="3"/>
      <c r="O329" s="3"/>
      <c r="P329" s="46">
        <f>IF(P$1="",0,IF(P$1=0,SUMIFS(P330:P341,H330:H341,"&gt;="&amp;MONTH($J$13)),SUM(P330:P341)))</f>
        <v>589.50160384615378</v>
      </c>
      <c r="Q329" s="46">
        <f t="shared" ref="Q329" si="76">IF(Q$1="",0,SUM(Q330:Q341))</f>
        <v>608.5051038461537</v>
      </c>
      <c r="R329" s="46">
        <f t="shared" ref="R329:AA329" si="77">IF(R$1="",0,SUM(R330:R341))</f>
        <v>638.05996153846138</v>
      </c>
      <c r="S329" s="46">
        <f t="shared" si="77"/>
        <v>656.01385384615367</v>
      </c>
      <c r="T329" s="46">
        <f t="shared" si="77"/>
        <v>684.51910384615383</v>
      </c>
      <c r="U329" s="46">
        <f t="shared" si="77"/>
        <v>732.0278538461539</v>
      </c>
      <c r="V329" s="46">
        <f t="shared" si="77"/>
        <v>799.58971153846142</v>
      </c>
      <c r="W329" s="46">
        <f t="shared" si="77"/>
        <v>0</v>
      </c>
      <c r="X329" s="46">
        <f t="shared" si="77"/>
        <v>0</v>
      </c>
      <c r="Y329" s="46">
        <f t="shared" si="77"/>
        <v>0</v>
      </c>
      <c r="Z329" s="46">
        <f t="shared" si="77"/>
        <v>0</v>
      </c>
      <c r="AA329" s="46">
        <f t="shared" si="77"/>
        <v>0</v>
      </c>
      <c r="AB329" s="3"/>
    </row>
    <row r="330" spans="1:28" s="23" customFormat="1" ht="10.199999999999999" x14ac:dyDescent="0.2">
      <c r="A330" s="22"/>
      <c r="B330" s="22"/>
      <c r="C330" s="22"/>
      <c r="D330" s="22"/>
      <c r="E330" s="22" t="str">
        <f>E329</f>
        <v>непредв. расходы - начисление/оплата</v>
      </c>
      <c r="F330" s="22"/>
      <c r="G330" s="22" t="str">
        <f>IF($E330="","",INDEX(KPI!$G:$G,SUMIFS(KPI!$B:$B,KPI!$E:$E,$E330)))</f>
        <v>тыс.руб.</v>
      </c>
      <c r="H330" s="100">
        <f>структура!$V$12</f>
        <v>1</v>
      </c>
      <c r="I330" s="31"/>
      <c r="J330" s="98" t="str">
        <f>структура!$X$12</f>
        <v>янв</v>
      </c>
      <c r="K330" s="99"/>
      <c r="L330" s="22"/>
      <c r="M330" s="58"/>
      <c r="N330" s="22"/>
      <c r="O330" s="22"/>
      <c r="P330" s="101">
        <f t="shared" ref="P330:AA330" si="78">IF(P$1="",0,(P59+P138)*$J$326)</f>
        <v>39.363057692307684</v>
      </c>
      <c r="Q330" s="101">
        <f t="shared" si="78"/>
        <v>39.925557692307684</v>
      </c>
      <c r="R330" s="101">
        <f t="shared" si="78"/>
        <v>40.769307692307684</v>
      </c>
      <c r="S330" s="101">
        <f t="shared" si="78"/>
        <v>41.331807692307684</v>
      </c>
      <c r="T330" s="101">
        <f t="shared" si="78"/>
        <v>42.175557692307684</v>
      </c>
      <c r="U330" s="101">
        <f t="shared" si="78"/>
        <v>43.581807692307684</v>
      </c>
      <c r="V330" s="101">
        <f t="shared" si="78"/>
        <v>45.550557692307684</v>
      </c>
      <c r="W330" s="101">
        <f t="shared" si="78"/>
        <v>0</v>
      </c>
      <c r="X330" s="101">
        <f t="shared" si="78"/>
        <v>0</v>
      </c>
      <c r="Y330" s="101">
        <f t="shared" si="78"/>
        <v>0</v>
      </c>
      <c r="Z330" s="101">
        <f t="shared" si="78"/>
        <v>0</v>
      </c>
      <c r="AA330" s="101">
        <f t="shared" si="78"/>
        <v>0</v>
      </c>
      <c r="AB330" s="22"/>
    </row>
    <row r="331" spans="1:28" s="23" customFormat="1" ht="10.199999999999999" x14ac:dyDescent="0.2">
      <c r="A331" s="22"/>
      <c r="B331" s="22"/>
      <c r="C331" s="22"/>
      <c r="D331" s="22"/>
      <c r="E331" s="22" t="str">
        <f>E329</f>
        <v>непредв. расходы - начисление/оплата</v>
      </c>
      <c r="F331" s="22"/>
      <c r="G331" s="22" t="str">
        <f>IF($E331="","",INDEX(KPI!$G:$G,SUMIFS(KPI!$B:$B,KPI!$E:$E,$E331)))</f>
        <v>тыс.руб.</v>
      </c>
      <c r="H331" s="100">
        <f>структура!$V$13</f>
        <v>2</v>
      </c>
      <c r="I331" s="31"/>
      <c r="J331" s="98" t="str">
        <f>структура!$X$13</f>
        <v>фев</v>
      </c>
      <c r="K331" s="99"/>
      <c r="L331" s="22"/>
      <c r="M331" s="58"/>
      <c r="N331" s="22"/>
      <c r="O331" s="22"/>
      <c r="P331" s="101">
        <f t="shared" ref="P331:AA331" si="79">IF(P$1="",0,(P60+P139)*$J$326)</f>
        <v>36.751199999999997</v>
      </c>
      <c r="Q331" s="101">
        <f t="shared" si="79"/>
        <v>37.495199999999997</v>
      </c>
      <c r="R331" s="101">
        <f t="shared" si="79"/>
        <v>39.660807692307692</v>
      </c>
      <c r="S331" s="101">
        <f t="shared" si="79"/>
        <v>39.355199999999996</v>
      </c>
      <c r="T331" s="101">
        <f t="shared" si="79"/>
        <v>40.471199999999996</v>
      </c>
      <c r="U331" s="101">
        <f t="shared" si="79"/>
        <v>42.331199999999995</v>
      </c>
      <c r="V331" s="101">
        <f t="shared" si="79"/>
        <v>45.984807692307683</v>
      </c>
      <c r="W331" s="101">
        <f t="shared" si="79"/>
        <v>0</v>
      </c>
      <c r="X331" s="101">
        <f t="shared" si="79"/>
        <v>0</v>
      </c>
      <c r="Y331" s="101">
        <f t="shared" si="79"/>
        <v>0</v>
      </c>
      <c r="Z331" s="101">
        <f t="shared" si="79"/>
        <v>0</v>
      </c>
      <c r="AA331" s="101">
        <f t="shared" si="79"/>
        <v>0</v>
      </c>
      <c r="AB331" s="22"/>
    </row>
    <row r="332" spans="1:28" s="23" customFormat="1" ht="10.199999999999999" x14ac:dyDescent="0.2">
      <c r="A332" s="22"/>
      <c r="B332" s="22"/>
      <c r="C332" s="22"/>
      <c r="D332" s="22"/>
      <c r="E332" s="22" t="str">
        <f>E329</f>
        <v>непредв. расходы - начисление/оплата</v>
      </c>
      <c r="F332" s="22"/>
      <c r="G332" s="22" t="str">
        <f>IF($E332="","",INDEX(KPI!$G:$G,SUMIFS(KPI!$B:$B,KPI!$E:$E,$E332)))</f>
        <v>тыс.руб.</v>
      </c>
      <c r="H332" s="100">
        <f>структура!$V$14</f>
        <v>3</v>
      </c>
      <c r="I332" s="31"/>
      <c r="J332" s="98" t="str">
        <f>структура!$X$14</f>
        <v>мар</v>
      </c>
      <c r="K332" s="99"/>
      <c r="L332" s="22"/>
      <c r="M332" s="58"/>
      <c r="N332" s="22"/>
      <c r="O332" s="22"/>
      <c r="P332" s="101">
        <f t="shared" ref="P332:AA332" si="80">IF(P$1="",0,(P61+P140)*$J$326)</f>
        <v>42.119307692307686</v>
      </c>
      <c r="Q332" s="101">
        <f t="shared" si="80"/>
        <v>43.049307692307686</v>
      </c>
      <c r="R332" s="101">
        <f t="shared" si="80"/>
        <v>44.444307692307689</v>
      </c>
      <c r="S332" s="101">
        <f t="shared" si="80"/>
        <v>45.374307692307688</v>
      </c>
      <c r="T332" s="101">
        <f t="shared" si="80"/>
        <v>46.769307692307684</v>
      </c>
      <c r="U332" s="101">
        <f t="shared" si="80"/>
        <v>49.094307692307687</v>
      </c>
      <c r="V332" s="101">
        <f t="shared" si="80"/>
        <v>52.34930769230769</v>
      </c>
      <c r="W332" s="101">
        <f t="shared" si="80"/>
        <v>0</v>
      </c>
      <c r="X332" s="101">
        <f t="shared" si="80"/>
        <v>0</v>
      </c>
      <c r="Y332" s="101">
        <f t="shared" si="80"/>
        <v>0</v>
      </c>
      <c r="Z332" s="101">
        <f t="shared" si="80"/>
        <v>0</v>
      </c>
      <c r="AA332" s="101">
        <f t="shared" si="80"/>
        <v>0</v>
      </c>
      <c r="AB332" s="22"/>
    </row>
    <row r="333" spans="1:28" s="23" customFormat="1" ht="10.199999999999999" x14ac:dyDescent="0.2">
      <c r="A333" s="22"/>
      <c r="B333" s="22"/>
      <c r="C333" s="22"/>
      <c r="D333" s="22"/>
      <c r="E333" s="22" t="str">
        <f>E329</f>
        <v>непредв. расходы - начисление/оплата</v>
      </c>
      <c r="F333" s="22"/>
      <c r="G333" s="22" t="str">
        <f>IF($E333="","",INDEX(KPI!$G:$G,SUMIFS(KPI!$B:$B,KPI!$E:$E,$E333)))</f>
        <v>тыс.руб.</v>
      </c>
      <c r="H333" s="100">
        <f>структура!$V$15</f>
        <v>4</v>
      </c>
      <c r="I333" s="31"/>
      <c r="J333" s="98" t="str">
        <f>структура!$X$15</f>
        <v>апр</v>
      </c>
      <c r="K333" s="99"/>
      <c r="L333" s="22"/>
      <c r="M333" s="58"/>
      <c r="N333" s="22"/>
      <c r="O333" s="22"/>
      <c r="P333" s="101">
        <f t="shared" ref="P333:AA333" si="81">IF(P$1="",0,(P62+P141)*$J$326)</f>
        <v>41.771699999999996</v>
      </c>
      <c r="Q333" s="101">
        <f t="shared" si="81"/>
        <v>42.701699999999995</v>
      </c>
      <c r="R333" s="101">
        <f t="shared" si="81"/>
        <v>44.096699999999991</v>
      </c>
      <c r="S333" s="101">
        <f t="shared" si="81"/>
        <v>45.026699999999991</v>
      </c>
      <c r="T333" s="101">
        <f t="shared" si="81"/>
        <v>46.421699999999994</v>
      </c>
      <c r="U333" s="101">
        <f t="shared" si="81"/>
        <v>48.746699999999997</v>
      </c>
      <c r="V333" s="101">
        <f t="shared" si="81"/>
        <v>52.001699999999992</v>
      </c>
      <c r="W333" s="101">
        <f t="shared" si="81"/>
        <v>0</v>
      </c>
      <c r="X333" s="101">
        <f t="shared" si="81"/>
        <v>0</v>
      </c>
      <c r="Y333" s="101">
        <f t="shared" si="81"/>
        <v>0</v>
      </c>
      <c r="Z333" s="101">
        <f t="shared" si="81"/>
        <v>0</v>
      </c>
      <c r="AA333" s="101">
        <f t="shared" si="81"/>
        <v>0</v>
      </c>
      <c r="AB333" s="22"/>
    </row>
    <row r="334" spans="1:28" s="23" customFormat="1" ht="10.199999999999999" x14ac:dyDescent="0.2">
      <c r="A334" s="22"/>
      <c r="B334" s="22"/>
      <c r="C334" s="22"/>
      <c r="D334" s="22"/>
      <c r="E334" s="22" t="str">
        <f>E329</f>
        <v>непредв. расходы - начисление/оплата</v>
      </c>
      <c r="F334" s="22"/>
      <c r="G334" s="22" t="str">
        <f>IF($E334="","",INDEX(KPI!$G:$G,SUMIFS(KPI!$B:$B,KPI!$E:$E,$E334)))</f>
        <v>тыс.руб.</v>
      </c>
      <c r="H334" s="100">
        <f>структура!$V$16</f>
        <v>5</v>
      </c>
      <c r="I334" s="31"/>
      <c r="J334" s="98" t="str">
        <f>структура!$X$16</f>
        <v>май</v>
      </c>
      <c r="K334" s="99"/>
      <c r="L334" s="22"/>
      <c r="M334" s="58"/>
      <c r="N334" s="22"/>
      <c r="O334" s="22"/>
      <c r="P334" s="101">
        <f t="shared" ref="P334:AA334" si="82">IF(P$1="",0,(P63+P142)*$J$326)</f>
        <v>58.778307692307685</v>
      </c>
      <c r="Q334" s="101">
        <f t="shared" si="82"/>
        <v>61.274307692307687</v>
      </c>
      <c r="R334" s="101">
        <f t="shared" si="82"/>
        <v>65.018307692307673</v>
      </c>
      <c r="S334" s="101">
        <f t="shared" si="82"/>
        <v>67.514307692307682</v>
      </c>
      <c r="T334" s="101">
        <f t="shared" si="82"/>
        <v>71.258307692307682</v>
      </c>
      <c r="U334" s="101">
        <f t="shared" si="82"/>
        <v>77.498307692307677</v>
      </c>
      <c r="V334" s="101">
        <f t="shared" si="82"/>
        <v>86.234307692307681</v>
      </c>
      <c r="W334" s="101">
        <f t="shared" si="82"/>
        <v>0</v>
      </c>
      <c r="X334" s="101">
        <f t="shared" si="82"/>
        <v>0</v>
      </c>
      <c r="Y334" s="101">
        <f t="shared" si="82"/>
        <v>0</v>
      </c>
      <c r="Z334" s="101">
        <f t="shared" si="82"/>
        <v>0</v>
      </c>
      <c r="AA334" s="101">
        <f t="shared" si="82"/>
        <v>0</v>
      </c>
      <c r="AB334" s="22"/>
    </row>
    <row r="335" spans="1:28" s="23" customFormat="1" ht="10.199999999999999" x14ac:dyDescent="0.2">
      <c r="A335" s="22"/>
      <c r="B335" s="22"/>
      <c r="C335" s="22"/>
      <c r="D335" s="22"/>
      <c r="E335" s="22" t="str">
        <f>E329</f>
        <v>непредв. расходы - начисление/оплата</v>
      </c>
      <c r="F335" s="22"/>
      <c r="G335" s="22" t="str">
        <f>IF($E335="","",INDEX(KPI!$G:$G,SUMIFS(KPI!$B:$B,KPI!$E:$E,$E335)))</f>
        <v>тыс.руб.</v>
      </c>
      <c r="H335" s="100">
        <f>структура!$V$17</f>
        <v>6</v>
      </c>
      <c r="I335" s="31"/>
      <c r="J335" s="98" t="str">
        <f>структура!$X$17</f>
        <v>июн</v>
      </c>
      <c r="K335" s="99"/>
      <c r="L335" s="22"/>
      <c r="M335" s="58"/>
      <c r="N335" s="22"/>
      <c r="O335" s="22"/>
      <c r="P335" s="101">
        <f t="shared" ref="P335:AA335" si="83">IF(P$1="",0,(P64+P143)*$J$326)</f>
        <v>70.441199999999995</v>
      </c>
      <c r="Q335" s="101">
        <f t="shared" si="83"/>
        <v>74.281199999999998</v>
      </c>
      <c r="R335" s="101">
        <f t="shared" si="83"/>
        <v>80.041199999999989</v>
      </c>
      <c r="S335" s="101">
        <f t="shared" si="83"/>
        <v>83.881199999999993</v>
      </c>
      <c r="T335" s="101">
        <f t="shared" si="83"/>
        <v>89.641199999999998</v>
      </c>
      <c r="U335" s="101">
        <f t="shared" si="83"/>
        <v>99.241199999999992</v>
      </c>
      <c r="V335" s="101">
        <f t="shared" si="83"/>
        <v>112.68119999999999</v>
      </c>
      <c r="W335" s="101">
        <f t="shared" si="83"/>
        <v>0</v>
      </c>
      <c r="X335" s="101">
        <f t="shared" si="83"/>
        <v>0</v>
      </c>
      <c r="Y335" s="101">
        <f t="shared" si="83"/>
        <v>0</v>
      </c>
      <c r="Z335" s="101">
        <f t="shared" si="83"/>
        <v>0</v>
      </c>
      <c r="AA335" s="101">
        <f t="shared" si="83"/>
        <v>0</v>
      </c>
      <c r="AB335" s="22"/>
    </row>
    <row r="336" spans="1:28" s="23" customFormat="1" ht="10.199999999999999" x14ac:dyDescent="0.2">
      <c r="A336" s="22"/>
      <c r="B336" s="22"/>
      <c r="C336" s="22"/>
      <c r="D336" s="22"/>
      <c r="E336" s="22" t="str">
        <f>E329</f>
        <v>непредв. расходы - начисление/оплата</v>
      </c>
      <c r="F336" s="22"/>
      <c r="G336" s="22" t="str">
        <f>IF($E336="","",INDEX(KPI!$G:$G,SUMIFS(KPI!$B:$B,KPI!$E:$E,$E336)))</f>
        <v>тыс.руб.</v>
      </c>
      <c r="H336" s="100">
        <f>структура!$V$18</f>
        <v>7</v>
      </c>
      <c r="I336" s="31"/>
      <c r="J336" s="98" t="str">
        <f>структура!$X$18</f>
        <v>июл</v>
      </c>
      <c r="K336" s="99"/>
      <c r="L336" s="22"/>
      <c r="M336" s="58"/>
      <c r="N336" s="22"/>
      <c r="O336" s="22"/>
      <c r="P336" s="101">
        <f t="shared" ref="P336:AA336" si="84">IF(P$1="",0,(P65+P144)*$J$326)</f>
        <v>64.536507692307694</v>
      </c>
      <c r="Q336" s="101">
        <f t="shared" si="84"/>
        <v>67.41650769230769</v>
      </c>
      <c r="R336" s="101">
        <f t="shared" si="84"/>
        <v>71.736507692307697</v>
      </c>
      <c r="S336" s="101">
        <f t="shared" si="84"/>
        <v>74.616507692307692</v>
      </c>
      <c r="T336" s="101">
        <f t="shared" si="84"/>
        <v>78.9365076923077</v>
      </c>
      <c r="U336" s="101">
        <f t="shared" si="84"/>
        <v>86.136507692307688</v>
      </c>
      <c r="V336" s="101">
        <f t="shared" si="84"/>
        <v>96.216507692307673</v>
      </c>
      <c r="W336" s="101">
        <f t="shared" si="84"/>
        <v>0</v>
      </c>
      <c r="X336" s="101">
        <f t="shared" si="84"/>
        <v>0</v>
      </c>
      <c r="Y336" s="101">
        <f t="shared" si="84"/>
        <v>0</v>
      </c>
      <c r="Z336" s="101">
        <f t="shared" si="84"/>
        <v>0</v>
      </c>
      <c r="AA336" s="101">
        <f t="shared" si="84"/>
        <v>0</v>
      </c>
      <c r="AB336" s="22"/>
    </row>
    <row r="337" spans="1:28" s="23" customFormat="1" ht="10.199999999999999" x14ac:dyDescent="0.2">
      <c r="A337" s="22"/>
      <c r="B337" s="22"/>
      <c r="C337" s="22"/>
      <c r="D337" s="22"/>
      <c r="E337" s="22" t="str">
        <f>E329</f>
        <v>непредв. расходы - начисление/оплата</v>
      </c>
      <c r="F337" s="22"/>
      <c r="G337" s="22" t="str">
        <f>IF($E337="","",INDEX(KPI!$G:$G,SUMIFS(KPI!$B:$B,KPI!$E:$E,$E337)))</f>
        <v>тыс.руб.</v>
      </c>
      <c r="H337" s="100">
        <f>структура!$V$19</f>
        <v>8</v>
      </c>
      <c r="I337" s="31"/>
      <c r="J337" s="98" t="str">
        <f>структура!$X$19</f>
        <v>авг</v>
      </c>
      <c r="K337" s="99"/>
      <c r="L337" s="22"/>
      <c r="M337" s="58"/>
      <c r="N337" s="22"/>
      <c r="O337" s="22"/>
      <c r="P337" s="101">
        <f t="shared" ref="P337:AA337" si="85">IF(P$1="",0,(P66+P145)*$J$326)</f>
        <v>61.656507692307692</v>
      </c>
      <c r="Q337" s="101">
        <f t="shared" si="85"/>
        <v>64.152507692307694</v>
      </c>
      <c r="R337" s="101">
        <f t="shared" si="85"/>
        <v>67.896507692307694</v>
      </c>
      <c r="S337" s="101">
        <f t="shared" si="85"/>
        <v>70.392507692307689</v>
      </c>
      <c r="T337" s="101">
        <f t="shared" si="85"/>
        <v>74.136507692307688</v>
      </c>
      <c r="U337" s="101">
        <f t="shared" si="85"/>
        <v>80.376507692307698</v>
      </c>
      <c r="V337" s="101">
        <f t="shared" si="85"/>
        <v>89.112507692307688</v>
      </c>
      <c r="W337" s="101">
        <f t="shared" si="85"/>
        <v>0</v>
      </c>
      <c r="X337" s="101">
        <f t="shared" si="85"/>
        <v>0</v>
      </c>
      <c r="Y337" s="101">
        <f t="shared" si="85"/>
        <v>0</v>
      </c>
      <c r="Z337" s="101">
        <f t="shared" si="85"/>
        <v>0</v>
      </c>
      <c r="AA337" s="101">
        <f t="shared" si="85"/>
        <v>0</v>
      </c>
      <c r="AB337" s="22"/>
    </row>
    <row r="338" spans="1:28" s="23" customFormat="1" ht="10.199999999999999" x14ac:dyDescent="0.2">
      <c r="A338" s="22"/>
      <c r="B338" s="22"/>
      <c r="C338" s="22"/>
      <c r="D338" s="22"/>
      <c r="E338" s="22" t="str">
        <f>E329</f>
        <v>непредв. расходы - начисление/оплата</v>
      </c>
      <c r="F338" s="22"/>
      <c r="G338" s="22" t="str">
        <f>IF($E338="","",INDEX(KPI!$G:$G,SUMIFS(KPI!$B:$B,KPI!$E:$E,$E338)))</f>
        <v>тыс.руб.</v>
      </c>
      <c r="H338" s="100">
        <f>структура!$V$20</f>
        <v>9</v>
      </c>
      <c r="I338" s="31"/>
      <c r="J338" s="98" t="str">
        <f>структура!$X$20</f>
        <v>сен</v>
      </c>
      <c r="K338" s="99"/>
      <c r="L338" s="22"/>
      <c r="M338" s="58"/>
      <c r="N338" s="22"/>
      <c r="O338" s="22"/>
      <c r="P338" s="101">
        <f t="shared" ref="P338:AA338" si="86">IF(P$1="",0,(P67+P146)*$J$326)</f>
        <v>43.688249999999996</v>
      </c>
      <c r="Q338" s="101">
        <f t="shared" si="86"/>
        <v>44.625749999999996</v>
      </c>
      <c r="R338" s="101">
        <f t="shared" si="86"/>
        <v>46.031999999999996</v>
      </c>
      <c r="S338" s="101">
        <f t="shared" si="86"/>
        <v>46.969499999999996</v>
      </c>
      <c r="T338" s="101">
        <f t="shared" si="86"/>
        <v>48.375749999999996</v>
      </c>
      <c r="U338" s="101">
        <f t="shared" si="86"/>
        <v>50.719499999999996</v>
      </c>
      <c r="V338" s="101">
        <f t="shared" si="86"/>
        <v>54.000749999999996</v>
      </c>
      <c r="W338" s="101">
        <f t="shared" si="86"/>
        <v>0</v>
      </c>
      <c r="X338" s="101">
        <f t="shared" si="86"/>
        <v>0</v>
      </c>
      <c r="Y338" s="101">
        <f t="shared" si="86"/>
        <v>0</v>
      </c>
      <c r="Z338" s="101">
        <f t="shared" si="86"/>
        <v>0</v>
      </c>
      <c r="AA338" s="101">
        <f t="shared" si="86"/>
        <v>0</v>
      </c>
      <c r="AB338" s="22"/>
    </row>
    <row r="339" spans="1:28" s="23" customFormat="1" ht="10.199999999999999" x14ac:dyDescent="0.2">
      <c r="A339" s="22"/>
      <c r="B339" s="22"/>
      <c r="C339" s="22"/>
      <c r="D339" s="22"/>
      <c r="E339" s="22" t="str">
        <f>E329</f>
        <v>непредв. расходы - начисление/оплата</v>
      </c>
      <c r="F339" s="22"/>
      <c r="G339" s="22" t="str">
        <f>IF($E339="","",INDEX(KPI!$G:$G,SUMIFS(KPI!$B:$B,KPI!$E:$E,$E339)))</f>
        <v>тыс.руб.</v>
      </c>
      <c r="H339" s="100">
        <f>структура!$V$21</f>
        <v>10</v>
      </c>
      <c r="I339" s="31"/>
      <c r="J339" s="98" t="str">
        <f>структура!$X$21</f>
        <v>окт</v>
      </c>
      <c r="K339" s="99"/>
      <c r="L339" s="22"/>
      <c r="M339" s="58"/>
      <c r="N339" s="22"/>
      <c r="O339" s="22"/>
      <c r="P339" s="101">
        <f t="shared" ref="P339:AA339" si="87">IF(P$1="",0,(P68+P147)*$J$326)</f>
        <v>46.392057692307695</v>
      </c>
      <c r="Q339" s="101">
        <f t="shared" si="87"/>
        <v>47.704557692307695</v>
      </c>
      <c r="R339" s="101">
        <f t="shared" si="87"/>
        <v>49.673307692307695</v>
      </c>
      <c r="S339" s="101">
        <f t="shared" si="87"/>
        <v>50.985807692307695</v>
      </c>
      <c r="T339" s="101">
        <f t="shared" si="87"/>
        <v>52.954557692307688</v>
      </c>
      <c r="U339" s="101">
        <f t="shared" si="87"/>
        <v>56.235807692307695</v>
      </c>
      <c r="V339" s="101">
        <f t="shared" si="87"/>
        <v>60.829557692307695</v>
      </c>
      <c r="W339" s="101">
        <f t="shared" si="87"/>
        <v>0</v>
      </c>
      <c r="X339" s="101">
        <f t="shared" si="87"/>
        <v>0</v>
      </c>
      <c r="Y339" s="101">
        <f t="shared" si="87"/>
        <v>0</v>
      </c>
      <c r="Z339" s="101">
        <f t="shared" si="87"/>
        <v>0</v>
      </c>
      <c r="AA339" s="101">
        <f t="shared" si="87"/>
        <v>0</v>
      </c>
      <c r="AB339" s="22"/>
    </row>
    <row r="340" spans="1:28" s="23" customFormat="1" ht="10.199999999999999" x14ac:dyDescent="0.2">
      <c r="A340" s="22"/>
      <c r="B340" s="22"/>
      <c r="C340" s="22"/>
      <c r="D340" s="22"/>
      <c r="E340" s="22" t="str">
        <f>E329</f>
        <v>непредв. расходы - начисление/оплата</v>
      </c>
      <c r="F340" s="22"/>
      <c r="G340" s="22" t="str">
        <f>IF($E340="","",INDEX(KPI!$G:$G,SUMIFS(KPI!$B:$B,KPI!$E:$E,$E340)))</f>
        <v>тыс.руб.</v>
      </c>
      <c r="H340" s="100">
        <f>структура!$V$22</f>
        <v>11</v>
      </c>
      <c r="I340" s="31"/>
      <c r="J340" s="98" t="str">
        <f>структура!$X$22</f>
        <v>ноя</v>
      </c>
      <c r="K340" s="99"/>
      <c r="L340" s="22"/>
      <c r="M340" s="58"/>
      <c r="N340" s="22"/>
      <c r="O340" s="22"/>
      <c r="P340" s="101">
        <f t="shared" ref="P340:AA340" si="88">IF(P$1="",0,(P69+P148)*$J$326)</f>
        <v>41.06969999999999</v>
      </c>
      <c r="Q340" s="101">
        <f t="shared" si="88"/>
        <v>41.99969999999999</v>
      </c>
      <c r="R340" s="101">
        <f t="shared" si="88"/>
        <v>43.394699999999993</v>
      </c>
      <c r="S340" s="101">
        <f t="shared" si="88"/>
        <v>44.324699999999993</v>
      </c>
      <c r="T340" s="101">
        <f t="shared" si="88"/>
        <v>45.719699999999989</v>
      </c>
      <c r="U340" s="101">
        <f t="shared" si="88"/>
        <v>48.044699999999992</v>
      </c>
      <c r="V340" s="101">
        <f t="shared" si="88"/>
        <v>51.299699999999994</v>
      </c>
      <c r="W340" s="101">
        <f t="shared" si="88"/>
        <v>0</v>
      </c>
      <c r="X340" s="101">
        <f t="shared" si="88"/>
        <v>0</v>
      </c>
      <c r="Y340" s="101">
        <f t="shared" si="88"/>
        <v>0</v>
      </c>
      <c r="Z340" s="101">
        <f t="shared" si="88"/>
        <v>0</v>
      </c>
      <c r="AA340" s="101">
        <f t="shared" si="88"/>
        <v>0</v>
      </c>
      <c r="AB340" s="22"/>
    </row>
    <row r="341" spans="1:28" s="23" customFormat="1" ht="10.199999999999999" x14ac:dyDescent="0.2">
      <c r="A341" s="22"/>
      <c r="B341" s="22"/>
      <c r="C341" s="22"/>
      <c r="D341" s="22"/>
      <c r="E341" s="22" t="str">
        <f>E329</f>
        <v>непредв. расходы - начисление/оплата</v>
      </c>
      <c r="F341" s="22"/>
      <c r="G341" s="22" t="str">
        <f>IF($E341="","",INDEX(KPI!$G:$G,SUMIFS(KPI!$B:$B,KPI!$E:$E,$E341)))</f>
        <v>тыс.руб.</v>
      </c>
      <c r="H341" s="100">
        <f>структура!$V$23</f>
        <v>12</v>
      </c>
      <c r="I341" s="31"/>
      <c r="J341" s="98" t="str">
        <f>структура!$X$23</f>
        <v>дек</v>
      </c>
      <c r="K341" s="99"/>
      <c r="L341" s="22"/>
      <c r="M341" s="58"/>
      <c r="N341" s="22"/>
      <c r="O341" s="22"/>
      <c r="P341" s="101">
        <f t="shared" ref="P341:AA341" si="89">IF(P$1="",0,(P70+P149)*$J$326)</f>
        <v>42.93380769230766</v>
      </c>
      <c r="Q341" s="101">
        <f t="shared" si="89"/>
        <v>43.87880769230766</v>
      </c>
      <c r="R341" s="101">
        <f t="shared" si="89"/>
        <v>45.296307692307657</v>
      </c>
      <c r="S341" s="101">
        <f t="shared" si="89"/>
        <v>46.24130769230765</v>
      </c>
      <c r="T341" s="101">
        <f t="shared" si="89"/>
        <v>47.65880769230764</v>
      </c>
      <c r="U341" s="101">
        <f t="shared" si="89"/>
        <v>50.021307692307637</v>
      </c>
      <c r="V341" s="101">
        <f t="shared" si="89"/>
        <v>53.32880769230762</v>
      </c>
      <c r="W341" s="101">
        <f t="shared" si="89"/>
        <v>0</v>
      </c>
      <c r="X341" s="101">
        <f t="shared" si="89"/>
        <v>0</v>
      </c>
      <c r="Y341" s="101">
        <f t="shared" si="89"/>
        <v>0</v>
      </c>
      <c r="Z341" s="101">
        <f t="shared" si="89"/>
        <v>0</v>
      </c>
      <c r="AA341" s="101">
        <f t="shared" si="89"/>
        <v>0</v>
      </c>
      <c r="AB341" s="22"/>
    </row>
    <row r="342" spans="1:28" ht="3.9" customHeight="1" x14ac:dyDescent="0.25">
      <c r="A342" s="2"/>
      <c r="B342" s="2"/>
      <c r="C342" s="2"/>
      <c r="D342" s="119"/>
      <c r="E342" s="119"/>
      <c r="F342" s="2"/>
      <c r="G342" s="119"/>
      <c r="H342" s="2"/>
      <c r="I342" s="28"/>
      <c r="J342" s="119"/>
      <c r="K342" s="28"/>
      <c r="L342" s="2"/>
      <c r="M342" s="52"/>
      <c r="N342" s="2"/>
      <c r="O342" s="2"/>
      <c r="P342" s="36"/>
      <c r="Q342" s="36"/>
      <c r="R342" s="36"/>
      <c r="S342" s="36"/>
      <c r="T342" s="36"/>
      <c r="U342" s="36"/>
      <c r="V342" s="36"/>
      <c r="W342" s="36"/>
      <c r="X342" s="36"/>
      <c r="Y342" s="36"/>
      <c r="Z342" s="36"/>
      <c r="AA342" s="36"/>
      <c r="AB342" s="2"/>
    </row>
    <row r="343" spans="1:28" ht="8.1" customHeight="1" x14ac:dyDescent="0.25">
      <c r="A343" s="2"/>
      <c r="B343" s="2"/>
      <c r="C343" s="2"/>
      <c r="D343" s="2"/>
      <c r="E343" s="2"/>
      <c r="F343" s="2"/>
      <c r="G343" s="2"/>
      <c r="H343" s="2"/>
      <c r="I343" s="28"/>
      <c r="J343" s="2"/>
      <c r="K343" s="28"/>
      <c r="L343" s="2"/>
      <c r="M343" s="52"/>
      <c r="N343" s="2"/>
      <c r="O343" s="2"/>
      <c r="P343" s="36"/>
      <c r="Q343" s="36"/>
      <c r="R343" s="36"/>
      <c r="S343" s="36"/>
      <c r="T343" s="36"/>
      <c r="U343" s="36"/>
      <c r="V343" s="36"/>
      <c r="W343" s="36"/>
      <c r="X343" s="36"/>
      <c r="Y343" s="36"/>
      <c r="Z343" s="36"/>
      <c r="AA343" s="36"/>
      <c r="AB343" s="2"/>
    </row>
    <row r="344" spans="1:28" x14ac:dyDescent="0.25">
      <c r="A344" s="2"/>
      <c r="B344" s="2"/>
      <c r="C344" s="2"/>
      <c r="D344" s="2"/>
      <c r="E344" s="121" t="s">
        <v>244</v>
      </c>
      <c r="F344" s="2"/>
      <c r="G344" s="2"/>
      <c r="H344" s="2"/>
      <c r="I344" s="28"/>
      <c r="J344" s="2"/>
      <c r="K344" s="28"/>
      <c r="L344" s="2"/>
      <c r="M344" s="52"/>
      <c r="N344" s="2"/>
      <c r="O344" s="2"/>
      <c r="P344" s="36"/>
      <c r="Q344" s="36"/>
      <c r="R344" s="36"/>
      <c r="S344" s="36"/>
      <c r="T344" s="36"/>
      <c r="U344" s="36"/>
      <c r="V344" s="36"/>
      <c r="W344" s="36"/>
      <c r="X344" s="36"/>
      <c r="Y344" s="36"/>
      <c r="Z344" s="36"/>
      <c r="AA344" s="36"/>
      <c r="AB344" s="2"/>
    </row>
    <row r="345" spans="1:28" ht="8.1" customHeight="1" x14ac:dyDescent="0.25">
      <c r="A345" s="2"/>
      <c r="B345" s="2"/>
      <c r="C345" s="2"/>
      <c r="D345" s="2"/>
      <c r="E345" s="2"/>
      <c r="F345" s="2"/>
      <c r="G345" s="2"/>
      <c r="H345" s="2"/>
      <c r="I345" s="28"/>
      <c r="J345" s="2"/>
      <c r="K345" s="28"/>
      <c r="L345" s="2"/>
      <c r="M345" s="52"/>
      <c r="N345" s="2"/>
      <c r="O345" s="2"/>
      <c r="P345" s="36"/>
      <c r="Q345" s="36"/>
      <c r="R345" s="36"/>
      <c r="S345" s="36"/>
      <c r="T345" s="36"/>
      <c r="U345" s="36"/>
      <c r="V345" s="36"/>
      <c r="W345" s="36"/>
      <c r="X345" s="36"/>
      <c r="Y345" s="36"/>
      <c r="Z345" s="36"/>
      <c r="AA345" s="36"/>
      <c r="AB345" s="2"/>
    </row>
    <row r="346" spans="1:28" s="5" customFormat="1" x14ac:dyDescent="0.25">
      <c r="A346" s="3"/>
      <c r="B346" s="3"/>
      <c r="C346" s="3"/>
      <c r="D346" s="3"/>
      <c r="E346" s="3" t="str">
        <f>KPI!$E$65</f>
        <v>ставка НДС</v>
      </c>
      <c r="F346" s="3"/>
      <c r="G346" s="3" t="str">
        <f>IF($E346="","",INDEX(KPI!$G:$G,SUMIFS(KPI!$B:$B,KPI!$E:$E,$E346)))</f>
        <v>%</v>
      </c>
      <c r="H346" s="3"/>
      <c r="I346" s="28"/>
      <c r="J346" s="2"/>
      <c r="K346" s="28"/>
      <c r="L346" s="2"/>
      <c r="M346" s="52"/>
      <c r="N346" s="3"/>
      <c r="O346" s="6"/>
      <c r="P346" s="229">
        <f>операции!P421</f>
        <v>0.2</v>
      </c>
      <c r="Q346" s="229">
        <f>операции!Q421</f>
        <v>0.2</v>
      </c>
      <c r="R346" s="229">
        <f>операции!R421</f>
        <v>0.2</v>
      </c>
      <c r="S346" s="229">
        <f>операции!S421</f>
        <v>0.2</v>
      </c>
      <c r="T346" s="229">
        <f>операции!T421</f>
        <v>0.2</v>
      </c>
      <c r="U346" s="229">
        <f>операции!U421</f>
        <v>0.2</v>
      </c>
      <c r="V346" s="229">
        <f>операции!V421</f>
        <v>0.2</v>
      </c>
      <c r="W346" s="229">
        <f>операции!W421</f>
        <v>0.2</v>
      </c>
      <c r="X346" s="229">
        <f>операции!X421</f>
        <v>0.2</v>
      </c>
      <c r="Y346" s="229">
        <f>операции!Y421</f>
        <v>0.2</v>
      </c>
      <c r="Z346" s="229">
        <f>операции!Z421</f>
        <v>0.2</v>
      </c>
      <c r="AA346" s="229">
        <f>операции!AA421</f>
        <v>0.2</v>
      </c>
      <c r="AB346" s="3"/>
    </row>
    <row r="347" spans="1:28" ht="3.9" customHeight="1" x14ac:dyDescent="0.25">
      <c r="A347" s="2"/>
      <c r="B347" s="2"/>
      <c r="C347" s="2"/>
      <c r="D347" s="2"/>
      <c r="E347" s="122"/>
      <c r="F347" s="2"/>
      <c r="G347" s="2"/>
      <c r="H347" s="2"/>
      <c r="I347" s="28"/>
      <c r="J347" s="2"/>
      <c r="K347" s="28"/>
      <c r="L347" s="2"/>
      <c r="M347" s="52"/>
      <c r="N347" s="2"/>
      <c r="O347" s="2"/>
      <c r="P347" s="36"/>
      <c r="Q347" s="36"/>
      <c r="R347" s="36"/>
      <c r="S347" s="36"/>
      <c r="T347" s="36"/>
      <c r="U347" s="36"/>
      <c r="V347" s="36"/>
      <c r="W347" s="36"/>
      <c r="X347" s="36"/>
      <c r="Y347" s="36"/>
      <c r="Z347" s="36"/>
      <c r="AA347" s="36"/>
      <c r="AB347" s="2"/>
    </row>
    <row r="348" spans="1:28" ht="3.9" customHeight="1" x14ac:dyDescent="0.25">
      <c r="A348" s="2"/>
      <c r="B348" s="2"/>
      <c r="C348" s="2"/>
      <c r="D348" s="2"/>
      <c r="E348" s="2"/>
      <c r="F348" s="2"/>
      <c r="G348" s="2"/>
      <c r="H348" s="2"/>
      <c r="I348" s="28"/>
      <c r="J348" s="2"/>
      <c r="K348" s="28"/>
      <c r="L348" s="2"/>
      <c r="M348" s="52"/>
      <c r="N348" s="2"/>
      <c r="O348" s="2"/>
      <c r="P348" s="36"/>
      <c r="Q348" s="36"/>
      <c r="R348" s="36"/>
      <c r="S348" s="36"/>
      <c r="T348" s="36"/>
      <c r="U348" s="36"/>
      <c r="V348" s="36"/>
      <c r="W348" s="36"/>
      <c r="X348" s="36"/>
      <c r="Y348" s="36"/>
      <c r="Z348" s="36"/>
      <c r="AA348" s="36"/>
      <c r="AB348" s="2"/>
    </row>
    <row r="349" spans="1:28" s="5" customFormat="1" x14ac:dyDescent="0.25">
      <c r="A349" s="3"/>
      <c r="B349" s="3"/>
      <c r="C349" s="3"/>
      <c r="D349" s="3"/>
      <c r="E349" s="3" t="str">
        <f>KPI!$E$66</f>
        <v>ставка налога на прибыль (ОСНО)</v>
      </c>
      <c r="F349" s="3"/>
      <c r="G349" s="3" t="str">
        <f>IF($E349="","",INDEX(KPI!$G:$G,SUMIFS(KPI!$B:$B,KPI!$E:$E,$E349)))</f>
        <v>%</v>
      </c>
      <c r="H349" s="3"/>
      <c r="I349" s="28"/>
      <c r="J349" s="2"/>
      <c r="K349" s="28"/>
      <c r="L349" s="2"/>
      <c r="M349" s="52"/>
      <c r="N349" s="3"/>
      <c r="O349" s="6"/>
      <c r="P349" s="229">
        <f>операции!P424</f>
        <v>0.2</v>
      </c>
      <c r="Q349" s="229">
        <f>операции!Q424</f>
        <v>0.2</v>
      </c>
      <c r="R349" s="229">
        <f>операции!R424</f>
        <v>0.2</v>
      </c>
      <c r="S349" s="229">
        <f>операции!S424</f>
        <v>0.2</v>
      </c>
      <c r="T349" s="229">
        <f>операции!T424</f>
        <v>0.2</v>
      </c>
      <c r="U349" s="229">
        <f>операции!U424</f>
        <v>0.2</v>
      </c>
      <c r="V349" s="229">
        <f>операции!V424</f>
        <v>0.2</v>
      </c>
      <c r="W349" s="229">
        <f>операции!W424</f>
        <v>0.2</v>
      </c>
      <c r="X349" s="229">
        <f>операции!X424</f>
        <v>0.2</v>
      </c>
      <c r="Y349" s="229">
        <f>операции!Y424</f>
        <v>0.2</v>
      </c>
      <c r="Z349" s="229">
        <f>операции!Z424</f>
        <v>0.2</v>
      </c>
      <c r="AA349" s="229">
        <f>операции!AA424</f>
        <v>0.2</v>
      </c>
      <c r="AB349" s="3"/>
    </row>
    <row r="350" spans="1:28" ht="3.9" customHeight="1" x14ac:dyDescent="0.25">
      <c r="A350" s="2"/>
      <c r="B350" s="2"/>
      <c r="C350" s="2"/>
      <c r="D350" s="2"/>
      <c r="E350" s="122"/>
      <c r="F350" s="2"/>
      <c r="G350" s="2"/>
      <c r="H350" s="2"/>
      <c r="I350" s="28"/>
      <c r="J350" s="2"/>
      <c r="K350" s="28"/>
      <c r="L350" s="2"/>
      <c r="M350" s="52"/>
      <c r="N350" s="2"/>
      <c r="O350" s="2"/>
      <c r="P350" s="36"/>
      <c r="Q350" s="36"/>
      <c r="R350" s="36"/>
      <c r="S350" s="36"/>
      <c r="T350" s="36"/>
      <c r="U350" s="36"/>
      <c r="V350" s="36"/>
      <c r="W350" s="36"/>
      <c r="X350" s="36"/>
      <c r="Y350" s="36"/>
      <c r="Z350" s="36"/>
      <c r="AA350" s="36"/>
      <c r="AB350" s="2"/>
    </row>
    <row r="351" spans="1:28" ht="3.9" customHeight="1" x14ac:dyDescent="0.25">
      <c r="A351" s="2"/>
      <c r="B351" s="2"/>
      <c r="C351" s="2"/>
      <c r="D351" s="2"/>
      <c r="E351" s="2"/>
      <c r="F351" s="2"/>
      <c r="G351" s="2"/>
      <c r="H351" s="2"/>
      <c r="I351" s="28"/>
      <c r="J351" s="2"/>
      <c r="K351" s="28"/>
      <c r="L351" s="2"/>
      <c r="M351" s="52"/>
      <c r="N351" s="2"/>
      <c r="O351" s="2"/>
      <c r="P351" s="36"/>
      <c r="Q351" s="36"/>
      <c r="R351" s="36"/>
      <c r="S351" s="36"/>
      <c r="T351" s="36"/>
      <c r="U351" s="36"/>
      <c r="V351" s="36"/>
      <c r="W351" s="36"/>
      <c r="X351" s="36"/>
      <c r="Y351" s="36"/>
      <c r="Z351" s="36"/>
      <c r="AA351" s="36"/>
      <c r="AB351" s="2"/>
    </row>
    <row r="352" spans="1:28" s="5" customFormat="1" x14ac:dyDescent="0.25">
      <c r="A352" s="3"/>
      <c r="B352" s="3"/>
      <c r="C352" s="3"/>
      <c r="D352" s="3"/>
      <c r="E352" s="3" t="str">
        <f>KPI!$E$67</f>
        <v>ставка налога УСН-доход</v>
      </c>
      <c r="F352" s="3"/>
      <c r="G352" s="3" t="str">
        <f>IF($E352="","",INDEX(KPI!$G:$G,SUMIFS(KPI!$B:$B,KPI!$E:$E,$E352)))</f>
        <v>%</v>
      </c>
      <c r="H352" s="3"/>
      <c r="I352" s="28"/>
      <c r="J352" s="2"/>
      <c r="K352" s="28"/>
      <c r="L352" s="2"/>
      <c r="M352" s="52"/>
      <c r="N352" s="3"/>
      <c r="O352" s="6"/>
      <c r="P352" s="229">
        <f>операции!P427</f>
        <v>0.06</v>
      </c>
      <c r="Q352" s="229">
        <f>операции!Q427</f>
        <v>0.06</v>
      </c>
      <c r="R352" s="229">
        <f>операции!R427</f>
        <v>0.06</v>
      </c>
      <c r="S352" s="229">
        <f>операции!S427</f>
        <v>0.06</v>
      </c>
      <c r="T352" s="229">
        <f>операции!T427</f>
        <v>0.06</v>
      </c>
      <c r="U352" s="229">
        <f>операции!U427</f>
        <v>0.06</v>
      </c>
      <c r="V352" s="229">
        <f>операции!V427</f>
        <v>0.06</v>
      </c>
      <c r="W352" s="229">
        <f>операции!W427</f>
        <v>0.06</v>
      </c>
      <c r="X352" s="229">
        <f>операции!X427</f>
        <v>0.06</v>
      </c>
      <c r="Y352" s="229">
        <f>операции!Y427</f>
        <v>0.06</v>
      </c>
      <c r="Z352" s="229">
        <f>операции!Z427</f>
        <v>0.06</v>
      </c>
      <c r="AA352" s="229">
        <f>операции!AA427</f>
        <v>0.06</v>
      </c>
      <c r="AB352" s="3"/>
    </row>
    <row r="353" spans="1:28" ht="3.9" customHeight="1" x14ac:dyDescent="0.25">
      <c r="A353" s="2"/>
      <c r="B353" s="2"/>
      <c r="C353" s="2"/>
      <c r="D353" s="2"/>
      <c r="E353" s="122"/>
      <c r="F353" s="2"/>
      <c r="G353" s="2"/>
      <c r="H353" s="2"/>
      <c r="I353" s="28"/>
      <c r="J353" s="2"/>
      <c r="K353" s="28"/>
      <c r="L353" s="2"/>
      <c r="M353" s="52"/>
      <c r="N353" s="2"/>
      <c r="O353" s="2"/>
      <c r="P353" s="36"/>
      <c r="Q353" s="36"/>
      <c r="R353" s="36"/>
      <c r="S353" s="36"/>
      <c r="T353" s="36"/>
      <c r="U353" s="36"/>
      <c r="V353" s="36"/>
      <c r="W353" s="36"/>
      <c r="X353" s="36"/>
      <c r="Y353" s="36"/>
      <c r="Z353" s="36"/>
      <c r="AA353" s="36"/>
      <c r="AB353" s="2"/>
    </row>
    <row r="354" spans="1:28" ht="3.9" customHeight="1" x14ac:dyDescent="0.25">
      <c r="A354" s="2"/>
      <c r="B354" s="2"/>
      <c r="C354" s="2"/>
      <c r="D354" s="2"/>
      <c r="E354" s="2"/>
      <c r="F354" s="2"/>
      <c r="G354" s="2"/>
      <c r="H354" s="2"/>
      <c r="I354" s="28"/>
      <c r="J354" s="2"/>
      <c r="K354" s="28"/>
      <c r="L354" s="2"/>
      <c r="M354" s="52"/>
      <c r="N354" s="2"/>
      <c r="O354" s="2"/>
      <c r="P354" s="36"/>
      <c r="Q354" s="36"/>
      <c r="R354" s="36"/>
      <c r="S354" s="36"/>
      <c r="T354" s="36"/>
      <c r="U354" s="36"/>
      <c r="V354" s="36"/>
      <c r="W354" s="36"/>
      <c r="X354" s="36"/>
      <c r="Y354" s="36"/>
      <c r="Z354" s="36"/>
      <c r="AA354" s="36"/>
      <c r="AB354" s="2"/>
    </row>
    <row r="355" spans="1:28" s="5" customFormat="1" x14ac:dyDescent="0.25">
      <c r="A355" s="3"/>
      <c r="B355" s="3"/>
      <c r="C355" s="3"/>
      <c r="D355" s="3"/>
      <c r="E355" s="3" t="str">
        <f>KPI!$E$68</f>
        <v>ставка налога УСН-доход-расход</v>
      </c>
      <c r="F355" s="3"/>
      <c r="G355" s="3" t="str">
        <f>IF($E355="","",INDEX(KPI!$G:$G,SUMIFS(KPI!$B:$B,KPI!$E:$E,$E355)))</f>
        <v>%</v>
      </c>
      <c r="H355" s="3"/>
      <c r="I355" s="28"/>
      <c r="J355" s="2"/>
      <c r="K355" s="28"/>
      <c r="L355" s="2"/>
      <c r="M355" s="52"/>
      <c r="N355" s="3"/>
      <c r="O355" s="6"/>
      <c r="P355" s="229">
        <f>операции!P430</f>
        <v>0.15</v>
      </c>
      <c r="Q355" s="229">
        <f>операции!Q430</f>
        <v>0.15</v>
      </c>
      <c r="R355" s="229">
        <f>операции!R430</f>
        <v>0.15</v>
      </c>
      <c r="S355" s="229">
        <f>операции!S430</f>
        <v>0.15</v>
      </c>
      <c r="T355" s="229">
        <f>операции!T430</f>
        <v>0.15</v>
      </c>
      <c r="U355" s="229">
        <f>операции!U430</f>
        <v>0.15</v>
      </c>
      <c r="V355" s="229">
        <f>операции!V430</f>
        <v>0.15</v>
      </c>
      <c r="W355" s="229">
        <f>операции!W430</f>
        <v>0.15</v>
      </c>
      <c r="X355" s="229">
        <f>операции!X430</f>
        <v>0.15</v>
      </c>
      <c r="Y355" s="229">
        <f>операции!Y430</f>
        <v>0.15</v>
      </c>
      <c r="Z355" s="229">
        <f>операции!Z430</f>
        <v>0.15</v>
      </c>
      <c r="AA355" s="229">
        <f>операции!AA430</f>
        <v>0.15</v>
      </c>
      <c r="AB355" s="3"/>
    </row>
    <row r="356" spans="1:28" ht="3.9" customHeight="1" x14ac:dyDescent="0.25">
      <c r="A356" s="2"/>
      <c r="B356" s="2"/>
      <c r="C356" s="2"/>
      <c r="D356" s="2"/>
      <c r="E356" s="122"/>
      <c r="F356" s="2"/>
      <c r="G356" s="2"/>
      <c r="H356" s="2"/>
      <c r="I356" s="28"/>
      <c r="J356" s="2"/>
      <c r="K356" s="28"/>
      <c r="L356" s="2"/>
      <c r="M356" s="52"/>
      <c r="N356" s="2"/>
      <c r="O356" s="2"/>
      <c r="P356" s="36"/>
      <c r="Q356" s="36"/>
      <c r="R356" s="36"/>
      <c r="S356" s="36"/>
      <c r="T356" s="36"/>
      <c r="U356" s="36"/>
      <c r="V356" s="36"/>
      <c r="W356" s="36"/>
      <c r="X356" s="36"/>
      <c r="Y356" s="36"/>
      <c r="Z356" s="36"/>
      <c r="AA356" s="36"/>
      <c r="AB356" s="2"/>
    </row>
    <row r="357" spans="1:28" ht="3.9" customHeight="1" x14ac:dyDescent="0.25">
      <c r="A357" s="2"/>
      <c r="B357" s="2"/>
      <c r="C357" s="2"/>
      <c r="D357" s="2"/>
      <c r="E357" s="2"/>
      <c r="F357" s="2"/>
      <c r="G357" s="2"/>
      <c r="H357" s="2"/>
      <c r="I357" s="28"/>
      <c r="J357" s="2"/>
      <c r="K357" s="28"/>
      <c r="L357" s="2"/>
      <c r="M357" s="52"/>
      <c r="N357" s="2"/>
      <c r="O357" s="2"/>
      <c r="P357" s="36"/>
      <c r="Q357" s="36"/>
      <c r="R357" s="36"/>
      <c r="S357" s="36"/>
      <c r="T357" s="36"/>
      <c r="U357" s="36"/>
      <c r="V357" s="36"/>
      <c r="W357" s="36"/>
      <c r="X357" s="36"/>
      <c r="Y357" s="36"/>
      <c r="Z357" s="36"/>
      <c r="AA357" s="36"/>
      <c r="AB357" s="2"/>
    </row>
    <row r="358" spans="1:28" s="5" customFormat="1" x14ac:dyDescent="0.25">
      <c r="A358" s="3"/>
      <c r="B358" s="3"/>
      <c r="C358" s="3"/>
      <c r="D358" s="3"/>
      <c r="E358" s="3" t="str">
        <f>KPI!$E$69</f>
        <v>ставка налога УСН-ИП-доход</v>
      </c>
      <c r="F358" s="3"/>
      <c r="G358" s="3" t="str">
        <f>IF($E358="","",INDEX(KPI!$G:$G,SUMIFS(KPI!$B:$B,KPI!$E:$E,$E358)))</f>
        <v>%</v>
      </c>
      <c r="H358" s="3"/>
      <c r="I358" s="28"/>
      <c r="J358" s="2"/>
      <c r="K358" s="28"/>
      <c r="L358" s="2"/>
      <c r="M358" s="52"/>
      <c r="N358" s="3"/>
      <c r="O358" s="6"/>
      <c r="P358" s="229">
        <f>операции!P433</f>
        <v>0</v>
      </c>
      <c r="Q358" s="229">
        <f>операции!Q433</f>
        <v>0</v>
      </c>
      <c r="R358" s="229">
        <f>операции!R433</f>
        <v>0</v>
      </c>
      <c r="S358" s="229">
        <f>операции!S433</f>
        <v>0</v>
      </c>
      <c r="T358" s="229">
        <f>операции!T433</f>
        <v>0.06</v>
      </c>
      <c r="U358" s="229">
        <f>операции!U433</f>
        <v>0.06</v>
      </c>
      <c r="V358" s="229">
        <f>операции!V433</f>
        <v>0.06</v>
      </c>
      <c r="W358" s="229">
        <f>операции!W433</f>
        <v>0.03</v>
      </c>
      <c r="X358" s="229">
        <f>операции!X433</f>
        <v>0.03</v>
      </c>
      <c r="Y358" s="229">
        <f>операции!Y433</f>
        <v>0.03</v>
      </c>
      <c r="Z358" s="229">
        <f>операции!Z433</f>
        <v>0.03</v>
      </c>
      <c r="AA358" s="229">
        <f>операции!AA433</f>
        <v>0.03</v>
      </c>
      <c r="AB358" s="3"/>
    </row>
    <row r="359" spans="1:28" ht="3.9" customHeight="1" x14ac:dyDescent="0.25">
      <c r="A359" s="2"/>
      <c r="B359" s="2"/>
      <c r="C359" s="2"/>
      <c r="D359" s="2"/>
      <c r="E359" s="122"/>
      <c r="F359" s="2"/>
      <c r="G359" s="2"/>
      <c r="H359" s="2"/>
      <c r="I359" s="28"/>
      <c r="J359" s="2"/>
      <c r="K359" s="28"/>
      <c r="L359" s="2"/>
      <c r="M359" s="52"/>
      <c r="N359" s="2"/>
      <c r="O359" s="2"/>
      <c r="P359" s="36"/>
      <c r="Q359" s="36"/>
      <c r="R359" s="36"/>
      <c r="S359" s="36"/>
      <c r="T359" s="36"/>
      <c r="U359" s="36"/>
      <c r="V359" s="36"/>
      <c r="W359" s="36"/>
      <c r="X359" s="36"/>
      <c r="Y359" s="36"/>
      <c r="Z359" s="36"/>
      <c r="AA359" s="36"/>
      <c r="AB359" s="2"/>
    </row>
    <row r="360" spans="1:28" ht="3.9" customHeight="1" x14ac:dyDescent="0.25">
      <c r="A360" s="2"/>
      <c r="B360" s="2"/>
      <c r="C360" s="2"/>
      <c r="D360" s="2"/>
      <c r="E360" s="2"/>
      <c r="F360" s="2"/>
      <c r="G360" s="2"/>
      <c r="H360" s="2"/>
      <c r="I360" s="28"/>
      <c r="J360" s="2"/>
      <c r="K360" s="28"/>
      <c r="L360" s="2"/>
      <c r="M360" s="52"/>
      <c r="N360" s="2"/>
      <c r="O360" s="2"/>
      <c r="P360" s="36"/>
      <c r="Q360" s="36"/>
      <c r="R360" s="36"/>
      <c r="S360" s="36"/>
      <c r="T360" s="36"/>
      <c r="U360" s="36"/>
      <c r="V360" s="36"/>
      <c r="W360" s="36"/>
      <c r="X360" s="36"/>
      <c r="Y360" s="36"/>
      <c r="Z360" s="36"/>
      <c r="AA360" s="36"/>
      <c r="AB360" s="2"/>
    </row>
    <row r="361" spans="1:28" s="5" customFormat="1" x14ac:dyDescent="0.25">
      <c r="A361" s="3"/>
      <c r="B361" s="3"/>
      <c r="C361" s="3"/>
      <c r="D361" s="3"/>
      <c r="E361" s="3" t="str">
        <f>KPI!$E$70</f>
        <v>неснижаемая доля налога УСН-доход</v>
      </c>
      <c r="F361" s="3"/>
      <c r="G361" s="3" t="str">
        <f>IF($E361="","",INDEX(KPI!$G:$G,SUMIFS(KPI!$B:$B,KPI!$E:$E,$E361)))</f>
        <v>%</v>
      </c>
      <c r="H361" s="3"/>
      <c r="I361" s="28"/>
      <c r="J361" s="2"/>
      <c r="K361" s="28"/>
      <c r="L361" s="2"/>
      <c r="M361" s="52"/>
      <c r="N361" s="3"/>
      <c r="O361" s="6"/>
      <c r="P361" s="229">
        <f>операции!P436</f>
        <v>0.5</v>
      </c>
      <c r="Q361" s="229">
        <f>операции!Q436</f>
        <v>0.5</v>
      </c>
      <c r="R361" s="229">
        <f>операции!R436</f>
        <v>0.5</v>
      </c>
      <c r="S361" s="229">
        <f>операции!S436</f>
        <v>0.5</v>
      </c>
      <c r="T361" s="229">
        <f>операции!T436</f>
        <v>0.5</v>
      </c>
      <c r="U361" s="229">
        <f>операции!U436</f>
        <v>0.5</v>
      </c>
      <c r="V361" s="229">
        <f>операции!V436</f>
        <v>0.5</v>
      </c>
      <c r="W361" s="229">
        <f>операции!W436</f>
        <v>0.5</v>
      </c>
      <c r="X361" s="229">
        <f>операции!X436</f>
        <v>0.5</v>
      </c>
      <c r="Y361" s="229">
        <f>операции!Y436</f>
        <v>0.5</v>
      </c>
      <c r="Z361" s="229">
        <f>операции!Z436</f>
        <v>0.5</v>
      </c>
      <c r="AA361" s="229">
        <f>операции!AA436</f>
        <v>0.5</v>
      </c>
      <c r="AB361" s="3"/>
    </row>
    <row r="362" spans="1:28" ht="3.9" customHeight="1" x14ac:dyDescent="0.25">
      <c r="A362" s="2"/>
      <c r="B362" s="2"/>
      <c r="C362" s="2"/>
      <c r="D362" s="2"/>
      <c r="E362" s="122"/>
      <c r="F362" s="2"/>
      <c r="G362" s="2"/>
      <c r="H362" s="2"/>
      <c r="I362" s="28"/>
      <c r="J362" s="2"/>
      <c r="K362" s="28"/>
      <c r="L362" s="2"/>
      <c r="M362" s="52"/>
      <c r="N362" s="2"/>
      <c r="O362" s="2"/>
      <c r="P362" s="36"/>
      <c r="Q362" s="36"/>
      <c r="R362" s="36"/>
      <c r="S362" s="36"/>
      <c r="T362" s="36"/>
      <c r="U362" s="36"/>
      <c r="V362" s="36"/>
      <c r="W362" s="36"/>
      <c r="X362" s="36"/>
      <c r="Y362" s="36"/>
      <c r="Z362" s="36"/>
      <c r="AA362" s="36"/>
      <c r="AB362" s="2"/>
    </row>
    <row r="363" spans="1:28" ht="3.9" customHeight="1" x14ac:dyDescent="0.25">
      <c r="A363" s="2"/>
      <c r="B363" s="2"/>
      <c r="C363" s="2"/>
      <c r="D363" s="2"/>
      <c r="E363" s="2"/>
      <c r="F363" s="2"/>
      <c r="G363" s="2"/>
      <c r="H363" s="2"/>
      <c r="I363" s="28"/>
      <c r="J363" s="2"/>
      <c r="K363" s="28"/>
      <c r="L363" s="2"/>
      <c r="M363" s="52"/>
      <c r="N363" s="2"/>
      <c r="O363" s="2"/>
      <c r="P363" s="36"/>
      <c r="Q363" s="36"/>
      <c r="R363" s="36"/>
      <c r="S363" s="36"/>
      <c r="T363" s="36"/>
      <c r="U363" s="36"/>
      <c r="V363" s="36"/>
      <c r="W363" s="36"/>
      <c r="X363" s="36"/>
      <c r="Y363" s="36"/>
      <c r="Z363" s="36"/>
      <c r="AA363" s="36"/>
      <c r="AB363" s="2"/>
    </row>
    <row r="364" spans="1:28" s="5" customFormat="1" x14ac:dyDescent="0.25">
      <c r="A364" s="3"/>
      <c r="B364" s="3"/>
      <c r="C364" s="3"/>
      <c r="D364" s="3"/>
      <c r="E364" s="3" t="str">
        <f>KPI!$E$71</f>
        <v>минимум налога УСН-доход-расход</v>
      </c>
      <c r="F364" s="3"/>
      <c r="G364" s="3" t="str">
        <f>IF($E364="","",INDEX(KPI!$G:$G,SUMIFS(KPI!$B:$B,KPI!$E:$E,$E364)))</f>
        <v>%</v>
      </c>
      <c r="H364" s="3"/>
      <c r="I364" s="28"/>
      <c r="J364" s="2"/>
      <c r="K364" s="28"/>
      <c r="L364" s="2"/>
      <c r="M364" s="52"/>
      <c r="N364" s="3"/>
      <c r="O364" s="6"/>
      <c r="P364" s="229">
        <f>операции!P439</f>
        <v>0.01</v>
      </c>
      <c r="Q364" s="229">
        <f>операции!Q439</f>
        <v>0.01</v>
      </c>
      <c r="R364" s="229">
        <f>операции!R439</f>
        <v>0.01</v>
      </c>
      <c r="S364" s="229">
        <f>операции!S439</f>
        <v>0.01</v>
      </c>
      <c r="T364" s="229">
        <f>операции!T439</f>
        <v>0.01</v>
      </c>
      <c r="U364" s="229">
        <f>операции!U439</f>
        <v>0.01</v>
      </c>
      <c r="V364" s="229">
        <f>операции!V439</f>
        <v>0.01</v>
      </c>
      <c r="W364" s="229">
        <f>операции!W439</f>
        <v>0.01</v>
      </c>
      <c r="X364" s="229">
        <f>операции!X439</f>
        <v>0.01</v>
      </c>
      <c r="Y364" s="229">
        <f>операции!Y439</f>
        <v>0.01</v>
      </c>
      <c r="Z364" s="229">
        <f>операции!Z439</f>
        <v>0.01</v>
      </c>
      <c r="AA364" s="229">
        <f>операции!AA439</f>
        <v>0.01</v>
      </c>
      <c r="AB364" s="3"/>
    </row>
    <row r="365" spans="1:28" ht="3.9" customHeight="1" x14ac:dyDescent="0.25">
      <c r="A365" s="2"/>
      <c r="B365" s="2"/>
      <c r="C365" s="2"/>
      <c r="D365" s="2"/>
      <c r="E365" s="122"/>
      <c r="F365" s="2"/>
      <c r="G365" s="2"/>
      <c r="H365" s="2"/>
      <c r="I365" s="28"/>
      <c r="J365" s="2"/>
      <c r="K365" s="28"/>
      <c r="L365" s="2"/>
      <c r="M365" s="52"/>
      <c r="N365" s="2"/>
      <c r="O365" s="2"/>
      <c r="P365" s="36"/>
      <c r="Q365" s="36"/>
      <c r="R365" s="36"/>
      <c r="S365" s="36"/>
      <c r="T365" s="36"/>
      <c r="U365" s="36"/>
      <c r="V365" s="36"/>
      <c r="W365" s="36"/>
      <c r="X365" s="36"/>
      <c r="Y365" s="36"/>
      <c r="Z365" s="36"/>
      <c r="AA365" s="36"/>
      <c r="AB365" s="2"/>
    </row>
    <row r="366" spans="1:28" ht="3.9" customHeight="1" x14ac:dyDescent="0.25">
      <c r="A366" s="2"/>
      <c r="B366" s="2"/>
      <c r="C366" s="2"/>
      <c r="D366" s="2"/>
      <c r="E366" s="2"/>
      <c r="F366" s="2"/>
      <c r="G366" s="2"/>
      <c r="H366" s="2"/>
      <c r="I366" s="28"/>
      <c r="J366" s="2"/>
      <c r="K366" s="28"/>
      <c r="L366" s="2"/>
      <c r="M366" s="52"/>
      <c r="N366" s="2"/>
      <c r="O366" s="2"/>
      <c r="P366" s="36"/>
      <c r="Q366" s="36"/>
      <c r="R366" s="36"/>
      <c r="S366" s="36"/>
      <c r="T366" s="36"/>
      <c r="U366" s="36"/>
      <c r="V366" s="36"/>
      <c r="W366" s="36"/>
      <c r="X366" s="36"/>
      <c r="Y366" s="36"/>
      <c r="Z366" s="36"/>
      <c r="AA366" s="36"/>
      <c r="AB366" s="2"/>
    </row>
    <row r="367" spans="1:28" s="5" customFormat="1" x14ac:dyDescent="0.25">
      <c r="A367" s="3"/>
      <c r="B367" s="3"/>
      <c r="C367" s="3"/>
      <c r="D367" s="3"/>
      <c r="E367" s="3" t="str">
        <f>KPI!$E$72</f>
        <v>ставка налога на имущество</v>
      </c>
      <c r="F367" s="3"/>
      <c r="G367" s="3" t="str">
        <f>IF($E367="","",INDEX(KPI!$G:$G,SUMIFS(KPI!$B:$B,KPI!$E:$E,$E367)))</f>
        <v>%</v>
      </c>
      <c r="H367" s="3"/>
      <c r="I367" s="28"/>
      <c r="J367" s="2"/>
      <c r="K367" s="28"/>
      <c r="L367" s="2"/>
      <c r="M367" s="52"/>
      <c r="N367" s="3"/>
      <c r="O367" s="6"/>
      <c r="P367" s="229">
        <f>операции!P442</f>
        <v>2.1999999999999999E-2</v>
      </c>
      <c r="Q367" s="229">
        <f>операции!Q442</f>
        <v>2.1999999999999999E-2</v>
      </c>
      <c r="R367" s="229">
        <f>операции!R442</f>
        <v>2.1999999999999999E-2</v>
      </c>
      <c r="S367" s="229">
        <f>операции!S442</f>
        <v>2.1999999999999999E-2</v>
      </c>
      <c r="T367" s="229">
        <f>операции!T442</f>
        <v>2.1999999999999999E-2</v>
      </c>
      <c r="U367" s="229">
        <f>операции!U442</f>
        <v>2.1999999999999999E-2</v>
      </c>
      <c r="V367" s="229">
        <f>операции!V442</f>
        <v>2.1999999999999999E-2</v>
      </c>
      <c r="W367" s="229">
        <f>операции!W442</f>
        <v>2.1999999999999999E-2</v>
      </c>
      <c r="X367" s="229">
        <f>операции!X442</f>
        <v>2.1999999999999999E-2</v>
      </c>
      <c r="Y367" s="229">
        <f>операции!Y442</f>
        <v>2.1999999999999999E-2</v>
      </c>
      <c r="Z367" s="229">
        <f>операции!Z442</f>
        <v>2.1999999999999999E-2</v>
      </c>
      <c r="AA367" s="229">
        <f>операции!AA442</f>
        <v>2.1999999999999999E-2</v>
      </c>
      <c r="AB367" s="3"/>
    </row>
    <row r="368" spans="1:28" ht="3.9" customHeight="1" x14ac:dyDescent="0.25">
      <c r="A368" s="2"/>
      <c r="B368" s="2"/>
      <c r="C368" s="2"/>
      <c r="D368" s="2"/>
      <c r="E368" s="122"/>
      <c r="F368" s="2"/>
      <c r="G368" s="2"/>
      <c r="H368" s="2"/>
      <c r="I368" s="28"/>
      <c r="J368" s="2"/>
      <c r="K368" s="28"/>
      <c r="L368" s="2"/>
      <c r="M368" s="52"/>
      <c r="N368" s="2"/>
      <c r="O368" s="2"/>
      <c r="P368" s="36"/>
      <c r="Q368" s="36"/>
      <c r="R368" s="36"/>
      <c r="S368" s="36"/>
      <c r="T368" s="36"/>
      <c r="U368" s="36"/>
      <c r="V368" s="36"/>
      <c r="W368" s="36"/>
      <c r="X368" s="36"/>
      <c r="Y368" s="36"/>
      <c r="Z368" s="36"/>
      <c r="AA368" s="36"/>
      <c r="AB368" s="2"/>
    </row>
    <row r="369" spans="1:28" ht="3.9" customHeight="1" x14ac:dyDescent="0.25">
      <c r="A369" s="2"/>
      <c r="B369" s="2"/>
      <c r="C369" s="2"/>
      <c r="D369" s="2"/>
      <c r="E369" s="2"/>
      <c r="F369" s="2"/>
      <c r="G369" s="2"/>
      <c r="H369" s="2"/>
      <c r="I369" s="28"/>
      <c r="J369" s="2"/>
      <c r="K369" s="28"/>
      <c r="L369" s="2"/>
      <c r="M369" s="52"/>
      <c r="N369" s="2"/>
      <c r="O369" s="2"/>
      <c r="P369" s="36"/>
      <c r="Q369" s="36"/>
      <c r="R369" s="36"/>
      <c r="S369" s="36"/>
      <c r="T369" s="36"/>
      <c r="U369" s="36"/>
      <c r="V369" s="36"/>
      <c r="W369" s="36"/>
      <c r="X369" s="36"/>
      <c r="Y369" s="36"/>
      <c r="Z369" s="36"/>
      <c r="AA369" s="36"/>
      <c r="AB369" s="2"/>
    </row>
    <row r="370" spans="1:28" s="5" customFormat="1" x14ac:dyDescent="0.25">
      <c r="A370" s="3"/>
      <c r="B370" s="3"/>
      <c r="C370" s="3"/>
      <c r="D370" s="3"/>
      <c r="E370" s="3" t="str">
        <f>KPI!$E$73</f>
        <v>ставка дисконтирования</v>
      </c>
      <c r="F370" s="3"/>
      <c r="G370" s="3" t="str">
        <f>IF($E370="","",INDEX(KPI!$G:$G,SUMIFS(KPI!$B:$B,KPI!$E:$E,$E370)))</f>
        <v>%</v>
      </c>
      <c r="H370" s="3"/>
      <c r="I370" s="28"/>
      <c r="J370" s="3"/>
      <c r="K370" s="28"/>
      <c r="L370" s="3"/>
      <c r="M370" s="55"/>
      <c r="N370" s="3"/>
      <c r="O370" s="6"/>
      <c r="P370" s="230">
        <f>операции!P445</f>
        <v>0.1</v>
      </c>
      <c r="Q370" s="230">
        <f>операции!Q445</f>
        <v>0.1</v>
      </c>
      <c r="R370" s="230">
        <f>операции!R445</f>
        <v>0.1</v>
      </c>
      <c r="S370" s="230">
        <f>операции!S445</f>
        <v>0.1</v>
      </c>
      <c r="T370" s="230">
        <f>операции!T445</f>
        <v>0.1</v>
      </c>
      <c r="U370" s="230">
        <f>операции!U445</f>
        <v>0.1</v>
      </c>
      <c r="V370" s="230">
        <f>операции!V445</f>
        <v>0.1</v>
      </c>
      <c r="W370" s="230">
        <f>операции!W445</f>
        <v>0.1</v>
      </c>
      <c r="X370" s="230">
        <f>операции!X445</f>
        <v>0.1</v>
      </c>
      <c r="Y370" s="230">
        <f>операции!Y445</f>
        <v>0.1</v>
      </c>
      <c r="Z370" s="230">
        <f>операции!Z445</f>
        <v>0.1</v>
      </c>
      <c r="AA370" s="230">
        <f>операции!AA445</f>
        <v>0.1</v>
      </c>
      <c r="AB370" s="3"/>
    </row>
    <row r="371" spans="1:28" ht="3.9" customHeight="1" x14ac:dyDescent="0.25">
      <c r="A371" s="2"/>
      <c r="B371" s="2"/>
      <c r="C371" s="2"/>
      <c r="D371" s="2"/>
      <c r="E371" s="122"/>
      <c r="F371" s="2"/>
      <c r="G371" s="2"/>
      <c r="H371" s="2"/>
      <c r="I371" s="28"/>
      <c r="J371" s="2"/>
      <c r="K371" s="28"/>
      <c r="L371" s="2"/>
      <c r="M371" s="52"/>
      <c r="N371" s="2"/>
      <c r="O371" s="2"/>
      <c r="P371" s="36"/>
      <c r="Q371" s="36"/>
      <c r="R371" s="36"/>
      <c r="S371" s="36"/>
      <c r="T371" s="36"/>
      <c r="U371" s="36"/>
      <c r="V371" s="36"/>
      <c r="W371" s="36"/>
      <c r="X371" s="36"/>
      <c r="Y371" s="36"/>
      <c r="Z371" s="36"/>
      <c r="AA371" s="36"/>
      <c r="AB371" s="2"/>
    </row>
    <row r="372" spans="1:28" x14ac:dyDescent="0.25">
      <c r="A372" s="2"/>
      <c r="B372" s="2"/>
      <c r="C372" s="2"/>
      <c r="D372" s="2"/>
      <c r="E372" s="2"/>
      <c r="F372" s="2"/>
      <c r="G372" s="2"/>
      <c r="H372" s="2"/>
      <c r="I372" s="28"/>
      <c r="J372" s="2"/>
      <c r="K372" s="28"/>
      <c r="L372" s="2"/>
      <c r="M372" s="52"/>
      <c r="N372" s="2"/>
      <c r="O372" s="2"/>
      <c r="P372" s="36"/>
      <c r="Q372" s="36"/>
      <c r="R372" s="36"/>
      <c r="S372" s="36"/>
      <c r="T372" s="36"/>
      <c r="U372" s="36"/>
      <c r="V372" s="36"/>
      <c r="W372" s="36"/>
      <c r="X372" s="36"/>
      <c r="Y372" s="36"/>
      <c r="Z372" s="36"/>
      <c r="AA372" s="36"/>
      <c r="AB372" s="2"/>
    </row>
    <row r="373" spans="1:28" ht="8.1" customHeight="1" x14ac:dyDescent="0.25">
      <c r="A373" s="2"/>
      <c r="B373" s="2"/>
      <c r="C373" s="2"/>
      <c r="D373" s="2"/>
      <c r="E373" s="2"/>
      <c r="F373" s="2"/>
      <c r="G373" s="2"/>
      <c r="H373" s="2"/>
      <c r="I373" s="28"/>
      <c r="J373" s="2"/>
      <c r="K373" s="28"/>
      <c r="L373" s="2"/>
      <c r="M373" s="52"/>
      <c r="N373" s="2"/>
      <c r="O373" s="2"/>
      <c r="P373" s="36"/>
      <c r="Q373" s="36"/>
      <c r="R373" s="36"/>
      <c r="S373" s="36"/>
      <c r="T373" s="36"/>
      <c r="U373" s="36"/>
      <c r="V373" s="36"/>
      <c r="W373" s="36"/>
      <c r="X373" s="36"/>
      <c r="Y373" s="36"/>
      <c r="Z373" s="36"/>
      <c r="AA373" s="36"/>
      <c r="AB373" s="2"/>
    </row>
    <row r="374" spans="1:28" s="5" customFormat="1" x14ac:dyDescent="0.25">
      <c r="A374" s="3"/>
      <c r="B374" s="3"/>
      <c r="C374" s="3"/>
      <c r="D374" s="148"/>
      <c r="E374" s="3" t="str">
        <f>KPI!$E$84</f>
        <v>амортизация кап/затрат</v>
      </c>
      <c r="F374" s="3"/>
      <c r="G374" s="3" t="str">
        <f>IF($E374="","",INDEX(KPI!$G:$G,SUMIFS(KPI!$B:$B,KPI!$E:$E,$E374)))</f>
        <v>тыс.руб.</v>
      </c>
      <c r="H374" s="103"/>
      <c r="I374" s="28"/>
      <c r="J374" s="44"/>
      <c r="K374" s="28"/>
      <c r="L374" s="3"/>
      <c r="M374" s="55">
        <f>SUM($O374:$AB374)</f>
        <v>14970.374840000004</v>
      </c>
      <c r="N374" s="3"/>
      <c r="O374" s="3"/>
      <c r="P374" s="46">
        <f>IF(P$1="",0,IF(P$1=0,SUMIFS(P375:P386,H375:H386,"&gt;="&amp;MONTH($J$13)),SUM(P375:P386)))</f>
        <v>2138.6249771428579</v>
      </c>
      <c r="Q374" s="46">
        <f t="shared" ref="Q374" si="90">IF(Q$1="",0,SUM(Q375:Q386))</f>
        <v>2138.6249771428579</v>
      </c>
      <c r="R374" s="46">
        <f t="shared" ref="R374:AA374" si="91">IF(R$1="",0,SUM(R375:R386))</f>
        <v>2138.6249771428579</v>
      </c>
      <c r="S374" s="46">
        <f t="shared" si="91"/>
        <v>2138.6249771428579</v>
      </c>
      <c r="T374" s="46">
        <f t="shared" si="91"/>
        <v>2138.6249771428579</v>
      </c>
      <c r="U374" s="46">
        <f t="shared" si="91"/>
        <v>2138.6249771428579</v>
      </c>
      <c r="V374" s="46">
        <f t="shared" si="91"/>
        <v>2138.6249771428579</v>
      </c>
      <c r="W374" s="46">
        <f t="shared" si="91"/>
        <v>0</v>
      </c>
      <c r="X374" s="46">
        <f t="shared" si="91"/>
        <v>0</v>
      </c>
      <c r="Y374" s="46">
        <f t="shared" si="91"/>
        <v>0</v>
      </c>
      <c r="Z374" s="46">
        <f t="shared" si="91"/>
        <v>0</v>
      </c>
      <c r="AA374" s="46">
        <f t="shared" si="91"/>
        <v>0</v>
      </c>
      <c r="AB374" s="3"/>
    </row>
    <row r="375" spans="1:28" s="23" customFormat="1" ht="10.199999999999999" x14ac:dyDescent="0.2">
      <c r="A375" s="22"/>
      <c r="B375" s="22"/>
      <c r="C375" s="22"/>
      <c r="D375" s="22"/>
      <c r="E375" s="22" t="str">
        <f>E374</f>
        <v>амортизация кап/затрат</v>
      </c>
      <c r="F375" s="22"/>
      <c r="G375" s="22" t="str">
        <f>IF($E375="","",INDEX(KPI!$G:$G,SUMIFS(KPI!$B:$B,KPI!$E:$E,$E375)))</f>
        <v>тыс.руб.</v>
      </c>
      <c r="H375" s="100">
        <f>структура!$V$12</f>
        <v>1</v>
      </c>
      <c r="I375" s="31"/>
      <c r="J375" s="98" t="str">
        <f>структура!$X$12</f>
        <v>янв</v>
      </c>
      <c r="K375" s="99"/>
      <c r="L375" s="22"/>
      <c r="M375" s="58"/>
      <c r="N375" s="22"/>
      <c r="O375" s="22"/>
      <c r="P375" s="101">
        <f>IF(P$1="",0,IF(AND(P$1=0,$H375&lt;MONTH($J$13)),0,IF(((YEAR(P$8)-1)*12+$H375)-((YEAR($J$13)-1)*12+MONTH($J$13))+1&gt;капитал!$J$105*12,0,IF(капитал!$J$105=0,0,капитал!$M$102/(капитал!$J$105*12)))))</f>
        <v>178.21874809523811</v>
      </c>
      <c r="Q375" s="101">
        <f>IF(Q$1="",0,IF(AND(Q$1=0,$H375&lt;MONTH($J$13)),0,IF(((YEAR(Q$8)-1)*12+$H375)-((YEAR($J$13)-1)*12+MONTH($J$13))+1&gt;капитал!$J$105*12,0,IF(капитал!$J$105=0,0,капитал!$M$102/(капитал!$J$105*12)))))</f>
        <v>178.21874809523811</v>
      </c>
      <c r="R375" s="101">
        <f>IF(R$1="",0,IF(AND(R$1=0,$H375&lt;MONTH($J$13)),0,IF(((YEAR(R$8)-1)*12+$H375)-((YEAR($J$13)-1)*12+MONTH($J$13))+1&gt;капитал!$J$105*12,0,IF(капитал!$J$105=0,0,капитал!$M$102/(капитал!$J$105*12)))))</f>
        <v>178.21874809523811</v>
      </c>
      <c r="S375" s="101">
        <f>IF(S$1="",0,IF(AND(S$1=0,$H375&lt;MONTH($J$13)),0,IF(((YEAR(S$8)-1)*12+$H375)-((YEAR($J$13)-1)*12+MONTH($J$13))+1&gt;капитал!$J$105*12,0,IF(капитал!$J$105=0,0,капитал!$M$102/(капитал!$J$105*12)))))</f>
        <v>178.21874809523811</v>
      </c>
      <c r="T375" s="101">
        <f>IF(T$1="",0,IF(AND(T$1=0,$H375&lt;MONTH($J$13)),0,IF(((YEAR(T$8)-1)*12+$H375)-((YEAR($J$13)-1)*12+MONTH($J$13))+1&gt;капитал!$J$105*12,0,IF(капитал!$J$105=0,0,капитал!$M$102/(капитал!$J$105*12)))))</f>
        <v>178.21874809523811</v>
      </c>
      <c r="U375" s="101">
        <f>IF(U$1="",0,IF(AND(U$1=0,$H375&lt;MONTH($J$13)),0,IF(((YEAR(U$8)-1)*12+$H375)-((YEAR($J$13)-1)*12+MONTH($J$13))+1&gt;капитал!$J$105*12,0,IF(капитал!$J$105=0,0,капитал!$M$102/(капитал!$J$105*12)))))</f>
        <v>178.21874809523811</v>
      </c>
      <c r="V375" s="101">
        <f>IF(V$1="",0,IF(AND(V$1=0,$H375&lt;MONTH($J$13)),0,IF(((YEAR(V$8)-1)*12+$H375)-((YEAR($J$13)-1)*12+MONTH($J$13))+1&gt;капитал!$J$105*12,0,IF(капитал!$J$105=0,0,капитал!$M$102/(капитал!$J$105*12)))))</f>
        <v>178.21874809523811</v>
      </c>
      <c r="W375" s="101">
        <f>IF(W$1="",0,IF(AND(W$1=0,$H375&lt;MONTH($J$13)),0,IF(((YEAR(W$8)-1)*12+$H375)-((YEAR($J$13)-1)*12+MONTH($J$13))+1&gt;капитал!$J$105*12,0,IF(капитал!$J$105=0,0,капитал!$M$102/(капитал!$J$105*12)))))</f>
        <v>0</v>
      </c>
      <c r="X375" s="101">
        <f>IF(X$1="",0,IF(AND(X$1=0,$H375&lt;MONTH($J$13)),0,IF(((YEAR(X$8)-1)*12+$H375)-((YEAR($J$13)-1)*12+MONTH($J$13))+1&gt;капитал!$J$105*12,0,IF(капитал!$J$105=0,0,капитал!$M$102/(капитал!$J$105*12)))))</f>
        <v>0</v>
      </c>
      <c r="Y375" s="101">
        <f>IF(Y$1="",0,IF(AND(Y$1=0,$H375&lt;MONTH($J$13)),0,IF(((YEAR(Y$8)-1)*12+$H375)-((YEAR($J$13)-1)*12+MONTH($J$13))+1&gt;капитал!$J$105*12,0,IF(капитал!$J$105=0,0,капитал!$M$102/(капитал!$J$105*12)))))</f>
        <v>0</v>
      </c>
      <c r="Z375" s="101">
        <f>IF(Z$1="",0,IF(AND(Z$1=0,$H375&lt;MONTH($J$13)),0,IF(((YEAR(Z$8)-1)*12+$H375)-((YEAR($J$13)-1)*12+MONTH($J$13))+1&gt;капитал!$J$105*12,0,IF(капитал!$J$105=0,0,капитал!$M$102/(капитал!$J$105*12)))))</f>
        <v>0</v>
      </c>
      <c r="AA375" s="101">
        <f>IF(AA$1="",0,IF(AND(AA$1=0,$H375&lt;MONTH($J$13)),0,IF(((YEAR(AA$8)-1)*12+$H375)-((YEAR($J$13)-1)*12+MONTH($J$13))+1&gt;капитал!$J$105*12,0,IF(капитал!$J$105=0,0,капитал!$M$102/(капитал!$J$105*12)))))</f>
        <v>0</v>
      </c>
      <c r="AB375" s="22"/>
    </row>
    <row r="376" spans="1:28" s="23" customFormat="1" ht="10.199999999999999" x14ac:dyDescent="0.2">
      <c r="A376" s="22"/>
      <c r="B376" s="22"/>
      <c r="C376" s="22"/>
      <c r="D376" s="22"/>
      <c r="E376" s="22" t="str">
        <f>E374</f>
        <v>амортизация кап/затрат</v>
      </c>
      <c r="F376" s="22"/>
      <c r="G376" s="22" t="str">
        <f>IF($E376="","",INDEX(KPI!$G:$G,SUMIFS(KPI!$B:$B,KPI!$E:$E,$E376)))</f>
        <v>тыс.руб.</v>
      </c>
      <c r="H376" s="100">
        <f>структура!$V$13</f>
        <v>2</v>
      </c>
      <c r="I376" s="31"/>
      <c r="J376" s="98" t="str">
        <f>структура!$X$13</f>
        <v>фев</v>
      </c>
      <c r="K376" s="99"/>
      <c r="L376" s="22"/>
      <c r="M376" s="58"/>
      <c r="N376" s="22"/>
      <c r="O376" s="22"/>
      <c r="P376" s="101">
        <f>IF(P$1="",0,IF(AND(P$1=0,$H376&lt;MONTH($J$13)),0,IF(((YEAR(P$8)-1)*12+$H376)-((YEAR($J$13)-1)*12+MONTH($J$13))+1&gt;капитал!$J$105*12,0,IF(капитал!$J$105=0,0,капитал!$M$102/(капитал!$J$105*12)))))</f>
        <v>178.21874809523811</v>
      </c>
      <c r="Q376" s="101">
        <f>IF(Q$1="",0,IF(AND(Q$1=0,$H376&lt;MONTH($J$13)),0,IF(((YEAR(Q$8)-1)*12+$H376)-((YEAR($J$13)-1)*12+MONTH($J$13))+1&gt;капитал!$J$105*12,0,IF(капитал!$J$105=0,0,капитал!$M$102/(капитал!$J$105*12)))))</f>
        <v>178.21874809523811</v>
      </c>
      <c r="R376" s="101">
        <f>IF(R$1="",0,IF(AND(R$1=0,$H376&lt;MONTH($J$13)),0,IF(((YEAR(R$8)-1)*12+$H376)-((YEAR($J$13)-1)*12+MONTH($J$13))+1&gt;капитал!$J$105*12,0,IF(капитал!$J$105=0,0,капитал!$M$102/(капитал!$J$105*12)))))</f>
        <v>178.21874809523811</v>
      </c>
      <c r="S376" s="101">
        <f>IF(S$1="",0,IF(AND(S$1=0,$H376&lt;MONTH($J$13)),0,IF(((YEAR(S$8)-1)*12+$H376)-((YEAR($J$13)-1)*12+MONTH($J$13))+1&gt;капитал!$J$105*12,0,IF(капитал!$J$105=0,0,капитал!$M$102/(капитал!$J$105*12)))))</f>
        <v>178.21874809523811</v>
      </c>
      <c r="T376" s="101">
        <f>IF(T$1="",0,IF(AND(T$1=0,$H376&lt;MONTH($J$13)),0,IF(((YEAR(T$8)-1)*12+$H376)-((YEAR($J$13)-1)*12+MONTH($J$13))+1&gt;капитал!$J$105*12,0,IF(капитал!$J$105=0,0,капитал!$M$102/(капитал!$J$105*12)))))</f>
        <v>178.21874809523811</v>
      </c>
      <c r="U376" s="101">
        <f>IF(U$1="",0,IF(AND(U$1=0,$H376&lt;MONTH($J$13)),0,IF(((YEAR(U$8)-1)*12+$H376)-((YEAR($J$13)-1)*12+MONTH($J$13))+1&gt;капитал!$J$105*12,0,IF(капитал!$J$105=0,0,капитал!$M$102/(капитал!$J$105*12)))))</f>
        <v>178.21874809523811</v>
      </c>
      <c r="V376" s="101">
        <f>IF(V$1="",0,IF(AND(V$1=0,$H376&lt;MONTH($J$13)),0,IF(((YEAR(V$8)-1)*12+$H376)-((YEAR($J$13)-1)*12+MONTH($J$13))+1&gt;капитал!$J$105*12,0,IF(капитал!$J$105=0,0,капитал!$M$102/(капитал!$J$105*12)))))</f>
        <v>178.21874809523811</v>
      </c>
      <c r="W376" s="101">
        <f>IF(W$1="",0,IF(AND(W$1=0,$H376&lt;MONTH($J$13)),0,IF(((YEAR(W$8)-1)*12+$H376)-((YEAR($J$13)-1)*12+MONTH($J$13))+1&gt;капитал!$J$105*12,0,IF(капитал!$J$105=0,0,капитал!$M$102/(капитал!$J$105*12)))))</f>
        <v>0</v>
      </c>
      <c r="X376" s="101">
        <f>IF(X$1="",0,IF(AND(X$1=0,$H376&lt;MONTH($J$13)),0,IF(((YEAR(X$8)-1)*12+$H376)-((YEAR($J$13)-1)*12+MONTH($J$13))+1&gt;капитал!$J$105*12,0,IF(капитал!$J$105=0,0,капитал!$M$102/(капитал!$J$105*12)))))</f>
        <v>0</v>
      </c>
      <c r="Y376" s="101">
        <f>IF(Y$1="",0,IF(AND(Y$1=0,$H376&lt;MONTH($J$13)),0,IF(((YEAR(Y$8)-1)*12+$H376)-((YEAR($J$13)-1)*12+MONTH($J$13))+1&gt;капитал!$J$105*12,0,IF(капитал!$J$105=0,0,капитал!$M$102/(капитал!$J$105*12)))))</f>
        <v>0</v>
      </c>
      <c r="Z376" s="101">
        <f>IF(Z$1="",0,IF(AND(Z$1=0,$H376&lt;MONTH($J$13)),0,IF(((YEAR(Z$8)-1)*12+$H376)-((YEAR($J$13)-1)*12+MONTH($J$13))+1&gt;капитал!$J$105*12,0,IF(капитал!$J$105=0,0,капитал!$M$102/(капитал!$J$105*12)))))</f>
        <v>0</v>
      </c>
      <c r="AA376" s="101">
        <f>IF(AA$1="",0,IF(AND(AA$1=0,$H376&lt;MONTH($J$13)),0,IF(((YEAR(AA$8)-1)*12+$H376)-((YEAR($J$13)-1)*12+MONTH($J$13))+1&gt;капитал!$J$105*12,0,IF(капитал!$J$105=0,0,капитал!$M$102/(капитал!$J$105*12)))))</f>
        <v>0</v>
      </c>
      <c r="AB376" s="22"/>
    </row>
    <row r="377" spans="1:28" s="23" customFormat="1" ht="10.199999999999999" x14ac:dyDescent="0.2">
      <c r="A377" s="22"/>
      <c r="B377" s="22"/>
      <c r="C377" s="22"/>
      <c r="D377" s="22"/>
      <c r="E377" s="22" t="str">
        <f>E374</f>
        <v>амортизация кап/затрат</v>
      </c>
      <c r="F377" s="22"/>
      <c r="G377" s="22" t="str">
        <f>IF($E377="","",INDEX(KPI!$G:$G,SUMIFS(KPI!$B:$B,KPI!$E:$E,$E377)))</f>
        <v>тыс.руб.</v>
      </c>
      <c r="H377" s="100">
        <f>структура!$V$14</f>
        <v>3</v>
      </c>
      <c r="I377" s="31"/>
      <c r="J377" s="98" t="str">
        <f>структура!$X$14</f>
        <v>мар</v>
      </c>
      <c r="K377" s="99"/>
      <c r="L377" s="22"/>
      <c r="M377" s="58"/>
      <c r="N377" s="22"/>
      <c r="O377" s="22"/>
      <c r="P377" s="101">
        <f>IF(P$1="",0,IF(AND(P$1=0,$H377&lt;MONTH($J$13)),0,IF(((YEAR(P$8)-1)*12+$H377)-((YEAR($J$13)-1)*12+MONTH($J$13))+1&gt;капитал!$J$105*12,0,IF(капитал!$J$105=0,0,капитал!$M$102/(капитал!$J$105*12)))))</f>
        <v>178.21874809523811</v>
      </c>
      <c r="Q377" s="101">
        <f>IF(Q$1="",0,IF(AND(Q$1=0,$H377&lt;MONTH($J$13)),0,IF(((YEAR(Q$8)-1)*12+$H377)-((YEAR($J$13)-1)*12+MONTH($J$13))+1&gt;капитал!$J$105*12,0,IF(капитал!$J$105=0,0,капитал!$M$102/(капитал!$J$105*12)))))</f>
        <v>178.21874809523811</v>
      </c>
      <c r="R377" s="101">
        <f>IF(R$1="",0,IF(AND(R$1=0,$H377&lt;MONTH($J$13)),0,IF(((YEAR(R$8)-1)*12+$H377)-((YEAR($J$13)-1)*12+MONTH($J$13))+1&gt;капитал!$J$105*12,0,IF(капитал!$J$105=0,0,капитал!$M$102/(капитал!$J$105*12)))))</f>
        <v>178.21874809523811</v>
      </c>
      <c r="S377" s="101">
        <f>IF(S$1="",0,IF(AND(S$1=0,$H377&lt;MONTH($J$13)),0,IF(((YEAR(S$8)-1)*12+$H377)-((YEAR($J$13)-1)*12+MONTH($J$13))+1&gt;капитал!$J$105*12,0,IF(капитал!$J$105=0,0,капитал!$M$102/(капитал!$J$105*12)))))</f>
        <v>178.21874809523811</v>
      </c>
      <c r="T377" s="101">
        <f>IF(T$1="",0,IF(AND(T$1=0,$H377&lt;MONTH($J$13)),0,IF(((YEAR(T$8)-1)*12+$H377)-((YEAR($J$13)-1)*12+MONTH($J$13))+1&gt;капитал!$J$105*12,0,IF(капитал!$J$105=0,0,капитал!$M$102/(капитал!$J$105*12)))))</f>
        <v>178.21874809523811</v>
      </c>
      <c r="U377" s="101">
        <f>IF(U$1="",0,IF(AND(U$1=0,$H377&lt;MONTH($J$13)),0,IF(((YEAR(U$8)-1)*12+$H377)-((YEAR($J$13)-1)*12+MONTH($J$13))+1&gt;капитал!$J$105*12,0,IF(капитал!$J$105=0,0,капитал!$M$102/(капитал!$J$105*12)))))</f>
        <v>178.21874809523811</v>
      </c>
      <c r="V377" s="101">
        <f>IF(V$1="",0,IF(AND(V$1=0,$H377&lt;MONTH($J$13)),0,IF(((YEAR(V$8)-1)*12+$H377)-((YEAR($J$13)-1)*12+MONTH($J$13))+1&gt;капитал!$J$105*12,0,IF(капитал!$J$105=0,0,капитал!$M$102/(капитал!$J$105*12)))))</f>
        <v>178.21874809523811</v>
      </c>
      <c r="W377" s="101">
        <f>IF(W$1="",0,IF(AND(W$1=0,$H377&lt;MONTH($J$13)),0,IF(((YEAR(W$8)-1)*12+$H377)-((YEAR($J$13)-1)*12+MONTH($J$13))+1&gt;капитал!$J$105*12,0,IF(капитал!$J$105=0,0,капитал!$M$102/(капитал!$J$105*12)))))</f>
        <v>0</v>
      </c>
      <c r="X377" s="101">
        <f>IF(X$1="",0,IF(AND(X$1=0,$H377&lt;MONTH($J$13)),0,IF(((YEAR(X$8)-1)*12+$H377)-((YEAR($J$13)-1)*12+MONTH($J$13))+1&gt;капитал!$J$105*12,0,IF(капитал!$J$105=0,0,капитал!$M$102/(капитал!$J$105*12)))))</f>
        <v>0</v>
      </c>
      <c r="Y377" s="101">
        <f>IF(Y$1="",0,IF(AND(Y$1=0,$H377&lt;MONTH($J$13)),0,IF(((YEAR(Y$8)-1)*12+$H377)-((YEAR($J$13)-1)*12+MONTH($J$13))+1&gt;капитал!$J$105*12,0,IF(капитал!$J$105=0,0,капитал!$M$102/(капитал!$J$105*12)))))</f>
        <v>0</v>
      </c>
      <c r="Z377" s="101">
        <f>IF(Z$1="",0,IF(AND(Z$1=0,$H377&lt;MONTH($J$13)),0,IF(((YEAR(Z$8)-1)*12+$H377)-((YEAR($J$13)-1)*12+MONTH($J$13))+1&gt;капитал!$J$105*12,0,IF(капитал!$J$105=0,0,капитал!$M$102/(капитал!$J$105*12)))))</f>
        <v>0</v>
      </c>
      <c r="AA377" s="101">
        <f>IF(AA$1="",0,IF(AND(AA$1=0,$H377&lt;MONTH($J$13)),0,IF(((YEAR(AA$8)-1)*12+$H377)-((YEAR($J$13)-1)*12+MONTH($J$13))+1&gt;капитал!$J$105*12,0,IF(капитал!$J$105=0,0,капитал!$M$102/(капитал!$J$105*12)))))</f>
        <v>0</v>
      </c>
      <c r="AB377" s="22"/>
    </row>
    <row r="378" spans="1:28" s="23" customFormat="1" ht="10.199999999999999" x14ac:dyDescent="0.2">
      <c r="A378" s="22"/>
      <c r="B378" s="22"/>
      <c r="C378" s="22"/>
      <c r="D378" s="22"/>
      <c r="E378" s="22" t="str">
        <f>E374</f>
        <v>амортизация кап/затрат</v>
      </c>
      <c r="F378" s="22"/>
      <c r="G378" s="22" t="str">
        <f>IF($E378="","",INDEX(KPI!$G:$G,SUMIFS(KPI!$B:$B,KPI!$E:$E,$E378)))</f>
        <v>тыс.руб.</v>
      </c>
      <c r="H378" s="100">
        <f>структура!$V$15</f>
        <v>4</v>
      </c>
      <c r="I378" s="31"/>
      <c r="J378" s="98" t="str">
        <f>структура!$X$15</f>
        <v>апр</v>
      </c>
      <c r="K378" s="99"/>
      <c r="L378" s="22"/>
      <c r="M378" s="58"/>
      <c r="N378" s="22"/>
      <c r="O378" s="22"/>
      <c r="P378" s="101">
        <f>IF(P$1="",0,IF(AND(P$1=0,$H378&lt;MONTH($J$13)),0,IF(((YEAR(P$8)-1)*12+$H378)-((YEAR($J$13)-1)*12+MONTH($J$13))+1&gt;капитал!$J$105*12,0,IF(капитал!$J$105=0,0,капитал!$M$102/(капитал!$J$105*12)))))</f>
        <v>178.21874809523811</v>
      </c>
      <c r="Q378" s="101">
        <f>IF(Q$1="",0,IF(AND(Q$1=0,$H378&lt;MONTH($J$13)),0,IF(((YEAR(Q$8)-1)*12+$H378)-((YEAR($J$13)-1)*12+MONTH($J$13))+1&gt;капитал!$J$105*12,0,IF(капитал!$J$105=0,0,капитал!$M$102/(капитал!$J$105*12)))))</f>
        <v>178.21874809523811</v>
      </c>
      <c r="R378" s="101">
        <f>IF(R$1="",0,IF(AND(R$1=0,$H378&lt;MONTH($J$13)),0,IF(((YEAR(R$8)-1)*12+$H378)-((YEAR($J$13)-1)*12+MONTH($J$13))+1&gt;капитал!$J$105*12,0,IF(капитал!$J$105=0,0,капитал!$M$102/(капитал!$J$105*12)))))</f>
        <v>178.21874809523811</v>
      </c>
      <c r="S378" s="101">
        <f>IF(S$1="",0,IF(AND(S$1=0,$H378&lt;MONTH($J$13)),0,IF(((YEAR(S$8)-1)*12+$H378)-((YEAR($J$13)-1)*12+MONTH($J$13))+1&gt;капитал!$J$105*12,0,IF(капитал!$J$105=0,0,капитал!$M$102/(капитал!$J$105*12)))))</f>
        <v>178.21874809523811</v>
      </c>
      <c r="T378" s="101">
        <f>IF(T$1="",0,IF(AND(T$1=0,$H378&lt;MONTH($J$13)),0,IF(((YEAR(T$8)-1)*12+$H378)-((YEAR($J$13)-1)*12+MONTH($J$13))+1&gt;капитал!$J$105*12,0,IF(капитал!$J$105=0,0,капитал!$M$102/(капитал!$J$105*12)))))</f>
        <v>178.21874809523811</v>
      </c>
      <c r="U378" s="101">
        <f>IF(U$1="",0,IF(AND(U$1=0,$H378&lt;MONTH($J$13)),0,IF(((YEAR(U$8)-1)*12+$H378)-((YEAR($J$13)-1)*12+MONTH($J$13))+1&gt;капитал!$J$105*12,0,IF(капитал!$J$105=0,0,капитал!$M$102/(капитал!$J$105*12)))))</f>
        <v>178.21874809523811</v>
      </c>
      <c r="V378" s="101">
        <f>IF(V$1="",0,IF(AND(V$1=0,$H378&lt;MONTH($J$13)),0,IF(((YEAR(V$8)-1)*12+$H378)-((YEAR($J$13)-1)*12+MONTH($J$13))+1&gt;капитал!$J$105*12,0,IF(капитал!$J$105=0,0,капитал!$M$102/(капитал!$J$105*12)))))</f>
        <v>178.21874809523811</v>
      </c>
      <c r="W378" s="101">
        <f>IF(W$1="",0,IF(AND(W$1=0,$H378&lt;MONTH($J$13)),0,IF(((YEAR(W$8)-1)*12+$H378)-((YEAR($J$13)-1)*12+MONTH($J$13))+1&gt;капитал!$J$105*12,0,IF(капитал!$J$105=0,0,капитал!$M$102/(капитал!$J$105*12)))))</f>
        <v>0</v>
      </c>
      <c r="X378" s="101">
        <f>IF(X$1="",0,IF(AND(X$1=0,$H378&lt;MONTH($J$13)),0,IF(((YEAR(X$8)-1)*12+$H378)-((YEAR($J$13)-1)*12+MONTH($J$13))+1&gt;капитал!$J$105*12,0,IF(капитал!$J$105=0,0,капитал!$M$102/(капитал!$J$105*12)))))</f>
        <v>0</v>
      </c>
      <c r="Y378" s="101">
        <f>IF(Y$1="",0,IF(AND(Y$1=0,$H378&lt;MONTH($J$13)),0,IF(((YEAR(Y$8)-1)*12+$H378)-((YEAR($J$13)-1)*12+MONTH($J$13))+1&gt;капитал!$J$105*12,0,IF(капитал!$J$105=0,0,капитал!$M$102/(капитал!$J$105*12)))))</f>
        <v>0</v>
      </c>
      <c r="Z378" s="101">
        <f>IF(Z$1="",0,IF(AND(Z$1=0,$H378&lt;MONTH($J$13)),0,IF(((YEAR(Z$8)-1)*12+$H378)-((YEAR($J$13)-1)*12+MONTH($J$13))+1&gt;капитал!$J$105*12,0,IF(капитал!$J$105=0,0,капитал!$M$102/(капитал!$J$105*12)))))</f>
        <v>0</v>
      </c>
      <c r="AA378" s="101">
        <f>IF(AA$1="",0,IF(AND(AA$1=0,$H378&lt;MONTH($J$13)),0,IF(((YEAR(AA$8)-1)*12+$H378)-((YEAR($J$13)-1)*12+MONTH($J$13))+1&gt;капитал!$J$105*12,0,IF(капитал!$J$105=0,0,капитал!$M$102/(капитал!$J$105*12)))))</f>
        <v>0</v>
      </c>
      <c r="AB378" s="22"/>
    </row>
    <row r="379" spans="1:28" s="23" customFormat="1" ht="10.199999999999999" x14ac:dyDescent="0.2">
      <c r="A379" s="22"/>
      <c r="B379" s="22"/>
      <c r="C379" s="22"/>
      <c r="D379" s="22"/>
      <c r="E379" s="22" t="str">
        <f>E374</f>
        <v>амортизация кап/затрат</v>
      </c>
      <c r="F379" s="22"/>
      <c r="G379" s="22" t="str">
        <f>IF($E379="","",INDEX(KPI!$G:$G,SUMIFS(KPI!$B:$B,KPI!$E:$E,$E379)))</f>
        <v>тыс.руб.</v>
      </c>
      <c r="H379" s="100">
        <f>структура!$V$16</f>
        <v>5</v>
      </c>
      <c r="I379" s="31"/>
      <c r="J379" s="98" t="str">
        <f>структура!$X$16</f>
        <v>май</v>
      </c>
      <c r="K379" s="99"/>
      <c r="L379" s="22"/>
      <c r="M379" s="58"/>
      <c r="N379" s="22"/>
      <c r="O379" s="22"/>
      <c r="P379" s="101">
        <f>IF(P$1="",0,IF(AND(P$1=0,$H379&lt;MONTH($J$13)),0,IF(((YEAR(P$8)-1)*12+$H379)-((YEAR($J$13)-1)*12+MONTH($J$13))+1&gt;капитал!$J$105*12,0,IF(капитал!$J$105=0,0,капитал!$M$102/(капитал!$J$105*12)))))</f>
        <v>178.21874809523811</v>
      </c>
      <c r="Q379" s="101">
        <f>IF(Q$1="",0,IF(AND(Q$1=0,$H379&lt;MONTH($J$13)),0,IF(((YEAR(Q$8)-1)*12+$H379)-((YEAR($J$13)-1)*12+MONTH($J$13))+1&gt;капитал!$J$105*12,0,IF(капитал!$J$105=0,0,капитал!$M$102/(капитал!$J$105*12)))))</f>
        <v>178.21874809523811</v>
      </c>
      <c r="R379" s="101">
        <f>IF(R$1="",0,IF(AND(R$1=0,$H379&lt;MONTH($J$13)),0,IF(((YEAR(R$8)-1)*12+$H379)-((YEAR($J$13)-1)*12+MONTH($J$13))+1&gt;капитал!$J$105*12,0,IF(капитал!$J$105=0,0,капитал!$M$102/(капитал!$J$105*12)))))</f>
        <v>178.21874809523811</v>
      </c>
      <c r="S379" s="101">
        <f>IF(S$1="",0,IF(AND(S$1=0,$H379&lt;MONTH($J$13)),0,IF(((YEAR(S$8)-1)*12+$H379)-((YEAR($J$13)-1)*12+MONTH($J$13))+1&gt;капитал!$J$105*12,0,IF(капитал!$J$105=0,0,капитал!$M$102/(капитал!$J$105*12)))))</f>
        <v>178.21874809523811</v>
      </c>
      <c r="T379" s="101">
        <f>IF(T$1="",0,IF(AND(T$1=0,$H379&lt;MONTH($J$13)),0,IF(((YEAR(T$8)-1)*12+$H379)-((YEAR($J$13)-1)*12+MONTH($J$13))+1&gt;капитал!$J$105*12,0,IF(капитал!$J$105=0,0,капитал!$M$102/(капитал!$J$105*12)))))</f>
        <v>178.21874809523811</v>
      </c>
      <c r="U379" s="101">
        <f>IF(U$1="",0,IF(AND(U$1=0,$H379&lt;MONTH($J$13)),0,IF(((YEAR(U$8)-1)*12+$H379)-((YEAR($J$13)-1)*12+MONTH($J$13))+1&gt;капитал!$J$105*12,0,IF(капитал!$J$105=0,0,капитал!$M$102/(капитал!$J$105*12)))))</f>
        <v>178.21874809523811</v>
      </c>
      <c r="V379" s="101">
        <f>IF(V$1="",0,IF(AND(V$1=0,$H379&lt;MONTH($J$13)),0,IF(((YEAR(V$8)-1)*12+$H379)-((YEAR($J$13)-1)*12+MONTH($J$13))+1&gt;капитал!$J$105*12,0,IF(капитал!$J$105=0,0,капитал!$M$102/(капитал!$J$105*12)))))</f>
        <v>178.21874809523811</v>
      </c>
      <c r="W379" s="101">
        <f>IF(W$1="",0,IF(AND(W$1=0,$H379&lt;MONTH($J$13)),0,IF(((YEAR(W$8)-1)*12+$H379)-((YEAR($J$13)-1)*12+MONTH($J$13))+1&gt;капитал!$J$105*12,0,IF(капитал!$J$105=0,0,капитал!$M$102/(капитал!$J$105*12)))))</f>
        <v>0</v>
      </c>
      <c r="X379" s="101">
        <f>IF(X$1="",0,IF(AND(X$1=0,$H379&lt;MONTH($J$13)),0,IF(((YEAR(X$8)-1)*12+$H379)-((YEAR($J$13)-1)*12+MONTH($J$13))+1&gt;капитал!$J$105*12,0,IF(капитал!$J$105=0,0,капитал!$M$102/(капитал!$J$105*12)))))</f>
        <v>0</v>
      </c>
      <c r="Y379" s="101">
        <f>IF(Y$1="",0,IF(AND(Y$1=0,$H379&lt;MONTH($J$13)),0,IF(((YEAR(Y$8)-1)*12+$H379)-((YEAR($J$13)-1)*12+MONTH($J$13))+1&gt;капитал!$J$105*12,0,IF(капитал!$J$105=0,0,капитал!$M$102/(капитал!$J$105*12)))))</f>
        <v>0</v>
      </c>
      <c r="Z379" s="101">
        <f>IF(Z$1="",0,IF(AND(Z$1=0,$H379&lt;MONTH($J$13)),0,IF(((YEAR(Z$8)-1)*12+$H379)-((YEAR($J$13)-1)*12+MONTH($J$13))+1&gt;капитал!$J$105*12,0,IF(капитал!$J$105=0,0,капитал!$M$102/(капитал!$J$105*12)))))</f>
        <v>0</v>
      </c>
      <c r="AA379" s="101">
        <f>IF(AA$1="",0,IF(AND(AA$1=0,$H379&lt;MONTH($J$13)),0,IF(((YEAR(AA$8)-1)*12+$H379)-((YEAR($J$13)-1)*12+MONTH($J$13))+1&gt;капитал!$J$105*12,0,IF(капитал!$J$105=0,0,капитал!$M$102/(капитал!$J$105*12)))))</f>
        <v>0</v>
      </c>
      <c r="AB379" s="22"/>
    </row>
    <row r="380" spans="1:28" s="23" customFormat="1" ht="10.199999999999999" x14ac:dyDescent="0.2">
      <c r="A380" s="22"/>
      <c r="B380" s="22"/>
      <c r="C380" s="22"/>
      <c r="D380" s="22"/>
      <c r="E380" s="22" t="str">
        <f>E374</f>
        <v>амортизация кап/затрат</v>
      </c>
      <c r="F380" s="22"/>
      <c r="G380" s="22" t="str">
        <f>IF($E380="","",INDEX(KPI!$G:$G,SUMIFS(KPI!$B:$B,KPI!$E:$E,$E380)))</f>
        <v>тыс.руб.</v>
      </c>
      <c r="H380" s="100">
        <f>структура!$V$17</f>
        <v>6</v>
      </c>
      <c r="I380" s="31"/>
      <c r="J380" s="98" t="str">
        <f>структура!$X$17</f>
        <v>июн</v>
      </c>
      <c r="K380" s="99"/>
      <c r="L380" s="22"/>
      <c r="M380" s="58"/>
      <c r="N380" s="22"/>
      <c r="O380" s="22"/>
      <c r="P380" s="101">
        <f>IF(P$1="",0,IF(AND(P$1=0,$H380&lt;MONTH($J$13)),0,IF(((YEAR(P$8)-1)*12+$H380)-((YEAR($J$13)-1)*12+MONTH($J$13))+1&gt;капитал!$J$105*12,0,IF(капитал!$J$105=0,0,капитал!$M$102/(капитал!$J$105*12)))))</f>
        <v>178.21874809523811</v>
      </c>
      <c r="Q380" s="101">
        <f>IF(Q$1="",0,IF(AND(Q$1=0,$H380&lt;MONTH($J$13)),0,IF(((YEAR(Q$8)-1)*12+$H380)-((YEAR($J$13)-1)*12+MONTH($J$13))+1&gt;капитал!$J$105*12,0,IF(капитал!$J$105=0,0,капитал!$M$102/(капитал!$J$105*12)))))</f>
        <v>178.21874809523811</v>
      </c>
      <c r="R380" s="101">
        <f>IF(R$1="",0,IF(AND(R$1=0,$H380&lt;MONTH($J$13)),0,IF(((YEAR(R$8)-1)*12+$H380)-((YEAR($J$13)-1)*12+MONTH($J$13))+1&gt;капитал!$J$105*12,0,IF(капитал!$J$105=0,0,капитал!$M$102/(капитал!$J$105*12)))))</f>
        <v>178.21874809523811</v>
      </c>
      <c r="S380" s="101">
        <f>IF(S$1="",0,IF(AND(S$1=0,$H380&lt;MONTH($J$13)),0,IF(((YEAR(S$8)-1)*12+$H380)-((YEAR($J$13)-1)*12+MONTH($J$13))+1&gt;капитал!$J$105*12,0,IF(капитал!$J$105=0,0,капитал!$M$102/(капитал!$J$105*12)))))</f>
        <v>178.21874809523811</v>
      </c>
      <c r="T380" s="101">
        <f>IF(T$1="",0,IF(AND(T$1=0,$H380&lt;MONTH($J$13)),0,IF(((YEAR(T$8)-1)*12+$H380)-((YEAR($J$13)-1)*12+MONTH($J$13))+1&gt;капитал!$J$105*12,0,IF(капитал!$J$105=0,0,капитал!$M$102/(капитал!$J$105*12)))))</f>
        <v>178.21874809523811</v>
      </c>
      <c r="U380" s="101">
        <f>IF(U$1="",0,IF(AND(U$1=0,$H380&lt;MONTH($J$13)),0,IF(((YEAR(U$8)-1)*12+$H380)-((YEAR($J$13)-1)*12+MONTH($J$13))+1&gt;капитал!$J$105*12,0,IF(капитал!$J$105=0,0,капитал!$M$102/(капитал!$J$105*12)))))</f>
        <v>178.21874809523811</v>
      </c>
      <c r="V380" s="101">
        <f>IF(V$1="",0,IF(AND(V$1=0,$H380&lt;MONTH($J$13)),0,IF(((YEAR(V$8)-1)*12+$H380)-((YEAR($J$13)-1)*12+MONTH($J$13))+1&gt;капитал!$J$105*12,0,IF(капитал!$J$105=0,0,капитал!$M$102/(капитал!$J$105*12)))))</f>
        <v>178.21874809523811</v>
      </c>
      <c r="W380" s="101">
        <f>IF(W$1="",0,IF(AND(W$1=0,$H380&lt;MONTH($J$13)),0,IF(((YEAR(W$8)-1)*12+$H380)-((YEAR($J$13)-1)*12+MONTH($J$13))+1&gt;капитал!$J$105*12,0,IF(капитал!$J$105=0,0,капитал!$M$102/(капитал!$J$105*12)))))</f>
        <v>0</v>
      </c>
      <c r="X380" s="101">
        <f>IF(X$1="",0,IF(AND(X$1=0,$H380&lt;MONTH($J$13)),0,IF(((YEAR(X$8)-1)*12+$H380)-((YEAR($J$13)-1)*12+MONTH($J$13))+1&gt;капитал!$J$105*12,0,IF(капитал!$J$105=0,0,капитал!$M$102/(капитал!$J$105*12)))))</f>
        <v>0</v>
      </c>
      <c r="Y380" s="101">
        <f>IF(Y$1="",0,IF(AND(Y$1=0,$H380&lt;MONTH($J$13)),0,IF(((YEAR(Y$8)-1)*12+$H380)-((YEAR($J$13)-1)*12+MONTH($J$13))+1&gt;капитал!$J$105*12,0,IF(капитал!$J$105=0,0,капитал!$M$102/(капитал!$J$105*12)))))</f>
        <v>0</v>
      </c>
      <c r="Z380" s="101">
        <f>IF(Z$1="",0,IF(AND(Z$1=0,$H380&lt;MONTH($J$13)),0,IF(((YEAR(Z$8)-1)*12+$H380)-((YEAR($J$13)-1)*12+MONTH($J$13))+1&gt;капитал!$J$105*12,0,IF(капитал!$J$105=0,0,капитал!$M$102/(капитал!$J$105*12)))))</f>
        <v>0</v>
      </c>
      <c r="AA380" s="101">
        <f>IF(AA$1="",0,IF(AND(AA$1=0,$H380&lt;MONTH($J$13)),0,IF(((YEAR(AA$8)-1)*12+$H380)-((YEAR($J$13)-1)*12+MONTH($J$13))+1&gt;капитал!$J$105*12,0,IF(капитал!$J$105=0,0,капитал!$M$102/(капитал!$J$105*12)))))</f>
        <v>0</v>
      </c>
      <c r="AB380" s="22"/>
    </row>
    <row r="381" spans="1:28" s="23" customFormat="1" ht="10.199999999999999" x14ac:dyDescent="0.2">
      <c r="A381" s="22"/>
      <c r="B381" s="22"/>
      <c r="C381" s="22"/>
      <c r="D381" s="22"/>
      <c r="E381" s="22" t="str">
        <f>E374</f>
        <v>амортизация кап/затрат</v>
      </c>
      <c r="F381" s="22"/>
      <c r="G381" s="22" t="str">
        <f>IF($E381="","",INDEX(KPI!$G:$G,SUMIFS(KPI!$B:$B,KPI!$E:$E,$E381)))</f>
        <v>тыс.руб.</v>
      </c>
      <c r="H381" s="100">
        <f>структура!$V$18</f>
        <v>7</v>
      </c>
      <c r="I381" s="31"/>
      <c r="J381" s="98" t="str">
        <f>структура!$X$18</f>
        <v>июл</v>
      </c>
      <c r="K381" s="99"/>
      <c r="L381" s="22"/>
      <c r="M381" s="58"/>
      <c r="N381" s="22"/>
      <c r="O381" s="22"/>
      <c r="P381" s="101">
        <f>IF(P$1="",0,IF(AND(P$1=0,$H381&lt;MONTH($J$13)),0,IF(((YEAR(P$8)-1)*12+$H381)-((YEAR($J$13)-1)*12+MONTH($J$13))+1&gt;капитал!$J$105*12,0,IF(капитал!$J$105=0,0,капитал!$M$102/(капитал!$J$105*12)))))</f>
        <v>178.21874809523811</v>
      </c>
      <c r="Q381" s="101">
        <f>IF(Q$1="",0,IF(AND(Q$1=0,$H381&lt;MONTH($J$13)),0,IF(((YEAR(Q$8)-1)*12+$H381)-((YEAR($J$13)-1)*12+MONTH($J$13))+1&gt;капитал!$J$105*12,0,IF(капитал!$J$105=0,0,капитал!$M$102/(капитал!$J$105*12)))))</f>
        <v>178.21874809523811</v>
      </c>
      <c r="R381" s="101">
        <f>IF(R$1="",0,IF(AND(R$1=0,$H381&lt;MONTH($J$13)),0,IF(((YEAR(R$8)-1)*12+$H381)-((YEAR($J$13)-1)*12+MONTH($J$13))+1&gt;капитал!$J$105*12,0,IF(капитал!$J$105=0,0,капитал!$M$102/(капитал!$J$105*12)))))</f>
        <v>178.21874809523811</v>
      </c>
      <c r="S381" s="101">
        <f>IF(S$1="",0,IF(AND(S$1=0,$H381&lt;MONTH($J$13)),0,IF(((YEAR(S$8)-1)*12+$H381)-((YEAR($J$13)-1)*12+MONTH($J$13))+1&gt;капитал!$J$105*12,0,IF(капитал!$J$105=0,0,капитал!$M$102/(капитал!$J$105*12)))))</f>
        <v>178.21874809523811</v>
      </c>
      <c r="T381" s="101">
        <f>IF(T$1="",0,IF(AND(T$1=0,$H381&lt;MONTH($J$13)),0,IF(((YEAR(T$8)-1)*12+$H381)-((YEAR($J$13)-1)*12+MONTH($J$13))+1&gt;капитал!$J$105*12,0,IF(капитал!$J$105=0,0,капитал!$M$102/(капитал!$J$105*12)))))</f>
        <v>178.21874809523811</v>
      </c>
      <c r="U381" s="101">
        <f>IF(U$1="",0,IF(AND(U$1=0,$H381&lt;MONTH($J$13)),0,IF(((YEAR(U$8)-1)*12+$H381)-((YEAR($J$13)-1)*12+MONTH($J$13))+1&gt;капитал!$J$105*12,0,IF(капитал!$J$105=0,0,капитал!$M$102/(капитал!$J$105*12)))))</f>
        <v>178.21874809523811</v>
      </c>
      <c r="V381" s="101">
        <f>IF(V$1="",0,IF(AND(V$1=0,$H381&lt;MONTH($J$13)),0,IF(((YEAR(V$8)-1)*12+$H381)-((YEAR($J$13)-1)*12+MONTH($J$13))+1&gt;капитал!$J$105*12,0,IF(капитал!$J$105=0,0,капитал!$M$102/(капитал!$J$105*12)))))</f>
        <v>178.21874809523811</v>
      </c>
      <c r="W381" s="101">
        <f>IF(W$1="",0,IF(AND(W$1=0,$H381&lt;MONTH($J$13)),0,IF(((YEAR(W$8)-1)*12+$H381)-((YEAR($J$13)-1)*12+MONTH($J$13))+1&gt;капитал!$J$105*12,0,IF(капитал!$J$105=0,0,капитал!$M$102/(капитал!$J$105*12)))))</f>
        <v>0</v>
      </c>
      <c r="X381" s="101">
        <f>IF(X$1="",0,IF(AND(X$1=0,$H381&lt;MONTH($J$13)),0,IF(((YEAR(X$8)-1)*12+$H381)-((YEAR($J$13)-1)*12+MONTH($J$13))+1&gt;капитал!$J$105*12,0,IF(капитал!$J$105=0,0,капитал!$M$102/(капитал!$J$105*12)))))</f>
        <v>0</v>
      </c>
      <c r="Y381" s="101">
        <f>IF(Y$1="",0,IF(AND(Y$1=0,$H381&lt;MONTH($J$13)),0,IF(((YEAR(Y$8)-1)*12+$H381)-((YEAR($J$13)-1)*12+MONTH($J$13))+1&gt;капитал!$J$105*12,0,IF(капитал!$J$105=0,0,капитал!$M$102/(капитал!$J$105*12)))))</f>
        <v>0</v>
      </c>
      <c r="Z381" s="101">
        <f>IF(Z$1="",0,IF(AND(Z$1=0,$H381&lt;MONTH($J$13)),0,IF(((YEAR(Z$8)-1)*12+$H381)-((YEAR($J$13)-1)*12+MONTH($J$13))+1&gt;капитал!$J$105*12,0,IF(капитал!$J$105=0,0,капитал!$M$102/(капитал!$J$105*12)))))</f>
        <v>0</v>
      </c>
      <c r="AA381" s="101">
        <f>IF(AA$1="",0,IF(AND(AA$1=0,$H381&lt;MONTH($J$13)),0,IF(((YEAR(AA$8)-1)*12+$H381)-((YEAR($J$13)-1)*12+MONTH($J$13))+1&gt;капитал!$J$105*12,0,IF(капитал!$J$105=0,0,капитал!$M$102/(капитал!$J$105*12)))))</f>
        <v>0</v>
      </c>
      <c r="AB381" s="22"/>
    </row>
    <row r="382" spans="1:28" s="23" customFormat="1" ht="10.199999999999999" x14ac:dyDescent="0.2">
      <c r="A382" s="22"/>
      <c r="B382" s="22"/>
      <c r="C382" s="22"/>
      <c r="D382" s="22"/>
      <c r="E382" s="22" t="str">
        <f>E374</f>
        <v>амортизация кап/затрат</v>
      </c>
      <c r="F382" s="22"/>
      <c r="G382" s="22" t="str">
        <f>IF($E382="","",INDEX(KPI!$G:$G,SUMIFS(KPI!$B:$B,KPI!$E:$E,$E382)))</f>
        <v>тыс.руб.</v>
      </c>
      <c r="H382" s="100">
        <f>структура!$V$19</f>
        <v>8</v>
      </c>
      <c r="I382" s="31"/>
      <c r="J382" s="98" t="str">
        <f>структура!$X$19</f>
        <v>авг</v>
      </c>
      <c r="K382" s="99"/>
      <c r="L382" s="22"/>
      <c r="M382" s="58"/>
      <c r="N382" s="22"/>
      <c r="O382" s="22"/>
      <c r="P382" s="101">
        <f>IF(P$1="",0,IF(AND(P$1=0,$H382&lt;MONTH($J$13)),0,IF(((YEAR(P$8)-1)*12+$H382)-((YEAR($J$13)-1)*12+MONTH($J$13))+1&gt;капитал!$J$105*12,0,IF(капитал!$J$105=0,0,капитал!$M$102/(капитал!$J$105*12)))))</f>
        <v>178.21874809523811</v>
      </c>
      <c r="Q382" s="101">
        <f>IF(Q$1="",0,IF(AND(Q$1=0,$H382&lt;MONTH($J$13)),0,IF(((YEAR(Q$8)-1)*12+$H382)-((YEAR($J$13)-1)*12+MONTH($J$13))+1&gt;капитал!$J$105*12,0,IF(капитал!$J$105=0,0,капитал!$M$102/(капитал!$J$105*12)))))</f>
        <v>178.21874809523811</v>
      </c>
      <c r="R382" s="101">
        <f>IF(R$1="",0,IF(AND(R$1=0,$H382&lt;MONTH($J$13)),0,IF(((YEAR(R$8)-1)*12+$H382)-((YEAR($J$13)-1)*12+MONTH($J$13))+1&gt;капитал!$J$105*12,0,IF(капитал!$J$105=0,0,капитал!$M$102/(капитал!$J$105*12)))))</f>
        <v>178.21874809523811</v>
      </c>
      <c r="S382" s="101">
        <f>IF(S$1="",0,IF(AND(S$1=0,$H382&lt;MONTH($J$13)),0,IF(((YEAR(S$8)-1)*12+$H382)-((YEAR($J$13)-1)*12+MONTH($J$13))+1&gt;капитал!$J$105*12,0,IF(капитал!$J$105=0,0,капитал!$M$102/(капитал!$J$105*12)))))</f>
        <v>178.21874809523811</v>
      </c>
      <c r="T382" s="101">
        <f>IF(T$1="",0,IF(AND(T$1=0,$H382&lt;MONTH($J$13)),0,IF(((YEAR(T$8)-1)*12+$H382)-((YEAR($J$13)-1)*12+MONTH($J$13))+1&gt;капитал!$J$105*12,0,IF(капитал!$J$105=0,0,капитал!$M$102/(капитал!$J$105*12)))))</f>
        <v>178.21874809523811</v>
      </c>
      <c r="U382" s="101">
        <f>IF(U$1="",0,IF(AND(U$1=0,$H382&lt;MONTH($J$13)),0,IF(((YEAR(U$8)-1)*12+$H382)-((YEAR($J$13)-1)*12+MONTH($J$13))+1&gt;капитал!$J$105*12,0,IF(капитал!$J$105=0,0,капитал!$M$102/(капитал!$J$105*12)))))</f>
        <v>178.21874809523811</v>
      </c>
      <c r="V382" s="101">
        <f>IF(V$1="",0,IF(AND(V$1=0,$H382&lt;MONTH($J$13)),0,IF(((YEAR(V$8)-1)*12+$H382)-((YEAR($J$13)-1)*12+MONTH($J$13))+1&gt;капитал!$J$105*12,0,IF(капитал!$J$105=0,0,капитал!$M$102/(капитал!$J$105*12)))))</f>
        <v>178.21874809523811</v>
      </c>
      <c r="W382" s="101">
        <f>IF(W$1="",0,IF(AND(W$1=0,$H382&lt;MONTH($J$13)),0,IF(((YEAR(W$8)-1)*12+$H382)-((YEAR($J$13)-1)*12+MONTH($J$13))+1&gt;капитал!$J$105*12,0,IF(капитал!$J$105=0,0,капитал!$M$102/(капитал!$J$105*12)))))</f>
        <v>0</v>
      </c>
      <c r="X382" s="101">
        <f>IF(X$1="",0,IF(AND(X$1=0,$H382&lt;MONTH($J$13)),0,IF(((YEAR(X$8)-1)*12+$H382)-((YEAR($J$13)-1)*12+MONTH($J$13))+1&gt;капитал!$J$105*12,0,IF(капитал!$J$105=0,0,капитал!$M$102/(капитал!$J$105*12)))))</f>
        <v>0</v>
      </c>
      <c r="Y382" s="101">
        <f>IF(Y$1="",0,IF(AND(Y$1=0,$H382&lt;MONTH($J$13)),0,IF(((YEAR(Y$8)-1)*12+$H382)-((YEAR($J$13)-1)*12+MONTH($J$13))+1&gt;капитал!$J$105*12,0,IF(капитал!$J$105=0,0,капитал!$M$102/(капитал!$J$105*12)))))</f>
        <v>0</v>
      </c>
      <c r="Z382" s="101">
        <f>IF(Z$1="",0,IF(AND(Z$1=0,$H382&lt;MONTH($J$13)),0,IF(((YEAR(Z$8)-1)*12+$H382)-((YEAR($J$13)-1)*12+MONTH($J$13))+1&gt;капитал!$J$105*12,0,IF(капитал!$J$105=0,0,капитал!$M$102/(капитал!$J$105*12)))))</f>
        <v>0</v>
      </c>
      <c r="AA382" s="101">
        <f>IF(AA$1="",0,IF(AND(AA$1=0,$H382&lt;MONTH($J$13)),0,IF(((YEAR(AA$8)-1)*12+$H382)-((YEAR($J$13)-1)*12+MONTH($J$13))+1&gt;капитал!$J$105*12,0,IF(капитал!$J$105=0,0,капитал!$M$102/(капитал!$J$105*12)))))</f>
        <v>0</v>
      </c>
      <c r="AB382" s="22"/>
    </row>
    <row r="383" spans="1:28" s="23" customFormat="1" ht="10.199999999999999" x14ac:dyDescent="0.2">
      <c r="A383" s="22"/>
      <c r="B383" s="22"/>
      <c r="C383" s="22"/>
      <c r="D383" s="22"/>
      <c r="E383" s="22" t="str">
        <f>E374</f>
        <v>амортизация кап/затрат</v>
      </c>
      <c r="F383" s="22"/>
      <c r="G383" s="22" t="str">
        <f>IF($E383="","",INDEX(KPI!$G:$G,SUMIFS(KPI!$B:$B,KPI!$E:$E,$E383)))</f>
        <v>тыс.руб.</v>
      </c>
      <c r="H383" s="100">
        <f>структура!$V$20</f>
        <v>9</v>
      </c>
      <c r="I383" s="31"/>
      <c r="J383" s="98" t="str">
        <f>структура!$X$20</f>
        <v>сен</v>
      </c>
      <c r="K383" s="99"/>
      <c r="L383" s="22"/>
      <c r="M383" s="58"/>
      <c r="N383" s="22"/>
      <c r="O383" s="22"/>
      <c r="P383" s="101">
        <f>IF(P$1="",0,IF(AND(P$1=0,$H383&lt;MONTH($J$13)),0,IF(((YEAR(P$8)-1)*12+$H383)-((YEAR($J$13)-1)*12+MONTH($J$13))+1&gt;капитал!$J$105*12,0,IF(капитал!$J$105=0,0,капитал!$M$102/(капитал!$J$105*12)))))</f>
        <v>178.21874809523811</v>
      </c>
      <c r="Q383" s="101">
        <f>IF(Q$1="",0,IF(AND(Q$1=0,$H383&lt;MONTH($J$13)),0,IF(((YEAR(Q$8)-1)*12+$H383)-((YEAR($J$13)-1)*12+MONTH($J$13))+1&gt;капитал!$J$105*12,0,IF(капитал!$J$105=0,0,капитал!$M$102/(капитал!$J$105*12)))))</f>
        <v>178.21874809523811</v>
      </c>
      <c r="R383" s="101">
        <f>IF(R$1="",0,IF(AND(R$1=0,$H383&lt;MONTH($J$13)),0,IF(((YEAR(R$8)-1)*12+$H383)-((YEAR($J$13)-1)*12+MONTH($J$13))+1&gt;капитал!$J$105*12,0,IF(капитал!$J$105=0,0,капитал!$M$102/(капитал!$J$105*12)))))</f>
        <v>178.21874809523811</v>
      </c>
      <c r="S383" s="101">
        <f>IF(S$1="",0,IF(AND(S$1=0,$H383&lt;MONTH($J$13)),0,IF(((YEAR(S$8)-1)*12+$H383)-((YEAR($J$13)-1)*12+MONTH($J$13))+1&gt;капитал!$J$105*12,0,IF(капитал!$J$105=0,0,капитал!$M$102/(капитал!$J$105*12)))))</f>
        <v>178.21874809523811</v>
      </c>
      <c r="T383" s="101">
        <f>IF(T$1="",0,IF(AND(T$1=0,$H383&lt;MONTH($J$13)),0,IF(((YEAR(T$8)-1)*12+$H383)-((YEAR($J$13)-1)*12+MONTH($J$13))+1&gt;капитал!$J$105*12,0,IF(капитал!$J$105=0,0,капитал!$M$102/(капитал!$J$105*12)))))</f>
        <v>178.21874809523811</v>
      </c>
      <c r="U383" s="101">
        <f>IF(U$1="",0,IF(AND(U$1=0,$H383&lt;MONTH($J$13)),0,IF(((YEAR(U$8)-1)*12+$H383)-((YEAR($J$13)-1)*12+MONTH($J$13))+1&gt;капитал!$J$105*12,0,IF(капитал!$J$105=0,0,капитал!$M$102/(капитал!$J$105*12)))))</f>
        <v>178.21874809523811</v>
      </c>
      <c r="V383" s="101">
        <f>IF(V$1="",0,IF(AND(V$1=0,$H383&lt;MONTH($J$13)),0,IF(((YEAR(V$8)-1)*12+$H383)-((YEAR($J$13)-1)*12+MONTH($J$13))+1&gt;капитал!$J$105*12,0,IF(капитал!$J$105=0,0,капитал!$M$102/(капитал!$J$105*12)))))</f>
        <v>178.21874809523811</v>
      </c>
      <c r="W383" s="101">
        <f>IF(W$1="",0,IF(AND(W$1=0,$H383&lt;MONTH($J$13)),0,IF(((YEAR(W$8)-1)*12+$H383)-((YEAR($J$13)-1)*12+MONTH($J$13))+1&gt;капитал!$J$105*12,0,IF(капитал!$J$105=0,0,капитал!$M$102/(капитал!$J$105*12)))))</f>
        <v>0</v>
      </c>
      <c r="X383" s="101">
        <f>IF(X$1="",0,IF(AND(X$1=0,$H383&lt;MONTH($J$13)),0,IF(((YEAR(X$8)-1)*12+$H383)-((YEAR($J$13)-1)*12+MONTH($J$13))+1&gt;капитал!$J$105*12,0,IF(капитал!$J$105=0,0,капитал!$M$102/(капитал!$J$105*12)))))</f>
        <v>0</v>
      </c>
      <c r="Y383" s="101">
        <f>IF(Y$1="",0,IF(AND(Y$1=0,$H383&lt;MONTH($J$13)),0,IF(((YEAR(Y$8)-1)*12+$H383)-((YEAR($J$13)-1)*12+MONTH($J$13))+1&gt;капитал!$J$105*12,0,IF(капитал!$J$105=0,0,капитал!$M$102/(капитал!$J$105*12)))))</f>
        <v>0</v>
      </c>
      <c r="Z383" s="101">
        <f>IF(Z$1="",0,IF(AND(Z$1=0,$H383&lt;MONTH($J$13)),0,IF(((YEAR(Z$8)-1)*12+$H383)-((YEAR($J$13)-1)*12+MONTH($J$13))+1&gt;капитал!$J$105*12,0,IF(капитал!$J$105=0,0,капитал!$M$102/(капитал!$J$105*12)))))</f>
        <v>0</v>
      </c>
      <c r="AA383" s="101">
        <f>IF(AA$1="",0,IF(AND(AA$1=0,$H383&lt;MONTH($J$13)),0,IF(((YEAR(AA$8)-1)*12+$H383)-((YEAR($J$13)-1)*12+MONTH($J$13))+1&gt;капитал!$J$105*12,0,IF(капитал!$J$105=0,0,капитал!$M$102/(капитал!$J$105*12)))))</f>
        <v>0</v>
      </c>
      <c r="AB383" s="22"/>
    </row>
    <row r="384" spans="1:28" s="23" customFormat="1" ht="10.199999999999999" x14ac:dyDescent="0.2">
      <c r="A384" s="22"/>
      <c r="B384" s="22"/>
      <c r="C384" s="22"/>
      <c r="D384" s="22"/>
      <c r="E384" s="22" t="str">
        <f>E374</f>
        <v>амортизация кап/затрат</v>
      </c>
      <c r="F384" s="22"/>
      <c r="G384" s="22" t="str">
        <f>IF($E384="","",INDEX(KPI!$G:$G,SUMIFS(KPI!$B:$B,KPI!$E:$E,$E384)))</f>
        <v>тыс.руб.</v>
      </c>
      <c r="H384" s="100">
        <f>структура!$V$21</f>
        <v>10</v>
      </c>
      <c r="I384" s="31"/>
      <c r="J384" s="98" t="str">
        <f>структура!$X$21</f>
        <v>окт</v>
      </c>
      <c r="K384" s="99"/>
      <c r="L384" s="22"/>
      <c r="M384" s="58"/>
      <c r="N384" s="22"/>
      <c r="O384" s="22"/>
      <c r="P384" s="101">
        <f>IF(P$1="",0,IF(AND(P$1=0,$H384&lt;MONTH($J$13)),0,IF(((YEAR(P$8)-1)*12+$H384)-((YEAR($J$13)-1)*12+MONTH($J$13))+1&gt;капитал!$J$105*12,0,IF(капитал!$J$105=0,0,капитал!$M$102/(капитал!$J$105*12)))))</f>
        <v>178.21874809523811</v>
      </c>
      <c r="Q384" s="101">
        <f>IF(Q$1="",0,IF(AND(Q$1=0,$H384&lt;MONTH($J$13)),0,IF(((YEAR(Q$8)-1)*12+$H384)-((YEAR($J$13)-1)*12+MONTH($J$13))+1&gt;капитал!$J$105*12,0,IF(капитал!$J$105=0,0,капитал!$M$102/(капитал!$J$105*12)))))</f>
        <v>178.21874809523811</v>
      </c>
      <c r="R384" s="101">
        <f>IF(R$1="",0,IF(AND(R$1=0,$H384&lt;MONTH($J$13)),0,IF(((YEAR(R$8)-1)*12+$H384)-((YEAR($J$13)-1)*12+MONTH($J$13))+1&gt;капитал!$J$105*12,0,IF(капитал!$J$105=0,0,капитал!$M$102/(капитал!$J$105*12)))))</f>
        <v>178.21874809523811</v>
      </c>
      <c r="S384" s="101">
        <f>IF(S$1="",0,IF(AND(S$1=0,$H384&lt;MONTH($J$13)),0,IF(((YEAR(S$8)-1)*12+$H384)-((YEAR($J$13)-1)*12+MONTH($J$13))+1&gt;капитал!$J$105*12,0,IF(капитал!$J$105=0,0,капитал!$M$102/(капитал!$J$105*12)))))</f>
        <v>178.21874809523811</v>
      </c>
      <c r="T384" s="101">
        <f>IF(T$1="",0,IF(AND(T$1=0,$H384&lt;MONTH($J$13)),0,IF(((YEAR(T$8)-1)*12+$H384)-((YEAR($J$13)-1)*12+MONTH($J$13))+1&gt;капитал!$J$105*12,0,IF(капитал!$J$105=0,0,капитал!$M$102/(капитал!$J$105*12)))))</f>
        <v>178.21874809523811</v>
      </c>
      <c r="U384" s="101">
        <f>IF(U$1="",0,IF(AND(U$1=0,$H384&lt;MONTH($J$13)),0,IF(((YEAR(U$8)-1)*12+$H384)-((YEAR($J$13)-1)*12+MONTH($J$13))+1&gt;капитал!$J$105*12,0,IF(капитал!$J$105=0,0,капитал!$M$102/(капитал!$J$105*12)))))</f>
        <v>178.21874809523811</v>
      </c>
      <c r="V384" s="101">
        <f>IF(V$1="",0,IF(AND(V$1=0,$H384&lt;MONTH($J$13)),0,IF(((YEAR(V$8)-1)*12+$H384)-((YEAR($J$13)-1)*12+MONTH($J$13))+1&gt;капитал!$J$105*12,0,IF(капитал!$J$105=0,0,капитал!$M$102/(капитал!$J$105*12)))))</f>
        <v>178.21874809523811</v>
      </c>
      <c r="W384" s="101">
        <f>IF(W$1="",0,IF(AND(W$1=0,$H384&lt;MONTH($J$13)),0,IF(((YEAR(W$8)-1)*12+$H384)-((YEAR($J$13)-1)*12+MONTH($J$13))+1&gt;капитал!$J$105*12,0,IF(капитал!$J$105=0,0,капитал!$M$102/(капитал!$J$105*12)))))</f>
        <v>0</v>
      </c>
      <c r="X384" s="101">
        <f>IF(X$1="",0,IF(AND(X$1=0,$H384&lt;MONTH($J$13)),0,IF(((YEAR(X$8)-1)*12+$H384)-((YEAR($J$13)-1)*12+MONTH($J$13))+1&gt;капитал!$J$105*12,0,IF(капитал!$J$105=0,0,капитал!$M$102/(капитал!$J$105*12)))))</f>
        <v>0</v>
      </c>
      <c r="Y384" s="101">
        <f>IF(Y$1="",0,IF(AND(Y$1=0,$H384&lt;MONTH($J$13)),0,IF(((YEAR(Y$8)-1)*12+$H384)-((YEAR($J$13)-1)*12+MONTH($J$13))+1&gt;капитал!$J$105*12,0,IF(капитал!$J$105=0,0,капитал!$M$102/(капитал!$J$105*12)))))</f>
        <v>0</v>
      </c>
      <c r="Z384" s="101">
        <f>IF(Z$1="",0,IF(AND(Z$1=0,$H384&lt;MONTH($J$13)),0,IF(((YEAR(Z$8)-1)*12+$H384)-((YEAR($J$13)-1)*12+MONTH($J$13))+1&gt;капитал!$J$105*12,0,IF(капитал!$J$105=0,0,капитал!$M$102/(капитал!$J$105*12)))))</f>
        <v>0</v>
      </c>
      <c r="AA384" s="101">
        <f>IF(AA$1="",0,IF(AND(AA$1=0,$H384&lt;MONTH($J$13)),0,IF(((YEAR(AA$8)-1)*12+$H384)-((YEAR($J$13)-1)*12+MONTH($J$13))+1&gt;капитал!$J$105*12,0,IF(капитал!$J$105=0,0,капитал!$M$102/(капитал!$J$105*12)))))</f>
        <v>0</v>
      </c>
      <c r="AB384" s="22"/>
    </row>
    <row r="385" spans="1:28" s="23" customFormat="1" ht="10.199999999999999" x14ac:dyDescent="0.2">
      <c r="A385" s="22"/>
      <c r="B385" s="22"/>
      <c r="C385" s="22"/>
      <c r="D385" s="22"/>
      <c r="E385" s="22" t="str">
        <f>E374</f>
        <v>амортизация кап/затрат</v>
      </c>
      <c r="F385" s="22"/>
      <c r="G385" s="22" t="str">
        <f>IF($E385="","",INDEX(KPI!$G:$G,SUMIFS(KPI!$B:$B,KPI!$E:$E,$E385)))</f>
        <v>тыс.руб.</v>
      </c>
      <c r="H385" s="100">
        <f>структура!$V$22</f>
        <v>11</v>
      </c>
      <c r="I385" s="31"/>
      <c r="J385" s="98" t="str">
        <f>структура!$X$22</f>
        <v>ноя</v>
      </c>
      <c r="K385" s="99"/>
      <c r="L385" s="22"/>
      <c r="M385" s="58"/>
      <c r="N385" s="22"/>
      <c r="O385" s="22"/>
      <c r="P385" s="101">
        <f>IF(P$1="",0,IF(AND(P$1=0,$H385&lt;MONTH($J$13)),0,IF(((YEAR(P$8)-1)*12+$H385)-((YEAR($J$13)-1)*12+MONTH($J$13))+1&gt;капитал!$J$105*12,0,IF(капитал!$J$105=0,0,капитал!$M$102/(капитал!$J$105*12)))))</f>
        <v>178.21874809523811</v>
      </c>
      <c r="Q385" s="101">
        <f>IF(Q$1="",0,IF(AND(Q$1=0,$H385&lt;MONTH($J$13)),0,IF(((YEAR(Q$8)-1)*12+$H385)-((YEAR($J$13)-1)*12+MONTH($J$13))+1&gt;капитал!$J$105*12,0,IF(капитал!$J$105=0,0,капитал!$M$102/(капитал!$J$105*12)))))</f>
        <v>178.21874809523811</v>
      </c>
      <c r="R385" s="101">
        <f>IF(R$1="",0,IF(AND(R$1=0,$H385&lt;MONTH($J$13)),0,IF(((YEAR(R$8)-1)*12+$H385)-((YEAR($J$13)-1)*12+MONTH($J$13))+1&gt;капитал!$J$105*12,0,IF(капитал!$J$105=0,0,капитал!$M$102/(капитал!$J$105*12)))))</f>
        <v>178.21874809523811</v>
      </c>
      <c r="S385" s="101">
        <f>IF(S$1="",0,IF(AND(S$1=0,$H385&lt;MONTH($J$13)),0,IF(((YEAR(S$8)-1)*12+$H385)-((YEAR($J$13)-1)*12+MONTH($J$13))+1&gt;капитал!$J$105*12,0,IF(капитал!$J$105=0,0,капитал!$M$102/(капитал!$J$105*12)))))</f>
        <v>178.21874809523811</v>
      </c>
      <c r="T385" s="101">
        <f>IF(T$1="",0,IF(AND(T$1=0,$H385&lt;MONTH($J$13)),0,IF(((YEAR(T$8)-1)*12+$H385)-((YEAR($J$13)-1)*12+MONTH($J$13))+1&gt;капитал!$J$105*12,0,IF(капитал!$J$105=0,0,капитал!$M$102/(капитал!$J$105*12)))))</f>
        <v>178.21874809523811</v>
      </c>
      <c r="U385" s="101">
        <f>IF(U$1="",0,IF(AND(U$1=0,$H385&lt;MONTH($J$13)),0,IF(((YEAR(U$8)-1)*12+$H385)-((YEAR($J$13)-1)*12+MONTH($J$13))+1&gt;капитал!$J$105*12,0,IF(капитал!$J$105=0,0,капитал!$M$102/(капитал!$J$105*12)))))</f>
        <v>178.21874809523811</v>
      </c>
      <c r="V385" s="101">
        <f>IF(V$1="",0,IF(AND(V$1=0,$H385&lt;MONTH($J$13)),0,IF(((YEAR(V$8)-1)*12+$H385)-((YEAR($J$13)-1)*12+MONTH($J$13))+1&gt;капитал!$J$105*12,0,IF(капитал!$J$105=0,0,капитал!$M$102/(капитал!$J$105*12)))))</f>
        <v>178.21874809523811</v>
      </c>
      <c r="W385" s="101">
        <f>IF(W$1="",0,IF(AND(W$1=0,$H385&lt;MONTH($J$13)),0,IF(((YEAR(W$8)-1)*12+$H385)-((YEAR($J$13)-1)*12+MONTH($J$13))+1&gt;капитал!$J$105*12,0,IF(капитал!$J$105=0,0,капитал!$M$102/(капитал!$J$105*12)))))</f>
        <v>0</v>
      </c>
      <c r="X385" s="101">
        <f>IF(X$1="",0,IF(AND(X$1=0,$H385&lt;MONTH($J$13)),0,IF(((YEAR(X$8)-1)*12+$H385)-((YEAR($J$13)-1)*12+MONTH($J$13))+1&gt;капитал!$J$105*12,0,IF(капитал!$J$105=0,0,капитал!$M$102/(капитал!$J$105*12)))))</f>
        <v>0</v>
      </c>
      <c r="Y385" s="101">
        <f>IF(Y$1="",0,IF(AND(Y$1=0,$H385&lt;MONTH($J$13)),0,IF(((YEAR(Y$8)-1)*12+$H385)-((YEAR($J$13)-1)*12+MONTH($J$13))+1&gt;капитал!$J$105*12,0,IF(капитал!$J$105=0,0,капитал!$M$102/(капитал!$J$105*12)))))</f>
        <v>0</v>
      </c>
      <c r="Z385" s="101">
        <f>IF(Z$1="",0,IF(AND(Z$1=0,$H385&lt;MONTH($J$13)),0,IF(((YEAR(Z$8)-1)*12+$H385)-((YEAR($J$13)-1)*12+MONTH($J$13))+1&gt;капитал!$J$105*12,0,IF(капитал!$J$105=0,0,капитал!$M$102/(капитал!$J$105*12)))))</f>
        <v>0</v>
      </c>
      <c r="AA385" s="101">
        <f>IF(AA$1="",0,IF(AND(AA$1=0,$H385&lt;MONTH($J$13)),0,IF(((YEAR(AA$8)-1)*12+$H385)-((YEAR($J$13)-1)*12+MONTH($J$13))+1&gt;капитал!$J$105*12,0,IF(капитал!$J$105=0,0,капитал!$M$102/(капитал!$J$105*12)))))</f>
        <v>0</v>
      </c>
      <c r="AB385" s="22"/>
    </row>
    <row r="386" spans="1:28" s="23" customFormat="1" ht="10.199999999999999" x14ac:dyDescent="0.2">
      <c r="A386" s="22"/>
      <c r="B386" s="22"/>
      <c r="C386" s="22"/>
      <c r="D386" s="22"/>
      <c r="E386" s="22" t="str">
        <f>E374</f>
        <v>амортизация кап/затрат</v>
      </c>
      <c r="F386" s="22"/>
      <c r="G386" s="22" t="str">
        <f>IF($E386="","",INDEX(KPI!$G:$G,SUMIFS(KPI!$B:$B,KPI!$E:$E,$E386)))</f>
        <v>тыс.руб.</v>
      </c>
      <c r="H386" s="100">
        <f>структура!$V$23</f>
        <v>12</v>
      </c>
      <c r="I386" s="31"/>
      <c r="J386" s="98" t="str">
        <f>структура!$X$23</f>
        <v>дек</v>
      </c>
      <c r="K386" s="99"/>
      <c r="L386" s="22"/>
      <c r="M386" s="58"/>
      <c r="N386" s="22"/>
      <c r="O386" s="22"/>
      <c r="P386" s="101">
        <f>IF(P$1="",0,IF(AND(P$1=0,$H386&lt;MONTH($J$13)),0,IF(((YEAR(P$8)-1)*12+$H386)-((YEAR($J$13)-1)*12+MONTH($J$13))+1&gt;капитал!$J$105*12,0,IF(капитал!$J$105=0,0,капитал!$M$102/(капитал!$J$105*12)))))</f>
        <v>178.21874809523811</v>
      </c>
      <c r="Q386" s="101">
        <f>IF(Q$1="",0,IF(AND(Q$1=0,$H386&lt;MONTH($J$13)),0,IF(((YEAR(Q$8)-1)*12+$H386)-((YEAR($J$13)-1)*12+MONTH($J$13))+1&gt;капитал!$J$105*12,0,IF(капитал!$J$105=0,0,капитал!$M$102/(капитал!$J$105*12)))))</f>
        <v>178.21874809523811</v>
      </c>
      <c r="R386" s="101">
        <f>IF(R$1="",0,IF(AND(R$1=0,$H386&lt;MONTH($J$13)),0,IF(((YEAR(R$8)-1)*12+$H386)-((YEAR($J$13)-1)*12+MONTH($J$13))+1&gt;капитал!$J$105*12,0,IF(капитал!$J$105=0,0,капитал!$M$102/(капитал!$J$105*12)))))</f>
        <v>178.21874809523811</v>
      </c>
      <c r="S386" s="101">
        <f>IF(S$1="",0,IF(AND(S$1=0,$H386&lt;MONTH($J$13)),0,IF(((YEAR(S$8)-1)*12+$H386)-((YEAR($J$13)-1)*12+MONTH($J$13))+1&gt;капитал!$J$105*12,0,IF(капитал!$J$105=0,0,капитал!$M$102/(капитал!$J$105*12)))))</f>
        <v>178.21874809523811</v>
      </c>
      <c r="T386" s="101">
        <f>IF(T$1="",0,IF(AND(T$1=0,$H386&lt;MONTH($J$13)),0,IF(((YEAR(T$8)-1)*12+$H386)-((YEAR($J$13)-1)*12+MONTH($J$13))+1&gt;капитал!$J$105*12,0,IF(капитал!$J$105=0,0,капитал!$M$102/(капитал!$J$105*12)))))</f>
        <v>178.21874809523811</v>
      </c>
      <c r="U386" s="101">
        <f>IF(U$1="",0,IF(AND(U$1=0,$H386&lt;MONTH($J$13)),0,IF(((YEAR(U$8)-1)*12+$H386)-((YEAR($J$13)-1)*12+MONTH($J$13))+1&gt;капитал!$J$105*12,0,IF(капитал!$J$105=0,0,капитал!$M$102/(капитал!$J$105*12)))))</f>
        <v>178.21874809523811</v>
      </c>
      <c r="V386" s="101">
        <f>IF(V$1="",0,IF(AND(V$1=0,$H386&lt;MONTH($J$13)),0,IF(((YEAR(V$8)-1)*12+$H386)-((YEAR($J$13)-1)*12+MONTH($J$13))+1&gt;капитал!$J$105*12,0,IF(капитал!$J$105=0,0,капитал!$M$102/(капитал!$J$105*12)))))</f>
        <v>178.21874809523811</v>
      </c>
      <c r="W386" s="101">
        <f>IF(W$1="",0,IF(AND(W$1=0,$H386&lt;MONTH($J$13)),0,IF(((YEAR(W$8)-1)*12+$H386)-((YEAR($J$13)-1)*12+MONTH($J$13))+1&gt;капитал!$J$105*12,0,IF(капитал!$J$105=0,0,капитал!$M$102/(капитал!$J$105*12)))))</f>
        <v>0</v>
      </c>
      <c r="X386" s="101">
        <f>IF(X$1="",0,IF(AND(X$1=0,$H386&lt;MONTH($J$13)),0,IF(((YEAR(X$8)-1)*12+$H386)-((YEAR($J$13)-1)*12+MONTH($J$13))+1&gt;капитал!$J$105*12,0,IF(капитал!$J$105=0,0,капитал!$M$102/(капитал!$J$105*12)))))</f>
        <v>0</v>
      </c>
      <c r="Y386" s="101">
        <f>IF(Y$1="",0,IF(AND(Y$1=0,$H386&lt;MONTH($J$13)),0,IF(((YEAR(Y$8)-1)*12+$H386)-((YEAR($J$13)-1)*12+MONTH($J$13))+1&gt;капитал!$J$105*12,0,IF(капитал!$J$105=0,0,капитал!$M$102/(капитал!$J$105*12)))))</f>
        <v>0</v>
      </c>
      <c r="Z386" s="101">
        <f>IF(Z$1="",0,IF(AND(Z$1=0,$H386&lt;MONTH($J$13)),0,IF(((YEAR(Z$8)-1)*12+$H386)-((YEAR($J$13)-1)*12+MONTH($J$13))+1&gt;капитал!$J$105*12,0,IF(капитал!$J$105=0,0,капитал!$M$102/(капитал!$J$105*12)))))</f>
        <v>0</v>
      </c>
      <c r="AA386" s="101">
        <f>IF(AA$1="",0,IF(AND(AA$1=0,$H386&lt;MONTH($J$13)),0,IF(((YEAR(AA$8)-1)*12+$H386)-((YEAR($J$13)-1)*12+MONTH($J$13))+1&gt;капитал!$J$105*12,0,IF(капитал!$J$105=0,0,капитал!$M$102/(капитал!$J$105*12)))))</f>
        <v>0</v>
      </c>
      <c r="AB386" s="22"/>
    </row>
    <row r="387" spans="1:28" ht="3.9" customHeight="1" x14ac:dyDescent="0.25">
      <c r="A387" s="2"/>
      <c r="B387" s="2"/>
      <c r="C387" s="2"/>
      <c r="D387" s="143"/>
      <c r="E387" s="143"/>
      <c r="F387" s="2"/>
      <c r="G387" s="143"/>
      <c r="H387" s="2"/>
      <c r="I387" s="28"/>
      <c r="J387" s="143"/>
      <c r="K387" s="28"/>
      <c r="L387" s="2"/>
      <c r="M387" s="52"/>
      <c r="N387" s="2"/>
      <c r="O387" s="2"/>
      <c r="P387" s="36"/>
      <c r="Q387" s="36"/>
      <c r="R387" s="36"/>
      <c r="S387" s="36"/>
      <c r="T387" s="36"/>
      <c r="U387" s="36"/>
      <c r="V387" s="36"/>
      <c r="W387" s="36"/>
      <c r="X387" s="36"/>
      <c r="Y387" s="36"/>
      <c r="Z387" s="36"/>
      <c r="AA387" s="36"/>
      <c r="AB387" s="2"/>
    </row>
    <row r="388" spans="1:28" ht="8.1" customHeight="1" x14ac:dyDescent="0.25">
      <c r="A388" s="2"/>
      <c r="B388" s="2"/>
      <c r="C388" s="2"/>
      <c r="D388" s="2"/>
      <c r="E388" s="2"/>
      <c r="F388" s="2"/>
      <c r="G388" s="2"/>
      <c r="H388" s="2"/>
      <c r="I388" s="28"/>
      <c r="J388" s="2"/>
      <c r="K388" s="28"/>
      <c r="L388" s="2"/>
      <c r="M388" s="52"/>
      <c r="N388" s="2"/>
      <c r="O388" s="2"/>
      <c r="P388" s="36"/>
      <c r="Q388" s="36"/>
      <c r="R388" s="36"/>
      <c r="S388" s="36"/>
      <c r="T388" s="36"/>
      <c r="U388" s="36"/>
      <c r="V388" s="36"/>
      <c r="W388" s="36"/>
      <c r="X388" s="36"/>
      <c r="Y388" s="36"/>
      <c r="Z388" s="36"/>
      <c r="AA388" s="36"/>
      <c r="AB388" s="2"/>
    </row>
    <row r="389" spans="1:28" s="5" customFormat="1" x14ac:dyDescent="0.25">
      <c r="A389" s="3"/>
      <c r="B389" s="3"/>
      <c r="C389" s="3"/>
      <c r="D389" s="148"/>
      <c r="E389" s="3" t="str">
        <f>KPI!$E$85</f>
        <v>амортизация прокатного инвентаря</v>
      </c>
      <c r="F389" s="3"/>
      <c r="G389" s="3" t="str">
        <f>IF($E389="","",INDEX(KPI!$G:$G,SUMIFS(KPI!$B:$B,KPI!$E:$E,$E389)))</f>
        <v>тыс.руб.</v>
      </c>
      <c r="H389" s="103"/>
      <c r="I389" s="28"/>
      <c r="J389" s="44"/>
      <c r="K389" s="28"/>
      <c r="L389" s="3"/>
      <c r="M389" s="55">
        <f>SUM($O389:$AB389)</f>
        <v>879.99999999999989</v>
      </c>
      <c r="N389" s="3"/>
      <c r="O389" s="3"/>
      <c r="P389" s="46">
        <f>IF(P$1="",0,IF(P$1=0,SUMIFS(P390:P401,H390:H401,"&gt;="&amp;MONTH($J$13)),SUM(P390:P401)))</f>
        <v>175.99999999999997</v>
      </c>
      <c r="Q389" s="46">
        <f t="shared" ref="Q389" si="92">IF(Q$1="",0,SUM(Q390:Q401))</f>
        <v>175.99999999999997</v>
      </c>
      <c r="R389" s="46">
        <f t="shared" ref="R389:AA389" si="93">IF(R$1="",0,SUM(R390:R401))</f>
        <v>175.99999999999997</v>
      </c>
      <c r="S389" s="46">
        <f t="shared" si="93"/>
        <v>175.99999999999997</v>
      </c>
      <c r="T389" s="46">
        <f t="shared" si="93"/>
        <v>175.99999999999997</v>
      </c>
      <c r="U389" s="46">
        <f t="shared" si="93"/>
        <v>0</v>
      </c>
      <c r="V389" s="46">
        <f t="shared" si="93"/>
        <v>0</v>
      </c>
      <c r="W389" s="46">
        <f t="shared" si="93"/>
        <v>0</v>
      </c>
      <c r="X389" s="46">
        <f t="shared" si="93"/>
        <v>0</v>
      </c>
      <c r="Y389" s="46">
        <f t="shared" si="93"/>
        <v>0</v>
      </c>
      <c r="Z389" s="46">
        <f t="shared" si="93"/>
        <v>0</v>
      </c>
      <c r="AA389" s="46">
        <f t="shared" si="93"/>
        <v>0</v>
      </c>
      <c r="AB389" s="3"/>
    </row>
    <row r="390" spans="1:28" s="23" customFormat="1" ht="10.199999999999999" x14ac:dyDescent="0.2">
      <c r="A390" s="22"/>
      <c r="B390" s="22"/>
      <c r="C390" s="22"/>
      <c r="D390" s="22"/>
      <c r="E390" s="22" t="str">
        <f>E389</f>
        <v>амортизация прокатного инвентаря</v>
      </c>
      <c r="F390" s="22"/>
      <c r="G390" s="22" t="str">
        <f>IF($E390="","",INDEX(KPI!$G:$G,SUMIFS(KPI!$B:$B,KPI!$E:$E,$E390)))</f>
        <v>тыс.руб.</v>
      </c>
      <c r="H390" s="100">
        <f>структура!$V$12</f>
        <v>1</v>
      </c>
      <c r="I390" s="31"/>
      <c r="J390" s="98" t="str">
        <f>структура!$X$12</f>
        <v>янв</v>
      </c>
      <c r="K390" s="99"/>
      <c r="L390" s="22"/>
      <c r="M390" s="58"/>
      <c r="N390" s="22"/>
      <c r="O390" s="22"/>
      <c r="P390" s="101">
        <f>IF(P$1="",0,IF(AND(P$1=0,$H390&lt;MONTH($J$13)),0,IF(((YEAR(P$8)-1)*12+$H390)-((YEAR($J$13)-1)*12+MONTH($J$13))+1&gt;капитал!$J$130*12,0,IF(капитал!$J$130=0,0,капитал!$M$109/(капитал!$J$130*12)))))</f>
        <v>14.666666666666666</v>
      </c>
      <c r="Q390" s="101">
        <f>IF(Q$1="",0,IF(AND(Q$1=0,$H390&lt;MONTH($J$13)),0,IF(((YEAR(Q$8)-1)*12+$H390)-((YEAR($J$13)-1)*12+MONTH($J$13))+1&gt;капитал!$J$130*12,0,IF(капитал!$J$130=0,0,капитал!$M$109/(капитал!$J$130*12)))))</f>
        <v>14.666666666666666</v>
      </c>
      <c r="R390" s="101">
        <f>IF(R$1="",0,IF(AND(R$1=0,$H390&lt;MONTH($J$13)),0,IF(((YEAR(R$8)-1)*12+$H390)-((YEAR($J$13)-1)*12+MONTH($J$13))+1&gt;капитал!$J$130*12,0,IF(капитал!$J$130=0,0,капитал!$M$109/(капитал!$J$130*12)))))</f>
        <v>14.666666666666666</v>
      </c>
      <c r="S390" s="101">
        <f>IF(S$1="",0,IF(AND(S$1=0,$H390&lt;MONTH($J$13)),0,IF(((YEAR(S$8)-1)*12+$H390)-((YEAR($J$13)-1)*12+MONTH($J$13))+1&gt;капитал!$J$130*12,0,IF(капитал!$J$130=0,0,капитал!$M$109/(капитал!$J$130*12)))))</f>
        <v>14.666666666666666</v>
      </c>
      <c r="T390" s="101">
        <f>IF(T$1="",0,IF(AND(T$1=0,$H390&lt;MONTH($J$13)),0,IF(((YEAR(T$8)-1)*12+$H390)-((YEAR($J$13)-1)*12+MONTH($J$13))+1&gt;капитал!$J$130*12,0,IF(капитал!$J$130=0,0,капитал!$M$109/(капитал!$J$130*12)))))</f>
        <v>14.666666666666666</v>
      </c>
      <c r="U390" s="101">
        <f>IF(U$1="",0,IF(AND(U$1=0,$H390&lt;MONTH($J$13)),0,IF(((YEAR(U$8)-1)*12+$H390)-((YEAR($J$13)-1)*12+MONTH($J$13))+1&gt;капитал!$J$130*12,0,IF(капитал!$J$130=0,0,капитал!$M$109/(капитал!$J$130*12)))))</f>
        <v>0</v>
      </c>
      <c r="V390" s="101">
        <f>IF(V$1="",0,IF(AND(V$1=0,$H390&lt;MONTH($J$13)),0,IF(((YEAR(V$8)-1)*12+$H390)-((YEAR($J$13)-1)*12+MONTH($J$13))+1&gt;капитал!$J$130*12,0,IF(капитал!$J$130=0,0,капитал!$M$109/(капитал!$J$130*12)))))</f>
        <v>0</v>
      </c>
      <c r="W390" s="101">
        <f>IF(W$1="",0,IF(AND(W$1=0,$H390&lt;MONTH($J$13)),0,IF(((YEAR(W$8)-1)*12+$H390)-((YEAR($J$13)-1)*12+MONTH($J$13))+1&gt;капитал!$J$130*12,0,IF(капитал!$J$130=0,0,капитал!$M$109/(капитал!$J$130*12)))))</f>
        <v>0</v>
      </c>
      <c r="X390" s="101">
        <f>IF(X$1="",0,IF(AND(X$1=0,$H390&lt;MONTH($J$13)),0,IF(((YEAR(X$8)-1)*12+$H390)-((YEAR($J$13)-1)*12+MONTH($J$13))+1&gt;капитал!$J$130*12,0,IF(капитал!$J$130=0,0,капитал!$M$109/(капитал!$J$130*12)))))</f>
        <v>0</v>
      </c>
      <c r="Y390" s="101">
        <f>IF(Y$1="",0,IF(AND(Y$1=0,$H390&lt;MONTH($J$13)),0,IF(((YEAR(Y$8)-1)*12+$H390)-((YEAR($J$13)-1)*12+MONTH($J$13))+1&gt;капитал!$J$130*12,0,IF(капитал!$J$130=0,0,капитал!$M$109/(капитал!$J$130*12)))))</f>
        <v>0</v>
      </c>
      <c r="Z390" s="101">
        <f>IF(Z$1="",0,IF(AND(Z$1=0,$H390&lt;MONTH($J$13)),0,IF(((YEAR(Z$8)-1)*12+$H390)-((YEAR($J$13)-1)*12+MONTH($J$13))+1&gt;капитал!$J$130*12,0,IF(капитал!$J$130=0,0,капитал!$M$109/(капитал!$J$130*12)))))</f>
        <v>0</v>
      </c>
      <c r="AA390" s="101">
        <f>IF(AA$1="",0,IF(AND(AA$1=0,$H390&lt;MONTH($J$13)),0,IF(((YEAR(AA$8)-1)*12+$H390)-((YEAR($J$13)-1)*12+MONTH($J$13))+1&gt;капитал!$J$130*12,0,IF(капитал!$J$130=0,0,капитал!$M$109/(капитал!$J$130*12)))))</f>
        <v>0</v>
      </c>
      <c r="AB390" s="22"/>
    </row>
    <row r="391" spans="1:28" s="23" customFormat="1" ht="10.199999999999999" x14ac:dyDescent="0.2">
      <c r="A391" s="22"/>
      <c r="B391" s="22"/>
      <c r="C391" s="22"/>
      <c r="D391" s="22"/>
      <c r="E391" s="22" t="str">
        <f>E389</f>
        <v>амортизация прокатного инвентаря</v>
      </c>
      <c r="F391" s="22"/>
      <c r="G391" s="22" t="str">
        <f>IF($E391="","",INDEX(KPI!$G:$G,SUMIFS(KPI!$B:$B,KPI!$E:$E,$E391)))</f>
        <v>тыс.руб.</v>
      </c>
      <c r="H391" s="100">
        <f>структура!$V$13</f>
        <v>2</v>
      </c>
      <c r="I391" s="31"/>
      <c r="J391" s="98" t="str">
        <f>структура!$X$13</f>
        <v>фев</v>
      </c>
      <c r="K391" s="99"/>
      <c r="L391" s="22"/>
      <c r="M391" s="58"/>
      <c r="N391" s="22"/>
      <c r="O391" s="22"/>
      <c r="P391" s="101">
        <f>IF(P$1="",0,IF(AND(P$1=0,$H391&lt;MONTH($J$13)),0,IF(((YEAR(P$8)-1)*12+$H391)-((YEAR($J$13)-1)*12+MONTH($J$13))+1&gt;капитал!$J$130*12,0,IF(капитал!$J$130=0,0,капитал!$M$109/(капитал!$J$130*12)))))</f>
        <v>14.666666666666666</v>
      </c>
      <c r="Q391" s="101">
        <f>IF(Q$1="",0,IF(AND(Q$1=0,$H391&lt;MONTH($J$13)),0,IF(((YEAR(Q$8)-1)*12+$H391)-((YEAR($J$13)-1)*12+MONTH($J$13))+1&gt;капитал!$J$130*12,0,IF(капитал!$J$130=0,0,капитал!$M$109/(капитал!$J$130*12)))))</f>
        <v>14.666666666666666</v>
      </c>
      <c r="R391" s="101">
        <f>IF(R$1="",0,IF(AND(R$1=0,$H391&lt;MONTH($J$13)),0,IF(((YEAR(R$8)-1)*12+$H391)-((YEAR($J$13)-1)*12+MONTH($J$13))+1&gt;капитал!$J$130*12,0,IF(капитал!$J$130=0,0,капитал!$M$109/(капитал!$J$130*12)))))</f>
        <v>14.666666666666666</v>
      </c>
      <c r="S391" s="101">
        <f>IF(S$1="",0,IF(AND(S$1=0,$H391&lt;MONTH($J$13)),0,IF(((YEAR(S$8)-1)*12+$H391)-((YEAR($J$13)-1)*12+MONTH($J$13))+1&gt;капитал!$J$130*12,0,IF(капитал!$J$130=0,0,капитал!$M$109/(капитал!$J$130*12)))))</f>
        <v>14.666666666666666</v>
      </c>
      <c r="T391" s="101">
        <f>IF(T$1="",0,IF(AND(T$1=0,$H391&lt;MONTH($J$13)),0,IF(((YEAR(T$8)-1)*12+$H391)-((YEAR($J$13)-1)*12+MONTH($J$13))+1&gt;капитал!$J$130*12,0,IF(капитал!$J$130=0,0,капитал!$M$109/(капитал!$J$130*12)))))</f>
        <v>14.666666666666666</v>
      </c>
      <c r="U391" s="101">
        <f>IF(U$1="",0,IF(AND(U$1=0,$H391&lt;MONTH($J$13)),0,IF(((YEAR(U$8)-1)*12+$H391)-((YEAR($J$13)-1)*12+MONTH($J$13))+1&gt;капитал!$J$130*12,0,IF(капитал!$J$130=0,0,капитал!$M$109/(капитал!$J$130*12)))))</f>
        <v>0</v>
      </c>
      <c r="V391" s="101">
        <f>IF(V$1="",0,IF(AND(V$1=0,$H391&lt;MONTH($J$13)),0,IF(((YEAR(V$8)-1)*12+$H391)-((YEAR($J$13)-1)*12+MONTH($J$13))+1&gt;капитал!$J$130*12,0,IF(капитал!$J$130=0,0,капитал!$M$109/(капитал!$J$130*12)))))</f>
        <v>0</v>
      </c>
      <c r="W391" s="101">
        <f>IF(W$1="",0,IF(AND(W$1=0,$H391&lt;MONTH($J$13)),0,IF(((YEAR(W$8)-1)*12+$H391)-((YEAR($J$13)-1)*12+MONTH($J$13))+1&gt;капитал!$J$130*12,0,IF(капитал!$J$130=0,0,капитал!$M$109/(капитал!$J$130*12)))))</f>
        <v>0</v>
      </c>
      <c r="X391" s="101">
        <f>IF(X$1="",0,IF(AND(X$1=0,$H391&lt;MONTH($J$13)),0,IF(((YEAR(X$8)-1)*12+$H391)-((YEAR($J$13)-1)*12+MONTH($J$13))+1&gt;капитал!$J$130*12,0,IF(капитал!$J$130=0,0,капитал!$M$109/(капитал!$J$130*12)))))</f>
        <v>0</v>
      </c>
      <c r="Y391" s="101">
        <f>IF(Y$1="",0,IF(AND(Y$1=0,$H391&lt;MONTH($J$13)),0,IF(((YEAR(Y$8)-1)*12+$H391)-((YEAR($J$13)-1)*12+MONTH($J$13))+1&gt;капитал!$J$130*12,0,IF(капитал!$J$130=0,0,капитал!$M$109/(капитал!$J$130*12)))))</f>
        <v>0</v>
      </c>
      <c r="Z391" s="101">
        <f>IF(Z$1="",0,IF(AND(Z$1=0,$H391&lt;MONTH($J$13)),0,IF(((YEAR(Z$8)-1)*12+$H391)-((YEAR($J$13)-1)*12+MONTH($J$13))+1&gt;капитал!$J$130*12,0,IF(капитал!$J$130=0,0,капитал!$M$109/(капитал!$J$130*12)))))</f>
        <v>0</v>
      </c>
      <c r="AA391" s="101">
        <f>IF(AA$1="",0,IF(AND(AA$1=0,$H391&lt;MONTH($J$13)),0,IF(((YEAR(AA$8)-1)*12+$H391)-((YEAR($J$13)-1)*12+MONTH($J$13))+1&gt;капитал!$J$130*12,0,IF(капитал!$J$130=0,0,капитал!$M$109/(капитал!$J$130*12)))))</f>
        <v>0</v>
      </c>
      <c r="AB391" s="22"/>
    </row>
    <row r="392" spans="1:28" s="23" customFormat="1" ht="10.199999999999999" x14ac:dyDescent="0.2">
      <c r="A392" s="22"/>
      <c r="B392" s="22"/>
      <c r="C392" s="22"/>
      <c r="D392" s="22"/>
      <c r="E392" s="22" t="str">
        <f>E389</f>
        <v>амортизация прокатного инвентаря</v>
      </c>
      <c r="F392" s="22"/>
      <c r="G392" s="22" t="str">
        <f>IF($E392="","",INDEX(KPI!$G:$G,SUMIFS(KPI!$B:$B,KPI!$E:$E,$E392)))</f>
        <v>тыс.руб.</v>
      </c>
      <c r="H392" s="100">
        <f>структура!$V$14</f>
        <v>3</v>
      </c>
      <c r="I392" s="31"/>
      <c r="J392" s="98" t="str">
        <f>структура!$X$14</f>
        <v>мар</v>
      </c>
      <c r="K392" s="99"/>
      <c r="L392" s="22"/>
      <c r="M392" s="58"/>
      <c r="N392" s="22"/>
      <c r="O392" s="22"/>
      <c r="P392" s="101">
        <f>IF(P$1="",0,IF(AND(P$1=0,$H392&lt;MONTH($J$13)),0,IF(((YEAR(P$8)-1)*12+$H392)-((YEAR($J$13)-1)*12+MONTH($J$13))+1&gt;капитал!$J$130*12,0,IF(капитал!$J$130=0,0,капитал!$M$109/(капитал!$J$130*12)))))</f>
        <v>14.666666666666666</v>
      </c>
      <c r="Q392" s="101">
        <f>IF(Q$1="",0,IF(AND(Q$1=0,$H392&lt;MONTH($J$13)),0,IF(((YEAR(Q$8)-1)*12+$H392)-((YEAR($J$13)-1)*12+MONTH($J$13))+1&gt;капитал!$J$130*12,0,IF(капитал!$J$130=0,0,капитал!$M$109/(капитал!$J$130*12)))))</f>
        <v>14.666666666666666</v>
      </c>
      <c r="R392" s="101">
        <f>IF(R$1="",0,IF(AND(R$1=0,$H392&lt;MONTH($J$13)),0,IF(((YEAR(R$8)-1)*12+$H392)-((YEAR($J$13)-1)*12+MONTH($J$13))+1&gt;капитал!$J$130*12,0,IF(капитал!$J$130=0,0,капитал!$M$109/(капитал!$J$130*12)))))</f>
        <v>14.666666666666666</v>
      </c>
      <c r="S392" s="101">
        <f>IF(S$1="",0,IF(AND(S$1=0,$H392&lt;MONTH($J$13)),0,IF(((YEAR(S$8)-1)*12+$H392)-((YEAR($J$13)-1)*12+MONTH($J$13))+1&gt;капитал!$J$130*12,0,IF(капитал!$J$130=0,0,капитал!$M$109/(капитал!$J$130*12)))))</f>
        <v>14.666666666666666</v>
      </c>
      <c r="T392" s="101">
        <f>IF(T$1="",0,IF(AND(T$1=0,$H392&lt;MONTH($J$13)),0,IF(((YEAR(T$8)-1)*12+$H392)-((YEAR($J$13)-1)*12+MONTH($J$13))+1&gt;капитал!$J$130*12,0,IF(капитал!$J$130=0,0,капитал!$M$109/(капитал!$J$130*12)))))</f>
        <v>14.666666666666666</v>
      </c>
      <c r="U392" s="101">
        <f>IF(U$1="",0,IF(AND(U$1=0,$H392&lt;MONTH($J$13)),0,IF(((YEAR(U$8)-1)*12+$H392)-((YEAR($J$13)-1)*12+MONTH($J$13))+1&gt;капитал!$J$130*12,0,IF(капитал!$J$130=0,0,капитал!$M$109/(капитал!$J$130*12)))))</f>
        <v>0</v>
      </c>
      <c r="V392" s="101">
        <f>IF(V$1="",0,IF(AND(V$1=0,$H392&lt;MONTH($J$13)),0,IF(((YEAR(V$8)-1)*12+$H392)-((YEAR($J$13)-1)*12+MONTH($J$13))+1&gt;капитал!$J$130*12,0,IF(капитал!$J$130=0,0,капитал!$M$109/(капитал!$J$130*12)))))</f>
        <v>0</v>
      </c>
      <c r="W392" s="101">
        <f>IF(W$1="",0,IF(AND(W$1=0,$H392&lt;MONTH($J$13)),0,IF(((YEAR(W$8)-1)*12+$H392)-((YEAR($J$13)-1)*12+MONTH($J$13))+1&gt;капитал!$J$130*12,0,IF(капитал!$J$130=0,0,капитал!$M$109/(капитал!$J$130*12)))))</f>
        <v>0</v>
      </c>
      <c r="X392" s="101">
        <f>IF(X$1="",0,IF(AND(X$1=0,$H392&lt;MONTH($J$13)),0,IF(((YEAR(X$8)-1)*12+$H392)-((YEAR($J$13)-1)*12+MONTH($J$13))+1&gt;капитал!$J$130*12,0,IF(капитал!$J$130=0,0,капитал!$M$109/(капитал!$J$130*12)))))</f>
        <v>0</v>
      </c>
      <c r="Y392" s="101">
        <f>IF(Y$1="",0,IF(AND(Y$1=0,$H392&lt;MONTH($J$13)),0,IF(((YEAR(Y$8)-1)*12+$H392)-((YEAR($J$13)-1)*12+MONTH($J$13))+1&gt;капитал!$J$130*12,0,IF(капитал!$J$130=0,0,капитал!$M$109/(капитал!$J$130*12)))))</f>
        <v>0</v>
      </c>
      <c r="Z392" s="101">
        <f>IF(Z$1="",0,IF(AND(Z$1=0,$H392&lt;MONTH($J$13)),0,IF(((YEAR(Z$8)-1)*12+$H392)-((YEAR($J$13)-1)*12+MONTH($J$13))+1&gt;капитал!$J$130*12,0,IF(капитал!$J$130=0,0,капитал!$M$109/(капитал!$J$130*12)))))</f>
        <v>0</v>
      </c>
      <c r="AA392" s="101">
        <f>IF(AA$1="",0,IF(AND(AA$1=0,$H392&lt;MONTH($J$13)),0,IF(((YEAR(AA$8)-1)*12+$H392)-((YEAR($J$13)-1)*12+MONTH($J$13))+1&gt;капитал!$J$130*12,0,IF(капитал!$J$130=0,0,капитал!$M$109/(капитал!$J$130*12)))))</f>
        <v>0</v>
      </c>
      <c r="AB392" s="22"/>
    </row>
    <row r="393" spans="1:28" s="23" customFormat="1" ht="10.199999999999999" x14ac:dyDescent="0.2">
      <c r="A393" s="22"/>
      <c r="B393" s="22"/>
      <c r="C393" s="22"/>
      <c r="D393" s="22"/>
      <c r="E393" s="22" t="str">
        <f>E389</f>
        <v>амортизация прокатного инвентаря</v>
      </c>
      <c r="F393" s="22"/>
      <c r="G393" s="22" t="str">
        <f>IF($E393="","",INDEX(KPI!$G:$G,SUMIFS(KPI!$B:$B,KPI!$E:$E,$E393)))</f>
        <v>тыс.руб.</v>
      </c>
      <c r="H393" s="100">
        <f>структура!$V$15</f>
        <v>4</v>
      </c>
      <c r="I393" s="31"/>
      <c r="J393" s="98" t="str">
        <f>структура!$X$15</f>
        <v>апр</v>
      </c>
      <c r="K393" s="99"/>
      <c r="L393" s="22"/>
      <c r="M393" s="58"/>
      <c r="N393" s="22"/>
      <c r="O393" s="22"/>
      <c r="P393" s="101">
        <f>IF(P$1="",0,IF(AND(P$1=0,$H393&lt;MONTH($J$13)),0,IF(((YEAR(P$8)-1)*12+$H393)-((YEAR($J$13)-1)*12+MONTH($J$13))+1&gt;капитал!$J$130*12,0,IF(капитал!$J$130=0,0,капитал!$M$109/(капитал!$J$130*12)))))</f>
        <v>14.666666666666666</v>
      </c>
      <c r="Q393" s="101">
        <f>IF(Q$1="",0,IF(AND(Q$1=0,$H393&lt;MONTH($J$13)),0,IF(((YEAR(Q$8)-1)*12+$H393)-((YEAR($J$13)-1)*12+MONTH($J$13))+1&gt;капитал!$J$130*12,0,IF(капитал!$J$130=0,0,капитал!$M$109/(капитал!$J$130*12)))))</f>
        <v>14.666666666666666</v>
      </c>
      <c r="R393" s="101">
        <f>IF(R$1="",0,IF(AND(R$1=0,$H393&lt;MONTH($J$13)),0,IF(((YEAR(R$8)-1)*12+$H393)-((YEAR($J$13)-1)*12+MONTH($J$13))+1&gt;капитал!$J$130*12,0,IF(капитал!$J$130=0,0,капитал!$M$109/(капитал!$J$130*12)))))</f>
        <v>14.666666666666666</v>
      </c>
      <c r="S393" s="101">
        <f>IF(S$1="",0,IF(AND(S$1=0,$H393&lt;MONTH($J$13)),0,IF(((YEAR(S$8)-1)*12+$H393)-((YEAR($J$13)-1)*12+MONTH($J$13))+1&gt;капитал!$J$130*12,0,IF(капитал!$J$130=0,0,капитал!$M$109/(капитал!$J$130*12)))))</f>
        <v>14.666666666666666</v>
      </c>
      <c r="T393" s="101">
        <f>IF(T$1="",0,IF(AND(T$1=0,$H393&lt;MONTH($J$13)),0,IF(((YEAR(T$8)-1)*12+$H393)-((YEAR($J$13)-1)*12+MONTH($J$13))+1&gt;капитал!$J$130*12,0,IF(капитал!$J$130=0,0,капитал!$M$109/(капитал!$J$130*12)))))</f>
        <v>14.666666666666666</v>
      </c>
      <c r="U393" s="101">
        <f>IF(U$1="",0,IF(AND(U$1=0,$H393&lt;MONTH($J$13)),0,IF(((YEAR(U$8)-1)*12+$H393)-((YEAR($J$13)-1)*12+MONTH($J$13))+1&gt;капитал!$J$130*12,0,IF(капитал!$J$130=0,0,капитал!$M$109/(капитал!$J$130*12)))))</f>
        <v>0</v>
      </c>
      <c r="V393" s="101">
        <f>IF(V$1="",0,IF(AND(V$1=0,$H393&lt;MONTH($J$13)),0,IF(((YEAR(V$8)-1)*12+$H393)-((YEAR($J$13)-1)*12+MONTH($J$13))+1&gt;капитал!$J$130*12,0,IF(капитал!$J$130=0,0,капитал!$M$109/(капитал!$J$130*12)))))</f>
        <v>0</v>
      </c>
      <c r="W393" s="101">
        <f>IF(W$1="",0,IF(AND(W$1=0,$H393&lt;MONTH($J$13)),0,IF(((YEAR(W$8)-1)*12+$H393)-((YEAR($J$13)-1)*12+MONTH($J$13))+1&gt;капитал!$J$130*12,0,IF(капитал!$J$130=0,0,капитал!$M$109/(капитал!$J$130*12)))))</f>
        <v>0</v>
      </c>
      <c r="X393" s="101">
        <f>IF(X$1="",0,IF(AND(X$1=0,$H393&lt;MONTH($J$13)),0,IF(((YEAR(X$8)-1)*12+$H393)-((YEAR($J$13)-1)*12+MONTH($J$13))+1&gt;капитал!$J$130*12,0,IF(капитал!$J$130=0,0,капитал!$M$109/(капитал!$J$130*12)))))</f>
        <v>0</v>
      </c>
      <c r="Y393" s="101">
        <f>IF(Y$1="",0,IF(AND(Y$1=0,$H393&lt;MONTH($J$13)),0,IF(((YEAR(Y$8)-1)*12+$H393)-((YEAR($J$13)-1)*12+MONTH($J$13))+1&gt;капитал!$J$130*12,0,IF(капитал!$J$130=0,0,капитал!$M$109/(капитал!$J$130*12)))))</f>
        <v>0</v>
      </c>
      <c r="Z393" s="101">
        <f>IF(Z$1="",0,IF(AND(Z$1=0,$H393&lt;MONTH($J$13)),0,IF(((YEAR(Z$8)-1)*12+$H393)-((YEAR($J$13)-1)*12+MONTH($J$13))+1&gt;капитал!$J$130*12,0,IF(капитал!$J$130=0,0,капитал!$M$109/(капитал!$J$130*12)))))</f>
        <v>0</v>
      </c>
      <c r="AA393" s="101">
        <f>IF(AA$1="",0,IF(AND(AA$1=0,$H393&lt;MONTH($J$13)),0,IF(((YEAR(AA$8)-1)*12+$H393)-((YEAR($J$13)-1)*12+MONTH($J$13))+1&gt;капитал!$J$130*12,0,IF(капитал!$J$130=0,0,капитал!$M$109/(капитал!$J$130*12)))))</f>
        <v>0</v>
      </c>
      <c r="AB393" s="22"/>
    </row>
    <row r="394" spans="1:28" s="23" customFormat="1" ht="10.199999999999999" x14ac:dyDescent="0.2">
      <c r="A394" s="22"/>
      <c r="B394" s="22"/>
      <c r="C394" s="22"/>
      <c r="D394" s="22"/>
      <c r="E394" s="22" t="str">
        <f>E389</f>
        <v>амортизация прокатного инвентаря</v>
      </c>
      <c r="F394" s="22"/>
      <c r="G394" s="22" t="str">
        <f>IF($E394="","",INDEX(KPI!$G:$G,SUMIFS(KPI!$B:$B,KPI!$E:$E,$E394)))</f>
        <v>тыс.руб.</v>
      </c>
      <c r="H394" s="100">
        <f>структура!$V$16</f>
        <v>5</v>
      </c>
      <c r="I394" s="31"/>
      <c r="J394" s="98" t="str">
        <f>структура!$X$16</f>
        <v>май</v>
      </c>
      <c r="K394" s="99"/>
      <c r="L394" s="22"/>
      <c r="M394" s="58"/>
      <c r="N394" s="22"/>
      <c r="O394" s="22"/>
      <c r="P394" s="101">
        <f>IF(P$1="",0,IF(AND(P$1=0,$H394&lt;MONTH($J$13)),0,IF(((YEAR(P$8)-1)*12+$H394)-((YEAR($J$13)-1)*12+MONTH($J$13))+1&gt;капитал!$J$130*12,0,IF(капитал!$J$130=0,0,капитал!$M$109/(капитал!$J$130*12)))))</f>
        <v>14.666666666666666</v>
      </c>
      <c r="Q394" s="101">
        <f>IF(Q$1="",0,IF(AND(Q$1=0,$H394&lt;MONTH($J$13)),0,IF(((YEAR(Q$8)-1)*12+$H394)-((YEAR($J$13)-1)*12+MONTH($J$13))+1&gt;капитал!$J$130*12,0,IF(капитал!$J$130=0,0,капитал!$M$109/(капитал!$J$130*12)))))</f>
        <v>14.666666666666666</v>
      </c>
      <c r="R394" s="101">
        <f>IF(R$1="",0,IF(AND(R$1=0,$H394&lt;MONTH($J$13)),0,IF(((YEAR(R$8)-1)*12+$H394)-((YEAR($J$13)-1)*12+MONTH($J$13))+1&gt;капитал!$J$130*12,0,IF(капитал!$J$130=0,0,капитал!$M$109/(капитал!$J$130*12)))))</f>
        <v>14.666666666666666</v>
      </c>
      <c r="S394" s="101">
        <f>IF(S$1="",0,IF(AND(S$1=0,$H394&lt;MONTH($J$13)),0,IF(((YEAR(S$8)-1)*12+$H394)-((YEAR($J$13)-1)*12+MONTH($J$13))+1&gt;капитал!$J$130*12,0,IF(капитал!$J$130=0,0,капитал!$M$109/(капитал!$J$130*12)))))</f>
        <v>14.666666666666666</v>
      </c>
      <c r="T394" s="101">
        <f>IF(T$1="",0,IF(AND(T$1=0,$H394&lt;MONTH($J$13)),0,IF(((YEAR(T$8)-1)*12+$H394)-((YEAR($J$13)-1)*12+MONTH($J$13))+1&gt;капитал!$J$130*12,0,IF(капитал!$J$130=0,0,капитал!$M$109/(капитал!$J$130*12)))))</f>
        <v>14.666666666666666</v>
      </c>
      <c r="U394" s="101">
        <f>IF(U$1="",0,IF(AND(U$1=0,$H394&lt;MONTH($J$13)),0,IF(((YEAR(U$8)-1)*12+$H394)-((YEAR($J$13)-1)*12+MONTH($J$13))+1&gt;капитал!$J$130*12,0,IF(капитал!$J$130=0,0,капитал!$M$109/(капитал!$J$130*12)))))</f>
        <v>0</v>
      </c>
      <c r="V394" s="101">
        <f>IF(V$1="",0,IF(AND(V$1=0,$H394&lt;MONTH($J$13)),0,IF(((YEAR(V$8)-1)*12+$H394)-((YEAR($J$13)-1)*12+MONTH($J$13))+1&gt;капитал!$J$130*12,0,IF(капитал!$J$130=0,0,капитал!$M$109/(капитал!$J$130*12)))))</f>
        <v>0</v>
      </c>
      <c r="W394" s="101">
        <f>IF(W$1="",0,IF(AND(W$1=0,$H394&lt;MONTH($J$13)),0,IF(((YEAR(W$8)-1)*12+$H394)-((YEAR($J$13)-1)*12+MONTH($J$13))+1&gt;капитал!$J$130*12,0,IF(капитал!$J$130=0,0,капитал!$M$109/(капитал!$J$130*12)))))</f>
        <v>0</v>
      </c>
      <c r="X394" s="101">
        <f>IF(X$1="",0,IF(AND(X$1=0,$H394&lt;MONTH($J$13)),0,IF(((YEAR(X$8)-1)*12+$H394)-((YEAR($J$13)-1)*12+MONTH($J$13))+1&gt;капитал!$J$130*12,0,IF(капитал!$J$130=0,0,капитал!$M$109/(капитал!$J$130*12)))))</f>
        <v>0</v>
      </c>
      <c r="Y394" s="101">
        <f>IF(Y$1="",0,IF(AND(Y$1=0,$H394&lt;MONTH($J$13)),0,IF(((YEAR(Y$8)-1)*12+$H394)-((YEAR($J$13)-1)*12+MONTH($J$13))+1&gt;капитал!$J$130*12,0,IF(капитал!$J$130=0,0,капитал!$M$109/(капитал!$J$130*12)))))</f>
        <v>0</v>
      </c>
      <c r="Z394" s="101">
        <f>IF(Z$1="",0,IF(AND(Z$1=0,$H394&lt;MONTH($J$13)),0,IF(((YEAR(Z$8)-1)*12+$H394)-((YEAR($J$13)-1)*12+MONTH($J$13))+1&gt;капитал!$J$130*12,0,IF(капитал!$J$130=0,0,капитал!$M$109/(капитал!$J$130*12)))))</f>
        <v>0</v>
      </c>
      <c r="AA394" s="101">
        <f>IF(AA$1="",0,IF(AND(AA$1=0,$H394&lt;MONTH($J$13)),0,IF(((YEAR(AA$8)-1)*12+$H394)-((YEAR($J$13)-1)*12+MONTH($J$13))+1&gt;капитал!$J$130*12,0,IF(капитал!$J$130=0,0,капитал!$M$109/(капитал!$J$130*12)))))</f>
        <v>0</v>
      </c>
      <c r="AB394" s="22"/>
    </row>
    <row r="395" spans="1:28" s="23" customFormat="1" ht="10.199999999999999" x14ac:dyDescent="0.2">
      <c r="A395" s="22"/>
      <c r="B395" s="22"/>
      <c r="C395" s="22"/>
      <c r="D395" s="22"/>
      <c r="E395" s="22" t="str">
        <f>E389</f>
        <v>амортизация прокатного инвентаря</v>
      </c>
      <c r="F395" s="22"/>
      <c r="G395" s="22" t="str">
        <f>IF($E395="","",INDEX(KPI!$G:$G,SUMIFS(KPI!$B:$B,KPI!$E:$E,$E395)))</f>
        <v>тыс.руб.</v>
      </c>
      <c r="H395" s="100">
        <f>структура!$V$17</f>
        <v>6</v>
      </c>
      <c r="I395" s="31"/>
      <c r="J395" s="98" t="str">
        <f>структура!$X$17</f>
        <v>июн</v>
      </c>
      <c r="K395" s="99"/>
      <c r="L395" s="22"/>
      <c r="M395" s="58"/>
      <c r="N395" s="22"/>
      <c r="O395" s="22"/>
      <c r="P395" s="101">
        <f>IF(P$1="",0,IF(AND(P$1=0,$H395&lt;MONTH($J$13)),0,IF(((YEAR(P$8)-1)*12+$H395)-((YEAR($J$13)-1)*12+MONTH($J$13))+1&gt;капитал!$J$130*12,0,IF(капитал!$J$130=0,0,капитал!$M$109/(капитал!$J$130*12)))))</f>
        <v>14.666666666666666</v>
      </c>
      <c r="Q395" s="101">
        <f>IF(Q$1="",0,IF(AND(Q$1=0,$H395&lt;MONTH($J$13)),0,IF(((YEAR(Q$8)-1)*12+$H395)-((YEAR($J$13)-1)*12+MONTH($J$13))+1&gt;капитал!$J$130*12,0,IF(капитал!$J$130=0,0,капитал!$M$109/(капитал!$J$130*12)))))</f>
        <v>14.666666666666666</v>
      </c>
      <c r="R395" s="101">
        <f>IF(R$1="",0,IF(AND(R$1=0,$H395&lt;MONTH($J$13)),0,IF(((YEAR(R$8)-1)*12+$H395)-((YEAR($J$13)-1)*12+MONTH($J$13))+1&gt;капитал!$J$130*12,0,IF(капитал!$J$130=0,0,капитал!$M$109/(капитал!$J$130*12)))))</f>
        <v>14.666666666666666</v>
      </c>
      <c r="S395" s="101">
        <f>IF(S$1="",0,IF(AND(S$1=0,$H395&lt;MONTH($J$13)),0,IF(((YEAR(S$8)-1)*12+$H395)-((YEAR($J$13)-1)*12+MONTH($J$13))+1&gt;капитал!$J$130*12,0,IF(капитал!$J$130=0,0,капитал!$M$109/(капитал!$J$130*12)))))</f>
        <v>14.666666666666666</v>
      </c>
      <c r="T395" s="101">
        <f>IF(T$1="",0,IF(AND(T$1=0,$H395&lt;MONTH($J$13)),0,IF(((YEAR(T$8)-1)*12+$H395)-((YEAR($J$13)-1)*12+MONTH($J$13))+1&gt;капитал!$J$130*12,0,IF(капитал!$J$130=0,0,капитал!$M$109/(капитал!$J$130*12)))))</f>
        <v>14.666666666666666</v>
      </c>
      <c r="U395" s="101">
        <f>IF(U$1="",0,IF(AND(U$1=0,$H395&lt;MONTH($J$13)),0,IF(((YEAR(U$8)-1)*12+$H395)-((YEAR($J$13)-1)*12+MONTH($J$13))+1&gt;капитал!$J$130*12,0,IF(капитал!$J$130=0,0,капитал!$M$109/(капитал!$J$130*12)))))</f>
        <v>0</v>
      </c>
      <c r="V395" s="101">
        <f>IF(V$1="",0,IF(AND(V$1=0,$H395&lt;MONTH($J$13)),0,IF(((YEAR(V$8)-1)*12+$H395)-((YEAR($J$13)-1)*12+MONTH($J$13))+1&gt;капитал!$J$130*12,0,IF(капитал!$J$130=0,0,капитал!$M$109/(капитал!$J$130*12)))))</f>
        <v>0</v>
      </c>
      <c r="W395" s="101">
        <f>IF(W$1="",0,IF(AND(W$1=0,$H395&lt;MONTH($J$13)),0,IF(((YEAR(W$8)-1)*12+$H395)-((YEAR($J$13)-1)*12+MONTH($J$13))+1&gt;капитал!$J$130*12,0,IF(капитал!$J$130=0,0,капитал!$M$109/(капитал!$J$130*12)))))</f>
        <v>0</v>
      </c>
      <c r="X395" s="101">
        <f>IF(X$1="",0,IF(AND(X$1=0,$H395&lt;MONTH($J$13)),0,IF(((YEAR(X$8)-1)*12+$H395)-((YEAR($J$13)-1)*12+MONTH($J$13))+1&gt;капитал!$J$130*12,0,IF(капитал!$J$130=0,0,капитал!$M$109/(капитал!$J$130*12)))))</f>
        <v>0</v>
      </c>
      <c r="Y395" s="101">
        <f>IF(Y$1="",0,IF(AND(Y$1=0,$H395&lt;MONTH($J$13)),0,IF(((YEAR(Y$8)-1)*12+$H395)-((YEAR($J$13)-1)*12+MONTH($J$13))+1&gt;капитал!$J$130*12,0,IF(капитал!$J$130=0,0,капитал!$M$109/(капитал!$J$130*12)))))</f>
        <v>0</v>
      </c>
      <c r="Z395" s="101">
        <f>IF(Z$1="",0,IF(AND(Z$1=0,$H395&lt;MONTH($J$13)),0,IF(((YEAR(Z$8)-1)*12+$H395)-((YEAR($J$13)-1)*12+MONTH($J$13))+1&gt;капитал!$J$130*12,0,IF(капитал!$J$130=0,0,капитал!$M$109/(капитал!$J$130*12)))))</f>
        <v>0</v>
      </c>
      <c r="AA395" s="101">
        <f>IF(AA$1="",0,IF(AND(AA$1=0,$H395&lt;MONTH($J$13)),0,IF(((YEAR(AA$8)-1)*12+$H395)-((YEAR($J$13)-1)*12+MONTH($J$13))+1&gt;капитал!$J$130*12,0,IF(капитал!$J$130=0,0,капитал!$M$109/(капитал!$J$130*12)))))</f>
        <v>0</v>
      </c>
      <c r="AB395" s="22"/>
    </row>
    <row r="396" spans="1:28" s="23" customFormat="1" ht="10.199999999999999" x14ac:dyDescent="0.2">
      <c r="A396" s="22"/>
      <c r="B396" s="22"/>
      <c r="C396" s="22"/>
      <c r="D396" s="22"/>
      <c r="E396" s="22" t="str">
        <f>E389</f>
        <v>амортизация прокатного инвентаря</v>
      </c>
      <c r="F396" s="22"/>
      <c r="G396" s="22" t="str">
        <f>IF($E396="","",INDEX(KPI!$G:$G,SUMIFS(KPI!$B:$B,KPI!$E:$E,$E396)))</f>
        <v>тыс.руб.</v>
      </c>
      <c r="H396" s="100">
        <f>структура!$V$18</f>
        <v>7</v>
      </c>
      <c r="I396" s="31"/>
      <c r="J396" s="98" t="str">
        <f>структура!$X$18</f>
        <v>июл</v>
      </c>
      <c r="K396" s="99"/>
      <c r="L396" s="22"/>
      <c r="M396" s="58"/>
      <c r="N396" s="22"/>
      <c r="O396" s="22"/>
      <c r="P396" s="101">
        <f>IF(P$1="",0,IF(AND(P$1=0,$H396&lt;MONTH($J$13)),0,IF(((YEAR(P$8)-1)*12+$H396)-((YEAR($J$13)-1)*12+MONTH($J$13))+1&gt;капитал!$J$130*12,0,IF(капитал!$J$130=0,0,капитал!$M$109/(капитал!$J$130*12)))))</f>
        <v>14.666666666666666</v>
      </c>
      <c r="Q396" s="101">
        <f>IF(Q$1="",0,IF(AND(Q$1=0,$H396&lt;MONTH($J$13)),0,IF(((YEAR(Q$8)-1)*12+$H396)-((YEAR($J$13)-1)*12+MONTH($J$13))+1&gt;капитал!$J$130*12,0,IF(капитал!$J$130=0,0,капитал!$M$109/(капитал!$J$130*12)))))</f>
        <v>14.666666666666666</v>
      </c>
      <c r="R396" s="101">
        <f>IF(R$1="",0,IF(AND(R$1=0,$H396&lt;MONTH($J$13)),0,IF(((YEAR(R$8)-1)*12+$H396)-((YEAR($J$13)-1)*12+MONTH($J$13))+1&gt;капитал!$J$130*12,0,IF(капитал!$J$130=0,0,капитал!$M$109/(капитал!$J$130*12)))))</f>
        <v>14.666666666666666</v>
      </c>
      <c r="S396" s="101">
        <f>IF(S$1="",0,IF(AND(S$1=0,$H396&lt;MONTH($J$13)),0,IF(((YEAR(S$8)-1)*12+$H396)-((YEAR($J$13)-1)*12+MONTH($J$13))+1&gt;капитал!$J$130*12,0,IF(капитал!$J$130=0,0,капитал!$M$109/(капитал!$J$130*12)))))</f>
        <v>14.666666666666666</v>
      </c>
      <c r="T396" s="101">
        <f>IF(T$1="",0,IF(AND(T$1=0,$H396&lt;MONTH($J$13)),0,IF(((YEAR(T$8)-1)*12+$H396)-((YEAR($J$13)-1)*12+MONTH($J$13))+1&gt;капитал!$J$130*12,0,IF(капитал!$J$130=0,0,капитал!$M$109/(капитал!$J$130*12)))))</f>
        <v>14.666666666666666</v>
      </c>
      <c r="U396" s="101">
        <f>IF(U$1="",0,IF(AND(U$1=0,$H396&lt;MONTH($J$13)),0,IF(((YEAR(U$8)-1)*12+$H396)-((YEAR($J$13)-1)*12+MONTH($J$13))+1&gt;капитал!$J$130*12,0,IF(капитал!$J$130=0,0,капитал!$M$109/(капитал!$J$130*12)))))</f>
        <v>0</v>
      </c>
      <c r="V396" s="101">
        <f>IF(V$1="",0,IF(AND(V$1=0,$H396&lt;MONTH($J$13)),0,IF(((YEAR(V$8)-1)*12+$H396)-((YEAR($J$13)-1)*12+MONTH($J$13))+1&gt;капитал!$J$130*12,0,IF(капитал!$J$130=0,0,капитал!$M$109/(капитал!$J$130*12)))))</f>
        <v>0</v>
      </c>
      <c r="W396" s="101">
        <f>IF(W$1="",0,IF(AND(W$1=0,$H396&lt;MONTH($J$13)),0,IF(((YEAR(W$8)-1)*12+$H396)-((YEAR($J$13)-1)*12+MONTH($J$13))+1&gt;капитал!$J$130*12,0,IF(капитал!$J$130=0,0,капитал!$M$109/(капитал!$J$130*12)))))</f>
        <v>0</v>
      </c>
      <c r="X396" s="101">
        <f>IF(X$1="",0,IF(AND(X$1=0,$H396&lt;MONTH($J$13)),0,IF(((YEAR(X$8)-1)*12+$H396)-((YEAR($J$13)-1)*12+MONTH($J$13))+1&gt;капитал!$J$130*12,0,IF(капитал!$J$130=0,0,капитал!$M$109/(капитал!$J$130*12)))))</f>
        <v>0</v>
      </c>
      <c r="Y396" s="101">
        <f>IF(Y$1="",0,IF(AND(Y$1=0,$H396&lt;MONTH($J$13)),0,IF(((YEAR(Y$8)-1)*12+$H396)-((YEAR($J$13)-1)*12+MONTH($J$13))+1&gt;капитал!$J$130*12,0,IF(капитал!$J$130=0,0,капитал!$M$109/(капитал!$J$130*12)))))</f>
        <v>0</v>
      </c>
      <c r="Z396" s="101">
        <f>IF(Z$1="",0,IF(AND(Z$1=0,$H396&lt;MONTH($J$13)),0,IF(((YEAR(Z$8)-1)*12+$H396)-((YEAR($J$13)-1)*12+MONTH($J$13))+1&gt;капитал!$J$130*12,0,IF(капитал!$J$130=0,0,капитал!$M$109/(капитал!$J$130*12)))))</f>
        <v>0</v>
      </c>
      <c r="AA396" s="101">
        <f>IF(AA$1="",0,IF(AND(AA$1=0,$H396&lt;MONTH($J$13)),0,IF(((YEAR(AA$8)-1)*12+$H396)-((YEAR($J$13)-1)*12+MONTH($J$13))+1&gt;капитал!$J$130*12,0,IF(капитал!$J$130=0,0,капитал!$M$109/(капитал!$J$130*12)))))</f>
        <v>0</v>
      </c>
      <c r="AB396" s="22"/>
    </row>
    <row r="397" spans="1:28" s="23" customFormat="1" ht="10.199999999999999" x14ac:dyDescent="0.2">
      <c r="A397" s="22"/>
      <c r="B397" s="22"/>
      <c r="C397" s="22"/>
      <c r="D397" s="22"/>
      <c r="E397" s="22" t="str">
        <f>E389</f>
        <v>амортизация прокатного инвентаря</v>
      </c>
      <c r="F397" s="22"/>
      <c r="G397" s="22" t="str">
        <f>IF($E397="","",INDEX(KPI!$G:$G,SUMIFS(KPI!$B:$B,KPI!$E:$E,$E397)))</f>
        <v>тыс.руб.</v>
      </c>
      <c r="H397" s="100">
        <f>структура!$V$19</f>
        <v>8</v>
      </c>
      <c r="I397" s="31"/>
      <c r="J397" s="98" t="str">
        <f>структура!$X$19</f>
        <v>авг</v>
      </c>
      <c r="K397" s="99"/>
      <c r="L397" s="22"/>
      <c r="M397" s="58"/>
      <c r="N397" s="22"/>
      <c r="O397" s="22"/>
      <c r="P397" s="101">
        <f>IF(P$1="",0,IF(AND(P$1=0,$H397&lt;MONTH($J$13)),0,IF(((YEAR(P$8)-1)*12+$H397)-((YEAR($J$13)-1)*12+MONTH($J$13))+1&gt;капитал!$J$130*12,0,IF(капитал!$J$130=0,0,капитал!$M$109/(капитал!$J$130*12)))))</f>
        <v>14.666666666666666</v>
      </c>
      <c r="Q397" s="101">
        <f>IF(Q$1="",0,IF(AND(Q$1=0,$H397&lt;MONTH($J$13)),0,IF(((YEAR(Q$8)-1)*12+$H397)-((YEAR($J$13)-1)*12+MONTH($J$13))+1&gt;капитал!$J$130*12,0,IF(капитал!$J$130=0,0,капитал!$M$109/(капитал!$J$130*12)))))</f>
        <v>14.666666666666666</v>
      </c>
      <c r="R397" s="101">
        <f>IF(R$1="",0,IF(AND(R$1=0,$H397&lt;MONTH($J$13)),0,IF(((YEAR(R$8)-1)*12+$H397)-((YEAR($J$13)-1)*12+MONTH($J$13))+1&gt;капитал!$J$130*12,0,IF(капитал!$J$130=0,0,капитал!$M$109/(капитал!$J$130*12)))))</f>
        <v>14.666666666666666</v>
      </c>
      <c r="S397" s="101">
        <f>IF(S$1="",0,IF(AND(S$1=0,$H397&lt;MONTH($J$13)),0,IF(((YEAR(S$8)-1)*12+$H397)-((YEAR($J$13)-1)*12+MONTH($J$13))+1&gt;капитал!$J$130*12,0,IF(капитал!$J$130=0,0,капитал!$M$109/(капитал!$J$130*12)))))</f>
        <v>14.666666666666666</v>
      </c>
      <c r="T397" s="101">
        <f>IF(T$1="",0,IF(AND(T$1=0,$H397&lt;MONTH($J$13)),0,IF(((YEAR(T$8)-1)*12+$H397)-((YEAR($J$13)-1)*12+MONTH($J$13))+1&gt;капитал!$J$130*12,0,IF(капитал!$J$130=0,0,капитал!$M$109/(капитал!$J$130*12)))))</f>
        <v>14.666666666666666</v>
      </c>
      <c r="U397" s="101">
        <f>IF(U$1="",0,IF(AND(U$1=0,$H397&lt;MONTH($J$13)),0,IF(((YEAR(U$8)-1)*12+$H397)-((YEAR($J$13)-1)*12+MONTH($J$13))+1&gt;капитал!$J$130*12,0,IF(капитал!$J$130=0,0,капитал!$M$109/(капитал!$J$130*12)))))</f>
        <v>0</v>
      </c>
      <c r="V397" s="101">
        <f>IF(V$1="",0,IF(AND(V$1=0,$H397&lt;MONTH($J$13)),0,IF(((YEAR(V$8)-1)*12+$H397)-((YEAR($J$13)-1)*12+MONTH($J$13))+1&gt;капитал!$J$130*12,0,IF(капитал!$J$130=0,0,капитал!$M$109/(капитал!$J$130*12)))))</f>
        <v>0</v>
      </c>
      <c r="W397" s="101">
        <f>IF(W$1="",0,IF(AND(W$1=0,$H397&lt;MONTH($J$13)),0,IF(((YEAR(W$8)-1)*12+$H397)-((YEAR($J$13)-1)*12+MONTH($J$13))+1&gt;капитал!$J$130*12,0,IF(капитал!$J$130=0,0,капитал!$M$109/(капитал!$J$130*12)))))</f>
        <v>0</v>
      </c>
      <c r="X397" s="101">
        <f>IF(X$1="",0,IF(AND(X$1=0,$H397&lt;MONTH($J$13)),0,IF(((YEAR(X$8)-1)*12+$H397)-((YEAR($J$13)-1)*12+MONTH($J$13))+1&gt;капитал!$J$130*12,0,IF(капитал!$J$130=0,0,капитал!$M$109/(капитал!$J$130*12)))))</f>
        <v>0</v>
      </c>
      <c r="Y397" s="101">
        <f>IF(Y$1="",0,IF(AND(Y$1=0,$H397&lt;MONTH($J$13)),0,IF(((YEAR(Y$8)-1)*12+$H397)-((YEAR($J$13)-1)*12+MONTH($J$13))+1&gt;капитал!$J$130*12,0,IF(капитал!$J$130=0,0,капитал!$M$109/(капитал!$J$130*12)))))</f>
        <v>0</v>
      </c>
      <c r="Z397" s="101">
        <f>IF(Z$1="",0,IF(AND(Z$1=0,$H397&lt;MONTH($J$13)),0,IF(((YEAR(Z$8)-1)*12+$H397)-((YEAR($J$13)-1)*12+MONTH($J$13))+1&gt;капитал!$J$130*12,0,IF(капитал!$J$130=0,0,капитал!$M$109/(капитал!$J$130*12)))))</f>
        <v>0</v>
      </c>
      <c r="AA397" s="101">
        <f>IF(AA$1="",0,IF(AND(AA$1=0,$H397&lt;MONTH($J$13)),0,IF(((YEAR(AA$8)-1)*12+$H397)-((YEAR($J$13)-1)*12+MONTH($J$13))+1&gt;капитал!$J$130*12,0,IF(капитал!$J$130=0,0,капитал!$M$109/(капитал!$J$130*12)))))</f>
        <v>0</v>
      </c>
      <c r="AB397" s="22"/>
    </row>
    <row r="398" spans="1:28" s="23" customFormat="1" ht="10.199999999999999" x14ac:dyDescent="0.2">
      <c r="A398" s="22"/>
      <c r="B398" s="22"/>
      <c r="C398" s="22"/>
      <c r="D398" s="22"/>
      <c r="E398" s="22" t="str">
        <f>E389</f>
        <v>амортизация прокатного инвентаря</v>
      </c>
      <c r="F398" s="22"/>
      <c r="G398" s="22" t="str">
        <f>IF($E398="","",INDEX(KPI!$G:$G,SUMIFS(KPI!$B:$B,KPI!$E:$E,$E398)))</f>
        <v>тыс.руб.</v>
      </c>
      <c r="H398" s="100">
        <f>структура!$V$20</f>
        <v>9</v>
      </c>
      <c r="I398" s="31"/>
      <c r="J398" s="98" t="str">
        <f>структура!$X$20</f>
        <v>сен</v>
      </c>
      <c r="K398" s="99"/>
      <c r="L398" s="22"/>
      <c r="M398" s="58"/>
      <c r="N398" s="22"/>
      <c r="O398" s="22"/>
      <c r="P398" s="101">
        <f>IF(P$1="",0,IF(AND(P$1=0,$H398&lt;MONTH($J$13)),0,IF(((YEAR(P$8)-1)*12+$H398)-((YEAR($J$13)-1)*12+MONTH($J$13))+1&gt;капитал!$J$130*12,0,IF(капитал!$J$130=0,0,капитал!$M$109/(капитал!$J$130*12)))))</f>
        <v>14.666666666666666</v>
      </c>
      <c r="Q398" s="101">
        <f>IF(Q$1="",0,IF(AND(Q$1=0,$H398&lt;MONTH($J$13)),0,IF(((YEAR(Q$8)-1)*12+$H398)-((YEAR($J$13)-1)*12+MONTH($J$13))+1&gt;капитал!$J$130*12,0,IF(капитал!$J$130=0,0,капитал!$M$109/(капитал!$J$130*12)))))</f>
        <v>14.666666666666666</v>
      </c>
      <c r="R398" s="101">
        <f>IF(R$1="",0,IF(AND(R$1=0,$H398&lt;MONTH($J$13)),0,IF(((YEAR(R$8)-1)*12+$H398)-((YEAR($J$13)-1)*12+MONTH($J$13))+1&gt;капитал!$J$130*12,0,IF(капитал!$J$130=0,0,капитал!$M$109/(капитал!$J$130*12)))))</f>
        <v>14.666666666666666</v>
      </c>
      <c r="S398" s="101">
        <f>IF(S$1="",0,IF(AND(S$1=0,$H398&lt;MONTH($J$13)),0,IF(((YEAR(S$8)-1)*12+$H398)-((YEAR($J$13)-1)*12+MONTH($J$13))+1&gt;капитал!$J$130*12,0,IF(капитал!$J$130=0,0,капитал!$M$109/(капитал!$J$130*12)))))</f>
        <v>14.666666666666666</v>
      </c>
      <c r="T398" s="101">
        <f>IF(T$1="",0,IF(AND(T$1=0,$H398&lt;MONTH($J$13)),0,IF(((YEAR(T$8)-1)*12+$H398)-((YEAR($J$13)-1)*12+MONTH($J$13))+1&gt;капитал!$J$130*12,0,IF(капитал!$J$130=0,0,капитал!$M$109/(капитал!$J$130*12)))))</f>
        <v>14.666666666666666</v>
      </c>
      <c r="U398" s="101">
        <f>IF(U$1="",0,IF(AND(U$1=0,$H398&lt;MONTH($J$13)),0,IF(((YEAR(U$8)-1)*12+$H398)-((YEAR($J$13)-1)*12+MONTH($J$13))+1&gt;капитал!$J$130*12,0,IF(капитал!$J$130=0,0,капитал!$M$109/(капитал!$J$130*12)))))</f>
        <v>0</v>
      </c>
      <c r="V398" s="101">
        <f>IF(V$1="",0,IF(AND(V$1=0,$H398&lt;MONTH($J$13)),0,IF(((YEAR(V$8)-1)*12+$H398)-((YEAR($J$13)-1)*12+MONTH($J$13))+1&gt;капитал!$J$130*12,0,IF(капитал!$J$130=0,0,капитал!$M$109/(капитал!$J$130*12)))))</f>
        <v>0</v>
      </c>
      <c r="W398" s="101">
        <f>IF(W$1="",0,IF(AND(W$1=0,$H398&lt;MONTH($J$13)),0,IF(((YEAR(W$8)-1)*12+$H398)-((YEAR($J$13)-1)*12+MONTH($J$13))+1&gt;капитал!$J$130*12,0,IF(капитал!$J$130=0,0,капитал!$M$109/(капитал!$J$130*12)))))</f>
        <v>0</v>
      </c>
      <c r="X398" s="101">
        <f>IF(X$1="",0,IF(AND(X$1=0,$H398&lt;MONTH($J$13)),0,IF(((YEAR(X$8)-1)*12+$H398)-((YEAR($J$13)-1)*12+MONTH($J$13))+1&gt;капитал!$J$130*12,0,IF(капитал!$J$130=0,0,капитал!$M$109/(капитал!$J$130*12)))))</f>
        <v>0</v>
      </c>
      <c r="Y398" s="101">
        <f>IF(Y$1="",0,IF(AND(Y$1=0,$H398&lt;MONTH($J$13)),0,IF(((YEAR(Y$8)-1)*12+$H398)-((YEAR($J$13)-1)*12+MONTH($J$13))+1&gt;капитал!$J$130*12,0,IF(капитал!$J$130=0,0,капитал!$M$109/(капитал!$J$130*12)))))</f>
        <v>0</v>
      </c>
      <c r="Z398" s="101">
        <f>IF(Z$1="",0,IF(AND(Z$1=0,$H398&lt;MONTH($J$13)),0,IF(((YEAR(Z$8)-1)*12+$H398)-((YEAR($J$13)-1)*12+MONTH($J$13))+1&gt;капитал!$J$130*12,0,IF(капитал!$J$130=0,0,капитал!$M$109/(капитал!$J$130*12)))))</f>
        <v>0</v>
      </c>
      <c r="AA398" s="101">
        <f>IF(AA$1="",0,IF(AND(AA$1=0,$H398&lt;MONTH($J$13)),0,IF(((YEAR(AA$8)-1)*12+$H398)-((YEAR($J$13)-1)*12+MONTH($J$13))+1&gt;капитал!$J$130*12,0,IF(капитал!$J$130=0,0,капитал!$M$109/(капитал!$J$130*12)))))</f>
        <v>0</v>
      </c>
      <c r="AB398" s="22"/>
    </row>
    <row r="399" spans="1:28" s="23" customFormat="1" ht="10.199999999999999" x14ac:dyDescent="0.2">
      <c r="A399" s="22"/>
      <c r="B399" s="22"/>
      <c r="C399" s="22"/>
      <c r="D399" s="22"/>
      <c r="E399" s="22" t="str">
        <f>E389</f>
        <v>амортизация прокатного инвентаря</v>
      </c>
      <c r="F399" s="22"/>
      <c r="G399" s="22" t="str">
        <f>IF($E399="","",INDEX(KPI!$G:$G,SUMIFS(KPI!$B:$B,KPI!$E:$E,$E399)))</f>
        <v>тыс.руб.</v>
      </c>
      <c r="H399" s="100">
        <f>структура!$V$21</f>
        <v>10</v>
      </c>
      <c r="I399" s="31"/>
      <c r="J399" s="98" t="str">
        <f>структура!$X$21</f>
        <v>окт</v>
      </c>
      <c r="K399" s="99"/>
      <c r="L399" s="22"/>
      <c r="M399" s="58"/>
      <c r="N399" s="22"/>
      <c r="O399" s="22"/>
      <c r="P399" s="101">
        <f>IF(P$1="",0,IF(AND(P$1=0,$H399&lt;MONTH($J$13)),0,IF(((YEAR(P$8)-1)*12+$H399)-((YEAR($J$13)-1)*12+MONTH($J$13))+1&gt;капитал!$J$130*12,0,IF(капитал!$J$130=0,0,капитал!$M$109/(капитал!$J$130*12)))))</f>
        <v>14.666666666666666</v>
      </c>
      <c r="Q399" s="101">
        <f>IF(Q$1="",0,IF(AND(Q$1=0,$H399&lt;MONTH($J$13)),0,IF(((YEAR(Q$8)-1)*12+$H399)-((YEAR($J$13)-1)*12+MONTH($J$13))+1&gt;капитал!$J$130*12,0,IF(капитал!$J$130=0,0,капитал!$M$109/(капитал!$J$130*12)))))</f>
        <v>14.666666666666666</v>
      </c>
      <c r="R399" s="101">
        <f>IF(R$1="",0,IF(AND(R$1=0,$H399&lt;MONTH($J$13)),0,IF(((YEAR(R$8)-1)*12+$H399)-((YEAR($J$13)-1)*12+MONTH($J$13))+1&gt;капитал!$J$130*12,0,IF(капитал!$J$130=0,0,капитал!$M$109/(капитал!$J$130*12)))))</f>
        <v>14.666666666666666</v>
      </c>
      <c r="S399" s="101">
        <f>IF(S$1="",0,IF(AND(S$1=0,$H399&lt;MONTH($J$13)),0,IF(((YEAR(S$8)-1)*12+$H399)-((YEAR($J$13)-1)*12+MONTH($J$13))+1&gt;капитал!$J$130*12,0,IF(капитал!$J$130=0,0,капитал!$M$109/(капитал!$J$130*12)))))</f>
        <v>14.666666666666666</v>
      </c>
      <c r="T399" s="101">
        <f>IF(T$1="",0,IF(AND(T$1=0,$H399&lt;MONTH($J$13)),0,IF(((YEAR(T$8)-1)*12+$H399)-((YEAR($J$13)-1)*12+MONTH($J$13))+1&gt;капитал!$J$130*12,0,IF(капитал!$J$130=0,0,капитал!$M$109/(капитал!$J$130*12)))))</f>
        <v>14.666666666666666</v>
      </c>
      <c r="U399" s="101">
        <f>IF(U$1="",0,IF(AND(U$1=0,$H399&lt;MONTH($J$13)),0,IF(((YEAR(U$8)-1)*12+$H399)-((YEAR($J$13)-1)*12+MONTH($J$13))+1&gt;капитал!$J$130*12,0,IF(капитал!$J$130=0,0,капитал!$M$109/(капитал!$J$130*12)))))</f>
        <v>0</v>
      </c>
      <c r="V399" s="101">
        <f>IF(V$1="",0,IF(AND(V$1=0,$H399&lt;MONTH($J$13)),0,IF(((YEAR(V$8)-1)*12+$H399)-((YEAR($J$13)-1)*12+MONTH($J$13))+1&gt;капитал!$J$130*12,0,IF(капитал!$J$130=0,0,капитал!$M$109/(капитал!$J$130*12)))))</f>
        <v>0</v>
      </c>
      <c r="W399" s="101">
        <f>IF(W$1="",0,IF(AND(W$1=0,$H399&lt;MONTH($J$13)),0,IF(((YEAR(W$8)-1)*12+$H399)-((YEAR($J$13)-1)*12+MONTH($J$13))+1&gt;капитал!$J$130*12,0,IF(капитал!$J$130=0,0,капитал!$M$109/(капитал!$J$130*12)))))</f>
        <v>0</v>
      </c>
      <c r="X399" s="101">
        <f>IF(X$1="",0,IF(AND(X$1=0,$H399&lt;MONTH($J$13)),0,IF(((YEAR(X$8)-1)*12+$H399)-((YEAR($J$13)-1)*12+MONTH($J$13))+1&gt;капитал!$J$130*12,0,IF(капитал!$J$130=0,0,капитал!$M$109/(капитал!$J$130*12)))))</f>
        <v>0</v>
      </c>
      <c r="Y399" s="101">
        <f>IF(Y$1="",0,IF(AND(Y$1=0,$H399&lt;MONTH($J$13)),0,IF(((YEAR(Y$8)-1)*12+$H399)-((YEAR($J$13)-1)*12+MONTH($J$13))+1&gt;капитал!$J$130*12,0,IF(капитал!$J$130=0,0,капитал!$M$109/(капитал!$J$130*12)))))</f>
        <v>0</v>
      </c>
      <c r="Z399" s="101">
        <f>IF(Z$1="",0,IF(AND(Z$1=0,$H399&lt;MONTH($J$13)),0,IF(((YEAR(Z$8)-1)*12+$H399)-((YEAR($J$13)-1)*12+MONTH($J$13))+1&gt;капитал!$J$130*12,0,IF(капитал!$J$130=0,0,капитал!$M$109/(капитал!$J$130*12)))))</f>
        <v>0</v>
      </c>
      <c r="AA399" s="101">
        <f>IF(AA$1="",0,IF(AND(AA$1=0,$H399&lt;MONTH($J$13)),0,IF(((YEAR(AA$8)-1)*12+$H399)-((YEAR($J$13)-1)*12+MONTH($J$13))+1&gt;капитал!$J$130*12,0,IF(капитал!$J$130=0,0,капитал!$M$109/(капитал!$J$130*12)))))</f>
        <v>0</v>
      </c>
      <c r="AB399" s="22"/>
    </row>
    <row r="400" spans="1:28" s="23" customFormat="1" ht="10.199999999999999" x14ac:dyDescent="0.2">
      <c r="A400" s="22"/>
      <c r="B400" s="22"/>
      <c r="C400" s="22"/>
      <c r="D400" s="22"/>
      <c r="E400" s="22" t="str">
        <f>E389</f>
        <v>амортизация прокатного инвентаря</v>
      </c>
      <c r="F400" s="22"/>
      <c r="G400" s="22" t="str">
        <f>IF($E400="","",INDEX(KPI!$G:$G,SUMIFS(KPI!$B:$B,KPI!$E:$E,$E400)))</f>
        <v>тыс.руб.</v>
      </c>
      <c r="H400" s="100">
        <f>структура!$V$22</f>
        <v>11</v>
      </c>
      <c r="I400" s="31"/>
      <c r="J400" s="98" t="str">
        <f>структура!$X$22</f>
        <v>ноя</v>
      </c>
      <c r="K400" s="99"/>
      <c r="L400" s="22"/>
      <c r="M400" s="58"/>
      <c r="N400" s="22"/>
      <c r="O400" s="22"/>
      <c r="P400" s="101">
        <f>IF(P$1="",0,IF(AND(P$1=0,$H400&lt;MONTH($J$13)),0,IF(((YEAR(P$8)-1)*12+$H400)-((YEAR($J$13)-1)*12+MONTH($J$13))+1&gt;капитал!$J$130*12,0,IF(капитал!$J$130=0,0,капитал!$M$109/(капитал!$J$130*12)))))</f>
        <v>14.666666666666666</v>
      </c>
      <c r="Q400" s="101">
        <f>IF(Q$1="",0,IF(AND(Q$1=0,$H400&lt;MONTH($J$13)),0,IF(((YEAR(Q$8)-1)*12+$H400)-((YEAR($J$13)-1)*12+MONTH($J$13))+1&gt;капитал!$J$130*12,0,IF(капитал!$J$130=0,0,капитал!$M$109/(капитал!$J$130*12)))))</f>
        <v>14.666666666666666</v>
      </c>
      <c r="R400" s="101">
        <f>IF(R$1="",0,IF(AND(R$1=0,$H400&lt;MONTH($J$13)),0,IF(((YEAR(R$8)-1)*12+$H400)-((YEAR($J$13)-1)*12+MONTH($J$13))+1&gt;капитал!$J$130*12,0,IF(капитал!$J$130=0,0,капитал!$M$109/(капитал!$J$130*12)))))</f>
        <v>14.666666666666666</v>
      </c>
      <c r="S400" s="101">
        <f>IF(S$1="",0,IF(AND(S$1=0,$H400&lt;MONTH($J$13)),0,IF(((YEAR(S$8)-1)*12+$H400)-((YEAR($J$13)-1)*12+MONTH($J$13))+1&gt;капитал!$J$130*12,0,IF(капитал!$J$130=0,0,капитал!$M$109/(капитал!$J$130*12)))))</f>
        <v>14.666666666666666</v>
      </c>
      <c r="T400" s="101">
        <f>IF(T$1="",0,IF(AND(T$1=0,$H400&lt;MONTH($J$13)),0,IF(((YEAR(T$8)-1)*12+$H400)-((YEAR($J$13)-1)*12+MONTH($J$13))+1&gt;капитал!$J$130*12,0,IF(капитал!$J$130=0,0,капитал!$M$109/(капитал!$J$130*12)))))</f>
        <v>14.666666666666666</v>
      </c>
      <c r="U400" s="101">
        <f>IF(U$1="",0,IF(AND(U$1=0,$H400&lt;MONTH($J$13)),0,IF(((YEAR(U$8)-1)*12+$H400)-((YEAR($J$13)-1)*12+MONTH($J$13))+1&gt;капитал!$J$130*12,0,IF(капитал!$J$130=0,0,капитал!$M$109/(капитал!$J$130*12)))))</f>
        <v>0</v>
      </c>
      <c r="V400" s="101">
        <f>IF(V$1="",0,IF(AND(V$1=0,$H400&lt;MONTH($J$13)),0,IF(((YEAR(V$8)-1)*12+$H400)-((YEAR($J$13)-1)*12+MONTH($J$13))+1&gt;капитал!$J$130*12,0,IF(капитал!$J$130=0,0,капитал!$M$109/(капитал!$J$130*12)))))</f>
        <v>0</v>
      </c>
      <c r="W400" s="101">
        <f>IF(W$1="",0,IF(AND(W$1=0,$H400&lt;MONTH($J$13)),0,IF(((YEAR(W$8)-1)*12+$H400)-((YEAR($J$13)-1)*12+MONTH($J$13))+1&gt;капитал!$J$130*12,0,IF(капитал!$J$130=0,0,капитал!$M$109/(капитал!$J$130*12)))))</f>
        <v>0</v>
      </c>
      <c r="X400" s="101">
        <f>IF(X$1="",0,IF(AND(X$1=0,$H400&lt;MONTH($J$13)),0,IF(((YEAR(X$8)-1)*12+$H400)-((YEAR($J$13)-1)*12+MONTH($J$13))+1&gt;капитал!$J$130*12,0,IF(капитал!$J$130=0,0,капитал!$M$109/(капитал!$J$130*12)))))</f>
        <v>0</v>
      </c>
      <c r="Y400" s="101">
        <f>IF(Y$1="",0,IF(AND(Y$1=0,$H400&lt;MONTH($J$13)),0,IF(((YEAR(Y$8)-1)*12+$H400)-((YEAR($J$13)-1)*12+MONTH($J$13))+1&gt;капитал!$J$130*12,0,IF(капитал!$J$130=0,0,капитал!$M$109/(капитал!$J$130*12)))))</f>
        <v>0</v>
      </c>
      <c r="Z400" s="101">
        <f>IF(Z$1="",0,IF(AND(Z$1=0,$H400&lt;MONTH($J$13)),0,IF(((YEAR(Z$8)-1)*12+$H400)-((YEAR($J$13)-1)*12+MONTH($J$13))+1&gt;капитал!$J$130*12,0,IF(капитал!$J$130=0,0,капитал!$M$109/(капитал!$J$130*12)))))</f>
        <v>0</v>
      </c>
      <c r="AA400" s="101">
        <f>IF(AA$1="",0,IF(AND(AA$1=0,$H400&lt;MONTH($J$13)),0,IF(((YEAR(AA$8)-1)*12+$H400)-((YEAR($J$13)-1)*12+MONTH($J$13))+1&gt;капитал!$J$130*12,0,IF(капитал!$J$130=0,0,капитал!$M$109/(капитал!$J$130*12)))))</f>
        <v>0</v>
      </c>
      <c r="AB400" s="22"/>
    </row>
    <row r="401" spans="1:28" s="23" customFormat="1" ht="10.199999999999999" x14ac:dyDescent="0.2">
      <c r="A401" s="22"/>
      <c r="B401" s="22"/>
      <c r="C401" s="22"/>
      <c r="D401" s="22"/>
      <c r="E401" s="22" t="str">
        <f>E389</f>
        <v>амортизация прокатного инвентаря</v>
      </c>
      <c r="F401" s="22"/>
      <c r="G401" s="22" t="str">
        <f>IF($E401="","",INDEX(KPI!$G:$G,SUMIFS(KPI!$B:$B,KPI!$E:$E,$E401)))</f>
        <v>тыс.руб.</v>
      </c>
      <c r="H401" s="100">
        <f>структура!$V$23</f>
        <v>12</v>
      </c>
      <c r="I401" s="31"/>
      <c r="J401" s="98" t="str">
        <f>структура!$X$23</f>
        <v>дек</v>
      </c>
      <c r="K401" s="99"/>
      <c r="L401" s="22"/>
      <c r="M401" s="58"/>
      <c r="N401" s="22"/>
      <c r="O401" s="22"/>
      <c r="P401" s="101">
        <f>IF(P$1="",0,IF(AND(P$1=0,$H401&lt;MONTH($J$13)),0,IF(((YEAR(P$8)-1)*12+$H401)-((YEAR($J$13)-1)*12+MONTH($J$13))+1&gt;капитал!$J$130*12,0,IF(капитал!$J$130=0,0,капитал!$M$109/(капитал!$J$130*12)))))</f>
        <v>14.666666666666666</v>
      </c>
      <c r="Q401" s="101">
        <f>IF(Q$1="",0,IF(AND(Q$1=0,$H401&lt;MONTH($J$13)),0,IF(((YEAR(Q$8)-1)*12+$H401)-((YEAR($J$13)-1)*12+MONTH($J$13))+1&gt;капитал!$J$130*12,0,IF(капитал!$J$130=0,0,капитал!$M$109/(капитал!$J$130*12)))))</f>
        <v>14.666666666666666</v>
      </c>
      <c r="R401" s="101">
        <f>IF(R$1="",0,IF(AND(R$1=0,$H401&lt;MONTH($J$13)),0,IF(((YEAR(R$8)-1)*12+$H401)-((YEAR($J$13)-1)*12+MONTH($J$13))+1&gt;капитал!$J$130*12,0,IF(капитал!$J$130=0,0,капитал!$M$109/(капитал!$J$130*12)))))</f>
        <v>14.666666666666666</v>
      </c>
      <c r="S401" s="101">
        <f>IF(S$1="",0,IF(AND(S$1=0,$H401&lt;MONTH($J$13)),0,IF(((YEAR(S$8)-1)*12+$H401)-((YEAR($J$13)-1)*12+MONTH($J$13))+1&gt;капитал!$J$130*12,0,IF(капитал!$J$130=0,0,капитал!$M$109/(капитал!$J$130*12)))))</f>
        <v>14.666666666666666</v>
      </c>
      <c r="T401" s="101">
        <f>IF(T$1="",0,IF(AND(T$1=0,$H401&lt;MONTH($J$13)),0,IF(((YEAR(T$8)-1)*12+$H401)-((YEAR($J$13)-1)*12+MONTH($J$13))+1&gt;капитал!$J$130*12,0,IF(капитал!$J$130=0,0,капитал!$M$109/(капитал!$J$130*12)))))</f>
        <v>14.666666666666666</v>
      </c>
      <c r="U401" s="101">
        <f>IF(U$1="",0,IF(AND(U$1=0,$H401&lt;MONTH($J$13)),0,IF(((YEAR(U$8)-1)*12+$H401)-((YEAR($J$13)-1)*12+MONTH($J$13))+1&gt;капитал!$J$130*12,0,IF(капитал!$J$130=0,0,капитал!$M$109/(капитал!$J$130*12)))))</f>
        <v>0</v>
      </c>
      <c r="V401" s="101">
        <f>IF(V$1="",0,IF(AND(V$1=0,$H401&lt;MONTH($J$13)),0,IF(((YEAR(V$8)-1)*12+$H401)-((YEAR($J$13)-1)*12+MONTH($J$13))+1&gt;капитал!$J$130*12,0,IF(капитал!$J$130=0,0,капитал!$M$109/(капитал!$J$130*12)))))</f>
        <v>0</v>
      </c>
      <c r="W401" s="101">
        <f>IF(W$1="",0,IF(AND(W$1=0,$H401&lt;MONTH($J$13)),0,IF(((YEAR(W$8)-1)*12+$H401)-((YEAR($J$13)-1)*12+MONTH($J$13))+1&gt;капитал!$J$130*12,0,IF(капитал!$J$130=0,0,капитал!$M$109/(капитал!$J$130*12)))))</f>
        <v>0</v>
      </c>
      <c r="X401" s="101">
        <f>IF(X$1="",0,IF(AND(X$1=0,$H401&lt;MONTH($J$13)),0,IF(((YEAR(X$8)-1)*12+$H401)-((YEAR($J$13)-1)*12+MONTH($J$13))+1&gt;капитал!$J$130*12,0,IF(капитал!$J$130=0,0,капитал!$M$109/(капитал!$J$130*12)))))</f>
        <v>0</v>
      </c>
      <c r="Y401" s="101">
        <f>IF(Y$1="",0,IF(AND(Y$1=0,$H401&lt;MONTH($J$13)),0,IF(((YEAR(Y$8)-1)*12+$H401)-((YEAR($J$13)-1)*12+MONTH($J$13))+1&gt;капитал!$J$130*12,0,IF(капитал!$J$130=0,0,капитал!$M$109/(капитал!$J$130*12)))))</f>
        <v>0</v>
      </c>
      <c r="Z401" s="101">
        <f>IF(Z$1="",0,IF(AND(Z$1=0,$H401&lt;MONTH($J$13)),0,IF(((YEAR(Z$8)-1)*12+$H401)-((YEAR($J$13)-1)*12+MONTH($J$13))+1&gt;капитал!$J$130*12,0,IF(капитал!$J$130=0,0,капитал!$M$109/(капитал!$J$130*12)))))</f>
        <v>0</v>
      </c>
      <c r="AA401" s="101">
        <f>IF(AA$1="",0,IF(AND(AA$1=0,$H401&lt;MONTH($J$13)),0,IF(((YEAR(AA$8)-1)*12+$H401)-((YEAR($J$13)-1)*12+MONTH($J$13))+1&gt;капитал!$J$130*12,0,IF(капитал!$J$130=0,0,капитал!$M$109/(капитал!$J$130*12)))))</f>
        <v>0</v>
      </c>
      <c r="AB401" s="22"/>
    </row>
    <row r="402" spans="1:28" ht="3.9" customHeight="1" x14ac:dyDescent="0.25">
      <c r="A402" s="2"/>
      <c r="B402" s="2"/>
      <c r="C402" s="2"/>
      <c r="D402" s="143"/>
      <c r="E402" s="143"/>
      <c r="F402" s="2"/>
      <c r="G402" s="143"/>
      <c r="H402" s="2"/>
      <c r="I402" s="28"/>
      <c r="J402" s="143"/>
      <c r="K402" s="28"/>
      <c r="L402" s="2"/>
      <c r="M402" s="52"/>
      <c r="N402" s="2"/>
      <c r="O402" s="2"/>
      <c r="P402" s="36"/>
      <c r="Q402" s="36"/>
      <c r="R402" s="36"/>
      <c r="S402" s="36"/>
      <c r="T402" s="36"/>
      <c r="U402" s="36"/>
      <c r="V402" s="36"/>
      <c r="W402" s="36"/>
      <c r="X402" s="36"/>
      <c r="Y402" s="36"/>
      <c r="Z402" s="36"/>
      <c r="AA402" s="36"/>
      <c r="AB402" s="2"/>
    </row>
    <row r="403" spans="1:28" x14ac:dyDescent="0.25">
      <c r="A403" s="2"/>
      <c r="B403" s="2"/>
      <c r="C403" s="2"/>
      <c r="D403" s="2"/>
      <c r="E403" s="2"/>
      <c r="F403" s="2"/>
      <c r="G403" s="2"/>
      <c r="H403" s="2"/>
      <c r="I403" s="28"/>
      <c r="J403" s="2"/>
      <c r="K403" s="28"/>
      <c r="L403" s="2"/>
      <c r="M403" s="52"/>
      <c r="N403" s="2"/>
      <c r="O403" s="2"/>
      <c r="P403" s="36"/>
      <c r="Q403" s="36"/>
      <c r="R403" s="36"/>
      <c r="S403" s="36"/>
      <c r="T403" s="36"/>
      <c r="U403" s="36"/>
      <c r="V403" s="36"/>
      <c r="W403" s="36"/>
      <c r="X403" s="36"/>
      <c r="Y403" s="36"/>
      <c r="Z403" s="36"/>
      <c r="AA403" s="36"/>
      <c r="AB403" s="2"/>
    </row>
    <row r="404" spans="1:28" x14ac:dyDescent="0.25">
      <c r="A404" s="2"/>
      <c r="B404" s="2"/>
      <c r="C404" s="2"/>
      <c r="D404" s="2"/>
      <c r="E404" s="2"/>
      <c r="F404" s="2"/>
      <c r="G404" s="2"/>
      <c r="H404" s="2"/>
      <c r="I404" s="28"/>
      <c r="J404" s="2"/>
      <c r="K404" s="28"/>
      <c r="L404" s="2"/>
      <c r="M404" s="52"/>
      <c r="N404" s="2"/>
      <c r="O404" s="2"/>
      <c r="P404" s="36"/>
      <c r="Q404" s="36"/>
      <c r="R404" s="36"/>
      <c r="S404" s="36"/>
      <c r="T404" s="36"/>
      <c r="U404" s="36"/>
      <c r="V404" s="36"/>
      <c r="W404" s="36"/>
      <c r="X404" s="36"/>
      <c r="Y404" s="36"/>
      <c r="Z404" s="36"/>
      <c r="AA404" s="36"/>
      <c r="AB404" s="2"/>
    </row>
    <row r="405" spans="1:28" x14ac:dyDescent="0.25">
      <c r="A405" s="2"/>
      <c r="B405" s="2"/>
      <c r="C405" s="2"/>
      <c r="D405" s="2"/>
      <c r="E405" s="2"/>
      <c r="F405" s="2"/>
      <c r="G405" s="2"/>
      <c r="H405" s="2"/>
      <c r="I405" s="28"/>
      <c r="J405" s="2"/>
      <c r="K405" s="28"/>
      <c r="L405" s="2"/>
      <c r="M405" s="52"/>
      <c r="N405" s="2"/>
      <c r="O405" s="2"/>
      <c r="P405" s="36"/>
      <c r="Q405" s="36"/>
      <c r="R405" s="36"/>
      <c r="S405" s="36"/>
      <c r="T405" s="36"/>
      <c r="U405" s="36"/>
      <c r="V405" s="36"/>
      <c r="W405" s="36"/>
      <c r="X405" s="36"/>
      <c r="Y405" s="36"/>
      <c r="Z405" s="36"/>
      <c r="AA405" s="36"/>
      <c r="AB405" s="2"/>
    </row>
    <row r="406" spans="1:28" x14ac:dyDescent="0.25">
      <c r="A406" s="2"/>
      <c r="B406" s="2"/>
      <c r="C406" s="2"/>
      <c r="D406" s="2"/>
      <c r="E406" s="2"/>
      <c r="F406" s="2"/>
      <c r="G406" s="2"/>
      <c r="H406" s="2"/>
      <c r="I406" s="28"/>
      <c r="J406" s="2"/>
      <c r="K406" s="28"/>
      <c r="L406" s="2"/>
      <c r="M406" s="52"/>
      <c r="N406" s="2"/>
      <c r="O406" s="2"/>
      <c r="P406" s="36"/>
      <c r="Q406" s="36"/>
      <c r="R406" s="36"/>
      <c r="S406" s="36"/>
      <c r="T406" s="36"/>
      <c r="U406" s="36"/>
      <c r="V406" s="36"/>
      <c r="W406" s="36"/>
      <c r="X406" s="36"/>
      <c r="Y406" s="36"/>
      <c r="Z406" s="36"/>
      <c r="AA406" s="36"/>
      <c r="AB406" s="2"/>
    </row>
    <row r="407" spans="1:28" x14ac:dyDescent="0.25">
      <c r="A407" s="2"/>
      <c r="B407" s="2"/>
      <c r="C407" s="2"/>
      <c r="D407" s="2"/>
      <c r="E407" s="2"/>
      <c r="F407" s="2"/>
      <c r="G407" s="2"/>
      <c r="H407" s="2"/>
      <c r="I407" s="28"/>
      <c r="J407" s="2"/>
      <c r="K407" s="28"/>
      <c r="L407" s="2"/>
      <c r="M407" s="52"/>
      <c r="N407" s="2"/>
      <c r="O407" s="2"/>
      <c r="P407" s="36"/>
      <c r="Q407" s="36"/>
      <c r="R407" s="36"/>
      <c r="S407" s="36"/>
      <c r="T407" s="36"/>
      <c r="U407" s="36"/>
      <c r="V407" s="36"/>
      <c r="W407" s="36"/>
      <c r="X407" s="36"/>
      <c r="Y407" s="36"/>
      <c r="Z407" s="36"/>
      <c r="AA407" s="36"/>
      <c r="AB407" s="2"/>
    </row>
    <row r="408" spans="1:28" x14ac:dyDescent="0.25">
      <c r="A408" s="2"/>
      <c r="B408" s="2"/>
      <c r="C408" s="2"/>
      <c r="D408" s="2"/>
      <c r="E408" s="2"/>
      <c r="F408" s="2"/>
      <c r="G408" s="2"/>
      <c r="H408" s="2"/>
      <c r="I408" s="28"/>
      <c r="J408" s="2"/>
      <c r="K408" s="28"/>
      <c r="L408" s="2"/>
      <c r="M408" s="52"/>
      <c r="N408" s="2"/>
      <c r="O408" s="2"/>
      <c r="P408" s="36"/>
      <c r="Q408" s="36"/>
      <c r="R408" s="36"/>
      <c r="S408" s="36"/>
      <c r="T408" s="36"/>
      <c r="U408" s="36"/>
      <c r="V408" s="36"/>
      <c r="W408" s="36"/>
      <c r="X408" s="36"/>
      <c r="Y408" s="36"/>
      <c r="Z408" s="36"/>
      <c r="AA408" s="36"/>
      <c r="AB408" s="2"/>
    </row>
    <row r="409" spans="1:28" x14ac:dyDescent="0.25">
      <c r="P409" s="57"/>
      <c r="Q409" s="57"/>
      <c r="R409" s="57"/>
      <c r="S409" s="57"/>
      <c r="T409" s="57"/>
      <c r="U409" s="57"/>
      <c r="V409" s="57"/>
      <c r="W409" s="57"/>
      <c r="X409" s="57"/>
      <c r="Y409" s="57"/>
      <c r="Z409" s="57"/>
      <c r="AA409" s="57"/>
    </row>
    <row r="410" spans="1:28" x14ac:dyDescent="0.25">
      <c r="P410" s="57"/>
      <c r="Q410" s="57"/>
      <c r="R410" s="57"/>
      <c r="S410" s="57"/>
      <c r="T410" s="57"/>
      <c r="U410" s="57"/>
      <c r="V410" s="57"/>
      <c r="W410" s="57"/>
      <c r="X410" s="57"/>
      <c r="Y410" s="57"/>
      <c r="Z410" s="57"/>
      <c r="AA410" s="57"/>
    </row>
    <row r="411" spans="1:28" x14ac:dyDescent="0.25">
      <c r="P411" s="57"/>
      <c r="Q411" s="57"/>
      <c r="R411" s="57"/>
      <c r="S411" s="57"/>
      <c r="T411" s="57"/>
      <c r="U411" s="57"/>
      <c r="V411" s="57"/>
      <c r="W411" s="57"/>
      <c r="X411" s="57"/>
      <c r="Y411" s="57"/>
      <c r="Z411" s="57"/>
      <c r="AA411" s="57"/>
    </row>
    <row r="412" spans="1:28" x14ac:dyDescent="0.25">
      <c r="P412" s="57"/>
      <c r="Q412" s="57"/>
      <c r="R412" s="57"/>
      <c r="S412" s="57"/>
      <c r="T412" s="57"/>
      <c r="U412" s="57"/>
      <c r="V412" s="57"/>
      <c r="W412" s="57"/>
      <c r="X412" s="57"/>
      <c r="Y412" s="57"/>
      <c r="Z412" s="57"/>
      <c r="AA412" s="57"/>
    </row>
    <row r="413" spans="1:28" x14ac:dyDescent="0.25">
      <c r="P413" s="57"/>
      <c r="Q413" s="57"/>
      <c r="R413" s="57"/>
      <c r="S413" s="57"/>
      <c r="T413" s="57"/>
      <c r="U413" s="57"/>
      <c r="V413" s="57"/>
      <c r="W413" s="57"/>
      <c r="X413" s="57"/>
      <c r="Y413" s="57"/>
      <c r="Z413" s="57"/>
      <c r="AA413" s="57"/>
    </row>
    <row r="414" spans="1:28" x14ac:dyDescent="0.25">
      <c r="P414" s="57"/>
      <c r="Q414" s="57"/>
      <c r="R414" s="57"/>
      <c r="S414" s="57"/>
      <c r="T414" s="57"/>
      <c r="U414" s="57"/>
      <c r="V414" s="57"/>
      <c r="W414" s="57"/>
      <c r="X414" s="57"/>
      <c r="Y414" s="57"/>
      <c r="Z414" s="57"/>
      <c r="AA414" s="57"/>
    </row>
    <row r="415" spans="1:28" x14ac:dyDescent="0.25">
      <c r="P415" s="57"/>
      <c r="Q415" s="57"/>
      <c r="R415" s="57"/>
      <c r="S415" s="57"/>
      <c r="T415" s="57"/>
      <c r="U415" s="57"/>
      <c r="V415" s="57"/>
      <c r="W415" s="57"/>
      <c r="X415" s="57"/>
      <c r="Y415" s="57"/>
      <c r="Z415" s="57"/>
      <c r="AA415" s="57"/>
    </row>
    <row r="416" spans="1:28" x14ac:dyDescent="0.25">
      <c r="P416" s="57"/>
      <c r="Q416" s="57"/>
      <c r="R416" s="57"/>
      <c r="S416" s="57"/>
      <c r="T416" s="57"/>
      <c r="U416" s="57"/>
      <c r="V416" s="57"/>
      <c r="W416" s="57"/>
      <c r="X416" s="57"/>
      <c r="Y416" s="57"/>
      <c r="Z416" s="57"/>
      <c r="AA416" s="57"/>
    </row>
    <row r="417" spans="16:27" x14ac:dyDescent="0.25">
      <c r="P417" s="57"/>
      <c r="Q417" s="57"/>
      <c r="R417" s="57"/>
      <c r="S417" s="57"/>
      <c r="T417" s="57"/>
      <c r="U417" s="57"/>
      <c r="V417" s="57"/>
      <c r="W417" s="57"/>
      <c r="X417" s="57"/>
      <c r="Y417" s="57"/>
      <c r="Z417" s="57"/>
      <c r="AA417" s="57"/>
    </row>
    <row r="418" spans="16:27" x14ac:dyDescent="0.25">
      <c r="P418" s="57"/>
      <c r="Q418" s="57"/>
      <c r="R418" s="57"/>
      <c r="S418" s="57"/>
      <c r="T418" s="57"/>
      <c r="U418" s="57"/>
      <c r="V418" s="57"/>
      <c r="W418" s="57"/>
      <c r="X418" s="57"/>
      <c r="Y418" s="57"/>
      <c r="Z418" s="57"/>
      <c r="AA418" s="57"/>
    </row>
  </sheetData>
  <conditionalFormatting sqref="A16:H16 L16:XFD16 A2:XFD2 AB154:XFD154 A154:N154 A155:XFD170 A274:XFD274 A348:XFD348 A343:XFD345 A372:XFD372 A403:XFD1048576 A17:XFD35 A7:XFD15 A3:B6 F3:XFD6 A39:XFD74 A36:I38 K36:XFD38 A75:I77 K75:XFD77 A78:XFD107 A108:L119 N108:XFD119 E1:XFD1 A120:XFD153">
    <cfRule type="cellIs" dxfId="1803" priority="141" operator="equal">
      <formula>0</formula>
    </cfRule>
  </conditionalFormatting>
  <conditionalFormatting sqref="P41:AA71">
    <cfRule type="expression" dxfId="1802" priority="140">
      <formula>P$1=""</formula>
    </cfRule>
  </conditionalFormatting>
  <conditionalFormatting sqref="I16:K16">
    <cfRule type="cellIs" dxfId="1801" priority="138" operator="equal">
      <formula>0</formula>
    </cfRule>
  </conditionalFormatting>
  <conditionalFormatting sqref="J16">
    <cfRule type="containsBlanks" dxfId="1800" priority="139">
      <formula>LEN(TRIM(J16))=0</formula>
    </cfRule>
  </conditionalFormatting>
  <conditionalFormatting sqref="P20:P31 P44:P55 P59:P70 P158:P169 P176:P187 P191:P202 P226:P237 P241:P252 P312:P323 P330:P341 P261:AA272 P279:AA290 P294:AA305">
    <cfRule type="expression" dxfId="1799" priority="137">
      <formula>AND($P$1=0,$H20&lt;MONTH($J$13))</formula>
    </cfRule>
  </conditionalFormatting>
  <conditionalFormatting sqref="Q20:AA31">
    <cfRule type="expression" dxfId="1798" priority="136">
      <formula>Q$1=""</formula>
    </cfRule>
  </conditionalFormatting>
  <conditionalFormatting sqref="Q44:AA55">
    <cfRule type="expression" dxfId="1797" priority="135">
      <formula>Q$1=""</formula>
    </cfRule>
  </conditionalFormatting>
  <conditionalFormatting sqref="Q59:AA70">
    <cfRule type="expression" dxfId="1796" priority="134">
      <formula>Q$1=""</formula>
    </cfRule>
  </conditionalFormatting>
  <conditionalFormatting sqref="P87:AA106">
    <cfRule type="expression" dxfId="1795" priority="133">
      <formula>P$1=""</formula>
    </cfRule>
  </conditionalFormatting>
  <conditionalFormatting sqref="P88:AA106">
    <cfRule type="expression" dxfId="1794" priority="132">
      <formula>P$1=""</formula>
    </cfRule>
  </conditionalFormatting>
  <conditionalFormatting sqref="P90:P101">
    <cfRule type="expression" dxfId="1793" priority="131">
      <formula>AND($P$1=0,$H90&lt;MONTH($J$13))</formula>
    </cfRule>
  </conditionalFormatting>
  <conditionalFormatting sqref="Q90:AA101">
    <cfRule type="expression" dxfId="1792" priority="130">
      <formula>Q$1=""</formula>
    </cfRule>
  </conditionalFormatting>
  <conditionalFormatting sqref="P120:AA151">
    <cfRule type="expression" dxfId="1791" priority="129">
      <formula>P$1=""</formula>
    </cfRule>
  </conditionalFormatting>
  <conditionalFormatting sqref="P120:AA151">
    <cfRule type="expression" dxfId="1790" priority="128">
      <formula>P$1=""</formula>
    </cfRule>
  </conditionalFormatting>
  <conditionalFormatting sqref="P123:P134">
    <cfRule type="expression" dxfId="1789" priority="127">
      <formula>AND($P$1=0,$H123&lt;MONTH($J$13))</formula>
    </cfRule>
  </conditionalFormatting>
  <conditionalFormatting sqref="Q123:AA134">
    <cfRule type="expression" dxfId="1788" priority="126">
      <formula>Q$1=""</formula>
    </cfRule>
  </conditionalFormatting>
  <conditionalFormatting sqref="P136:AA150">
    <cfRule type="expression" dxfId="1787" priority="125">
      <formula>P$1=""</formula>
    </cfRule>
  </conditionalFormatting>
  <conditionalFormatting sqref="P136:AA150">
    <cfRule type="expression" dxfId="1786" priority="124">
      <formula>P$1=""</formula>
    </cfRule>
  </conditionalFormatting>
  <conditionalFormatting sqref="P138:AA149">
    <cfRule type="expression" dxfId="1785" priority="123">
      <formula>AND($P$1=0,$H138&lt;MONTH($J$13))</formula>
    </cfRule>
  </conditionalFormatting>
  <conditionalFormatting sqref="Q138:AA149">
    <cfRule type="expression" dxfId="1784" priority="122">
      <formula>Q$1=""</formula>
    </cfRule>
  </conditionalFormatting>
  <conditionalFormatting sqref="P155:AA170 P274:AA274 P343:AA343">
    <cfRule type="expression" dxfId="1783" priority="121">
      <formula>P$1=""</formula>
    </cfRule>
  </conditionalFormatting>
  <conditionalFormatting sqref="P155:AA170 P274:AA274 P343:AA343">
    <cfRule type="expression" dxfId="1782" priority="120">
      <formula>P$1=""</formula>
    </cfRule>
  </conditionalFormatting>
  <conditionalFormatting sqref="O154:AA154">
    <cfRule type="cellIs" dxfId="1781" priority="119" operator="equal">
      <formula>0</formula>
    </cfRule>
  </conditionalFormatting>
  <conditionalFormatting sqref="P154:AA154">
    <cfRule type="containsBlanks" dxfId="1780" priority="118">
      <formula>LEN(TRIM(P154))=0</formula>
    </cfRule>
  </conditionalFormatting>
  <conditionalFormatting sqref="P154:AA154">
    <cfRule type="expression" dxfId="1779" priority="117">
      <formula>P$1=""</formula>
    </cfRule>
  </conditionalFormatting>
  <conditionalFormatting sqref="P156:AA170 P274:AA274">
    <cfRule type="expression" dxfId="1778" priority="116">
      <formula>P$1=""</formula>
    </cfRule>
  </conditionalFormatting>
  <conditionalFormatting sqref="P156:AA170 P274:AA274">
    <cfRule type="expression" dxfId="1777" priority="115">
      <formula>P$1=""</formula>
    </cfRule>
  </conditionalFormatting>
  <conditionalFormatting sqref="Q158:AA169">
    <cfRule type="expression" dxfId="1776" priority="114">
      <formula>Q$1=""</formula>
    </cfRule>
  </conditionalFormatting>
  <conditionalFormatting sqref="A172:H172 A171:XFD171 K172:N172 A173:N173 O172:XFD173 A174:XFD203">
    <cfRule type="cellIs" dxfId="1775" priority="113" operator="equal">
      <formula>0</formula>
    </cfRule>
  </conditionalFormatting>
  <conditionalFormatting sqref="Q176:AA187">
    <cfRule type="expression" dxfId="1774" priority="112">
      <formula>Q$1=""</formula>
    </cfRule>
  </conditionalFormatting>
  <conditionalFormatting sqref="I172">
    <cfRule type="cellIs" dxfId="1773" priority="111" operator="equal">
      <formula>0</formula>
    </cfRule>
  </conditionalFormatting>
  <conditionalFormatting sqref="Q191:AA202">
    <cfRule type="expression" dxfId="1772" priority="110">
      <formula>Q$1=""</formula>
    </cfRule>
  </conditionalFormatting>
  <conditionalFormatting sqref="A205:H205 A204:XFD204 K205:XFD205 A208:XFD208 A224:XFD239 A241:XFD253 A240:G240 I240:XFD240">
    <cfRule type="cellIs" dxfId="1771" priority="109" operator="equal">
      <formula>0</formula>
    </cfRule>
  </conditionalFormatting>
  <conditionalFormatting sqref="Q226:AA237">
    <cfRule type="expression" dxfId="1770" priority="108">
      <formula>Q$1=""</formula>
    </cfRule>
  </conditionalFormatting>
  <conditionalFormatting sqref="I205">
    <cfRule type="cellIs" dxfId="1769" priority="107" operator="equal">
      <formula>0</formula>
    </cfRule>
  </conditionalFormatting>
  <conditionalFormatting sqref="Q241:AA252">
    <cfRule type="expression" dxfId="1768" priority="106">
      <formula>Q$1=""</formula>
    </cfRule>
  </conditionalFormatting>
  <conditionalFormatting sqref="A206:H206 K206:XFD206">
    <cfRule type="cellIs" dxfId="1767" priority="105" operator="equal">
      <formula>0</formula>
    </cfRule>
  </conditionalFormatting>
  <conditionalFormatting sqref="I206">
    <cfRule type="cellIs" dxfId="1766" priority="104" operator="equal">
      <formula>0</formula>
    </cfRule>
  </conditionalFormatting>
  <conditionalFormatting sqref="A207:H207 K207:XFD207">
    <cfRule type="cellIs" dxfId="1765" priority="103" operator="equal">
      <formula>0</formula>
    </cfRule>
  </conditionalFormatting>
  <conditionalFormatting sqref="I207:J207">
    <cfRule type="cellIs" dxfId="1764" priority="102" operator="equal">
      <formula>0</formula>
    </cfRule>
  </conditionalFormatting>
  <conditionalFormatting sqref="A209:XFD210 A223:XFD223 A211:L222 N211:XFD222">
    <cfRule type="cellIs" dxfId="1763" priority="101" operator="equal">
      <formula>0</formula>
    </cfRule>
  </conditionalFormatting>
  <conditionalFormatting sqref="P209:AA209">
    <cfRule type="expression" dxfId="1762" priority="100">
      <formula>P$1=""</formula>
    </cfRule>
  </conditionalFormatting>
  <conditionalFormatting sqref="P209:AA209">
    <cfRule type="expression" dxfId="1761" priority="99">
      <formula>P$1=""</formula>
    </cfRule>
  </conditionalFormatting>
  <conditionalFormatting sqref="P223:AA223">
    <cfRule type="expression" dxfId="1760" priority="98">
      <formula>P$1=""</formula>
    </cfRule>
  </conditionalFormatting>
  <conditionalFormatting sqref="P223:AA223">
    <cfRule type="expression" dxfId="1759" priority="97">
      <formula>P$1=""</formula>
    </cfRule>
  </conditionalFormatting>
  <conditionalFormatting sqref="A255:H255 A254:XFD254 K255:XFD255 A258:XFD273">
    <cfRule type="cellIs" dxfId="1758" priority="96" operator="equal">
      <formula>0</formula>
    </cfRule>
  </conditionalFormatting>
  <conditionalFormatting sqref="Q261:AA272">
    <cfRule type="expression" dxfId="1757" priority="95">
      <formula>Q$1=""</formula>
    </cfRule>
  </conditionalFormatting>
  <conditionalFormatting sqref="I255">
    <cfRule type="cellIs" dxfId="1756" priority="94" operator="equal">
      <formula>0</formula>
    </cfRule>
  </conditionalFormatting>
  <conditionalFormatting sqref="A256:H256 K256:XFD256">
    <cfRule type="cellIs" dxfId="1755" priority="93" operator="equal">
      <formula>0</formula>
    </cfRule>
  </conditionalFormatting>
  <conditionalFormatting sqref="I256">
    <cfRule type="cellIs" dxfId="1754" priority="92" operator="equal">
      <formula>0</formula>
    </cfRule>
  </conditionalFormatting>
  <conditionalFormatting sqref="A257:H257 K257:XFD257">
    <cfRule type="cellIs" dxfId="1753" priority="91" operator="equal">
      <formula>0</formula>
    </cfRule>
  </conditionalFormatting>
  <conditionalFormatting sqref="I257:J257">
    <cfRule type="cellIs" dxfId="1752" priority="90" operator="equal">
      <formula>0</formula>
    </cfRule>
  </conditionalFormatting>
  <conditionalFormatting sqref="A306:XFD306 A293:G293 I293:XFD293 A294:O305 AB294:XFD305 A276:XFD292">
    <cfRule type="cellIs" dxfId="1751" priority="89" operator="equal">
      <formula>0</formula>
    </cfRule>
  </conditionalFormatting>
  <conditionalFormatting sqref="Q279:AA290">
    <cfRule type="expression" dxfId="1750" priority="88">
      <formula>Q$1=""</formula>
    </cfRule>
  </conditionalFormatting>
  <conditionalFormatting sqref="A275:H275 K275:XFD275">
    <cfRule type="cellIs" dxfId="1749" priority="87" operator="equal">
      <formula>0</formula>
    </cfRule>
  </conditionalFormatting>
  <conditionalFormatting sqref="I275">
    <cfRule type="cellIs" dxfId="1748" priority="86" operator="equal">
      <formula>0</formula>
    </cfRule>
  </conditionalFormatting>
  <conditionalFormatting sqref="Q312:AA323">
    <cfRule type="expression" dxfId="1747" priority="80">
      <formula>Q$1=""</formula>
    </cfRule>
  </conditionalFormatting>
  <conditionalFormatting sqref="H240">
    <cfRule type="cellIs" dxfId="1746" priority="85" operator="equal">
      <formula>0</formula>
    </cfRule>
  </conditionalFormatting>
  <conditionalFormatting sqref="H293">
    <cfRule type="cellIs" dxfId="1745" priority="84" operator="equal">
      <formula>0</formula>
    </cfRule>
  </conditionalFormatting>
  <conditionalFormatting sqref="P294:AA305">
    <cfRule type="cellIs" dxfId="1744" priority="83" operator="equal">
      <formula>0</formula>
    </cfRule>
  </conditionalFormatting>
  <conditionalFormatting sqref="Q294:AA305">
    <cfRule type="expression" dxfId="1743" priority="82">
      <formula>Q$1=""</formula>
    </cfRule>
  </conditionalFormatting>
  <conditionalFormatting sqref="A308:H308 A307:XFD307 K308:N308 A309:N309 O308:XFD309 A310:XFD324">
    <cfRule type="cellIs" dxfId="1742" priority="81" operator="equal">
      <formula>0</formula>
    </cfRule>
  </conditionalFormatting>
  <conditionalFormatting sqref="Q330:AA341">
    <cfRule type="expression" dxfId="1741" priority="78">
      <formula>Q$1=""</formula>
    </cfRule>
  </conditionalFormatting>
  <conditionalFormatting sqref="A326:H326 A325:XFD325 K326:N326 A327:N327 O326:XFD327 A328:XFD342">
    <cfRule type="cellIs" dxfId="1740" priority="79" operator="equal">
      <formula>0</formula>
    </cfRule>
  </conditionalFormatting>
  <conditionalFormatting sqref="AB346:XFD346 A346:N346 A347:XFD347">
    <cfRule type="cellIs" dxfId="1739" priority="77" operator="equal">
      <formula>0</formula>
    </cfRule>
  </conditionalFormatting>
  <conditionalFormatting sqref="P347:AA347">
    <cfRule type="expression" dxfId="1738" priority="76">
      <formula>P$1=""</formula>
    </cfRule>
  </conditionalFormatting>
  <conditionalFormatting sqref="P347:AA347">
    <cfRule type="expression" dxfId="1737" priority="75">
      <formula>P$1=""</formula>
    </cfRule>
  </conditionalFormatting>
  <conditionalFormatting sqref="O346:AA346">
    <cfRule type="cellIs" dxfId="1736" priority="74" operator="equal">
      <formula>0</formula>
    </cfRule>
  </conditionalFormatting>
  <conditionalFormatting sqref="P346:AA346">
    <cfRule type="containsBlanks" dxfId="1735" priority="73">
      <formula>LEN(TRIM(P346))=0</formula>
    </cfRule>
  </conditionalFormatting>
  <conditionalFormatting sqref="P346:AA346">
    <cfRule type="expression" dxfId="1734" priority="72">
      <formula>P$1=""</formula>
    </cfRule>
  </conditionalFormatting>
  <conditionalFormatting sqref="P345:AA345">
    <cfRule type="expression" dxfId="1733" priority="71">
      <formula>P$1=""</formula>
    </cfRule>
  </conditionalFormatting>
  <conditionalFormatting sqref="P345:AA345">
    <cfRule type="expression" dxfId="1732" priority="70">
      <formula>P$1=""</formula>
    </cfRule>
  </conditionalFormatting>
  <conditionalFormatting sqref="P153:AA153">
    <cfRule type="expression" dxfId="1731" priority="69">
      <formula>P$1=""</formula>
    </cfRule>
  </conditionalFormatting>
  <conditionalFormatting sqref="P153:AA153">
    <cfRule type="expression" dxfId="1730" priority="68">
      <formula>P$1=""</formula>
    </cfRule>
  </conditionalFormatting>
  <conditionalFormatting sqref="A351:XFD351">
    <cfRule type="cellIs" dxfId="1729" priority="64" operator="equal">
      <formula>0</formula>
    </cfRule>
  </conditionalFormatting>
  <conditionalFormatting sqref="AB349:XFD349 A349:N349 A350:XFD350">
    <cfRule type="cellIs" dxfId="1728" priority="67" operator="equal">
      <formula>0</formula>
    </cfRule>
  </conditionalFormatting>
  <conditionalFormatting sqref="P350:AA350">
    <cfRule type="expression" dxfId="1727" priority="66">
      <formula>P$1=""</formula>
    </cfRule>
  </conditionalFormatting>
  <conditionalFormatting sqref="P350:AA350">
    <cfRule type="expression" dxfId="1726" priority="65">
      <formula>P$1=""</formula>
    </cfRule>
  </conditionalFormatting>
  <conditionalFormatting sqref="A354:XFD354">
    <cfRule type="cellIs" dxfId="1725" priority="60" operator="equal">
      <formula>0</formula>
    </cfRule>
  </conditionalFormatting>
  <conditionalFormatting sqref="AB352:XFD352 A352:N352 A353:XFD353">
    <cfRule type="cellIs" dxfId="1724" priority="63" operator="equal">
      <formula>0</formula>
    </cfRule>
  </conditionalFormatting>
  <conditionalFormatting sqref="P353:AA353">
    <cfRule type="expression" dxfId="1723" priority="62">
      <formula>P$1=""</formula>
    </cfRule>
  </conditionalFormatting>
  <conditionalFormatting sqref="P353:AA353">
    <cfRule type="expression" dxfId="1722" priority="61">
      <formula>P$1=""</formula>
    </cfRule>
  </conditionalFormatting>
  <conditionalFormatting sqref="A357:XFD357">
    <cfRule type="cellIs" dxfId="1721" priority="56" operator="equal">
      <formula>0</formula>
    </cfRule>
  </conditionalFormatting>
  <conditionalFormatting sqref="AB355:XFD355 A355:N355 A356:XFD356">
    <cfRule type="cellIs" dxfId="1720" priority="59" operator="equal">
      <formula>0</formula>
    </cfRule>
  </conditionalFormatting>
  <conditionalFormatting sqref="P356:AA356">
    <cfRule type="expression" dxfId="1719" priority="58">
      <formula>P$1=""</formula>
    </cfRule>
  </conditionalFormatting>
  <conditionalFormatting sqref="P356:AA356">
    <cfRule type="expression" dxfId="1718" priority="57">
      <formula>P$1=""</formula>
    </cfRule>
  </conditionalFormatting>
  <conditionalFormatting sqref="A360:XFD360">
    <cfRule type="cellIs" dxfId="1717" priority="52" operator="equal">
      <formula>0</formula>
    </cfRule>
  </conditionalFormatting>
  <conditionalFormatting sqref="AB358:XFD358 A358:N358 A359:XFD359">
    <cfRule type="cellIs" dxfId="1716" priority="55" operator="equal">
      <formula>0</formula>
    </cfRule>
  </conditionalFormatting>
  <conditionalFormatting sqref="P359:AA359">
    <cfRule type="expression" dxfId="1715" priority="54">
      <formula>P$1=""</formula>
    </cfRule>
  </conditionalFormatting>
  <conditionalFormatting sqref="P359:AA359">
    <cfRule type="expression" dxfId="1714" priority="53">
      <formula>P$1=""</formula>
    </cfRule>
  </conditionalFormatting>
  <conditionalFormatting sqref="A363:XFD363">
    <cfRule type="cellIs" dxfId="1713" priority="48" operator="equal">
      <formula>0</formula>
    </cfRule>
  </conditionalFormatting>
  <conditionalFormatting sqref="AB361:XFD361 A361:N361 A362:XFD362">
    <cfRule type="cellIs" dxfId="1712" priority="51" operator="equal">
      <formula>0</formula>
    </cfRule>
  </conditionalFormatting>
  <conditionalFormatting sqref="P362:AA362">
    <cfRule type="expression" dxfId="1711" priority="50">
      <formula>P$1=""</formula>
    </cfRule>
  </conditionalFormatting>
  <conditionalFormatting sqref="P362:AA362">
    <cfRule type="expression" dxfId="1710" priority="49">
      <formula>P$1=""</formula>
    </cfRule>
  </conditionalFormatting>
  <conditionalFormatting sqref="A366:XFD366">
    <cfRule type="cellIs" dxfId="1709" priority="44" operator="equal">
      <formula>0</formula>
    </cfRule>
  </conditionalFormatting>
  <conditionalFormatting sqref="AB364:XFD364 A364:N364 A365:XFD365">
    <cfRule type="cellIs" dxfId="1708" priority="47" operator="equal">
      <formula>0</formula>
    </cfRule>
  </conditionalFormatting>
  <conditionalFormatting sqref="P365:AA365">
    <cfRule type="expression" dxfId="1707" priority="46">
      <formula>P$1=""</formula>
    </cfRule>
  </conditionalFormatting>
  <conditionalFormatting sqref="P365:AA365">
    <cfRule type="expression" dxfId="1706" priority="45">
      <formula>P$1=""</formula>
    </cfRule>
  </conditionalFormatting>
  <conditionalFormatting sqref="AB367:XFD367 A367:N367 A368:XFD368">
    <cfRule type="cellIs" dxfId="1705" priority="43" operator="equal">
      <formula>0</formula>
    </cfRule>
  </conditionalFormatting>
  <conditionalFormatting sqref="P368:AA368">
    <cfRule type="expression" dxfId="1704" priority="42">
      <formula>P$1=""</formula>
    </cfRule>
  </conditionalFormatting>
  <conditionalFormatting sqref="P368:AA368">
    <cfRule type="expression" dxfId="1703" priority="41">
      <formula>P$1=""</formula>
    </cfRule>
  </conditionalFormatting>
  <conditionalFormatting sqref="A369:XFD369">
    <cfRule type="cellIs" dxfId="1702" priority="40" operator="equal">
      <formula>0</formula>
    </cfRule>
  </conditionalFormatting>
  <conditionalFormatting sqref="AB370:XFD370 A370:N370 A371:XFD371">
    <cfRule type="cellIs" dxfId="1701" priority="39" operator="equal">
      <formula>0</formula>
    </cfRule>
  </conditionalFormatting>
  <conditionalFormatting sqref="P371:AA371">
    <cfRule type="expression" dxfId="1700" priority="38">
      <formula>P$1=""</formula>
    </cfRule>
  </conditionalFormatting>
  <conditionalFormatting sqref="P371:AA371">
    <cfRule type="expression" dxfId="1699" priority="37">
      <formula>P$1=""</formula>
    </cfRule>
  </conditionalFormatting>
  <conditionalFormatting sqref="P375:P386">
    <cfRule type="expression" dxfId="1698" priority="36">
      <formula>AND($P$1=0,$H375&lt;MONTH($J$13))</formula>
    </cfRule>
  </conditionalFormatting>
  <conditionalFormatting sqref="Q375:AA386">
    <cfRule type="expression" dxfId="1697" priority="34">
      <formula>Q$1=""</formula>
    </cfRule>
  </conditionalFormatting>
  <conditionalFormatting sqref="A373:XFD402">
    <cfRule type="cellIs" dxfId="1696" priority="35" operator="equal">
      <formula>0</formula>
    </cfRule>
  </conditionalFormatting>
  <conditionalFormatting sqref="P390:P401">
    <cfRule type="expression" dxfId="1695" priority="33">
      <formula>AND($P$1=0,$H390&lt;MONTH($J$13))</formula>
    </cfRule>
  </conditionalFormatting>
  <conditionalFormatting sqref="Q390:AA401">
    <cfRule type="expression" dxfId="1694" priority="32">
      <formula>Q$1=""</formula>
    </cfRule>
  </conditionalFormatting>
  <conditionalFormatting sqref="P123">
    <cfRule type="expression" dxfId="1693" priority="31">
      <formula>AND($P$1=0,$H123&lt;MONTH($J$13))</formula>
    </cfRule>
  </conditionalFormatting>
  <conditionalFormatting sqref="C3:E6">
    <cfRule type="cellIs" dxfId="1692" priority="30" operator="equal">
      <formula>0</formula>
    </cfRule>
  </conditionalFormatting>
  <conditionalFormatting sqref="J36:J38">
    <cfRule type="cellIs" dxfId="1691" priority="28" operator="equal">
      <formula>0</formula>
    </cfRule>
  </conditionalFormatting>
  <conditionalFormatting sqref="J36:J38">
    <cfRule type="containsBlanks" dxfId="1690" priority="29">
      <formula>LEN(TRIM(J36))=0</formula>
    </cfRule>
  </conditionalFormatting>
  <conditionalFormatting sqref="J75:J77">
    <cfRule type="cellIs" dxfId="1689" priority="26" operator="equal">
      <formula>0</formula>
    </cfRule>
  </conditionalFormatting>
  <conditionalFormatting sqref="J75:J77">
    <cfRule type="containsBlanks" dxfId="1688" priority="27">
      <formula>LEN(TRIM(J75))=0</formula>
    </cfRule>
  </conditionalFormatting>
  <conditionalFormatting sqref="M108:M119">
    <cfRule type="cellIs" dxfId="1687" priority="24" operator="equal">
      <formula>0</formula>
    </cfRule>
  </conditionalFormatting>
  <conditionalFormatting sqref="M108:M119">
    <cfRule type="containsBlanks" dxfId="1686" priority="25">
      <formula>LEN(TRIM(M108))=0</formula>
    </cfRule>
  </conditionalFormatting>
  <conditionalFormatting sqref="J172">
    <cfRule type="cellIs" dxfId="1685" priority="22" operator="equal">
      <formula>0</formula>
    </cfRule>
  </conditionalFormatting>
  <conditionalFormatting sqref="J172">
    <cfRule type="containsBlanks" dxfId="1684" priority="23">
      <formula>LEN(TRIM(J172))=0</formula>
    </cfRule>
  </conditionalFormatting>
  <conditionalFormatting sqref="J205:J206">
    <cfRule type="cellIs" dxfId="1683" priority="20" operator="equal">
      <formula>0</formula>
    </cfRule>
  </conditionalFormatting>
  <conditionalFormatting sqref="J205:J206">
    <cfRule type="containsBlanks" dxfId="1682" priority="21">
      <formula>LEN(TRIM(J205))=0</formula>
    </cfRule>
  </conditionalFormatting>
  <conditionalFormatting sqref="M211:M222">
    <cfRule type="cellIs" dxfId="1681" priority="18" operator="equal">
      <formula>0</formula>
    </cfRule>
  </conditionalFormatting>
  <conditionalFormatting sqref="M211:M222">
    <cfRule type="containsBlanks" dxfId="1680" priority="19">
      <formula>LEN(TRIM(M211))=0</formula>
    </cfRule>
  </conditionalFormatting>
  <conditionalFormatting sqref="J255:J256">
    <cfRule type="cellIs" dxfId="1679" priority="16" operator="equal">
      <formula>0</formula>
    </cfRule>
  </conditionalFormatting>
  <conditionalFormatting sqref="J255:J256">
    <cfRule type="containsBlanks" dxfId="1678" priority="17">
      <formula>LEN(TRIM(J255))=0</formula>
    </cfRule>
  </conditionalFormatting>
  <conditionalFormatting sqref="J275">
    <cfRule type="cellIs" dxfId="1677" priority="14" operator="equal">
      <formula>0</formula>
    </cfRule>
  </conditionalFormatting>
  <conditionalFormatting sqref="J275">
    <cfRule type="containsBlanks" dxfId="1676" priority="15">
      <formula>LEN(TRIM(J275))=0</formula>
    </cfRule>
  </conditionalFormatting>
  <conditionalFormatting sqref="I308">
    <cfRule type="cellIs" dxfId="1675" priority="13" operator="equal">
      <formula>0</formula>
    </cfRule>
  </conditionalFormatting>
  <conditionalFormatting sqref="J308">
    <cfRule type="cellIs" dxfId="1674" priority="11" operator="equal">
      <formula>0</formula>
    </cfRule>
  </conditionalFormatting>
  <conditionalFormatting sqref="J308">
    <cfRule type="containsBlanks" dxfId="1673" priority="12">
      <formula>LEN(TRIM(J308))=0</formula>
    </cfRule>
  </conditionalFormatting>
  <conditionalFormatting sqref="I326">
    <cfRule type="cellIs" dxfId="1672" priority="10" operator="equal">
      <formula>0</formula>
    </cfRule>
  </conditionalFormatting>
  <conditionalFormatting sqref="J326">
    <cfRule type="cellIs" dxfId="1671" priority="8" operator="equal">
      <formula>0</formula>
    </cfRule>
  </conditionalFormatting>
  <conditionalFormatting sqref="J326">
    <cfRule type="containsBlanks" dxfId="1670" priority="9">
      <formula>LEN(TRIM(J326))=0</formula>
    </cfRule>
  </conditionalFormatting>
  <conditionalFormatting sqref="O370:AA370 O367:AA367 O364:AA364 O361:AA361 O358:AA358 O355:AA355 O352:AA352 O349:AA349">
    <cfRule type="cellIs" dxfId="1669" priority="7" operator="equal">
      <formula>0</formula>
    </cfRule>
  </conditionalFormatting>
  <conditionalFormatting sqref="P370:AA370 P367:AA367 P364:AA364 P361:AA361 P358:AA358 P355:AA355 P352:AA352 P349:AA349">
    <cfRule type="containsBlanks" dxfId="1668" priority="6">
      <formula>LEN(TRIM(P349))=0</formula>
    </cfRule>
  </conditionalFormatting>
  <conditionalFormatting sqref="P370:AA370 P367:AA367 P364:AA364 P361:AA361 P358:AA358 P355:AA355 P352:AA352 P349:AA349">
    <cfRule type="expression" dxfId="1667" priority="5">
      <formula>P$1=""</formula>
    </cfRule>
  </conditionalFormatting>
  <conditionalFormatting sqref="A1:D1">
    <cfRule type="cellIs" dxfId="1666" priority="4" operator="equal">
      <formula>0</formula>
    </cfRule>
  </conditionalFormatting>
  <conditionalFormatting sqref="P279:AA290">
    <cfRule type="cellIs" dxfId="1665" priority="3" operator="equal">
      <formula>0</formula>
    </cfRule>
  </conditionalFormatting>
  <conditionalFormatting sqref="P294:AA305">
    <cfRule type="cellIs" dxfId="1664" priority="2" operator="equal">
      <formula>0</formula>
    </cfRule>
  </conditionalFormatting>
  <conditionalFormatting sqref="P294:AA305">
    <cfRule type="cellIs" dxfId="1663" priority="1" operator="equal">
      <formula>0</formula>
    </cfRule>
  </conditionalFormatting>
  <hyperlinks>
    <hyperlink ref="A1:D1" location="оглавление!A1" tooltip="оглавление" display="оглавление"/>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S97"/>
  <sheetViews>
    <sheetView showGridLines="0" tabSelected="1" workbookViewId="0">
      <pane xSplit="10" ySplit="10" topLeftCell="K11" activePane="bottomRight" state="frozen"/>
      <selection pane="topRight" activeCell="K1" sqref="K1"/>
      <selection pane="bottomLeft" activeCell="A11" sqref="A11"/>
      <selection pane="bottomRight"/>
    </sheetView>
  </sheetViews>
  <sheetFormatPr defaultColWidth="9.109375" defaultRowHeight="12" x14ac:dyDescent="0.25"/>
  <cols>
    <col min="1" max="1" width="1.6640625" style="1" customWidth="1"/>
    <col min="2" max="2" width="0.88671875" style="1" customWidth="1"/>
    <col min="3" max="3" width="1.6640625" style="1" customWidth="1"/>
    <col min="4" max="6" width="2.6640625" style="1" customWidth="1"/>
    <col min="7" max="7" width="11.5546875" style="244" customWidth="1"/>
    <col min="8" max="8" width="2.6640625" style="1" customWidth="1"/>
    <col min="9" max="9" width="11.109375" style="244" bestFit="1" customWidth="1"/>
    <col min="10" max="10" width="1.6640625" style="1" customWidth="1"/>
    <col min="11" max="11" width="2.6640625" style="1" customWidth="1"/>
    <col min="12" max="12" width="1.6640625" style="1" customWidth="1"/>
    <col min="13" max="13" width="58.33203125" style="35" customWidth="1"/>
    <col min="14" max="16" width="1.6640625" style="1" customWidth="1"/>
    <col min="17" max="17" width="0.88671875" style="1" customWidth="1"/>
    <col min="18" max="18" width="1.6640625" style="1" customWidth="1"/>
    <col min="19" max="19" width="2.6640625" style="1" customWidth="1"/>
    <col min="20" max="16384" width="9.109375" style="1"/>
  </cols>
  <sheetData>
    <row r="1" spans="1:19" ht="8.1" customHeight="1" x14ac:dyDescent="0.25">
      <c r="A1" s="2"/>
      <c r="B1" s="2"/>
      <c r="C1" s="2"/>
      <c r="D1" s="2"/>
      <c r="E1" s="2"/>
      <c r="F1" s="2"/>
      <c r="G1" s="239"/>
      <c r="H1" s="2"/>
      <c r="I1" s="239"/>
      <c r="J1" s="2"/>
      <c r="K1" s="2"/>
      <c r="L1" s="2"/>
      <c r="M1" s="16"/>
      <c r="N1" s="2"/>
      <c r="O1" s="2"/>
      <c r="P1" s="2"/>
      <c r="Q1" s="2"/>
      <c r="R1" s="2"/>
      <c r="S1" s="2"/>
    </row>
    <row r="2" spans="1:19" ht="5.0999999999999996" customHeight="1" x14ac:dyDescent="0.25">
      <c r="A2" s="2"/>
      <c r="B2" s="7"/>
      <c r="C2" s="8"/>
      <c r="D2" s="8"/>
      <c r="E2" s="8"/>
      <c r="F2" s="8"/>
      <c r="G2" s="240"/>
      <c r="H2" s="8"/>
      <c r="I2" s="240"/>
      <c r="J2" s="8"/>
      <c r="K2" s="8"/>
      <c r="L2" s="8"/>
      <c r="M2" s="17"/>
      <c r="N2" s="8"/>
      <c r="O2" s="8"/>
      <c r="P2" s="8"/>
      <c r="Q2" s="9"/>
      <c r="R2" s="2"/>
      <c r="S2" s="2"/>
    </row>
    <row r="3" spans="1:19" ht="8.1" customHeight="1" x14ac:dyDescent="0.25">
      <c r="A3" s="2"/>
      <c r="B3" s="10"/>
      <c r="C3" s="11"/>
      <c r="D3" s="11"/>
      <c r="E3" s="11"/>
      <c r="F3" s="11"/>
      <c r="G3" s="241"/>
      <c r="H3" s="11"/>
      <c r="I3" s="241"/>
      <c r="J3" s="11"/>
      <c r="K3" s="11"/>
      <c r="L3" s="11"/>
      <c r="M3" s="18"/>
      <c r="N3" s="11"/>
      <c r="O3" s="11"/>
      <c r="P3" s="11"/>
      <c r="Q3" s="12"/>
      <c r="R3" s="2"/>
      <c r="S3" s="2"/>
    </row>
    <row r="4" spans="1:19" x14ac:dyDescent="0.25">
      <c r="A4" s="2"/>
      <c r="B4" s="10"/>
      <c r="C4" s="11"/>
      <c r="D4" s="11"/>
      <c r="E4" s="224" t="s">
        <v>411</v>
      </c>
      <c r="F4" s="11"/>
      <c r="G4" s="241"/>
      <c r="H4" s="11"/>
      <c r="I4" s="241"/>
      <c r="J4" s="11"/>
      <c r="K4" s="11"/>
      <c r="L4" s="11"/>
      <c r="M4" s="18"/>
      <c r="N4" s="11"/>
      <c r="O4" s="11"/>
      <c r="P4" s="11"/>
      <c r="Q4" s="12"/>
      <c r="R4" s="2"/>
      <c r="S4" s="2"/>
    </row>
    <row r="5" spans="1:19" x14ac:dyDescent="0.25">
      <c r="A5" s="2"/>
      <c r="B5" s="10"/>
      <c r="C5" s="11"/>
      <c r="D5" s="11"/>
      <c r="E5" s="224" t="s">
        <v>302</v>
      </c>
      <c r="F5" s="11"/>
      <c r="G5" s="241"/>
      <c r="H5" s="11"/>
      <c r="I5" s="241"/>
      <c r="J5" s="11"/>
      <c r="K5" s="11"/>
      <c r="L5" s="11"/>
      <c r="M5" s="11"/>
      <c r="N5" s="11"/>
      <c r="O5" s="11"/>
      <c r="P5" s="11"/>
      <c r="Q5" s="12"/>
      <c r="R5" s="2"/>
      <c r="S5" s="2"/>
    </row>
    <row r="6" spans="1:19" x14ac:dyDescent="0.25">
      <c r="A6" s="2"/>
      <c r="B6" s="10"/>
      <c r="C6" s="11"/>
      <c r="D6" s="11"/>
      <c r="E6" s="224" t="s">
        <v>329</v>
      </c>
      <c r="F6" s="11"/>
      <c r="G6" s="241"/>
      <c r="H6" s="11"/>
      <c r="I6" s="241"/>
      <c r="J6" s="11"/>
      <c r="K6" s="11"/>
      <c r="L6" s="11"/>
      <c r="M6" s="11"/>
      <c r="N6" s="11"/>
      <c r="O6" s="11"/>
      <c r="P6" s="11"/>
      <c r="Q6" s="12"/>
      <c r="R6" s="2"/>
      <c r="S6" s="2"/>
    </row>
    <row r="7" spans="1:19" x14ac:dyDescent="0.25">
      <c r="A7" s="2"/>
      <c r="B7" s="10"/>
      <c r="C7" s="11"/>
      <c r="D7" s="11"/>
      <c r="E7" s="11"/>
      <c r="F7" s="11"/>
      <c r="G7" s="241"/>
      <c r="H7" s="11"/>
      <c r="I7" s="241"/>
      <c r="J7" s="11"/>
      <c r="K7" s="11"/>
      <c r="L7" s="11"/>
      <c r="M7" s="11"/>
      <c r="N7" s="11"/>
      <c r="O7" s="11"/>
      <c r="P7" s="11"/>
      <c r="Q7" s="12"/>
      <c r="R7" s="2"/>
      <c r="S7" s="2"/>
    </row>
    <row r="8" spans="1:19" s="29" customFormat="1" x14ac:dyDescent="0.3">
      <c r="A8" s="28"/>
      <c r="B8" s="234"/>
      <c r="C8" s="235"/>
      <c r="D8" s="235"/>
      <c r="E8" s="235"/>
      <c r="F8" s="235"/>
      <c r="G8" s="235" t="s">
        <v>310</v>
      </c>
      <c r="H8" s="235"/>
      <c r="I8" s="235" t="s">
        <v>311</v>
      </c>
      <c r="J8" s="235"/>
      <c r="K8" s="235"/>
      <c r="L8" s="235"/>
      <c r="M8" s="236" t="s">
        <v>312</v>
      </c>
      <c r="N8" s="235"/>
      <c r="O8" s="235"/>
      <c r="P8" s="235"/>
      <c r="Q8" s="237"/>
      <c r="R8" s="28"/>
      <c r="S8" s="28"/>
    </row>
    <row r="9" spans="1:19" ht="3.9" customHeight="1" x14ac:dyDescent="0.25">
      <c r="A9" s="2"/>
      <c r="B9" s="10"/>
      <c r="C9" s="11"/>
      <c r="D9" s="11"/>
      <c r="E9" s="11"/>
      <c r="F9" s="11"/>
      <c r="G9" s="242"/>
      <c r="H9" s="11"/>
      <c r="I9" s="242"/>
      <c r="J9" s="11"/>
      <c r="K9" s="11"/>
      <c r="L9" s="11"/>
      <c r="M9" s="238"/>
      <c r="N9" s="11"/>
      <c r="O9" s="11"/>
      <c r="P9" s="11"/>
      <c r="Q9" s="12"/>
      <c r="R9" s="2"/>
      <c r="S9" s="2"/>
    </row>
    <row r="10" spans="1:19" ht="3.9" customHeight="1" x14ac:dyDescent="0.25">
      <c r="A10" s="2"/>
      <c r="B10" s="10"/>
      <c r="C10" s="11"/>
      <c r="D10" s="11"/>
      <c r="E10" s="11"/>
      <c r="F10" s="11"/>
      <c r="G10" s="241"/>
      <c r="H10" s="11"/>
      <c r="I10" s="241"/>
      <c r="J10" s="11"/>
      <c r="K10" s="11"/>
      <c r="L10" s="11"/>
      <c r="M10" s="18"/>
      <c r="N10" s="11"/>
      <c r="O10" s="11"/>
      <c r="P10" s="11"/>
      <c r="Q10" s="12"/>
      <c r="R10" s="2"/>
      <c r="S10" s="2"/>
    </row>
    <row r="11" spans="1:19" x14ac:dyDescent="0.25">
      <c r="A11" s="2"/>
      <c r="B11" s="10"/>
      <c r="C11" s="11"/>
      <c r="D11" s="11"/>
      <c r="E11" s="11"/>
      <c r="F11" s="11"/>
      <c r="G11" s="241"/>
      <c r="H11" s="11"/>
      <c r="I11" s="241"/>
      <c r="J11" s="11"/>
      <c r="K11" s="11"/>
      <c r="L11" s="11"/>
      <c r="M11" s="18"/>
      <c r="N11" s="11"/>
      <c r="O11" s="11"/>
      <c r="P11" s="11"/>
      <c r="Q11" s="12"/>
      <c r="R11" s="2"/>
      <c r="S11" s="2"/>
    </row>
    <row r="12" spans="1:19" x14ac:dyDescent="0.25">
      <c r="A12" s="2"/>
      <c r="B12" s="10"/>
      <c r="C12" s="11"/>
      <c r="D12" s="11"/>
      <c r="E12" s="11"/>
      <c r="F12" s="11"/>
      <c r="G12" s="241"/>
      <c r="H12" s="11"/>
      <c r="I12" s="241"/>
      <c r="J12" s="11"/>
      <c r="K12" s="11"/>
      <c r="L12" s="11"/>
      <c r="M12" s="18"/>
      <c r="N12" s="11"/>
      <c r="O12" s="11"/>
      <c r="P12" s="11"/>
      <c r="Q12" s="12"/>
      <c r="R12" s="2"/>
      <c r="S12" s="2"/>
    </row>
    <row r="13" spans="1:19" x14ac:dyDescent="0.25">
      <c r="A13" s="2"/>
      <c r="B13" s="10"/>
      <c r="C13" s="11"/>
      <c r="D13" s="11"/>
      <c r="E13" s="11"/>
      <c r="F13" s="11"/>
      <c r="G13" s="241"/>
      <c r="H13" s="32" t="s">
        <v>0</v>
      </c>
      <c r="I13" s="245"/>
      <c r="J13" s="11"/>
      <c r="K13" s="11"/>
      <c r="L13" s="11"/>
      <c r="M13" s="250" t="s">
        <v>1</v>
      </c>
      <c r="N13" s="11"/>
      <c r="O13" s="11"/>
      <c r="P13" s="11"/>
      <c r="Q13" s="12"/>
      <c r="R13" s="2"/>
      <c r="S13" s="2"/>
    </row>
    <row r="14" spans="1:19" ht="3.9" customHeight="1" x14ac:dyDescent="0.25">
      <c r="A14" s="2"/>
      <c r="B14" s="10"/>
      <c r="C14" s="11"/>
      <c r="D14" s="11"/>
      <c r="E14" s="11"/>
      <c r="F14" s="11"/>
      <c r="G14" s="241"/>
      <c r="H14" s="11"/>
      <c r="I14" s="241"/>
      <c r="J14" s="11"/>
      <c r="K14" s="11"/>
      <c r="L14" s="11"/>
      <c r="M14" s="18"/>
      <c r="N14" s="11"/>
      <c r="O14" s="11"/>
      <c r="P14" s="11"/>
      <c r="Q14" s="12"/>
      <c r="R14" s="2"/>
      <c r="S14" s="2"/>
    </row>
    <row r="15" spans="1:19" x14ac:dyDescent="0.25">
      <c r="A15" s="2"/>
      <c r="B15" s="10"/>
      <c r="C15" s="11"/>
      <c r="D15" s="11"/>
      <c r="E15" s="11"/>
      <c r="F15" s="11"/>
      <c r="G15" s="241"/>
      <c r="H15" s="32" t="s">
        <v>0</v>
      </c>
      <c r="I15" s="246"/>
      <c r="J15" s="34" t="s">
        <v>9</v>
      </c>
      <c r="K15" s="11"/>
      <c r="L15" s="11"/>
      <c r="M15" s="250" t="s">
        <v>10</v>
      </c>
      <c r="N15" s="11"/>
      <c r="O15" s="11"/>
      <c r="P15" s="11"/>
      <c r="Q15" s="12"/>
      <c r="R15" s="2"/>
      <c r="S15" s="2"/>
    </row>
    <row r="16" spans="1:19" ht="36" x14ac:dyDescent="0.25">
      <c r="A16" s="2"/>
      <c r="B16" s="10"/>
      <c r="C16" s="11"/>
      <c r="D16" s="11"/>
      <c r="E16" s="11"/>
      <c r="F16" s="11"/>
      <c r="G16" s="241"/>
      <c r="H16" s="11"/>
      <c r="I16" s="241"/>
      <c r="J16" s="11"/>
      <c r="K16" s="11"/>
      <c r="L16" s="11"/>
      <c r="M16" s="251" t="s">
        <v>2</v>
      </c>
      <c r="N16" s="11"/>
      <c r="O16" s="11"/>
      <c r="P16" s="11"/>
      <c r="Q16" s="12"/>
      <c r="R16" s="2"/>
      <c r="S16" s="2"/>
    </row>
    <row r="17" spans="1:19" x14ac:dyDescent="0.25">
      <c r="A17" s="2"/>
      <c r="B17" s="10"/>
      <c r="C17" s="11"/>
      <c r="D17" s="11"/>
      <c r="E17" s="11"/>
      <c r="F17" s="11"/>
      <c r="G17" s="241"/>
      <c r="H17" s="11"/>
      <c r="I17" s="241"/>
      <c r="J17" s="11"/>
      <c r="K17" s="11"/>
      <c r="L17" s="11"/>
      <c r="M17" s="252"/>
      <c r="N17" s="11"/>
      <c r="O17" s="11"/>
      <c r="P17" s="11"/>
      <c r="Q17" s="12"/>
      <c r="R17" s="2"/>
      <c r="S17" s="2"/>
    </row>
    <row r="18" spans="1:19" x14ac:dyDescent="0.25">
      <c r="A18" s="2"/>
      <c r="B18" s="10"/>
      <c r="C18" s="11"/>
      <c r="D18" s="11"/>
      <c r="E18" s="11"/>
      <c r="F18" s="11"/>
      <c r="G18" s="247" t="s">
        <v>313</v>
      </c>
      <c r="H18" s="11"/>
      <c r="I18" s="241"/>
      <c r="J18" s="11"/>
      <c r="K18" s="11"/>
      <c r="L18" s="11"/>
      <c r="M18" s="253" t="s">
        <v>314</v>
      </c>
      <c r="N18" s="11"/>
      <c r="O18" s="11"/>
      <c r="P18" s="11"/>
      <c r="Q18" s="12"/>
      <c r="R18" s="2"/>
      <c r="S18" s="2"/>
    </row>
    <row r="19" spans="1:19" ht="24" x14ac:dyDescent="0.25">
      <c r="A19" s="2"/>
      <c r="B19" s="10"/>
      <c r="C19" s="11"/>
      <c r="D19" s="11"/>
      <c r="E19" s="11"/>
      <c r="F19" s="11"/>
      <c r="G19" s="241"/>
      <c r="H19" s="11"/>
      <c r="I19" s="241"/>
      <c r="J19" s="11"/>
      <c r="K19" s="11"/>
      <c r="L19" s="11"/>
      <c r="M19" s="254" t="s">
        <v>371</v>
      </c>
      <c r="N19" s="11"/>
      <c r="O19" s="11"/>
      <c r="P19" s="11"/>
      <c r="Q19" s="12"/>
      <c r="R19" s="2"/>
      <c r="S19" s="2"/>
    </row>
    <row r="20" spans="1:19" ht="48" x14ac:dyDescent="0.25">
      <c r="A20" s="2"/>
      <c r="B20" s="10"/>
      <c r="C20" s="11"/>
      <c r="D20" s="11"/>
      <c r="E20" s="11"/>
      <c r="F20" s="11"/>
      <c r="G20" s="241"/>
      <c r="H20" s="11"/>
      <c r="I20" s="241"/>
      <c r="J20" s="11"/>
      <c r="K20" s="11"/>
      <c r="L20" s="11"/>
      <c r="M20" s="255" t="s">
        <v>369</v>
      </c>
      <c r="N20" s="11"/>
      <c r="O20" s="11"/>
      <c r="P20" s="11"/>
      <c r="Q20" s="12"/>
      <c r="R20" s="2"/>
      <c r="S20" s="2"/>
    </row>
    <row r="21" spans="1:19" ht="36" x14ac:dyDescent="0.25">
      <c r="A21" s="2"/>
      <c r="B21" s="10"/>
      <c r="C21" s="11"/>
      <c r="D21" s="11"/>
      <c r="E21" s="11"/>
      <c r="F21" s="11"/>
      <c r="G21" s="241"/>
      <c r="H21" s="11"/>
      <c r="I21" s="241"/>
      <c r="J21" s="11"/>
      <c r="K21" s="11"/>
      <c r="L21" s="11"/>
      <c r="M21" s="255" t="s">
        <v>370</v>
      </c>
      <c r="N21" s="11"/>
      <c r="O21" s="11"/>
      <c r="P21" s="11"/>
      <c r="Q21" s="12"/>
      <c r="R21" s="2"/>
      <c r="S21" s="2"/>
    </row>
    <row r="22" spans="1:19" ht="84" x14ac:dyDescent="0.25">
      <c r="A22" s="2"/>
      <c r="B22" s="10"/>
      <c r="C22" s="11"/>
      <c r="D22" s="11"/>
      <c r="E22" s="11"/>
      <c r="F22" s="11"/>
      <c r="G22" s="241"/>
      <c r="H22" s="11"/>
      <c r="I22" s="241"/>
      <c r="J22" s="11"/>
      <c r="K22" s="11"/>
      <c r="L22" s="11"/>
      <c r="M22" s="255" t="s">
        <v>413</v>
      </c>
      <c r="N22" s="11"/>
      <c r="O22" s="11"/>
      <c r="P22" s="11"/>
      <c r="Q22" s="12"/>
      <c r="R22" s="2"/>
      <c r="S22" s="2"/>
    </row>
    <row r="23" spans="1:19" ht="60" x14ac:dyDescent="0.25">
      <c r="A23" s="2"/>
      <c r="B23" s="10"/>
      <c r="C23" s="11"/>
      <c r="D23" s="11"/>
      <c r="E23" s="11"/>
      <c r="F23" s="11"/>
      <c r="G23" s="241"/>
      <c r="H23" s="11"/>
      <c r="I23" s="241"/>
      <c r="J23" s="11"/>
      <c r="K23" s="11"/>
      <c r="L23" s="11"/>
      <c r="M23" s="255" t="s">
        <v>414</v>
      </c>
      <c r="N23" s="11"/>
      <c r="O23" s="11"/>
      <c r="P23" s="11"/>
      <c r="Q23" s="12"/>
      <c r="R23" s="2"/>
      <c r="S23" s="2"/>
    </row>
    <row r="24" spans="1:19" ht="60" x14ac:dyDescent="0.25">
      <c r="A24" s="2"/>
      <c r="B24" s="10"/>
      <c r="C24" s="11"/>
      <c r="D24" s="11"/>
      <c r="E24" s="11"/>
      <c r="F24" s="11"/>
      <c r="G24" s="241"/>
      <c r="H24" s="11"/>
      <c r="I24" s="241"/>
      <c r="J24" s="11"/>
      <c r="K24" s="11"/>
      <c r="L24" s="11"/>
      <c r="M24" s="255" t="s">
        <v>415</v>
      </c>
      <c r="N24" s="11"/>
      <c r="O24" s="11"/>
      <c r="P24" s="11"/>
      <c r="Q24" s="12"/>
      <c r="R24" s="2"/>
      <c r="S24" s="2"/>
    </row>
    <row r="25" spans="1:19" ht="36" x14ac:dyDescent="0.25">
      <c r="A25" s="2"/>
      <c r="B25" s="10"/>
      <c r="C25" s="11"/>
      <c r="D25" s="11"/>
      <c r="E25" s="11"/>
      <c r="F25" s="11"/>
      <c r="G25" s="241"/>
      <c r="H25" s="11"/>
      <c r="I25" s="241"/>
      <c r="J25" s="11"/>
      <c r="K25" s="11"/>
      <c r="L25" s="11"/>
      <c r="M25" s="255" t="s">
        <v>416</v>
      </c>
      <c r="N25" s="11"/>
      <c r="O25" s="11"/>
      <c r="P25" s="11"/>
      <c r="Q25" s="12"/>
      <c r="R25" s="2"/>
      <c r="S25" s="2"/>
    </row>
    <row r="26" spans="1:19" x14ac:dyDescent="0.25">
      <c r="A26" s="2"/>
      <c r="B26" s="10"/>
      <c r="C26" s="11"/>
      <c r="D26" s="11"/>
      <c r="E26" s="11"/>
      <c r="F26" s="11"/>
      <c r="G26" s="241"/>
      <c r="H26" s="11"/>
      <c r="I26" s="241"/>
      <c r="J26" s="11"/>
      <c r="K26" s="11"/>
      <c r="L26" s="11"/>
      <c r="M26" s="255" t="s">
        <v>417</v>
      </c>
      <c r="N26" s="11"/>
      <c r="O26" s="11"/>
      <c r="P26" s="11"/>
      <c r="Q26" s="12"/>
      <c r="R26" s="2"/>
      <c r="S26" s="2"/>
    </row>
    <row r="27" spans="1:19" ht="24" x14ac:dyDescent="0.25">
      <c r="A27" s="2"/>
      <c r="B27" s="10"/>
      <c r="C27" s="11"/>
      <c r="D27" s="11"/>
      <c r="E27" s="11"/>
      <c r="F27" s="11"/>
      <c r="G27" s="241"/>
      <c r="H27" s="11"/>
      <c r="I27" s="241"/>
      <c r="J27" s="11"/>
      <c r="K27" s="11"/>
      <c r="L27" s="11"/>
      <c r="M27" s="255" t="s">
        <v>418</v>
      </c>
      <c r="N27" s="11"/>
      <c r="O27" s="11"/>
      <c r="P27" s="11"/>
      <c r="Q27" s="12"/>
      <c r="R27" s="2"/>
      <c r="S27" s="2"/>
    </row>
    <row r="28" spans="1:19" x14ac:dyDescent="0.25">
      <c r="A28" s="2"/>
      <c r="B28" s="10"/>
      <c r="C28" s="11"/>
      <c r="D28" s="11"/>
      <c r="E28" s="11"/>
      <c r="F28" s="11"/>
      <c r="G28" s="241"/>
      <c r="H28" s="11"/>
      <c r="I28" s="241"/>
      <c r="J28" s="11"/>
      <c r="K28" s="11"/>
      <c r="L28" s="11"/>
      <c r="M28" s="252"/>
      <c r="N28" s="11"/>
      <c r="O28" s="11"/>
      <c r="P28" s="11"/>
      <c r="Q28" s="12"/>
      <c r="R28" s="2"/>
      <c r="S28" s="2"/>
    </row>
    <row r="29" spans="1:19" x14ac:dyDescent="0.25">
      <c r="A29" s="2"/>
      <c r="B29" s="10"/>
      <c r="C29" s="11"/>
      <c r="D29" s="11"/>
      <c r="E29" s="11"/>
      <c r="F29" s="11"/>
      <c r="G29" s="309" t="s">
        <v>315</v>
      </c>
      <c r="H29" s="11"/>
      <c r="I29" s="241"/>
      <c r="J29" s="11"/>
      <c r="K29" s="11"/>
      <c r="L29" s="11"/>
      <c r="M29" s="253" t="s">
        <v>419</v>
      </c>
      <c r="N29" s="11"/>
      <c r="O29" s="11"/>
      <c r="P29" s="11"/>
      <c r="Q29" s="12"/>
      <c r="R29" s="2"/>
      <c r="S29" s="2"/>
    </row>
    <row r="30" spans="1:19" x14ac:dyDescent="0.25">
      <c r="A30" s="2"/>
      <c r="B30" s="10"/>
      <c r="C30" s="11"/>
      <c r="D30" s="11"/>
      <c r="E30" s="11"/>
      <c r="F30" s="11"/>
      <c r="G30" s="241"/>
      <c r="H30" s="11"/>
      <c r="I30" s="241"/>
      <c r="J30" s="11"/>
      <c r="K30" s="11"/>
      <c r="L30" s="11"/>
      <c r="M30" s="254" t="s">
        <v>420</v>
      </c>
      <c r="N30" s="11"/>
      <c r="O30" s="11"/>
      <c r="P30" s="11"/>
      <c r="Q30" s="12"/>
      <c r="R30" s="2"/>
      <c r="S30" s="2"/>
    </row>
    <row r="31" spans="1:19" x14ac:dyDescent="0.25">
      <c r="A31" s="2"/>
      <c r="B31" s="10"/>
      <c r="C31" s="11"/>
      <c r="D31" s="11"/>
      <c r="E31" s="11"/>
      <c r="F31" s="11"/>
      <c r="G31" s="241"/>
      <c r="H31" s="11"/>
      <c r="I31" s="241"/>
      <c r="J31" s="11"/>
      <c r="K31" s="11"/>
      <c r="L31" s="11"/>
      <c r="M31" s="255" t="s">
        <v>421</v>
      </c>
      <c r="N31" s="11"/>
      <c r="O31" s="11"/>
      <c r="P31" s="11"/>
      <c r="Q31" s="12"/>
      <c r="R31" s="2"/>
      <c r="S31" s="2"/>
    </row>
    <row r="32" spans="1:19" x14ac:dyDescent="0.25">
      <c r="A32" s="2"/>
      <c r="B32" s="10"/>
      <c r="C32" s="11"/>
      <c r="D32" s="11"/>
      <c r="E32" s="11"/>
      <c r="F32" s="11"/>
      <c r="G32" s="241"/>
      <c r="H32" s="11"/>
      <c r="I32" s="241"/>
      <c r="J32" s="11"/>
      <c r="K32" s="11"/>
      <c r="L32" s="11"/>
      <c r="M32" s="255" t="s">
        <v>316</v>
      </c>
      <c r="N32" s="11"/>
      <c r="O32" s="11"/>
      <c r="P32" s="11"/>
      <c r="Q32" s="12"/>
      <c r="R32" s="2"/>
      <c r="S32" s="2"/>
    </row>
    <row r="33" spans="1:19" x14ac:dyDescent="0.25">
      <c r="A33" s="2"/>
      <c r="B33" s="10"/>
      <c r="C33" s="11"/>
      <c r="D33" s="11"/>
      <c r="E33" s="11"/>
      <c r="F33" s="11"/>
      <c r="G33" s="241"/>
      <c r="H33" s="11"/>
      <c r="I33" s="241"/>
      <c r="J33" s="11"/>
      <c r="K33" s="11"/>
      <c r="L33" s="11"/>
      <c r="M33" s="18"/>
      <c r="N33" s="11"/>
      <c r="O33" s="11"/>
      <c r="P33" s="11"/>
      <c r="Q33" s="12"/>
      <c r="R33" s="2"/>
      <c r="S33" s="2"/>
    </row>
    <row r="34" spans="1:19" x14ac:dyDescent="0.25">
      <c r="A34" s="2"/>
      <c r="B34" s="10"/>
      <c r="C34" s="11"/>
      <c r="D34" s="11"/>
      <c r="E34" s="11"/>
      <c r="F34" s="11"/>
      <c r="G34" s="310" t="s">
        <v>362</v>
      </c>
      <c r="H34" s="11"/>
      <c r="I34" s="241"/>
      <c r="J34" s="11"/>
      <c r="K34" s="11"/>
      <c r="L34" s="11"/>
      <c r="M34" s="253" t="s">
        <v>422</v>
      </c>
      <c r="N34" s="11"/>
      <c r="O34" s="11"/>
      <c r="P34" s="11"/>
      <c r="Q34" s="12"/>
      <c r="R34" s="2"/>
      <c r="S34" s="2"/>
    </row>
    <row r="35" spans="1:19" ht="36" x14ac:dyDescent="0.25">
      <c r="A35" s="2"/>
      <c r="B35" s="10"/>
      <c r="C35" s="11"/>
      <c r="D35" s="11"/>
      <c r="E35" s="11"/>
      <c r="F35" s="11"/>
      <c r="G35" s="241"/>
      <c r="H35" s="11"/>
      <c r="I35" s="241"/>
      <c r="J35" s="11"/>
      <c r="K35" s="11"/>
      <c r="L35" s="11"/>
      <c r="M35" s="254" t="s">
        <v>423</v>
      </c>
      <c r="N35" s="11"/>
      <c r="O35" s="11"/>
      <c r="P35" s="11"/>
      <c r="Q35" s="12"/>
      <c r="R35" s="2"/>
      <c r="S35" s="2"/>
    </row>
    <row r="36" spans="1:19" ht="96" x14ac:dyDescent="0.25">
      <c r="A36" s="2"/>
      <c r="B36" s="10"/>
      <c r="C36" s="11"/>
      <c r="D36" s="11"/>
      <c r="E36" s="11"/>
      <c r="F36" s="11"/>
      <c r="G36" s="241"/>
      <c r="H36" s="11"/>
      <c r="I36" s="241"/>
      <c r="J36" s="11"/>
      <c r="K36" s="11"/>
      <c r="L36" s="11"/>
      <c r="M36" s="255" t="s">
        <v>424</v>
      </c>
      <c r="N36" s="11"/>
      <c r="O36" s="11"/>
      <c r="P36" s="11"/>
      <c r="Q36" s="12"/>
      <c r="R36" s="2"/>
      <c r="S36" s="2"/>
    </row>
    <row r="37" spans="1:19" ht="48" x14ac:dyDescent="0.25">
      <c r="A37" s="2"/>
      <c r="B37" s="10"/>
      <c r="C37" s="11"/>
      <c r="D37" s="11"/>
      <c r="E37" s="11"/>
      <c r="F37" s="11"/>
      <c r="G37" s="241"/>
      <c r="H37" s="11"/>
      <c r="I37" s="241"/>
      <c r="J37" s="11"/>
      <c r="K37" s="11"/>
      <c r="L37" s="11"/>
      <c r="M37" s="255" t="s">
        <v>425</v>
      </c>
      <c r="N37" s="11"/>
      <c r="O37" s="11"/>
      <c r="P37" s="11"/>
      <c r="Q37" s="12"/>
      <c r="R37" s="2"/>
      <c r="S37" s="2"/>
    </row>
    <row r="38" spans="1:19" x14ac:dyDescent="0.25">
      <c r="A38" s="2"/>
      <c r="B38" s="10"/>
      <c r="C38" s="11"/>
      <c r="D38" s="11"/>
      <c r="E38" s="11"/>
      <c r="F38" s="11"/>
      <c r="G38" s="241"/>
      <c r="H38" s="11"/>
      <c r="I38" s="241"/>
      <c r="J38" s="11"/>
      <c r="K38" s="11"/>
      <c r="L38" s="11"/>
      <c r="M38" s="18"/>
      <c r="N38" s="11"/>
      <c r="O38" s="11"/>
      <c r="P38" s="11"/>
      <c r="Q38" s="12"/>
      <c r="R38" s="2"/>
      <c r="S38" s="2"/>
    </row>
    <row r="39" spans="1:19" x14ac:dyDescent="0.25">
      <c r="A39" s="2"/>
      <c r="B39" s="10"/>
      <c r="C39" s="11"/>
      <c r="D39" s="11"/>
      <c r="E39" s="11"/>
      <c r="F39" s="11"/>
      <c r="G39" s="248" t="s">
        <v>325</v>
      </c>
      <c r="H39" s="11"/>
      <c r="I39" s="241"/>
      <c r="J39" s="11"/>
      <c r="K39" s="11"/>
      <c r="L39" s="11"/>
      <c r="M39" s="253" t="s">
        <v>426</v>
      </c>
      <c r="N39" s="11"/>
      <c r="O39" s="11"/>
      <c r="P39" s="11"/>
      <c r="Q39" s="12"/>
      <c r="R39" s="2"/>
      <c r="S39" s="2"/>
    </row>
    <row r="40" spans="1:19" ht="24" x14ac:dyDescent="0.25">
      <c r="A40" s="2"/>
      <c r="B40" s="10"/>
      <c r="C40" s="11"/>
      <c r="D40" s="11"/>
      <c r="E40" s="11"/>
      <c r="F40" s="11"/>
      <c r="G40" s="241"/>
      <c r="H40" s="11"/>
      <c r="I40" s="241"/>
      <c r="J40" s="11"/>
      <c r="K40" s="11"/>
      <c r="L40" s="11"/>
      <c r="M40" s="254" t="s">
        <v>427</v>
      </c>
      <c r="N40" s="11"/>
      <c r="O40" s="11"/>
      <c r="P40" s="11"/>
      <c r="Q40" s="12"/>
      <c r="R40" s="2"/>
      <c r="S40" s="2"/>
    </row>
    <row r="41" spans="1:19" ht="24" x14ac:dyDescent="0.25">
      <c r="A41" s="2"/>
      <c r="B41" s="10"/>
      <c r="C41" s="11"/>
      <c r="D41" s="11"/>
      <c r="E41" s="11"/>
      <c r="F41" s="11"/>
      <c r="G41" s="241"/>
      <c r="H41" s="11"/>
      <c r="I41" s="241"/>
      <c r="J41" s="11"/>
      <c r="K41" s="11"/>
      <c r="L41" s="11"/>
      <c r="M41" s="255" t="s">
        <v>428</v>
      </c>
      <c r="N41" s="11"/>
      <c r="O41" s="11"/>
      <c r="P41" s="11"/>
      <c r="Q41" s="12"/>
      <c r="R41" s="2"/>
      <c r="S41" s="2"/>
    </row>
    <row r="42" spans="1:19" ht="60" x14ac:dyDescent="0.25">
      <c r="A42" s="2"/>
      <c r="B42" s="10"/>
      <c r="C42" s="11"/>
      <c r="D42" s="11"/>
      <c r="E42" s="11"/>
      <c r="F42" s="11"/>
      <c r="G42" s="241"/>
      <c r="H42" s="11"/>
      <c r="I42" s="241"/>
      <c r="J42" s="11"/>
      <c r="K42" s="11"/>
      <c r="L42" s="11"/>
      <c r="M42" s="255" t="s">
        <v>429</v>
      </c>
      <c r="N42" s="11"/>
      <c r="O42" s="11"/>
      <c r="P42" s="11"/>
      <c r="Q42" s="12"/>
      <c r="R42" s="2"/>
      <c r="S42" s="2"/>
    </row>
    <row r="43" spans="1:19" ht="36" x14ac:dyDescent="0.25">
      <c r="A43" s="2"/>
      <c r="B43" s="10"/>
      <c r="C43" s="11"/>
      <c r="D43" s="11"/>
      <c r="E43" s="11"/>
      <c r="F43" s="11"/>
      <c r="G43" s="241"/>
      <c r="H43" s="11"/>
      <c r="I43" s="241"/>
      <c r="J43" s="11"/>
      <c r="K43" s="11"/>
      <c r="L43" s="11"/>
      <c r="M43" s="255" t="s">
        <v>430</v>
      </c>
      <c r="N43" s="11"/>
      <c r="O43" s="11"/>
      <c r="P43" s="11"/>
      <c r="Q43" s="12"/>
      <c r="R43" s="2"/>
      <c r="S43" s="2"/>
    </row>
    <row r="44" spans="1:19" ht="72" x14ac:dyDescent="0.25">
      <c r="A44" s="2"/>
      <c r="B44" s="10"/>
      <c r="C44" s="11"/>
      <c r="D44" s="11"/>
      <c r="E44" s="11"/>
      <c r="F44" s="11"/>
      <c r="G44" s="241"/>
      <c r="H44" s="11"/>
      <c r="I44" s="241"/>
      <c r="J44" s="11"/>
      <c r="K44" s="11"/>
      <c r="L44" s="11"/>
      <c r="M44" s="255" t="s">
        <v>431</v>
      </c>
      <c r="N44" s="11"/>
      <c r="O44" s="11"/>
      <c r="P44" s="11"/>
      <c r="Q44" s="12"/>
      <c r="R44" s="2"/>
      <c r="S44" s="2"/>
    </row>
    <row r="45" spans="1:19" ht="48" x14ac:dyDescent="0.25">
      <c r="A45" s="2"/>
      <c r="B45" s="10"/>
      <c r="C45" s="11"/>
      <c r="D45" s="11"/>
      <c r="E45" s="11"/>
      <c r="F45" s="11"/>
      <c r="G45" s="241"/>
      <c r="H45" s="11"/>
      <c r="I45" s="241"/>
      <c r="J45" s="11"/>
      <c r="K45" s="11"/>
      <c r="L45" s="11"/>
      <c r="M45" s="255" t="s">
        <v>432</v>
      </c>
      <c r="N45" s="11"/>
      <c r="O45" s="11"/>
      <c r="P45" s="11"/>
      <c r="Q45" s="12"/>
      <c r="R45" s="2"/>
      <c r="S45" s="2"/>
    </row>
    <row r="46" spans="1:19" ht="60" x14ac:dyDescent="0.25">
      <c r="A46" s="2"/>
      <c r="B46" s="10"/>
      <c r="C46" s="11"/>
      <c r="D46" s="11"/>
      <c r="E46" s="11"/>
      <c r="F46" s="11"/>
      <c r="G46" s="241"/>
      <c r="H46" s="11"/>
      <c r="I46" s="241"/>
      <c r="J46" s="11"/>
      <c r="K46" s="11"/>
      <c r="L46" s="11"/>
      <c r="M46" s="255" t="s">
        <v>433</v>
      </c>
      <c r="N46" s="11"/>
      <c r="O46" s="11"/>
      <c r="P46" s="11"/>
      <c r="Q46" s="12"/>
      <c r="R46" s="2"/>
      <c r="S46" s="2"/>
    </row>
    <row r="47" spans="1:19" ht="36" x14ac:dyDescent="0.25">
      <c r="A47" s="2"/>
      <c r="B47" s="10"/>
      <c r="C47" s="11"/>
      <c r="D47" s="11"/>
      <c r="E47" s="11"/>
      <c r="F47" s="11"/>
      <c r="G47" s="241"/>
      <c r="H47" s="11"/>
      <c r="I47" s="241"/>
      <c r="J47" s="11"/>
      <c r="K47" s="11"/>
      <c r="L47" s="11"/>
      <c r="M47" s="255" t="s">
        <v>434</v>
      </c>
      <c r="N47" s="11"/>
      <c r="O47" s="11"/>
      <c r="P47" s="11"/>
      <c r="Q47" s="12"/>
      <c r="R47" s="2"/>
      <c r="S47" s="2"/>
    </row>
    <row r="48" spans="1:19" ht="60" x14ac:dyDescent="0.25">
      <c r="A48" s="2"/>
      <c r="B48" s="10"/>
      <c r="C48" s="11"/>
      <c r="D48" s="11"/>
      <c r="E48" s="11"/>
      <c r="F48" s="11"/>
      <c r="G48" s="241"/>
      <c r="H48" s="11"/>
      <c r="I48" s="241"/>
      <c r="J48" s="11"/>
      <c r="K48" s="11"/>
      <c r="L48" s="11"/>
      <c r="M48" s="255" t="s">
        <v>435</v>
      </c>
      <c r="N48" s="11"/>
      <c r="O48" s="11"/>
      <c r="P48" s="11"/>
      <c r="Q48" s="12"/>
      <c r="R48" s="2"/>
      <c r="S48" s="2"/>
    </row>
    <row r="49" spans="1:19" x14ac:dyDescent="0.25">
      <c r="A49" s="2"/>
      <c r="B49" s="10"/>
      <c r="C49" s="11"/>
      <c r="D49" s="11"/>
      <c r="E49" s="11"/>
      <c r="F49" s="11"/>
      <c r="G49" s="241"/>
      <c r="H49" s="11"/>
      <c r="I49" s="241"/>
      <c r="J49" s="11"/>
      <c r="K49" s="11"/>
      <c r="L49" s="11"/>
      <c r="M49" s="252"/>
      <c r="N49" s="11"/>
      <c r="O49" s="11"/>
      <c r="P49" s="11"/>
      <c r="Q49" s="12"/>
      <c r="R49" s="2"/>
      <c r="S49" s="2"/>
    </row>
    <row r="50" spans="1:19" x14ac:dyDescent="0.25">
      <c r="A50" s="2"/>
      <c r="B50" s="10"/>
      <c r="C50" s="11"/>
      <c r="D50" s="11"/>
      <c r="E50" s="11"/>
      <c r="F50" s="11"/>
      <c r="G50" s="247" t="s">
        <v>317</v>
      </c>
      <c r="H50" s="11"/>
      <c r="I50" s="241"/>
      <c r="J50" s="11"/>
      <c r="K50" s="11"/>
      <c r="L50" s="11"/>
      <c r="M50" s="253" t="s">
        <v>436</v>
      </c>
      <c r="N50" s="11"/>
      <c r="O50" s="11"/>
      <c r="P50" s="11"/>
      <c r="Q50" s="12"/>
      <c r="R50" s="2"/>
      <c r="S50" s="2"/>
    </row>
    <row r="51" spans="1:19" ht="24" x14ac:dyDescent="0.25">
      <c r="A51" s="2"/>
      <c r="B51" s="10"/>
      <c r="C51" s="11"/>
      <c r="D51" s="11"/>
      <c r="E51" s="11"/>
      <c r="F51" s="11"/>
      <c r="G51" s="241"/>
      <c r="H51" s="11"/>
      <c r="I51" s="241"/>
      <c r="J51" s="11"/>
      <c r="K51" s="11"/>
      <c r="L51" s="11"/>
      <c r="M51" s="254" t="s">
        <v>437</v>
      </c>
      <c r="N51" s="11"/>
      <c r="O51" s="11"/>
      <c r="P51" s="11"/>
      <c r="Q51" s="12"/>
      <c r="R51" s="2"/>
      <c r="S51" s="2"/>
    </row>
    <row r="52" spans="1:19" ht="24" x14ac:dyDescent="0.25">
      <c r="A52" s="2"/>
      <c r="B52" s="10"/>
      <c r="C52" s="11"/>
      <c r="D52" s="11"/>
      <c r="E52" s="11"/>
      <c r="F52" s="11"/>
      <c r="G52" s="241"/>
      <c r="H52" s="11"/>
      <c r="I52" s="241"/>
      <c r="J52" s="11"/>
      <c r="K52" s="11"/>
      <c r="L52" s="11"/>
      <c r="M52" s="255" t="s">
        <v>438</v>
      </c>
      <c r="N52" s="11"/>
      <c r="O52" s="11"/>
      <c r="P52" s="11"/>
      <c r="Q52" s="12"/>
      <c r="R52" s="2"/>
      <c r="S52" s="2"/>
    </row>
    <row r="53" spans="1:19" ht="24" x14ac:dyDescent="0.25">
      <c r="A53" s="2"/>
      <c r="B53" s="10"/>
      <c r="C53" s="11"/>
      <c r="D53" s="11"/>
      <c r="E53" s="11"/>
      <c r="F53" s="11"/>
      <c r="G53" s="241"/>
      <c r="H53" s="11"/>
      <c r="I53" s="241"/>
      <c r="J53" s="11"/>
      <c r="K53" s="11"/>
      <c r="L53" s="11"/>
      <c r="M53" s="255" t="s">
        <v>439</v>
      </c>
      <c r="N53" s="11"/>
      <c r="O53" s="11"/>
      <c r="P53" s="11"/>
      <c r="Q53" s="12"/>
      <c r="R53" s="2"/>
      <c r="S53" s="2"/>
    </row>
    <row r="54" spans="1:19" ht="48" x14ac:dyDescent="0.25">
      <c r="A54" s="2"/>
      <c r="B54" s="10"/>
      <c r="C54" s="11"/>
      <c r="D54" s="11"/>
      <c r="E54" s="11"/>
      <c r="F54" s="11"/>
      <c r="G54" s="241"/>
      <c r="H54" s="11"/>
      <c r="I54" s="241"/>
      <c r="J54" s="11"/>
      <c r="K54" s="11"/>
      <c r="L54" s="11"/>
      <c r="M54" s="255" t="s">
        <v>440</v>
      </c>
      <c r="N54" s="11"/>
      <c r="O54" s="11"/>
      <c r="P54" s="11"/>
      <c r="Q54" s="12"/>
      <c r="R54" s="2"/>
      <c r="S54" s="2"/>
    </row>
    <row r="55" spans="1:19" ht="84" x14ac:dyDescent="0.25">
      <c r="A55" s="2"/>
      <c r="B55" s="10"/>
      <c r="C55" s="11"/>
      <c r="D55" s="11"/>
      <c r="E55" s="11"/>
      <c r="F55" s="11"/>
      <c r="G55" s="241"/>
      <c r="H55" s="11"/>
      <c r="I55" s="241"/>
      <c r="J55" s="11"/>
      <c r="K55" s="11"/>
      <c r="L55" s="11"/>
      <c r="M55" s="255" t="s">
        <v>441</v>
      </c>
      <c r="N55" s="11"/>
      <c r="O55" s="11"/>
      <c r="P55" s="11"/>
      <c r="Q55" s="12"/>
      <c r="R55" s="2"/>
      <c r="S55" s="2"/>
    </row>
    <row r="56" spans="1:19" ht="48" x14ac:dyDescent="0.25">
      <c r="A56" s="2"/>
      <c r="B56" s="10"/>
      <c r="C56" s="11"/>
      <c r="D56" s="11"/>
      <c r="E56" s="11"/>
      <c r="F56" s="11"/>
      <c r="G56" s="241"/>
      <c r="H56" s="11"/>
      <c r="I56" s="241"/>
      <c r="J56" s="11"/>
      <c r="K56" s="11"/>
      <c r="L56" s="11"/>
      <c r="M56" s="255" t="s">
        <v>442</v>
      </c>
      <c r="N56" s="11"/>
      <c r="O56" s="11"/>
      <c r="P56" s="11"/>
      <c r="Q56" s="12"/>
      <c r="R56" s="2"/>
      <c r="S56" s="2"/>
    </row>
    <row r="57" spans="1:19" ht="72" x14ac:dyDescent="0.25">
      <c r="A57" s="2"/>
      <c r="B57" s="10"/>
      <c r="C57" s="11"/>
      <c r="D57" s="11"/>
      <c r="E57" s="11"/>
      <c r="F57" s="11"/>
      <c r="G57" s="241"/>
      <c r="H57" s="11"/>
      <c r="I57" s="241"/>
      <c r="J57" s="11"/>
      <c r="K57" s="11"/>
      <c r="L57" s="11"/>
      <c r="M57" s="255" t="s">
        <v>443</v>
      </c>
      <c r="N57" s="11"/>
      <c r="O57" s="11"/>
      <c r="P57" s="11"/>
      <c r="Q57" s="12"/>
      <c r="R57" s="2"/>
      <c r="S57" s="2"/>
    </row>
    <row r="58" spans="1:19" ht="72" x14ac:dyDescent="0.25">
      <c r="A58" s="2"/>
      <c r="B58" s="10"/>
      <c r="C58" s="11"/>
      <c r="D58" s="11"/>
      <c r="E58" s="11"/>
      <c r="F58" s="11"/>
      <c r="G58" s="241"/>
      <c r="H58" s="11"/>
      <c r="I58" s="241"/>
      <c r="J58" s="11"/>
      <c r="K58" s="11"/>
      <c r="L58" s="11"/>
      <c r="M58" s="255" t="s">
        <v>444</v>
      </c>
      <c r="N58" s="11"/>
      <c r="O58" s="11"/>
      <c r="P58" s="11"/>
      <c r="Q58" s="12"/>
      <c r="R58" s="2"/>
      <c r="S58" s="2"/>
    </row>
    <row r="59" spans="1:19" ht="24" x14ac:dyDescent="0.25">
      <c r="A59" s="2"/>
      <c r="B59" s="10"/>
      <c r="C59" s="11"/>
      <c r="D59" s="11"/>
      <c r="E59" s="11"/>
      <c r="F59" s="11"/>
      <c r="G59" s="241"/>
      <c r="H59" s="11"/>
      <c r="I59" s="241"/>
      <c r="J59" s="11"/>
      <c r="K59" s="11"/>
      <c r="L59" s="11"/>
      <c r="M59" s="255" t="s">
        <v>445</v>
      </c>
      <c r="N59" s="11"/>
      <c r="O59" s="11"/>
      <c r="P59" s="11"/>
      <c r="Q59" s="12"/>
      <c r="R59" s="2"/>
      <c r="S59" s="2"/>
    </row>
    <row r="60" spans="1:19" ht="36" x14ac:dyDescent="0.25">
      <c r="A60" s="2"/>
      <c r="B60" s="10"/>
      <c r="C60" s="11"/>
      <c r="D60" s="11"/>
      <c r="E60" s="11"/>
      <c r="F60" s="11"/>
      <c r="G60" s="241"/>
      <c r="H60" s="11"/>
      <c r="I60" s="241"/>
      <c r="J60" s="11"/>
      <c r="K60" s="11"/>
      <c r="L60" s="11"/>
      <c r="M60" s="255" t="s">
        <v>446</v>
      </c>
      <c r="N60" s="11"/>
      <c r="O60" s="11"/>
      <c r="P60" s="11"/>
      <c r="Q60" s="12"/>
      <c r="R60" s="2"/>
      <c r="S60" s="2"/>
    </row>
    <row r="61" spans="1:19" x14ac:dyDescent="0.25">
      <c r="A61" s="2"/>
      <c r="B61" s="10"/>
      <c r="C61" s="11"/>
      <c r="D61" s="11"/>
      <c r="E61" s="11"/>
      <c r="F61" s="11"/>
      <c r="G61" s="241"/>
      <c r="H61" s="11"/>
      <c r="I61" s="241"/>
      <c r="J61" s="11"/>
      <c r="K61" s="11"/>
      <c r="L61" s="11"/>
      <c r="M61" s="256"/>
      <c r="N61" s="11"/>
      <c r="O61" s="11"/>
      <c r="P61" s="11"/>
      <c r="Q61" s="12"/>
      <c r="R61" s="2"/>
      <c r="S61" s="2"/>
    </row>
    <row r="62" spans="1:19" x14ac:dyDescent="0.25">
      <c r="A62" s="2"/>
      <c r="B62" s="10"/>
      <c r="C62" s="11"/>
      <c r="D62" s="11"/>
      <c r="E62" s="11"/>
      <c r="F62" s="11"/>
      <c r="G62" s="248" t="s">
        <v>318</v>
      </c>
      <c r="H62" s="11"/>
      <c r="I62" s="241"/>
      <c r="J62" s="11"/>
      <c r="K62" s="11"/>
      <c r="L62" s="11"/>
      <c r="M62" s="253" t="s">
        <v>319</v>
      </c>
      <c r="N62" s="11"/>
      <c r="O62" s="11"/>
      <c r="P62" s="11"/>
      <c r="Q62" s="12"/>
      <c r="R62" s="2"/>
      <c r="S62" s="2"/>
    </row>
    <row r="63" spans="1:19" x14ac:dyDescent="0.25">
      <c r="A63" s="2"/>
      <c r="B63" s="10"/>
      <c r="C63" s="11"/>
      <c r="D63" s="11"/>
      <c r="E63" s="11"/>
      <c r="F63" s="11"/>
      <c r="G63" s="241"/>
      <c r="H63" s="11"/>
      <c r="I63" s="241"/>
      <c r="J63" s="11"/>
      <c r="K63" s="11"/>
      <c r="L63" s="11"/>
      <c r="M63" s="254" t="s">
        <v>320</v>
      </c>
      <c r="N63" s="11"/>
      <c r="O63" s="11"/>
      <c r="P63" s="11"/>
      <c r="Q63" s="12"/>
      <c r="R63" s="2"/>
      <c r="S63" s="2"/>
    </row>
    <row r="64" spans="1:19" ht="24" x14ac:dyDescent="0.25">
      <c r="A64" s="2"/>
      <c r="B64" s="10"/>
      <c r="C64" s="11"/>
      <c r="D64" s="11"/>
      <c r="E64" s="11"/>
      <c r="F64" s="11"/>
      <c r="G64" s="241"/>
      <c r="H64" s="11"/>
      <c r="I64" s="241"/>
      <c r="J64" s="11"/>
      <c r="K64" s="11"/>
      <c r="L64" s="11"/>
      <c r="M64" s="255" t="s">
        <v>321</v>
      </c>
      <c r="N64" s="11"/>
      <c r="O64" s="11"/>
      <c r="P64" s="11"/>
      <c r="Q64" s="12"/>
      <c r="R64" s="2"/>
      <c r="S64" s="2"/>
    </row>
    <row r="65" spans="1:19" ht="12.6" thickBot="1" x14ac:dyDescent="0.3">
      <c r="A65" s="2"/>
      <c r="B65" s="10"/>
      <c r="C65" s="11"/>
      <c r="D65" s="11"/>
      <c r="E65" s="11"/>
      <c r="F65" s="11"/>
      <c r="G65" s="241"/>
      <c r="H65" s="11"/>
      <c r="I65" s="241"/>
      <c r="J65" s="11"/>
      <c r="K65" s="11"/>
      <c r="L65" s="11"/>
      <c r="M65" s="255" t="s">
        <v>316</v>
      </c>
      <c r="N65" s="11"/>
      <c r="O65" s="11"/>
      <c r="P65" s="11"/>
      <c r="Q65" s="12"/>
      <c r="R65" s="2"/>
      <c r="S65" s="2"/>
    </row>
    <row r="66" spans="1:19" ht="36.6" thickBot="1" x14ac:dyDescent="0.3">
      <c r="A66" s="2"/>
      <c r="B66" s="10"/>
      <c r="C66" s="11"/>
      <c r="D66" s="11"/>
      <c r="E66" s="11"/>
      <c r="F66" s="11"/>
      <c r="G66" s="241"/>
      <c r="H66" s="11"/>
      <c r="I66" s="249" t="s">
        <v>322</v>
      </c>
      <c r="J66" s="11"/>
      <c r="K66" s="11"/>
      <c r="L66" s="11"/>
      <c r="M66" s="255" t="s">
        <v>323</v>
      </c>
      <c r="N66" s="11"/>
      <c r="O66" s="11"/>
      <c r="P66" s="11"/>
      <c r="Q66" s="12"/>
      <c r="R66" s="2"/>
      <c r="S66" s="2"/>
    </row>
    <row r="67" spans="1:19" ht="36" x14ac:dyDescent="0.25">
      <c r="A67" s="2"/>
      <c r="B67" s="10"/>
      <c r="C67" s="11"/>
      <c r="D67" s="11"/>
      <c r="E67" s="11"/>
      <c r="F67" s="11"/>
      <c r="G67" s="241"/>
      <c r="H67" s="11"/>
      <c r="I67" s="241"/>
      <c r="J67" s="11"/>
      <c r="K67" s="11"/>
      <c r="L67" s="11"/>
      <c r="M67" s="255" t="s">
        <v>324</v>
      </c>
      <c r="N67" s="11"/>
      <c r="O67" s="11"/>
      <c r="P67" s="11"/>
      <c r="Q67" s="12"/>
      <c r="R67" s="2"/>
      <c r="S67" s="2"/>
    </row>
    <row r="68" spans="1:19" x14ac:dyDescent="0.25">
      <c r="A68" s="2"/>
      <c r="B68" s="10"/>
      <c r="C68" s="11"/>
      <c r="D68" s="11"/>
      <c r="E68" s="11"/>
      <c r="F68" s="11"/>
      <c r="G68" s="241"/>
      <c r="H68" s="11"/>
      <c r="I68" s="241"/>
      <c r="J68" s="11"/>
      <c r="K68" s="11"/>
      <c r="L68" s="11"/>
      <c r="M68" s="252"/>
      <c r="N68" s="11"/>
      <c r="O68" s="11"/>
      <c r="P68" s="11"/>
      <c r="Q68" s="12"/>
      <c r="R68" s="2"/>
      <c r="S68" s="2"/>
    </row>
    <row r="69" spans="1:19" x14ac:dyDescent="0.25">
      <c r="A69" s="2"/>
      <c r="B69" s="10"/>
      <c r="C69" s="11"/>
      <c r="D69" s="11"/>
      <c r="E69" s="11"/>
      <c r="F69" s="11"/>
      <c r="G69" s="311" t="s">
        <v>364</v>
      </c>
      <c r="H69" s="11"/>
      <c r="I69" s="241"/>
      <c r="J69" s="11"/>
      <c r="K69" s="11"/>
      <c r="L69" s="11"/>
      <c r="M69" s="253" t="s">
        <v>447</v>
      </c>
      <c r="N69" s="11"/>
      <c r="O69" s="11"/>
      <c r="P69" s="11"/>
      <c r="Q69" s="12"/>
      <c r="R69" s="2"/>
      <c r="S69" s="2"/>
    </row>
    <row r="70" spans="1:19" x14ac:dyDescent="0.25">
      <c r="A70" s="2"/>
      <c r="B70" s="10"/>
      <c r="C70" s="11"/>
      <c r="D70" s="11"/>
      <c r="E70" s="11"/>
      <c r="F70" s="11"/>
      <c r="G70" s="241"/>
      <c r="H70" s="11"/>
      <c r="I70" s="241"/>
      <c r="J70" s="11"/>
      <c r="K70" s="11"/>
      <c r="L70" s="11"/>
      <c r="M70" s="254" t="s">
        <v>448</v>
      </c>
      <c r="N70" s="11"/>
      <c r="O70" s="11"/>
      <c r="P70" s="11"/>
      <c r="Q70" s="12"/>
      <c r="R70" s="2"/>
      <c r="S70" s="2"/>
    </row>
    <row r="71" spans="1:19" ht="24" x14ac:dyDescent="0.25">
      <c r="A71" s="2"/>
      <c r="B71" s="10"/>
      <c r="C71" s="11"/>
      <c r="D71" s="11"/>
      <c r="E71" s="11"/>
      <c r="F71" s="11"/>
      <c r="G71" s="241"/>
      <c r="H71" s="11"/>
      <c r="I71" s="241"/>
      <c r="J71" s="11"/>
      <c r="K71" s="11"/>
      <c r="L71" s="11"/>
      <c r="M71" s="254" t="s">
        <v>449</v>
      </c>
      <c r="N71" s="11"/>
      <c r="O71" s="11"/>
      <c r="P71" s="11"/>
      <c r="Q71" s="12"/>
      <c r="R71" s="2"/>
      <c r="S71" s="2"/>
    </row>
    <row r="72" spans="1:19" x14ac:dyDescent="0.25">
      <c r="A72" s="2"/>
      <c r="B72" s="10"/>
      <c r="C72" s="11"/>
      <c r="D72" s="11"/>
      <c r="E72" s="11"/>
      <c r="F72" s="11"/>
      <c r="G72" s="241"/>
      <c r="H72" s="11"/>
      <c r="I72" s="241"/>
      <c r="J72" s="11"/>
      <c r="K72" s="11"/>
      <c r="L72" s="11"/>
      <c r="M72" s="254" t="s">
        <v>450</v>
      </c>
      <c r="N72" s="11"/>
      <c r="O72" s="11"/>
      <c r="P72" s="11"/>
      <c r="Q72" s="12"/>
      <c r="R72" s="2"/>
      <c r="S72" s="2"/>
    </row>
    <row r="73" spans="1:19" ht="24" x14ac:dyDescent="0.25">
      <c r="A73" s="2"/>
      <c r="B73" s="10"/>
      <c r="C73" s="11"/>
      <c r="D73" s="11"/>
      <c r="E73" s="11"/>
      <c r="F73" s="11"/>
      <c r="G73" s="241"/>
      <c r="H73" s="11"/>
      <c r="I73" s="241"/>
      <c r="J73" s="11"/>
      <c r="K73" s="11"/>
      <c r="L73" s="11"/>
      <c r="M73" s="254" t="s">
        <v>451</v>
      </c>
      <c r="N73" s="11"/>
      <c r="O73" s="11"/>
      <c r="P73" s="11"/>
      <c r="Q73" s="12"/>
      <c r="R73" s="2"/>
      <c r="S73" s="2"/>
    </row>
    <row r="74" spans="1:19" x14ac:dyDescent="0.25">
      <c r="A74" s="2"/>
      <c r="B74" s="10"/>
      <c r="C74" s="11"/>
      <c r="D74" s="11"/>
      <c r="E74" s="11"/>
      <c r="F74" s="11"/>
      <c r="G74" s="241"/>
      <c r="H74" s="11"/>
      <c r="I74" s="241"/>
      <c r="J74" s="11"/>
      <c r="K74" s="11"/>
      <c r="L74" s="11"/>
      <c r="M74" s="252"/>
      <c r="N74" s="11"/>
      <c r="O74" s="11"/>
      <c r="P74" s="11"/>
      <c r="Q74" s="12"/>
      <c r="R74" s="2"/>
      <c r="S74" s="2"/>
    </row>
    <row r="75" spans="1:19" x14ac:dyDescent="0.25">
      <c r="A75" s="2"/>
      <c r="B75" s="10"/>
      <c r="C75" s="11"/>
      <c r="D75" s="11"/>
      <c r="E75" s="11"/>
      <c r="F75" s="11"/>
      <c r="G75" s="311" t="s">
        <v>366</v>
      </c>
      <c r="H75" s="11"/>
      <c r="I75" s="241"/>
      <c r="J75" s="11"/>
      <c r="K75" s="11"/>
      <c r="L75" s="11"/>
      <c r="M75" s="253" t="s">
        <v>452</v>
      </c>
      <c r="N75" s="11"/>
      <c r="O75" s="11"/>
      <c r="P75" s="11"/>
      <c r="Q75" s="12"/>
      <c r="R75" s="2"/>
      <c r="S75" s="2"/>
    </row>
    <row r="76" spans="1:19" x14ac:dyDescent="0.25">
      <c r="A76" s="2"/>
      <c r="B76" s="10"/>
      <c r="C76" s="11"/>
      <c r="D76" s="11"/>
      <c r="E76" s="11"/>
      <c r="F76" s="11"/>
      <c r="G76" s="241"/>
      <c r="H76" s="11"/>
      <c r="I76" s="241"/>
      <c r="J76" s="11"/>
      <c r="K76" s="11"/>
      <c r="L76" s="11"/>
      <c r="M76" s="254" t="s">
        <v>448</v>
      </c>
      <c r="N76" s="11"/>
      <c r="O76" s="11"/>
      <c r="P76" s="11"/>
      <c r="Q76" s="12"/>
      <c r="R76" s="2"/>
      <c r="S76" s="2"/>
    </row>
    <row r="77" spans="1:19" x14ac:dyDescent="0.25">
      <c r="A77" s="2"/>
      <c r="B77" s="10"/>
      <c r="C77" s="11"/>
      <c r="D77" s="11"/>
      <c r="E77" s="11"/>
      <c r="F77" s="11"/>
      <c r="G77" s="241"/>
      <c r="H77" s="11"/>
      <c r="I77" s="241"/>
      <c r="J77" s="11"/>
      <c r="K77" s="11"/>
      <c r="L77" s="11"/>
      <c r="M77" s="254" t="s">
        <v>453</v>
      </c>
      <c r="N77" s="11"/>
      <c r="O77" s="11"/>
      <c r="P77" s="11"/>
      <c r="Q77" s="12"/>
      <c r="R77" s="2"/>
      <c r="S77" s="2"/>
    </row>
    <row r="78" spans="1:19" x14ac:dyDescent="0.25">
      <c r="A78" s="2"/>
      <c r="B78" s="10"/>
      <c r="C78" s="11"/>
      <c r="D78" s="11"/>
      <c r="E78" s="11"/>
      <c r="F78" s="11"/>
      <c r="G78" s="241"/>
      <c r="H78" s="11"/>
      <c r="I78" s="241"/>
      <c r="J78" s="11"/>
      <c r="K78" s="11"/>
      <c r="L78" s="11"/>
      <c r="M78" s="252"/>
      <c r="N78" s="11"/>
      <c r="O78" s="11"/>
      <c r="P78" s="11"/>
      <c r="Q78" s="12"/>
      <c r="R78" s="2"/>
      <c r="S78" s="2"/>
    </row>
    <row r="79" spans="1:19" x14ac:dyDescent="0.25">
      <c r="A79" s="2"/>
      <c r="B79" s="10"/>
      <c r="C79" s="11"/>
      <c r="D79" s="11"/>
      <c r="E79" s="11"/>
      <c r="F79" s="11"/>
      <c r="G79" s="311" t="s">
        <v>368</v>
      </c>
      <c r="H79" s="11"/>
      <c r="I79" s="241"/>
      <c r="J79" s="11"/>
      <c r="K79" s="11"/>
      <c r="L79" s="11"/>
      <c r="M79" s="253" t="s">
        <v>454</v>
      </c>
      <c r="N79" s="11"/>
      <c r="O79" s="11"/>
      <c r="P79" s="11"/>
      <c r="Q79" s="12"/>
      <c r="R79" s="2"/>
      <c r="S79" s="2"/>
    </row>
    <row r="80" spans="1:19" x14ac:dyDescent="0.25">
      <c r="A80" s="2"/>
      <c r="B80" s="10"/>
      <c r="C80" s="11"/>
      <c r="D80" s="11"/>
      <c r="E80" s="11"/>
      <c r="F80" s="11"/>
      <c r="G80" s="241"/>
      <c r="H80" s="11"/>
      <c r="I80" s="241"/>
      <c r="J80" s="11"/>
      <c r="K80" s="11"/>
      <c r="L80" s="11"/>
      <c r="M80" s="254" t="s">
        <v>448</v>
      </c>
      <c r="N80" s="11"/>
      <c r="O80" s="11"/>
      <c r="P80" s="11"/>
      <c r="Q80" s="12"/>
      <c r="R80" s="2"/>
      <c r="S80" s="2"/>
    </row>
    <row r="81" spans="1:19" x14ac:dyDescent="0.25">
      <c r="A81" s="2"/>
      <c r="B81" s="10"/>
      <c r="C81" s="11"/>
      <c r="D81" s="11"/>
      <c r="E81" s="11"/>
      <c r="F81" s="11"/>
      <c r="G81" s="241"/>
      <c r="H81" s="11"/>
      <c r="I81" s="241"/>
      <c r="J81" s="11"/>
      <c r="K81" s="11"/>
      <c r="L81" s="11"/>
      <c r="M81" s="254" t="s">
        <v>455</v>
      </c>
      <c r="N81" s="11"/>
      <c r="O81" s="11"/>
      <c r="P81" s="11"/>
      <c r="Q81" s="12"/>
      <c r="R81" s="2"/>
      <c r="S81" s="2"/>
    </row>
    <row r="82" spans="1:19" x14ac:dyDescent="0.25">
      <c r="A82" s="2"/>
      <c r="B82" s="10"/>
      <c r="C82" s="11"/>
      <c r="D82" s="11"/>
      <c r="E82" s="11"/>
      <c r="F82" s="11"/>
      <c r="G82" s="241"/>
      <c r="H82" s="11"/>
      <c r="I82" s="241"/>
      <c r="J82" s="11"/>
      <c r="K82" s="11"/>
      <c r="L82" s="11"/>
      <c r="M82" s="252"/>
      <c r="N82" s="11"/>
      <c r="O82" s="11"/>
      <c r="P82" s="11"/>
      <c r="Q82" s="12"/>
      <c r="R82" s="2"/>
      <c r="S82" s="2"/>
    </row>
    <row r="83" spans="1:19" x14ac:dyDescent="0.25">
      <c r="A83" s="2"/>
      <c r="B83" s="10"/>
      <c r="C83" s="11"/>
      <c r="D83" s="11"/>
      <c r="E83" s="11"/>
      <c r="F83" s="11"/>
      <c r="G83" s="312" t="s">
        <v>12</v>
      </c>
      <c r="H83" s="11"/>
      <c r="I83" s="241"/>
      <c r="J83" s="11"/>
      <c r="K83" s="11"/>
      <c r="L83" s="11"/>
      <c r="M83" s="253" t="s">
        <v>456</v>
      </c>
      <c r="N83" s="11"/>
      <c r="O83" s="11"/>
      <c r="P83" s="11"/>
      <c r="Q83" s="12"/>
      <c r="R83" s="2"/>
      <c r="S83" s="2"/>
    </row>
    <row r="84" spans="1:19" ht="48" x14ac:dyDescent="0.25">
      <c r="A84" s="2"/>
      <c r="B84" s="10"/>
      <c r="C84" s="11"/>
      <c r="D84" s="11"/>
      <c r="E84" s="11"/>
      <c r="F84" s="11"/>
      <c r="G84" s="241"/>
      <c r="H84" s="11"/>
      <c r="I84" s="241"/>
      <c r="J84" s="11"/>
      <c r="K84" s="11"/>
      <c r="L84" s="11"/>
      <c r="M84" s="254" t="s">
        <v>457</v>
      </c>
      <c r="N84" s="11"/>
      <c r="O84" s="11"/>
      <c r="P84" s="11"/>
      <c r="Q84" s="12"/>
      <c r="R84" s="2"/>
      <c r="S84" s="2"/>
    </row>
    <row r="85" spans="1:19" ht="36" x14ac:dyDescent="0.25">
      <c r="A85" s="2"/>
      <c r="B85" s="10"/>
      <c r="C85" s="11"/>
      <c r="D85" s="11"/>
      <c r="E85" s="11"/>
      <c r="F85" s="11"/>
      <c r="G85" s="241"/>
      <c r="H85" s="11"/>
      <c r="I85" s="241"/>
      <c r="J85" s="11"/>
      <c r="K85" s="11"/>
      <c r="L85" s="11"/>
      <c r="M85" s="255" t="s">
        <v>458</v>
      </c>
      <c r="N85" s="11"/>
      <c r="O85" s="11"/>
      <c r="P85" s="11"/>
      <c r="Q85" s="12"/>
      <c r="R85" s="2"/>
      <c r="S85" s="2"/>
    </row>
    <row r="86" spans="1:19" x14ac:dyDescent="0.25">
      <c r="A86" s="2"/>
      <c r="B86" s="10"/>
      <c r="C86" s="11"/>
      <c r="D86" s="11"/>
      <c r="E86" s="11"/>
      <c r="F86" s="11"/>
      <c r="G86" s="241"/>
      <c r="H86" s="11"/>
      <c r="I86" s="241"/>
      <c r="J86" s="11"/>
      <c r="K86" s="11"/>
      <c r="L86" s="11"/>
      <c r="M86" s="18"/>
      <c r="N86" s="11"/>
      <c r="O86" s="11"/>
      <c r="P86" s="11"/>
      <c r="Q86" s="12"/>
      <c r="R86" s="2"/>
      <c r="S86" s="2"/>
    </row>
    <row r="87" spans="1:19" x14ac:dyDescent="0.25">
      <c r="A87" s="2"/>
      <c r="B87" s="10"/>
      <c r="C87" s="11"/>
      <c r="D87" s="11"/>
      <c r="E87" s="11"/>
      <c r="F87" s="11"/>
      <c r="G87" s="313" t="s">
        <v>326</v>
      </c>
      <c r="H87" s="11"/>
      <c r="I87" s="241"/>
      <c r="J87" s="11"/>
      <c r="K87" s="11"/>
      <c r="L87" s="11"/>
      <c r="M87" s="253" t="s">
        <v>459</v>
      </c>
      <c r="N87" s="11"/>
      <c r="O87" s="11"/>
      <c r="P87" s="11"/>
      <c r="Q87" s="12"/>
      <c r="R87" s="2"/>
      <c r="S87" s="2"/>
    </row>
    <row r="88" spans="1:19" x14ac:dyDescent="0.25">
      <c r="A88" s="2"/>
      <c r="B88" s="10"/>
      <c r="C88" s="11"/>
      <c r="D88" s="11"/>
      <c r="E88" s="11"/>
      <c r="F88" s="11"/>
      <c r="G88" s="241"/>
      <c r="H88" s="11"/>
      <c r="I88" s="241"/>
      <c r="J88" s="11"/>
      <c r="K88" s="11"/>
      <c r="L88" s="11"/>
      <c r="M88" s="18"/>
      <c r="N88" s="11"/>
      <c r="O88" s="11"/>
      <c r="P88" s="11"/>
      <c r="Q88" s="12"/>
      <c r="R88" s="2"/>
      <c r="S88" s="2"/>
    </row>
    <row r="89" spans="1:19" x14ac:dyDescent="0.25">
      <c r="A89" s="2"/>
      <c r="B89" s="10"/>
      <c r="C89" s="11"/>
      <c r="D89" s="11"/>
      <c r="E89" s="11"/>
      <c r="F89" s="11"/>
      <c r="G89" s="314" t="s">
        <v>460</v>
      </c>
      <c r="H89" s="11"/>
      <c r="I89" s="241"/>
      <c r="J89" s="11"/>
      <c r="K89" s="11"/>
      <c r="L89" s="11"/>
      <c r="M89" s="253" t="s">
        <v>461</v>
      </c>
      <c r="N89" s="11"/>
      <c r="O89" s="11"/>
      <c r="P89" s="11"/>
      <c r="Q89" s="12"/>
      <c r="R89" s="2"/>
      <c r="S89" s="2"/>
    </row>
    <row r="90" spans="1:19" x14ac:dyDescent="0.25">
      <c r="A90" s="2"/>
      <c r="B90" s="10"/>
      <c r="C90" s="11"/>
      <c r="D90" s="11"/>
      <c r="E90" s="11"/>
      <c r="F90" s="11"/>
      <c r="G90" s="315" t="s">
        <v>462</v>
      </c>
      <c r="H90" s="11"/>
      <c r="I90" s="241"/>
      <c r="J90" s="11"/>
      <c r="K90" s="11"/>
      <c r="L90" s="11"/>
      <c r="M90" s="18"/>
      <c r="N90" s="11"/>
      <c r="O90" s="11"/>
      <c r="P90" s="11"/>
      <c r="Q90" s="12"/>
      <c r="R90" s="2"/>
      <c r="S90" s="2"/>
    </row>
    <row r="91" spans="1:19" x14ac:dyDescent="0.25">
      <c r="A91" s="2"/>
      <c r="B91" s="10"/>
      <c r="C91" s="11"/>
      <c r="D91" s="11"/>
      <c r="E91" s="11"/>
      <c r="F91" s="11"/>
      <c r="G91" s="241"/>
      <c r="H91" s="11"/>
      <c r="I91" s="241"/>
      <c r="J91" s="11"/>
      <c r="K91" s="11"/>
      <c r="L91" s="11"/>
      <c r="M91" s="18"/>
      <c r="N91" s="11"/>
      <c r="O91" s="11"/>
      <c r="P91" s="11"/>
      <c r="Q91" s="12"/>
      <c r="R91" s="2"/>
      <c r="S91" s="2"/>
    </row>
    <row r="92" spans="1:19" x14ac:dyDescent="0.25">
      <c r="A92" s="2"/>
      <c r="B92" s="10"/>
      <c r="C92" s="11"/>
      <c r="D92" s="11"/>
      <c r="E92" s="11"/>
      <c r="F92" s="11"/>
      <c r="G92" s="241"/>
      <c r="H92" s="11"/>
      <c r="I92" s="241"/>
      <c r="J92" s="11"/>
      <c r="K92" s="11"/>
      <c r="L92" s="11"/>
      <c r="M92" s="18"/>
      <c r="N92" s="11"/>
      <c r="O92" s="11"/>
      <c r="P92" s="11"/>
      <c r="Q92" s="12"/>
      <c r="R92" s="2"/>
      <c r="S92" s="2"/>
    </row>
    <row r="93" spans="1:19" x14ac:dyDescent="0.25">
      <c r="A93" s="2"/>
      <c r="B93" s="10"/>
      <c r="C93" s="11"/>
      <c r="D93" s="11"/>
      <c r="E93" s="11"/>
      <c r="F93" s="11"/>
      <c r="G93" s="241"/>
      <c r="H93" s="11"/>
      <c r="I93" s="241"/>
      <c r="J93" s="11"/>
      <c r="K93" s="11"/>
      <c r="L93" s="11"/>
      <c r="M93" s="18"/>
      <c r="N93" s="11"/>
      <c r="O93" s="11"/>
      <c r="P93" s="11"/>
      <c r="Q93" s="12"/>
      <c r="R93" s="2"/>
      <c r="S93" s="2"/>
    </row>
    <row r="94" spans="1:19" x14ac:dyDescent="0.25">
      <c r="A94" s="2"/>
      <c r="B94" s="10"/>
      <c r="C94" s="11"/>
      <c r="D94" s="11"/>
      <c r="E94" s="11"/>
      <c r="F94" s="11"/>
      <c r="G94" s="241"/>
      <c r="H94" s="11"/>
      <c r="I94" s="241"/>
      <c r="J94" s="11"/>
      <c r="K94" s="11"/>
      <c r="L94" s="11"/>
      <c r="M94" s="18"/>
      <c r="N94" s="11"/>
      <c r="O94" s="11"/>
      <c r="P94" s="11"/>
      <c r="Q94" s="12"/>
      <c r="R94" s="2"/>
      <c r="S94" s="2"/>
    </row>
    <row r="95" spans="1:19" x14ac:dyDescent="0.25">
      <c r="A95" s="2"/>
      <c r="B95" s="10"/>
      <c r="C95" s="11"/>
      <c r="D95" s="11"/>
      <c r="E95" s="11"/>
      <c r="F95" s="11"/>
      <c r="G95" s="241"/>
      <c r="H95" s="11"/>
      <c r="I95" s="241"/>
      <c r="J95" s="11"/>
      <c r="K95" s="11"/>
      <c r="L95" s="11"/>
      <c r="M95" s="18"/>
      <c r="N95" s="11"/>
      <c r="O95" s="11"/>
      <c r="P95" s="11"/>
      <c r="Q95" s="12"/>
      <c r="R95" s="2"/>
      <c r="S95" s="2"/>
    </row>
    <row r="96" spans="1:19" ht="8.1" customHeight="1" x14ac:dyDescent="0.25">
      <c r="A96" s="2"/>
      <c r="B96" s="10"/>
      <c r="C96" s="11"/>
      <c r="D96" s="11"/>
      <c r="E96" s="11"/>
      <c r="F96" s="11"/>
      <c r="G96" s="241"/>
      <c r="H96" s="11"/>
      <c r="I96" s="241"/>
      <c r="J96" s="11"/>
      <c r="K96" s="11"/>
      <c r="L96" s="11"/>
      <c r="M96" s="18"/>
      <c r="N96" s="11"/>
      <c r="O96" s="11"/>
      <c r="P96" s="11"/>
      <c r="Q96" s="12"/>
      <c r="R96" s="2"/>
      <c r="S96" s="2"/>
    </row>
    <row r="97" spans="1:19" ht="5.0999999999999996" customHeight="1" x14ac:dyDescent="0.25">
      <c r="A97" s="2"/>
      <c r="B97" s="13"/>
      <c r="C97" s="14"/>
      <c r="D97" s="14"/>
      <c r="E97" s="14"/>
      <c r="F97" s="14"/>
      <c r="G97" s="243"/>
      <c r="H97" s="14"/>
      <c r="I97" s="243"/>
      <c r="J97" s="14"/>
      <c r="K97" s="14"/>
      <c r="L97" s="14"/>
      <c r="M97" s="19"/>
      <c r="N97" s="14"/>
      <c r="O97" s="14"/>
      <c r="P97" s="14"/>
      <c r="Q97" s="15"/>
      <c r="R97" s="2"/>
      <c r="S97" s="2"/>
    </row>
  </sheetData>
  <conditionalFormatting sqref="I13">
    <cfRule type="containsBlanks" dxfId="11722" priority="3">
      <formula>LEN(TRIM(I13))=0</formula>
    </cfRule>
  </conditionalFormatting>
  <conditionalFormatting sqref="I15">
    <cfRule type="containsBlanks" dxfId="11721" priority="2">
      <formula>LEN(TRIM(I15))=0</formula>
    </cfRule>
  </conditionalFormatting>
  <conditionalFormatting sqref="I66">
    <cfRule type="cellIs" dxfId="11720" priority="1" operator="equal">
      <formula>0</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B331"/>
  <sheetViews>
    <sheetView workbookViewId="0">
      <pane xSplit="14" ySplit="10" topLeftCell="O11" activePane="bottomRight" state="frozen"/>
      <selection pane="topRight" activeCell="O1" sqref="O1"/>
      <selection pane="bottomLeft" activeCell="A11" sqref="A11"/>
      <selection pane="bottomRight" activeCell="C12" sqref="C12"/>
    </sheetView>
  </sheetViews>
  <sheetFormatPr defaultColWidth="9.109375" defaultRowHeight="12" x14ac:dyDescent="0.25"/>
  <cols>
    <col min="1" max="1" width="2.6640625" style="151" customWidth="1"/>
    <col min="2" max="2" width="2.6640625" style="133" customWidth="1"/>
    <col min="3" max="3" width="2.6640625" style="1" customWidth="1"/>
    <col min="4" max="4" width="4"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tr">
        <f>опер3!$M$1</f>
        <v>№года</v>
      </c>
      <c r="N1" s="42"/>
      <c r="O1" s="42"/>
      <c r="P1" s="43">
        <f>опер3!P1</f>
        <v>1</v>
      </c>
      <c r="Q1" s="43">
        <f>опер3!Q1</f>
        <v>2</v>
      </c>
      <c r="R1" s="43">
        <f>опер3!R1</f>
        <v>3</v>
      </c>
      <c r="S1" s="43">
        <f>опер3!S1</f>
        <v>4</v>
      </c>
      <c r="T1" s="43">
        <f>опер3!T1</f>
        <v>5</v>
      </c>
      <c r="U1" s="43">
        <f>опер3!U1</f>
        <v>6</v>
      </c>
      <c r="V1" s="43">
        <f>опер3!V1</f>
        <v>7</v>
      </c>
      <c r="W1" s="43" t="str">
        <f>опер3!W1</f>
        <v/>
      </c>
      <c r="X1" s="43" t="str">
        <f>опер3!X1</f>
        <v/>
      </c>
      <c r="Y1" s="43" t="str">
        <f>опер3!Y1</f>
        <v/>
      </c>
      <c r="Z1" s="43" t="str">
        <f>опер3!Z1</f>
        <v/>
      </c>
      <c r="AA1" s="43" t="str">
        <f>опер3!AA1</f>
        <v/>
      </c>
      <c r="AB1" s="2"/>
    </row>
    <row r="2" spans="1:28" x14ac:dyDescent="0.25">
      <c r="A2" s="149"/>
      <c r="B2" s="131"/>
      <c r="C2" s="2"/>
      <c r="D2" s="2"/>
      <c r="E2" s="2"/>
      <c r="F2" s="2"/>
      <c r="G2" s="2"/>
      <c r="H2" s="2"/>
      <c r="I2" s="28"/>
      <c r="J2" s="2"/>
      <c r="K2" s="28"/>
      <c r="L2" s="2"/>
      <c r="M2" s="52"/>
      <c r="N2" s="2"/>
      <c r="O2" s="2"/>
      <c r="P2" s="194">
        <v>1</v>
      </c>
      <c r="Q2" s="195">
        <f>P2+1</f>
        <v>2</v>
      </c>
      <c r="R2" s="195">
        <f t="shared" ref="R2:AA2" si="0">Q2+1</f>
        <v>3</v>
      </c>
      <c r="S2" s="195">
        <f t="shared" si="0"/>
        <v>4</v>
      </c>
      <c r="T2" s="195">
        <f t="shared" si="0"/>
        <v>5</v>
      </c>
      <c r="U2" s="195">
        <f t="shared" si="0"/>
        <v>6</v>
      </c>
      <c r="V2" s="195">
        <f t="shared" si="0"/>
        <v>7</v>
      </c>
      <c r="W2" s="195">
        <f t="shared" si="0"/>
        <v>8</v>
      </c>
      <c r="X2" s="195">
        <f t="shared" si="0"/>
        <v>9</v>
      </c>
      <c r="Y2" s="195">
        <f t="shared" si="0"/>
        <v>10</v>
      </c>
      <c r="Z2" s="195">
        <f t="shared" si="0"/>
        <v>11</v>
      </c>
      <c r="AA2" s="195">
        <f t="shared" si="0"/>
        <v>12</v>
      </c>
      <c r="AB2" s="2"/>
    </row>
    <row r="3" spans="1:28" x14ac:dyDescent="0.25">
      <c r="A3" s="149"/>
      <c r="B3" s="131"/>
      <c r="C3" s="89" t="str">
        <f>методология!$E$4</f>
        <v>Инвестмодель базы отдыха - Беседки &amp; Веревочный парк</v>
      </c>
      <c r="D3" s="20"/>
      <c r="E3" s="20"/>
      <c r="F3" s="2"/>
      <c r="G3" s="2"/>
      <c r="H3" s="2"/>
      <c r="I3" s="28"/>
      <c r="J3" s="2"/>
      <c r="K3" s="28"/>
      <c r="L3" s="2"/>
      <c r="M3" s="52"/>
      <c r="N3" s="2"/>
      <c r="O3" s="2"/>
      <c r="P3" s="2"/>
      <c r="Q3" s="2"/>
      <c r="R3" s="2"/>
      <c r="S3" s="2"/>
      <c r="T3" s="2"/>
      <c r="U3" s="2"/>
      <c r="V3" s="2"/>
      <c r="W3" s="2"/>
      <c r="X3" s="2"/>
      <c r="Y3" s="2"/>
      <c r="Z3" s="2"/>
      <c r="AA3" s="2"/>
      <c r="AB3" s="2"/>
    </row>
    <row r="4" spans="1:28" x14ac:dyDescent="0.25">
      <c r="A4" s="149"/>
      <c r="B4" s="131"/>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149"/>
      <c r="B5" s="131"/>
      <c r="C5" s="2"/>
      <c r="D5" s="2"/>
      <c r="E5" s="2"/>
      <c r="F5" s="2"/>
      <c r="G5" s="2"/>
      <c r="H5" s="2"/>
      <c r="I5" s="28"/>
      <c r="J5" s="2"/>
      <c r="K5" s="28"/>
      <c r="L5" s="2"/>
      <c r="M5" s="52"/>
      <c r="N5" s="2"/>
      <c r="O5" s="2"/>
      <c r="P5" s="2"/>
      <c r="Q5" s="2"/>
      <c r="R5" s="2"/>
      <c r="S5" s="2"/>
      <c r="T5" s="2"/>
      <c r="U5" s="2"/>
      <c r="V5" s="2"/>
      <c r="W5" s="2"/>
      <c r="X5" s="2"/>
      <c r="Y5" s="2"/>
      <c r="Z5" s="2"/>
      <c r="AA5" s="2"/>
      <c r="AB5" s="2"/>
    </row>
    <row r="6" spans="1:28" x14ac:dyDescent="0.25">
      <c r="A6" s="149"/>
      <c r="B6" s="131"/>
      <c r="C6" s="225" t="s">
        <v>306</v>
      </c>
      <c r="D6" s="210"/>
      <c r="E6" s="226"/>
      <c r="F6" s="2"/>
      <c r="G6" s="104" t="str">
        <f>сценарии!$J$6</f>
        <v>сценарий-3</v>
      </c>
      <c r="H6" s="2"/>
      <c r="I6" s="28"/>
      <c r="J6" s="2"/>
      <c r="K6" s="28"/>
      <c r="L6" s="2"/>
      <c r="M6" s="52"/>
      <c r="N6" s="2"/>
      <c r="O6" s="2"/>
      <c r="P6" s="96" t="str">
        <f>опер3!P6</f>
        <v>2022г.</v>
      </c>
      <c r="Q6" s="96" t="str">
        <f>опер3!Q6</f>
        <v>2023г.</v>
      </c>
      <c r="R6" s="96" t="str">
        <f>опер3!R6</f>
        <v>2024г.</v>
      </c>
      <c r="S6" s="96" t="str">
        <f>опер3!S6</f>
        <v>2025г.</v>
      </c>
      <c r="T6" s="96" t="str">
        <f>опер3!T6</f>
        <v>2026г.</v>
      </c>
      <c r="U6" s="96" t="str">
        <f>опер3!U6</f>
        <v>2027г.</v>
      </c>
      <c r="V6" s="96" t="str">
        <f>опер3!V6</f>
        <v>2028г.</v>
      </c>
      <c r="W6" s="96" t="str">
        <f>опер3!W6</f>
        <v/>
      </c>
      <c r="X6" s="96" t="str">
        <f>опер3!X6</f>
        <v/>
      </c>
      <c r="Y6" s="96" t="str">
        <f>опер3!Y6</f>
        <v/>
      </c>
      <c r="Z6" s="96" t="str">
        <f>опер3!Z6</f>
        <v/>
      </c>
      <c r="AA6" s="96" t="str">
        <f>опер3!AA6</f>
        <v/>
      </c>
      <c r="AB6" s="2"/>
    </row>
    <row r="7" spans="1:28" ht="12.6" thickBot="1" x14ac:dyDescent="0.3">
      <c r="A7" s="149"/>
      <c r="B7" s="182" t="s">
        <v>285</v>
      </c>
      <c r="C7" s="2"/>
      <c r="D7" s="2"/>
      <c r="E7" s="2"/>
      <c r="F7" s="2"/>
      <c r="G7" s="2"/>
      <c r="H7" s="2"/>
      <c r="I7" s="28"/>
      <c r="J7" s="2"/>
      <c r="K7" s="28"/>
      <c r="L7" s="2"/>
      <c r="M7" s="52"/>
      <c r="N7" s="2"/>
      <c r="O7" s="2"/>
      <c r="P7" s="94">
        <f>опер3!P7</f>
        <v>44562</v>
      </c>
      <c r="Q7" s="94">
        <f>опер3!Q7</f>
        <v>44927</v>
      </c>
      <c r="R7" s="94">
        <f>опер3!R7</f>
        <v>45292</v>
      </c>
      <c r="S7" s="94">
        <f>опер3!S7</f>
        <v>45658</v>
      </c>
      <c r="T7" s="94">
        <f>опер3!T7</f>
        <v>46023</v>
      </c>
      <c r="U7" s="94">
        <f>опер3!U7</f>
        <v>46388</v>
      </c>
      <c r="V7" s="94">
        <f>опер3!V7</f>
        <v>46753</v>
      </c>
      <c r="W7" s="94" t="str">
        <f>опер3!W7</f>
        <v/>
      </c>
      <c r="X7" s="94" t="str">
        <f>опер3!X7</f>
        <v/>
      </c>
      <c r="Y7" s="94" t="str">
        <f>опер3!Y7</f>
        <v/>
      </c>
      <c r="Z7" s="94" t="str">
        <f>опер3!Z7</f>
        <v/>
      </c>
      <c r="AA7" s="94" t="str">
        <f>опер3!AA7</f>
        <v/>
      </c>
      <c r="AB7" s="2"/>
    </row>
    <row r="8" spans="1:28" s="5" customFormat="1" ht="12.6" thickBot="1" x14ac:dyDescent="0.3">
      <c r="A8" s="150">
        <f>1</f>
        <v>1</v>
      </c>
      <c r="B8" s="152"/>
      <c r="C8" s="3"/>
      <c r="D8" s="3"/>
      <c r="E8" s="3" t="str">
        <f>KPI!$E$8</f>
        <v>KPI</v>
      </c>
      <c r="F8" s="3"/>
      <c r="G8" s="28" t="str">
        <f>KPI!$G$8</f>
        <v>ед.изм.</v>
      </c>
      <c r="H8" s="3"/>
      <c r="I8" s="28"/>
      <c r="J8" s="3"/>
      <c r="K8" s="28"/>
      <c r="L8" s="3"/>
      <c r="M8" s="53" t="str">
        <f>опер3!M8</f>
        <v>итого</v>
      </c>
      <c r="N8" s="3"/>
      <c r="O8" s="3"/>
      <c r="P8" s="95">
        <f>опер3!P8</f>
        <v>44926</v>
      </c>
      <c r="Q8" s="95">
        <f>опер3!Q8</f>
        <v>45291</v>
      </c>
      <c r="R8" s="95">
        <f>опер3!R8</f>
        <v>45657</v>
      </c>
      <c r="S8" s="95">
        <f>опер3!S8</f>
        <v>46022</v>
      </c>
      <c r="T8" s="95">
        <f>опер3!T8</f>
        <v>46387</v>
      </c>
      <c r="U8" s="95">
        <f>опер3!U8</f>
        <v>46752</v>
      </c>
      <c r="V8" s="95">
        <f>опер3!V8</f>
        <v>47118</v>
      </c>
      <c r="W8" s="95" t="str">
        <f>опер3!W8</f>
        <v/>
      </c>
      <c r="X8" s="95" t="str">
        <f>опер3!X8</f>
        <v/>
      </c>
      <c r="Y8" s="95" t="str">
        <f>опер3!Y8</f>
        <v/>
      </c>
      <c r="Z8" s="95" t="str">
        <f>опер3!Z8</f>
        <v/>
      </c>
      <c r="AA8" s="95" t="str">
        <f>опер3!AA8</f>
        <v/>
      </c>
      <c r="AB8" s="3"/>
    </row>
    <row r="9" spans="1:28" ht="3.9" customHeight="1" x14ac:dyDescent="0.25">
      <c r="A9" s="149">
        <f>1</f>
        <v>1</v>
      </c>
      <c r="B9" s="131"/>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customHeight="1" x14ac:dyDescent="0.25">
      <c r="A10" s="149">
        <f>1</f>
        <v>1</v>
      </c>
      <c r="B10" s="131"/>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x14ac:dyDescent="0.25">
      <c r="A11" s="150">
        <f>1</f>
        <v>1</v>
      </c>
      <c r="B11" s="131"/>
      <c r="C11" s="3"/>
      <c r="D11" s="3"/>
      <c r="E11" s="3"/>
      <c r="F11" s="3"/>
      <c r="G11" s="3"/>
      <c r="H11" s="3"/>
      <c r="I11" s="28"/>
      <c r="J11" s="3"/>
      <c r="K11" s="28"/>
      <c r="L11" s="3"/>
      <c r="M11" s="55"/>
      <c r="N11" s="3"/>
      <c r="O11" s="3"/>
      <c r="P11" s="46"/>
      <c r="Q11" s="46"/>
      <c r="R11" s="46"/>
      <c r="S11" s="46"/>
      <c r="T11" s="46"/>
      <c r="U11" s="46"/>
      <c r="V11" s="46"/>
      <c r="W11" s="46"/>
      <c r="X11" s="46"/>
      <c r="Y11" s="46"/>
      <c r="Z11" s="46"/>
      <c r="AA11" s="46"/>
      <c r="AB11" s="3"/>
    </row>
    <row r="12" spans="1:28" ht="3.9" customHeight="1" x14ac:dyDescent="0.25">
      <c r="A12" s="149">
        <f>1</f>
        <v>1</v>
      </c>
      <c r="B12" s="131"/>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x14ac:dyDescent="0.25">
      <c r="A13" s="150">
        <f>1</f>
        <v>1</v>
      </c>
      <c r="B13" s="131"/>
      <c r="C13" s="3"/>
      <c r="D13" s="3"/>
      <c r="E13" s="181" t="s">
        <v>274</v>
      </c>
      <c r="F13" s="3"/>
      <c r="G13" s="3"/>
      <c r="H13" s="3"/>
      <c r="I13" s="28"/>
      <c r="J13" s="3"/>
      <c r="K13" s="28"/>
      <c r="L13" s="3"/>
      <c r="M13" s="55"/>
      <c r="N13" s="3"/>
      <c r="O13" s="3"/>
      <c r="P13" s="46"/>
      <c r="Q13" s="46"/>
      <c r="R13" s="46"/>
      <c r="S13" s="46"/>
      <c r="T13" s="46"/>
      <c r="U13" s="46"/>
      <c r="V13" s="46"/>
      <c r="W13" s="46"/>
      <c r="X13" s="46"/>
      <c r="Y13" s="46"/>
      <c r="Z13" s="46"/>
      <c r="AA13" s="46"/>
      <c r="AB13" s="3"/>
    </row>
    <row r="14" spans="1:28" ht="8.1" customHeight="1" x14ac:dyDescent="0.25">
      <c r="A14" s="149">
        <f>1</f>
        <v>1</v>
      </c>
      <c r="B14" s="131"/>
      <c r="C14" s="2"/>
      <c r="D14" s="2"/>
      <c r="E14" s="2"/>
      <c r="F14" s="2"/>
      <c r="G14" s="2"/>
      <c r="H14" s="2"/>
      <c r="I14" s="28"/>
      <c r="J14" s="2"/>
      <c r="K14" s="28"/>
      <c r="L14" s="2"/>
      <c r="M14" s="52"/>
      <c r="N14" s="2"/>
      <c r="O14" s="2"/>
      <c r="P14" s="36"/>
      <c r="Q14" s="36"/>
      <c r="R14" s="36"/>
      <c r="S14" s="36"/>
      <c r="T14" s="36"/>
      <c r="U14" s="36"/>
      <c r="V14" s="36"/>
      <c r="W14" s="36"/>
      <c r="X14" s="36"/>
      <c r="Y14" s="36"/>
      <c r="Z14" s="36"/>
      <c r="AA14" s="36"/>
      <c r="AB14" s="2"/>
    </row>
    <row r="15" spans="1:28" ht="3.9" customHeight="1" x14ac:dyDescent="0.25">
      <c r="A15" s="149">
        <f>1</f>
        <v>1</v>
      </c>
      <c r="B15" s="131"/>
      <c r="C15" s="2"/>
      <c r="D15" s="2"/>
      <c r="E15" s="2"/>
      <c r="F15" s="2"/>
      <c r="G15" s="2"/>
      <c r="H15" s="2"/>
      <c r="I15" s="28"/>
      <c r="J15" s="2"/>
      <c r="K15" s="28"/>
      <c r="L15" s="2"/>
      <c r="M15" s="52"/>
      <c r="N15" s="2"/>
      <c r="O15" s="2"/>
      <c r="P15" s="36"/>
      <c r="Q15" s="36"/>
      <c r="R15" s="36"/>
      <c r="S15" s="36"/>
      <c r="T15" s="36"/>
      <c r="U15" s="36"/>
      <c r="V15" s="36"/>
      <c r="W15" s="36"/>
      <c r="X15" s="36"/>
      <c r="Y15" s="36"/>
      <c r="Z15" s="36"/>
      <c r="AA15" s="36"/>
      <c r="AB15" s="2"/>
    </row>
    <row r="16" spans="1:28" s="5" customFormat="1" x14ac:dyDescent="0.25">
      <c r="A16" s="150">
        <f>1</f>
        <v>1</v>
      </c>
      <c r="B16" s="132" t="str">
        <f>структура!$J$12</f>
        <v>ОСНО</v>
      </c>
      <c r="C16" s="3"/>
      <c r="D16" s="3"/>
      <c r="E16" s="89" t="str">
        <f>KPI!$E$74</f>
        <v>ВЫРУЧКА</v>
      </c>
      <c r="F16" s="89"/>
      <c r="G16" s="89" t="str">
        <f>IF($E16="","",INDEX(KPI!$G:$G,SUMIFS(KPI!$B:$B,KPI!$E:$E,$E16)))</f>
        <v>тыс.руб.</v>
      </c>
      <c r="H16" s="89"/>
      <c r="I16" s="90"/>
      <c r="J16" s="130" t="str">
        <f>структура!$AL$21</f>
        <v>Без НДС</v>
      </c>
      <c r="K16" s="90"/>
      <c r="L16" s="89"/>
      <c r="M16" s="92">
        <f>SUM($O16:$AB16)</f>
        <v>130783.81089743588</v>
      </c>
      <c r="N16" s="3"/>
      <c r="O16" s="3"/>
      <c r="P16" s="93">
        <f>IF(P$1="",0,IF(1+опер3!P$346=0,0,(опер3!P$58+опер3!P$137)/(1+опер3!P$346)))</f>
        <v>16375.044551282052</v>
      </c>
      <c r="Q16" s="93">
        <f>IF(Q$1="",0,IF(1+опер3!Q$346=0,0,(опер3!Q$58+опер3!Q$137)/(1+опер3!Q$346)))</f>
        <v>16902.919551282048</v>
      </c>
      <c r="R16" s="93">
        <f>IF(R$1="",0,IF(1+опер3!R$346=0,0,(опер3!R$58+опер3!R$137)/(1+опер3!R$346)))</f>
        <v>17723.887820512824</v>
      </c>
      <c r="S16" s="93">
        <f>IF(S$1="",0,IF(1+опер3!S$346=0,0,(опер3!S$58+опер3!S$137)/(1+опер3!S$346)))</f>
        <v>18222.607051282048</v>
      </c>
      <c r="T16" s="93">
        <f>IF(T$1="",0,IF(1+опер3!T$346=0,0,(опер3!T$58+опер3!T$137)/(1+опер3!T$346)))</f>
        <v>19014.419551282052</v>
      </c>
      <c r="U16" s="93">
        <f>IF(U$1="",0,IF(1+опер3!U$346=0,0,(опер3!U$58+опер3!U$137)/(1+опер3!U$346)))</f>
        <v>20334.107051282052</v>
      </c>
      <c r="V16" s="93">
        <f>IF(V$1="",0,IF(1+опер3!V$346=0,0,(опер3!V$58+опер3!V$137)/(1+опер3!V$346)))</f>
        <v>22210.82532051282</v>
      </c>
      <c r="W16" s="93">
        <f>IF(W$1="",0,IF(1+опер3!W$346=0,0,(опер3!W$58+опер3!W$137)/(1+опер3!W$346)))</f>
        <v>0</v>
      </c>
      <c r="X16" s="93">
        <f>IF(X$1="",0,IF(1+опер3!X$346=0,0,(опер3!X$58+опер3!X$137)/(1+опер3!X$346)))</f>
        <v>0</v>
      </c>
      <c r="Y16" s="93">
        <f>IF(Y$1="",0,IF(1+опер3!Y$346=0,0,(опер3!Y$58+опер3!Y$137)/(1+опер3!Y$346)))</f>
        <v>0</v>
      </c>
      <c r="Z16" s="93">
        <f>IF(Z$1="",0,IF(1+опер3!Z$346=0,0,(опер3!Z$58+опер3!Z$137)/(1+опер3!Z$346)))</f>
        <v>0</v>
      </c>
      <c r="AA16" s="93">
        <f>IF(AA$1="",0,IF(1+опер3!AA$346=0,0,(опер3!AA$58+опер3!AA$137)/(1+опер3!AA$346)))</f>
        <v>0</v>
      </c>
      <c r="AB16" s="3"/>
    </row>
    <row r="17" spans="1:28" ht="3.9" customHeight="1" x14ac:dyDescent="0.25">
      <c r="A17" s="149">
        <f>1</f>
        <v>1</v>
      </c>
      <c r="B17" s="131"/>
      <c r="C17" s="2"/>
      <c r="D17" s="2"/>
      <c r="E17" s="2"/>
      <c r="F17" s="2"/>
      <c r="G17" s="2"/>
      <c r="H17" s="2"/>
      <c r="I17" s="28"/>
      <c r="J17" s="2"/>
      <c r="K17" s="28"/>
      <c r="L17" s="2"/>
      <c r="M17" s="52"/>
      <c r="N17" s="2"/>
      <c r="O17" s="2"/>
      <c r="P17" s="36"/>
      <c r="Q17" s="36"/>
      <c r="R17" s="36"/>
      <c r="S17" s="36"/>
      <c r="T17" s="36"/>
      <c r="U17" s="36"/>
      <c r="V17" s="36"/>
      <c r="W17" s="36"/>
      <c r="X17" s="36"/>
      <c r="Y17" s="36"/>
      <c r="Z17" s="36"/>
      <c r="AA17" s="36"/>
      <c r="AB17" s="2"/>
    </row>
    <row r="18" spans="1:28" s="5" customFormat="1" x14ac:dyDescent="0.25">
      <c r="A18" s="150">
        <f>1</f>
        <v>1</v>
      </c>
      <c r="B18" s="132" t="str">
        <f>структура!$J$13</f>
        <v>УСН(6%)</v>
      </c>
      <c r="C18" s="3"/>
      <c r="D18" s="3"/>
      <c r="E18" s="89" t="str">
        <f>E16</f>
        <v>ВЫРУЧКА</v>
      </c>
      <c r="F18" s="89"/>
      <c r="G18" s="89" t="str">
        <f>IF($E18="","",INDEX(KPI!$G:$G,SUMIFS(KPI!$B:$B,KPI!$E:$E,$E18)))</f>
        <v>тыс.руб.</v>
      </c>
      <c r="H18" s="89"/>
      <c r="I18" s="90"/>
      <c r="J18" s="130"/>
      <c r="K18" s="90"/>
      <c r="L18" s="89"/>
      <c r="M18" s="92">
        <f>SUM($O18:$AB18)</f>
        <v>156940.57307692306</v>
      </c>
      <c r="N18" s="3"/>
      <c r="O18" s="3"/>
      <c r="P18" s="93">
        <f>IF(P$1="",0,опер3!P$58+опер3!P$137)</f>
        <v>19650.05346153846</v>
      </c>
      <c r="Q18" s="93">
        <f>IF(Q$1="",0,опер3!Q$58+опер3!Q$137)</f>
        <v>20283.503461538457</v>
      </c>
      <c r="R18" s="93">
        <f>IF(R$1="",0,опер3!R$58+опер3!R$137)</f>
        <v>21268.665384615386</v>
      </c>
      <c r="S18" s="93">
        <f>IF(S$1="",0,опер3!S$58+опер3!S$137)</f>
        <v>21867.128461538457</v>
      </c>
      <c r="T18" s="93">
        <f>IF(T$1="",0,опер3!T$58+опер3!T$137)</f>
        <v>22817.30346153846</v>
      </c>
      <c r="U18" s="93">
        <f>IF(U$1="",0,опер3!U$58+опер3!U$137)</f>
        <v>24400.92846153846</v>
      </c>
      <c r="V18" s="93">
        <f>IF(V$1="",0,опер3!V$58+опер3!V$137)</f>
        <v>26652.990384615383</v>
      </c>
      <c r="W18" s="93">
        <f>IF(W$1="",0,опер3!W$58+опер3!W$137)</f>
        <v>0</v>
      </c>
      <c r="X18" s="93">
        <f>IF(X$1="",0,опер3!X$58+опер3!X$137)</f>
        <v>0</v>
      </c>
      <c r="Y18" s="93">
        <f>IF(Y$1="",0,опер3!Y$58+опер3!Y$137)</f>
        <v>0</v>
      </c>
      <c r="Z18" s="93">
        <f>IF(Z$1="",0,опер3!Z$58+опер3!Z$137)</f>
        <v>0</v>
      </c>
      <c r="AA18" s="93">
        <f>IF(AA$1="",0,опер3!AA$58+опер3!AA$137)</f>
        <v>0</v>
      </c>
      <c r="AB18" s="3"/>
    </row>
    <row r="19" spans="1:28" ht="3.9" customHeight="1" x14ac:dyDescent="0.25">
      <c r="A19" s="149">
        <f>1</f>
        <v>1</v>
      </c>
      <c r="B19" s="131"/>
      <c r="C19" s="2"/>
      <c r="D19" s="2"/>
      <c r="E19" s="2"/>
      <c r="F19" s="2"/>
      <c r="G19" s="2"/>
      <c r="H19" s="2"/>
      <c r="I19" s="28"/>
      <c r="J19" s="2"/>
      <c r="K19" s="28"/>
      <c r="L19" s="2"/>
      <c r="M19" s="52"/>
      <c r="N19" s="2"/>
      <c r="O19" s="2"/>
      <c r="P19" s="36"/>
      <c r="Q19" s="36"/>
      <c r="R19" s="36"/>
      <c r="S19" s="36"/>
      <c r="T19" s="36"/>
      <c r="U19" s="36"/>
      <c r="V19" s="36"/>
      <c r="W19" s="36"/>
      <c r="X19" s="36"/>
      <c r="Y19" s="36"/>
      <c r="Z19" s="36"/>
      <c r="AA19" s="36"/>
      <c r="AB19" s="2"/>
    </row>
    <row r="20" spans="1:28" s="5" customFormat="1" x14ac:dyDescent="0.25">
      <c r="A20" s="150">
        <f>1</f>
        <v>1</v>
      </c>
      <c r="B20" s="132" t="str">
        <f>структура!$J$14</f>
        <v>УСН(15%)</v>
      </c>
      <c r="C20" s="3"/>
      <c r="D20" s="3"/>
      <c r="E20" s="89" t="str">
        <f>E16</f>
        <v>ВЫРУЧКА</v>
      </c>
      <c r="F20" s="89"/>
      <c r="G20" s="89" t="str">
        <f>IF($E20="","",INDEX(KPI!$G:$G,SUMIFS(KPI!$B:$B,KPI!$E:$E,$E20)))</f>
        <v>тыс.руб.</v>
      </c>
      <c r="H20" s="89"/>
      <c r="I20" s="90"/>
      <c r="J20" s="130"/>
      <c r="K20" s="90"/>
      <c r="L20" s="89"/>
      <c r="M20" s="92">
        <f>SUM($O20:$AB20)</f>
        <v>156940.57307692306</v>
      </c>
      <c r="N20" s="3"/>
      <c r="O20" s="3"/>
      <c r="P20" s="93">
        <f>IF(P$1="",0,опер3!P$58+опер3!P$137)</f>
        <v>19650.05346153846</v>
      </c>
      <c r="Q20" s="93">
        <f>IF(Q$1="",0,опер3!Q$58+опер3!Q$137)</f>
        <v>20283.503461538457</v>
      </c>
      <c r="R20" s="93">
        <f>IF(R$1="",0,опер3!R$58+опер3!R$137)</f>
        <v>21268.665384615386</v>
      </c>
      <c r="S20" s="93">
        <f>IF(S$1="",0,опер3!S$58+опер3!S$137)</f>
        <v>21867.128461538457</v>
      </c>
      <c r="T20" s="93">
        <f>IF(T$1="",0,опер3!T$58+опер3!T$137)</f>
        <v>22817.30346153846</v>
      </c>
      <c r="U20" s="93">
        <f>IF(U$1="",0,опер3!U$58+опер3!U$137)</f>
        <v>24400.92846153846</v>
      </c>
      <c r="V20" s="93">
        <f>IF(V$1="",0,опер3!V$58+опер3!V$137)</f>
        <v>26652.990384615383</v>
      </c>
      <c r="W20" s="93">
        <f>IF(W$1="",0,опер3!W$58+опер3!W$137)</f>
        <v>0</v>
      </c>
      <c r="X20" s="93">
        <f>IF(X$1="",0,опер3!X$58+опер3!X$137)</f>
        <v>0</v>
      </c>
      <c r="Y20" s="93">
        <f>IF(Y$1="",0,опер3!Y$58+опер3!Y$137)</f>
        <v>0</v>
      </c>
      <c r="Z20" s="93">
        <f>IF(Z$1="",0,опер3!Z$58+опер3!Z$137)</f>
        <v>0</v>
      </c>
      <c r="AA20" s="93">
        <f>IF(AA$1="",0,опер3!AA$58+опер3!AA$137)</f>
        <v>0</v>
      </c>
      <c r="AB20" s="3"/>
    </row>
    <row r="21" spans="1:28" ht="3.9" customHeight="1" x14ac:dyDescent="0.25">
      <c r="A21" s="149">
        <f>1</f>
        <v>1</v>
      </c>
      <c r="B21" s="131"/>
      <c r="C21" s="2"/>
      <c r="D21" s="2"/>
      <c r="E21" s="2"/>
      <c r="F21" s="2"/>
      <c r="G21" s="2"/>
      <c r="H21" s="2"/>
      <c r="I21" s="28"/>
      <c r="J21" s="2"/>
      <c r="K21" s="28"/>
      <c r="L21" s="2"/>
      <c r="M21" s="52"/>
      <c r="N21" s="2"/>
      <c r="O21" s="2"/>
      <c r="P21" s="36"/>
      <c r="Q21" s="36"/>
      <c r="R21" s="36"/>
      <c r="S21" s="36"/>
      <c r="T21" s="36"/>
      <c r="U21" s="36"/>
      <c r="V21" s="36"/>
      <c r="W21" s="36"/>
      <c r="X21" s="36"/>
      <c r="Y21" s="36"/>
      <c r="Z21" s="36"/>
      <c r="AA21" s="36"/>
      <c r="AB21" s="2"/>
    </row>
    <row r="22" spans="1:28" s="5" customFormat="1" x14ac:dyDescent="0.25">
      <c r="A22" s="150">
        <f>1</f>
        <v>1</v>
      </c>
      <c r="B22" s="132" t="str">
        <f>структура!$J$15</f>
        <v>УСН(6%)-ИП</v>
      </c>
      <c r="C22" s="3"/>
      <c r="D22" s="3"/>
      <c r="E22" s="89" t="str">
        <f>E16</f>
        <v>ВЫРУЧКА</v>
      </c>
      <c r="F22" s="89"/>
      <c r="G22" s="89" t="str">
        <f>IF($E22="","",INDEX(KPI!$G:$G,SUMIFS(KPI!$B:$B,KPI!$E:$E,$E22)))</f>
        <v>тыс.руб.</v>
      </c>
      <c r="H22" s="89"/>
      <c r="I22" s="90"/>
      <c r="J22" s="130"/>
      <c r="K22" s="90"/>
      <c r="L22" s="89"/>
      <c r="M22" s="92">
        <f>SUM($O22:$AB22)</f>
        <v>156940.57307692306</v>
      </c>
      <c r="N22" s="3"/>
      <c r="O22" s="3"/>
      <c r="P22" s="93">
        <f>IF(P$1="",0,опер3!P$58+опер3!P$137)</f>
        <v>19650.05346153846</v>
      </c>
      <c r="Q22" s="93">
        <f>IF(Q$1="",0,опер3!Q$58+опер3!Q$137)</f>
        <v>20283.503461538457</v>
      </c>
      <c r="R22" s="93">
        <f>IF(R$1="",0,опер3!R$58+опер3!R$137)</f>
        <v>21268.665384615386</v>
      </c>
      <c r="S22" s="93">
        <f>IF(S$1="",0,опер3!S$58+опер3!S$137)</f>
        <v>21867.128461538457</v>
      </c>
      <c r="T22" s="93">
        <f>IF(T$1="",0,опер3!T$58+опер3!T$137)</f>
        <v>22817.30346153846</v>
      </c>
      <c r="U22" s="93">
        <f>IF(U$1="",0,опер3!U$58+опер3!U$137)</f>
        <v>24400.92846153846</v>
      </c>
      <c r="V22" s="93">
        <f>IF(V$1="",0,опер3!V$58+опер3!V$137)</f>
        <v>26652.990384615383</v>
      </c>
      <c r="W22" s="93">
        <f>IF(W$1="",0,опер3!W$58+опер3!W$137)</f>
        <v>0</v>
      </c>
      <c r="X22" s="93">
        <f>IF(X$1="",0,опер3!X$58+опер3!X$137)</f>
        <v>0</v>
      </c>
      <c r="Y22" s="93">
        <f>IF(Y$1="",0,опер3!Y$58+опер3!Y$137)</f>
        <v>0</v>
      </c>
      <c r="Z22" s="93">
        <f>IF(Z$1="",0,опер3!Z$58+опер3!Z$137)</f>
        <v>0</v>
      </c>
      <c r="AA22" s="93">
        <f>IF(AA$1="",0,опер3!AA$58+опер3!AA$137)</f>
        <v>0</v>
      </c>
      <c r="AB22" s="3"/>
    </row>
    <row r="23" spans="1:28" ht="3.9" customHeight="1" x14ac:dyDescent="0.25">
      <c r="A23" s="149">
        <f>1</f>
        <v>1</v>
      </c>
      <c r="B23" s="131"/>
      <c r="C23" s="2"/>
      <c r="D23" s="2"/>
      <c r="E23" s="117"/>
      <c r="F23" s="2"/>
      <c r="G23" s="117"/>
      <c r="H23" s="2"/>
      <c r="I23" s="28"/>
      <c r="J23" s="2"/>
      <c r="K23" s="28"/>
      <c r="L23" s="2"/>
      <c r="M23" s="138"/>
      <c r="N23" s="2"/>
      <c r="O23" s="2"/>
      <c r="P23" s="36"/>
      <c r="Q23" s="36"/>
      <c r="R23" s="36"/>
      <c r="S23" s="36"/>
      <c r="T23" s="36"/>
      <c r="U23" s="36"/>
      <c r="V23" s="36"/>
      <c r="W23" s="36"/>
      <c r="X23" s="36"/>
      <c r="Y23" s="36"/>
      <c r="Z23" s="36"/>
      <c r="AA23" s="36"/>
      <c r="AB23" s="2"/>
    </row>
    <row r="24" spans="1:28" ht="8.1" customHeight="1" x14ac:dyDescent="0.25">
      <c r="A24" s="149">
        <f>1</f>
        <v>1</v>
      </c>
      <c r="B24" s="131"/>
      <c r="C24" s="2"/>
      <c r="D24" s="2"/>
      <c r="E24" s="2"/>
      <c r="F24" s="2"/>
      <c r="G24" s="2"/>
      <c r="H24" s="2"/>
      <c r="I24" s="28"/>
      <c r="J24" s="2"/>
      <c r="K24" s="28"/>
      <c r="L24" s="2"/>
      <c r="M24" s="52"/>
      <c r="N24" s="2"/>
      <c r="O24" s="2"/>
      <c r="P24" s="36"/>
      <c r="Q24" s="36"/>
      <c r="R24" s="36"/>
      <c r="S24" s="36"/>
      <c r="T24" s="36"/>
      <c r="U24" s="36"/>
      <c r="V24" s="36"/>
      <c r="W24" s="36"/>
      <c r="X24" s="36"/>
      <c r="Y24" s="36"/>
      <c r="Z24" s="36"/>
      <c r="AA24" s="36"/>
      <c r="AB24" s="2"/>
    </row>
    <row r="25" spans="1:28" ht="3.9" customHeight="1" x14ac:dyDescent="0.25">
      <c r="A25" s="149">
        <f>1</f>
        <v>1</v>
      </c>
      <c r="B25" s="131"/>
      <c r="C25" s="2"/>
      <c r="D25" s="2"/>
      <c r="E25" s="2"/>
      <c r="F25" s="2"/>
      <c r="G25" s="2"/>
      <c r="H25" s="2"/>
      <c r="I25" s="28"/>
      <c r="J25" s="2"/>
      <c r="K25" s="28"/>
      <c r="L25" s="2"/>
      <c r="M25" s="52"/>
      <c r="N25" s="2"/>
      <c r="O25" s="2"/>
      <c r="P25" s="36"/>
      <c r="Q25" s="36"/>
      <c r="R25" s="36"/>
      <c r="S25" s="36"/>
      <c r="T25" s="36"/>
      <c r="U25" s="36"/>
      <c r="V25" s="36"/>
      <c r="W25" s="36"/>
      <c r="X25" s="36"/>
      <c r="Y25" s="36"/>
      <c r="Z25" s="36"/>
      <c r="AA25" s="36"/>
      <c r="AB25" s="2"/>
    </row>
    <row r="26" spans="1:28" s="5" customFormat="1" x14ac:dyDescent="0.25">
      <c r="A26" s="150">
        <f>1</f>
        <v>1</v>
      </c>
      <c r="B26" s="132" t="str">
        <f>структура!$J$12</f>
        <v>ОСНО</v>
      </c>
      <c r="C26" s="3"/>
      <c r="D26" s="3"/>
      <c r="E26" s="89" t="str">
        <f>KPI!$E$75</f>
        <v>ОПЕРАЦИОННЫЕ РАСХОДЫ</v>
      </c>
      <c r="F26" s="89"/>
      <c r="G26" s="89" t="str">
        <f>IF($E26="","",INDEX(KPI!$G:$G,SUMIFS(KPI!$B:$B,KPI!$E:$E,$E26)))</f>
        <v>тыс.руб.</v>
      </c>
      <c r="H26" s="89"/>
      <c r="I26" s="90"/>
      <c r="J26" s="130" t="str">
        <f>структура!$AL$21</f>
        <v>Без НДС</v>
      </c>
      <c r="K26" s="90"/>
      <c r="L26" s="89"/>
      <c r="M26" s="92">
        <f>SUM($O26:$AB26)</f>
        <v>54674.84938198579</v>
      </c>
      <c r="N26" s="3"/>
      <c r="O26" s="3"/>
      <c r="P26" s="93">
        <f>IF(P$1="",0,SUMIFS(P33:P$113,$B33:$B$113,$B26))</f>
        <v>7742.0802045236096</v>
      </c>
      <c r="Q26" s="93">
        <f>IF(Q$1="",0,SUMIFS(Q33:Q$113,$B33:$B$113,$B26))</f>
        <v>7821.2614545236111</v>
      </c>
      <c r="R26" s="93">
        <f>IF(R$1="",0,SUMIFS(R33:R$113,$B33:$B$113,$B26))</f>
        <v>7767.8916167030975</v>
      </c>
      <c r="S26" s="93">
        <f>IF(S$1="",0,SUMIFS(S33:S$113,$B33:$B$113,$B26))</f>
        <v>7654.762438497969</v>
      </c>
      <c r="T26" s="93">
        <f>IF(T$1="",0,SUMIFS(T33:T$113,$B33:$B$113,$B26))</f>
        <v>7757.69806349797</v>
      </c>
      <c r="U26" s="93">
        <f>IF(U$1="",0,SUMIFS(U33:U$113,$B33:$B$113,$B26))</f>
        <v>7868.2551173441243</v>
      </c>
      <c r="V26" s="93">
        <f>IF(V$1="",0,SUMIFS(V33:V$113,$B33:$B$113,$B26))</f>
        <v>8062.9004868954044</v>
      </c>
      <c r="W26" s="93">
        <f>IF(W$1="",0,SUMIFS(W33:W$113,$B33:$B$113,$B26))</f>
        <v>0</v>
      </c>
      <c r="X26" s="93">
        <f>IF(X$1="",0,SUMIFS(X33:X$113,$B33:$B$113,$B26))</f>
        <v>0</v>
      </c>
      <c r="Y26" s="93">
        <f>IF(Y$1="",0,SUMIFS(Y33:Y$113,$B33:$B$113,$B26))</f>
        <v>0</v>
      </c>
      <c r="Z26" s="93">
        <f>IF(Z$1="",0,SUMIFS(Z33:Z$113,$B33:$B$113,$B26))</f>
        <v>0</v>
      </c>
      <c r="AA26" s="93">
        <f>IF(AA$1="",0,SUMIFS(AA33:AA$113,$B33:$B$113,$B26))</f>
        <v>0</v>
      </c>
      <c r="AB26" s="3"/>
    </row>
    <row r="27" spans="1:28" ht="3.9" customHeight="1" x14ac:dyDescent="0.25">
      <c r="A27" s="149">
        <f>1</f>
        <v>1</v>
      </c>
      <c r="B27" s="131"/>
      <c r="C27" s="2"/>
      <c r="D27" s="2"/>
      <c r="E27" s="2"/>
      <c r="F27" s="2"/>
      <c r="G27" s="2"/>
      <c r="H27" s="2"/>
      <c r="I27" s="28"/>
      <c r="J27" s="2"/>
      <c r="K27" s="28"/>
      <c r="L27" s="2"/>
      <c r="M27" s="52"/>
      <c r="N27" s="2"/>
      <c r="O27" s="2"/>
      <c r="P27" s="36"/>
      <c r="Q27" s="36"/>
      <c r="R27" s="36"/>
      <c r="S27" s="36"/>
      <c r="T27" s="36"/>
      <c r="U27" s="36"/>
      <c r="V27" s="36"/>
      <c r="W27" s="36"/>
      <c r="X27" s="36"/>
      <c r="Y27" s="36"/>
      <c r="Z27" s="36"/>
      <c r="AA27" s="36"/>
      <c r="AB27" s="2"/>
    </row>
    <row r="28" spans="1:28" s="5" customFormat="1" x14ac:dyDescent="0.25">
      <c r="A28" s="150">
        <f>1</f>
        <v>1</v>
      </c>
      <c r="B28" s="132" t="str">
        <f>структура!$J$13</f>
        <v>УСН(6%)</v>
      </c>
      <c r="C28" s="3"/>
      <c r="D28" s="3"/>
      <c r="E28" s="89" t="str">
        <f>E26</f>
        <v>ОПЕРАЦИОННЫЕ РАСХОДЫ</v>
      </c>
      <c r="F28" s="89"/>
      <c r="G28" s="89" t="str">
        <f>IF($E28="","",INDEX(KPI!$G:$G,SUMIFS(KPI!$B:$B,KPI!$E:$E,$E28)))</f>
        <v>тыс.руб.</v>
      </c>
      <c r="H28" s="89"/>
      <c r="I28" s="90"/>
      <c r="J28" s="130" t="str">
        <f>структура!$AL$21</f>
        <v>Без НДС</v>
      </c>
      <c r="K28" s="90"/>
      <c r="L28" s="89"/>
      <c r="M28" s="92">
        <f>SUM($O28:$AB28)</f>
        <v>61563.20325838295</v>
      </c>
      <c r="N28" s="3"/>
      <c r="O28" s="3"/>
      <c r="P28" s="93">
        <f>IF(P$1="",0,SUMIFS(P35:P$113,$B35:$B$113,$B28))</f>
        <v>8712.4082454283325</v>
      </c>
      <c r="Q28" s="93">
        <f>IF(Q$1="",0,SUMIFS(Q35:Q$113,$B35:$B$113,$B28))</f>
        <v>8807.4257454283324</v>
      </c>
      <c r="R28" s="93">
        <f>IF(R$1="",0,SUMIFS(R35:R$113,$B35:$B$113,$B28))</f>
        <v>8743.3819400437169</v>
      </c>
      <c r="S28" s="93">
        <f>IF(S$1="",0,SUMIFS(S35:S$113,$B35:$B$113,$B28))</f>
        <v>8607.6269261975631</v>
      </c>
      <c r="T28" s="93">
        <f>IF(T$1="",0,SUMIFS(T35:T$113,$B35:$B$113,$B28))</f>
        <v>8731.149676197565</v>
      </c>
      <c r="U28" s="93">
        <f>IF(U$1="",0,SUMIFS(U35:U$113,$B35:$B$113,$B28))</f>
        <v>8863.8181408129494</v>
      </c>
      <c r="V28" s="93">
        <f>IF(V$1="",0,SUMIFS(V35:V$113,$B35:$B$113,$B28))</f>
        <v>9097.3925842744848</v>
      </c>
      <c r="W28" s="93">
        <f>IF(W$1="",0,SUMIFS(W35:W$113,$B35:$B$113,$B28))</f>
        <v>0</v>
      </c>
      <c r="X28" s="93">
        <f>IF(X$1="",0,SUMIFS(X35:X$113,$B35:$B$113,$B28))</f>
        <v>0</v>
      </c>
      <c r="Y28" s="93">
        <f>IF(Y$1="",0,SUMIFS(Y35:Y$113,$B35:$B$113,$B28))</f>
        <v>0</v>
      </c>
      <c r="Z28" s="93">
        <f>IF(Z$1="",0,SUMIFS(Z35:Z$113,$B35:$B$113,$B28))</f>
        <v>0</v>
      </c>
      <c r="AA28" s="93">
        <f>IF(AA$1="",0,SUMIFS(AA35:AA$113,$B35:$B$113,$B28))</f>
        <v>0</v>
      </c>
      <c r="AB28" s="3"/>
    </row>
    <row r="29" spans="1:28" ht="3.9" customHeight="1" x14ac:dyDescent="0.25">
      <c r="A29" s="149">
        <f>1</f>
        <v>1</v>
      </c>
      <c r="B29" s="131"/>
      <c r="C29" s="2"/>
      <c r="D29" s="2"/>
      <c r="E29" s="2"/>
      <c r="F29" s="2"/>
      <c r="G29" s="2"/>
      <c r="H29" s="2"/>
      <c r="I29" s="28"/>
      <c r="J29" s="2"/>
      <c r="K29" s="28"/>
      <c r="L29" s="2"/>
      <c r="M29" s="52"/>
      <c r="N29" s="2"/>
      <c r="O29" s="2"/>
      <c r="P29" s="36"/>
      <c r="Q29" s="36"/>
      <c r="R29" s="36"/>
      <c r="S29" s="36"/>
      <c r="T29" s="36"/>
      <c r="U29" s="36"/>
      <c r="V29" s="36"/>
      <c r="W29" s="36"/>
      <c r="X29" s="36"/>
      <c r="Y29" s="36"/>
      <c r="Z29" s="36"/>
      <c r="AA29" s="36"/>
      <c r="AB29" s="2"/>
    </row>
    <row r="30" spans="1:28" s="5" customFormat="1" x14ac:dyDescent="0.25">
      <c r="A30" s="150">
        <f>1</f>
        <v>1</v>
      </c>
      <c r="B30" s="132" t="str">
        <f>структура!$J$14</f>
        <v>УСН(15%)</v>
      </c>
      <c r="C30" s="3"/>
      <c r="D30" s="3"/>
      <c r="E30" s="89" t="str">
        <f>E26</f>
        <v>ОПЕРАЦИОННЫЕ РАСХОДЫ</v>
      </c>
      <c r="F30" s="89"/>
      <c r="G30" s="89" t="str">
        <f>IF($E30="","",INDEX(KPI!$G:$G,SUMIFS(KPI!$B:$B,KPI!$E:$E,$E30)))</f>
        <v>тыс.руб.</v>
      </c>
      <c r="H30" s="89"/>
      <c r="I30" s="90"/>
      <c r="J30" s="130" t="str">
        <f>структура!$AL$21</f>
        <v>Без НДС</v>
      </c>
      <c r="K30" s="90"/>
      <c r="L30" s="89"/>
      <c r="M30" s="92">
        <f>SUM($O30:$AB30)</f>
        <v>61563.20325838295</v>
      </c>
      <c r="N30" s="3"/>
      <c r="O30" s="3"/>
      <c r="P30" s="93">
        <f>IF(P$1="",0,SUMIFS(P37:P$113,$B37:$B$113,$B30))</f>
        <v>8712.4082454283325</v>
      </c>
      <c r="Q30" s="93">
        <f>IF(Q$1="",0,SUMIFS(Q37:Q$113,$B37:$B$113,$B30))</f>
        <v>8807.4257454283324</v>
      </c>
      <c r="R30" s="93">
        <f>IF(R$1="",0,SUMIFS(R37:R$113,$B37:$B$113,$B30))</f>
        <v>8743.3819400437169</v>
      </c>
      <c r="S30" s="93">
        <f>IF(S$1="",0,SUMIFS(S37:S$113,$B37:$B$113,$B30))</f>
        <v>8607.6269261975631</v>
      </c>
      <c r="T30" s="93">
        <f>IF(T$1="",0,SUMIFS(T37:T$113,$B37:$B$113,$B30))</f>
        <v>8731.149676197565</v>
      </c>
      <c r="U30" s="93">
        <f>IF(U$1="",0,SUMIFS(U37:U$113,$B37:$B$113,$B30))</f>
        <v>8863.8181408129494</v>
      </c>
      <c r="V30" s="93">
        <f>IF(V$1="",0,SUMIFS(V37:V$113,$B37:$B$113,$B30))</f>
        <v>9097.3925842744848</v>
      </c>
      <c r="W30" s="93">
        <f>IF(W$1="",0,SUMIFS(W37:W$113,$B37:$B$113,$B30))</f>
        <v>0</v>
      </c>
      <c r="X30" s="93">
        <f>IF(X$1="",0,SUMIFS(X37:X$113,$B37:$B$113,$B30))</f>
        <v>0</v>
      </c>
      <c r="Y30" s="93">
        <f>IF(Y$1="",0,SUMIFS(Y37:Y$113,$B37:$B$113,$B30))</f>
        <v>0</v>
      </c>
      <c r="Z30" s="93">
        <f>IF(Z$1="",0,SUMIFS(Z37:Z$113,$B37:$B$113,$B30))</f>
        <v>0</v>
      </c>
      <c r="AA30" s="93">
        <f>IF(AA$1="",0,SUMIFS(AA37:AA$113,$B37:$B$113,$B30))</f>
        <v>0</v>
      </c>
      <c r="AB30" s="3"/>
    </row>
    <row r="31" spans="1:28" ht="3.9" customHeight="1" x14ac:dyDescent="0.25">
      <c r="A31" s="149">
        <f>1</f>
        <v>1</v>
      </c>
      <c r="B31" s="131"/>
      <c r="C31" s="2"/>
      <c r="D31" s="2"/>
      <c r="E31" s="2"/>
      <c r="F31" s="2"/>
      <c r="G31" s="2"/>
      <c r="H31" s="2"/>
      <c r="I31" s="28"/>
      <c r="J31" s="2"/>
      <c r="K31" s="28"/>
      <c r="L31" s="2"/>
      <c r="M31" s="52"/>
      <c r="N31" s="2"/>
      <c r="O31" s="2"/>
      <c r="P31" s="36"/>
      <c r="Q31" s="36"/>
      <c r="R31" s="36"/>
      <c r="S31" s="36"/>
      <c r="T31" s="36"/>
      <c r="U31" s="36"/>
      <c r="V31" s="36"/>
      <c r="W31" s="36"/>
      <c r="X31" s="36"/>
      <c r="Y31" s="36"/>
      <c r="Z31" s="36"/>
      <c r="AA31" s="36"/>
      <c r="AB31" s="2"/>
    </row>
    <row r="32" spans="1:28" s="5" customFormat="1" x14ac:dyDescent="0.25">
      <c r="A32" s="150">
        <f>1</f>
        <v>1</v>
      </c>
      <c r="B32" s="132" t="str">
        <f>структура!$J$15</f>
        <v>УСН(6%)-ИП</v>
      </c>
      <c r="C32" s="3"/>
      <c r="D32" s="3"/>
      <c r="E32" s="89" t="str">
        <f>E26</f>
        <v>ОПЕРАЦИОННЫЕ РАСХОДЫ</v>
      </c>
      <c r="F32" s="89"/>
      <c r="G32" s="89" t="str">
        <f>IF($E32="","",INDEX(KPI!$G:$G,SUMIFS(KPI!$B:$B,KPI!$E:$E,$E32)))</f>
        <v>тыс.руб.</v>
      </c>
      <c r="H32" s="89"/>
      <c r="I32" s="90"/>
      <c r="J32" s="130" t="str">
        <f>структура!$AL$21</f>
        <v>Без НДС</v>
      </c>
      <c r="K32" s="90"/>
      <c r="L32" s="89"/>
      <c r="M32" s="92">
        <f>SUM($O32:$AB32)</f>
        <v>61563.20325838295</v>
      </c>
      <c r="N32" s="3"/>
      <c r="O32" s="3"/>
      <c r="P32" s="93">
        <f>IF(P$1="",0,SUMIFS(P39:P$113,$B39:$B$113,$B32))</f>
        <v>8712.4082454283325</v>
      </c>
      <c r="Q32" s="93">
        <f>IF(Q$1="",0,SUMIFS(Q39:Q$113,$B39:$B$113,$B32))</f>
        <v>8807.4257454283324</v>
      </c>
      <c r="R32" s="93">
        <f>IF(R$1="",0,SUMIFS(R39:R$113,$B39:$B$113,$B32))</f>
        <v>8743.3819400437169</v>
      </c>
      <c r="S32" s="93">
        <f>IF(S$1="",0,SUMIFS(S39:S$113,$B39:$B$113,$B32))</f>
        <v>8607.6269261975631</v>
      </c>
      <c r="T32" s="93">
        <f>IF(T$1="",0,SUMIFS(T39:T$113,$B39:$B$113,$B32))</f>
        <v>8731.149676197565</v>
      </c>
      <c r="U32" s="93">
        <f>IF(U$1="",0,SUMIFS(U39:U$113,$B39:$B$113,$B32))</f>
        <v>8863.8181408129494</v>
      </c>
      <c r="V32" s="93">
        <f>IF(V$1="",0,SUMIFS(V39:V$113,$B39:$B$113,$B32))</f>
        <v>9097.3925842744848</v>
      </c>
      <c r="W32" s="93">
        <f>IF(W$1="",0,SUMIFS(W39:W$113,$B39:$B$113,$B32))</f>
        <v>0</v>
      </c>
      <c r="X32" s="93">
        <f>IF(X$1="",0,SUMIFS(X39:X$113,$B39:$B$113,$B32))</f>
        <v>0</v>
      </c>
      <c r="Y32" s="93">
        <f>IF(Y$1="",0,SUMIFS(Y39:Y$113,$B39:$B$113,$B32))</f>
        <v>0</v>
      </c>
      <c r="Z32" s="93">
        <f>IF(Z$1="",0,SUMIFS(Z39:Z$113,$B39:$B$113,$B32))</f>
        <v>0</v>
      </c>
      <c r="AA32" s="93">
        <f>IF(AA$1="",0,SUMIFS(AA39:AA$113,$B39:$B$113,$B32))</f>
        <v>0</v>
      </c>
      <c r="AB32" s="3"/>
    </row>
    <row r="33" spans="1:28" ht="3.9" customHeight="1" x14ac:dyDescent="0.25">
      <c r="A33" s="149">
        <f>1</f>
        <v>1</v>
      </c>
      <c r="B33" s="131"/>
      <c r="C33" s="2"/>
      <c r="D33" s="2"/>
      <c r="E33" s="2"/>
      <c r="F33" s="2"/>
      <c r="G33" s="2"/>
      <c r="H33" s="2"/>
      <c r="I33" s="28"/>
      <c r="J33" s="2"/>
      <c r="K33" s="28"/>
      <c r="L33" s="2"/>
      <c r="M33" s="52"/>
      <c r="N33" s="2"/>
      <c r="O33" s="2"/>
      <c r="P33" s="36"/>
      <c r="Q33" s="36"/>
      <c r="R33" s="36"/>
      <c r="S33" s="36"/>
      <c r="T33" s="36"/>
      <c r="U33" s="36"/>
      <c r="V33" s="36"/>
      <c r="W33" s="36"/>
      <c r="X33" s="36"/>
      <c r="Y33" s="36"/>
      <c r="Z33" s="36"/>
      <c r="AA33" s="36"/>
      <c r="AB33" s="2"/>
    </row>
    <row r="34" spans="1:28" ht="8.1" customHeight="1" x14ac:dyDescent="0.25">
      <c r="A34" s="149">
        <f>1</f>
        <v>1</v>
      </c>
      <c r="B34" s="131"/>
      <c r="C34" s="2"/>
      <c r="D34" s="2"/>
      <c r="E34" s="2"/>
      <c r="F34" s="2"/>
      <c r="G34" s="2"/>
      <c r="H34" s="2"/>
      <c r="I34" s="28"/>
      <c r="J34" s="2"/>
      <c r="K34" s="28"/>
      <c r="L34" s="2"/>
      <c r="M34" s="52"/>
      <c r="N34" s="2"/>
      <c r="O34" s="2"/>
      <c r="P34" s="36"/>
      <c r="Q34" s="36"/>
      <c r="R34" s="36"/>
      <c r="S34" s="36"/>
      <c r="T34" s="36"/>
      <c r="U34" s="36"/>
      <c r="V34" s="36"/>
      <c r="W34" s="36"/>
      <c r="X34" s="36"/>
      <c r="Y34" s="36"/>
      <c r="Z34" s="36"/>
      <c r="AA34" s="36"/>
      <c r="AB34" s="2"/>
    </row>
    <row r="35" spans="1:28" ht="3.9" customHeight="1" x14ac:dyDescent="0.25">
      <c r="A35" s="149">
        <f>1</f>
        <v>1</v>
      </c>
      <c r="B35" s="131"/>
      <c r="C35" s="2"/>
      <c r="D35" s="2"/>
      <c r="E35" s="2"/>
      <c r="F35" s="2"/>
      <c r="G35" s="2"/>
      <c r="H35" s="2"/>
      <c r="I35" s="28"/>
      <c r="J35" s="2"/>
      <c r="K35" s="28"/>
      <c r="L35" s="2"/>
      <c r="M35" s="52"/>
      <c r="N35" s="2"/>
      <c r="O35" s="2"/>
      <c r="P35" s="36"/>
      <c r="Q35" s="36"/>
      <c r="R35" s="36"/>
      <c r="S35" s="36"/>
      <c r="T35" s="36"/>
      <c r="U35" s="36"/>
      <c r="V35" s="36"/>
      <c r="W35" s="36"/>
      <c r="X35" s="36"/>
      <c r="Y35" s="36"/>
      <c r="Z35" s="36"/>
      <c r="AA35" s="36"/>
      <c r="AB35" s="2"/>
    </row>
    <row r="36" spans="1:28" s="126" customFormat="1" x14ac:dyDescent="0.25">
      <c r="A36" s="149">
        <f>1</f>
        <v>1</v>
      </c>
      <c r="B36" s="132" t="str">
        <f>структура!$J$12</f>
        <v>ОСНО</v>
      </c>
      <c r="C36" s="123"/>
      <c r="D36" s="123"/>
      <c r="E36" s="130" t="str">
        <f>KPI!$E$76</f>
        <v>маркетинговые расходы</v>
      </c>
      <c r="F36" s="130"/>
      <c r="G36" s="130" t="str">
        <f>IF($E36="","",INDEX(KPI!$G:$G,SUMIFS(KPI!$B:$B,KPI!$E:$E,$E36)))</f>
        <v>тыс.руб.</v>
      </c>
      <c r="H36" s="130"/>
      <c r="I36" s="134"/>
      <c r="J36" s="130" t="str">
        <f>структура!$AL$21</f>
        <v>Без НДС</v>
      </c>
      <c r="K36" s="134"/>
      <c r="L36" s="130"/>
      <c r="M36" s="135">
        <f>SUM($O36:$AB36)</f>
        <v>4594.2560394230777</v>
      </c>
      <c r="N36" s="123"/>
      <c r="O36" s="123"/>
      <c r="P36" s="136">
        <f>IF(P$1="",0,IF(1+опер3!P$346=0,0,(опер3!P$157)/(1+опер3!P$346)))</f>
        <v>818.75222756410255</v>
      </c>
      <c r="Q36" s="136">
        <f>IF(Q$1="",0,IF(1+опер3!Q$346=0,0,(опер3!Q$157)/(1+опер3!Q$346)))</f>
        <v>845.14597756410262</v>
      </c>
      <c r="R36" s="136">
        <f>IF(R$1="",0,IF(1+опер3!R$346=0,0,(опер3!R$157)/(1+опер3!R$346)))</f>
        <v>708.95551282051281</v>
      </c>
      <c r="S36" s="136">
        <f>IF(S$1="",0,IF(1+опер3!S$346=0,0,(опер3!S$157)/(1+опер3!S$346)))</f>
        <v>546.67821153846148</v>
      </c>
      <c r="T36" s="136">
        <f>IF(T$1="",0,IF(1+опер3!T$346=0,0,(опер3!T$157)/(1+опер3!T$346)))</f>
        <v>570.43258653846158</v>
      </c>
      <c r="U36" s="136">
        <f>IF(U$1="",0,IF(1+опер3!U$346=0,0,(опер3!U$157)/(1+опер3!U$346)))</f>
        <v>549.02089038461543</v>
      </c>
      <c r="V36" s="136">
        <f>IF(V$1="",0,IF(1+опер3!V$346=0,0,(опер3!V$157)/(1+опер3!V$346)))</f>
        <v>555.27063301282055</v>
      </c>
      <c r="W36" s="136">
        <f>IF(W$1="",0,IF(1+опер3!W$346=0,0,(опер3!W$157)/(1+опер3!W$346)))</f>
        <v>0</v>
      </c>
      <c r="X36" s="136">
        <f>IF(X$1="",0,IF(1+опер3!X$346=0,0,(опер3!X$157)/(1+опер3!X$346)))</f>
        <v>0</v>
      </c>
      <c r="Y36" s="136">
        <f>IF(Y$1="",0,IF(1+опер3!Y$346=0,0,(опер3!Y$157)/(1+опер3!Y$346)))</f>
        <v>0</v>
      </c>
      <c r="Z36" s="136">
        <f>IF(Z$1="",0,IF(1+опер3!Z$346=0,0,(опер3!Z$157)/(1+опер3!Z$346)))</f>
        <v>0</v>
      </c>
      <c r="AA36" s="136">
        <f>IF(AA$1="",0,IF(1+опер3!AA$346=0,0,(опер3!AA$157)/(1+опер3!AA$346)))</f>
        <v>0</v>
      </c>
      <c r="AB36" s="123"/>
    </row>
    <row r="37" spans="1:28" s="126" customFormat="1" ht="3.9" customHeight="1" x14ac:dyDescent="0.25">
      <c r="A37" s="149">
        <f>1</f>
        <v>1</v>
      </c>
      <c r="B37" s="131"/>
      <c r="C37" s="123"/>
      <c r="D37" s="123"/>
      <c r="E37" s="123"/>
      <c r="F37" s="123"/>
      <c r="G37" s="123"/>
      <c r="H37" s="123"/>
      <c r="I37" s="124"/>
      <c r="J37" s="123"/>
      <c r="K37" s="124"/>
      <c r="L37" s="123"/>
      <c r="M37" s="125"/>
      <c r="N37" s="123"/>
      <c r="O37" s="123"/>
      <c r="P37" s="137"/>
      <c r="Q37" s="137"/>
      <c r="R37" s="137"/>
      <c r="S37" s="137"/>
      <c r="T37" s="137"/>
      <c r="U37" s="137"/>
      <c r="V37" s="137"/>
      <c r="W37" s="137"/>
      <c r="X37" s="137"/>
      <c r="Y37" s="137"/>
      <c r="Z37" s="137"/>
      <c r="AA37" s="137"/>
      <c r="AB37" s="123"/>
    </row>
    <row r="38" spans="1:28" s="126" customFormat="1" x14ac:dyDescent="0.25">
      <c r="A38" s="149">
        <f>1</f>
        <v>1</v>
      </c>
      <c r="B38" s="132" t="str">
        <f>структура!$J$13</f>
        <v>УСН(6%)</v>
      </c>
      <c r="C38" s="123"/>
      <c r="D38" s="123"/>
      <c r="E38" s="130" t="str">
        <f>E36</f>
        <v>маркетинговые расходы</v>
      </c>
      <c r="F38" s="130"/>
      <c r="G38" s="130" t="str">
        <f>IF($E38="","",INDEX(KPI!$G:$G,SUMIFS(KPI!$B:$B,KPI!$E:$E,$E38)))</f>
        <v>тыс.руб.</v>
      </c>
      <c r="H38" s="130"/>
      <c r="I38" s="134"/>
      <c r="J38" s="130" t="str">
        <f>структура!$AL$21</f>
        <v>Без НДС</v>
      </c>
      <c r="K38" s="134"/>
      <c r="L38" s="130"/>
      <c r="M38" s="135">
        <f>SUM($O38:$AB38)</f>
        <v>4594.2560394230777</v>
      </c>
      <c r="N38" s="123"/>
      <c r="O38" s="123"/>
      <c r="P38" s="136">
        <f>IF(P$1="",0,IF(1+опер3!P$346=0,0,(опер3!P$157)/(1+опер3!P$346)))</f>
        <v>818.75222756410255</v>
      </c>
      <c r="Q38" s="136">
        <f>IF(Q$1="",0,IF(1+опер3!Q$346=0,0,(опер3!Q$157)/(1+опер3!Q$346)))</f>
        <v>845.14597756410262</v>
      </c>
      <c r="R38" s="136">
        <f>IF(R$1="",0,IF(1+опер3!R$346=0,0,(опер3!R$157)/(1+опер3!R$346)))</f>
        <v>708.95551282051281</v>
      </c>
      <c r="S38" s="136">
        <f>IF(S$1="",0,IF(1+опер3!S$346=0,0,(опер3!S$157)/(1+опер3!S$346)))</f>
        <v>546.67821153846148</v>
      </c>
      <c r="T38" s="136">
        <f>IF(T$1="",0,IF(1+опер3!T$346=0,0,(опер3!T$157)/(1+опер3!T$346)))</f>
        <v>570.43258653846158</v>
      </c>
      <c r="U38" s="136">
        <f>IF(U$1="",0,IF(1+опер3!U$346=0,0,(опер3!U$157)/(1+опер3!U$346)))</f>
        <v>549.02089038461543</v>
      </c>
      <c r="V38" s="136">
        <f>IF(V$1="",0,IF(1+опер3!V$346=0,0,(опер3!V$157)/(1+опер3!V$346)))</f>
        <v>555.27063301282055</v>
      </c>
      <c r="W38" s="136">
        <f>IF(W$1="",0,IF(1+опер3!W$346=0,0,(опер3!W$157)/(1+опер3!W$346)))</f>
        <v>0</v>
      </c>
      <c r="X38" s="136">
        <f>IF(X$1="",0,IF(1+опер3!X$346=0,0,(опер3!X$157)/(1+опер3!X$346)))</f>
        <v>0</v>
      </c>
      <c r="Y38" s="136">
        <f>IF(Y$1="",0,IF(1+опер3!Y$346=0,0,(опер3!Y$157)/(1+опер3!Y$346)))</f>
        <v>0</v>
      </c>
      <c r="Z38" s="136">
        <f>IF(Z$1="",0,IF(1+опер3!Z$346=0,0,(опер3!Z$157)/(1+опер3!Z$346)))</f>
        <v>0</v>
      </c>
      <c r="AA38" s="136">
        <f>IF(AA$1="",0,IF(1+опер3!AA$346=0,0,(опер3!AA$157)/(1+опер3!AA$346)))</f>
        <v>0</v>
      </c>
      <c r="AB38" s="123"/>
    </row>
    <row r="39" spans="1:28" s="126" customFormat="1" ht="3.9" customHeight="1" x14ac:dyDescent="0.25">
      <c r="A39" s="149">
        <f>1</f>
        <v>1</v>
      </c>
      <c r="B39" s="131"/>
      <c r="C39" s="123"/>
      <c r="D39" s="123"/>
      <c r="E39" s="123"/>
      <c r="F39" s="123"/>
      <c r="G39" s="123"/>
      <c r="H39" s="123"/>
      <c r="I39" s="124"/>
      <c r="J39" s="123"/>
      <c r="K39" s="124"/>
      <c r="L39" s="123"/>
      <c r="M39" s="125"/>
      <c r="N39" s="123"/>
      <c r="O39" s="123"/>
      <c r="P39" s="137"/>
      <c r="Q39" s="137"/>
      <c r="R39" s="137"/>
      <c r="S39" s="137"/>
      <c r="T39" s="137"/>
      <c r="U39" s="137"/>
      <c r="V39" s="137"/>
      <c r="W39" s="137"/>
      <c r="X39" s="137"/>
      <c r="Y39" s="137"/>
      <c r="Z39" s="137"/>
      <c r="AA39" s="137"/>
      <c r="AB39" s="123"/>
    </row>
    <row r="40" spans="1:28" s="126" customFormat="1" x14ac:dyDescent="0.25">
      <c r="A40" s="149">
        <f>1</f>
        <v>1</v>
      </c>
      <c r="B40" s="132" t="str">
        <f>структура!$J$14</f>
        <v>УСН(15%)</v>
      </c>
      <c r="C40" s="123"/>
      <c r="D40" s="123"/>
      <c r="E40" s="130" t="str">
        <f>E36</f>
        <v>маркетинговые расходы</v>
      </c>
      <c r="F40" s="130"/>
      <c r="G40" s="130" t="str">
        <f>IF($E40="","",INDEX(KPI!$G:$G,SUMIFS(KPI!$B:$B,KPI!$E:$E,$E40)))</f>
        <v>тыс.руб.</v>
      </c>
      <c r="H40" s="130"/>
      <c r="I40" s="134"/>
      <c r="J40" s="130" t="str">
        <f>структура!$AL$21</f>
        <v>Без НДС</v>
      </c>
      <c r="K40" s="134"/>
      <c r="L40" s="130"/>
      <c r="M40" s="135">
        <f>SUM($O40:$AB40)</f>
        <v>4594.2560394230777</v>
      </c>
      <c r="N40" s="123"/>
      <c r="O40" s="123"/>
      <c r="P40" s="136">
        <f>IF(P$1="",0,IF(1+опер3!P$346=0,0,(опер3!P$157)/(1+опер3!P$346)))</f>
        <v>818.75222756410255</v>
      </c>
      <c r="Q40" s="136">
        <f>IF(Q$1="",0,IF(1+опер3!Q$346=0,0,(опер3!Q$157)/(1+опер3!Q$346)))</f>
        <v>845.14597756410262</v>
      </c>
      <c r="R40" s="136">
        <f>IF(R$1="",0,IF(1+опер3!R$346=0,0,(опер3!R$157)/(1+опер3!R$346)))</f>
        <v>708.95551282051281</v>
      </c>
      <c r="S40" s="136">
        <f>IF(S$1="",0,IF(1+опер3!S$346=0,0,(опер3!S$157)/(1+опер3!S$346)))</f>
        <v>546.67821153846148</v>
      </c>
      <c r="T40" s="136">
        <f>IF(T$1="",0,IF(1+опер3!T$346=0,0,(опер3!T$157)/(1+опер3!T$346)))</f>
        <v>570.43258653846158</v>
      </c>
      <c r="U40" s="136">
        <f>IF(U$1="",0,IF(1+опер3!U$346=0,0,(опер3!U$157)/(1+опер3!U$346)))</f>
        <v>549.02089038461543</v>
      </c>
      <c r="V40" s="136">
        <f>IF(V$1="",0,IF(1+опер3!V$346=0,0,(опер3!V$157)/(1+опер3!V$346)))</f>
        <v>555.27063301282055</v>
      </c>
      <c r="W40" s="136">
        <f>IF(W$1="",0,IF(1+опер3!W$346=0,0,(опер3!W$157)/(1+опер3!W$346)))</f>
        <v>0</v>
      </c>
      <c r="X40" s="136">
        <f>IF(X$1="",0,IF(1+опер3!X$346=0,0,(опер3!X$157)/(1+опер3!X$346)))</f>
        <v>0</v>
      </c>
      <c r="Y40" s="136">
        <f>IF(Y$1="",0,IF(1+опер3!Y$346=0,0,(опер3!Y$157)/(1+опер3!Y$346)))</f>
        <v>0</v>
      </c>
      <c r="Z40" s="136">
        <f>IF(Z$1="",0,IF(1+опер3!Z$346=0,0,(опер3!Z$157)/(1+опер3!Z$346)))</f>
        <v>0</v>
      </c>
      <c r="AA40" s="136">
        <f>IF(AA$1="",0,IF(1+опер3!AA$346=0,0,(опер3!AA$157)/(1+опер3!AA$346)))</f>
        <v>0</v>
      </c>
      <c r="AB40" s="123"/>
    </row>
    <row r="41" spans="1:28" s="126" customFormat="1" ht="3.9" customHeight="1" x14ac:dyDescent="0.25">
      <c r="A41" s="149">
        <f>1</f>
        <v>1</v>
      </c>
      <c r="B41" s="131"/>
      <c r="C41" s="123"/>
      <c r="D41" s="123"/>
      <c r="E41" s="123"/>
      <c r="F41" s="123"/>
      <c r="G41" s="123"/>
      <c r="H41" s="123"/>
      <c r="I41" s="124"/>
      <c r="J41" s="123"/>
      <c r="K41" s="124"/>
      <c r="L41" s="123"/>
      <c r="M41" s="125"/>
      <c r="N41" s="123"/>
      <c r="O41" s="123"/>
      <c r="P41" s="137"/>
      <c r="Q41" s="137"/>
      <c r="R41" s="137"/>
      <c r="S41" s="137"/>
      <c r="T41" s="137"/>
      <c r="U41" s="137"/>
      <c r="V41" s="137"/>
      <c r="W41" s="137"/>
      <c r="X41" s="137"/>
      <c r="Y41" s="137"/>
      <c r="Z41" s="137"/>
      <c r="AA41" s="137"/>
      <c r="AB41" s="123"/>
    </row>
    <row r="42" spans="1:28" s="126" customFormat="1" x14ac:dyDescent="0.25">
      <c r="A42" s="149">
        <f>1</f>
        <v>1</v>
      </c>
      <c r="B42" s="132" t="str">
        <f>структура!$J$15</f>
        <v>УСН(6%)-ИП</v>
      </c>
      <c r="C42" s="123"/>
      <c r="D42" s="123"/>
      <c r="E42" s="130" t="str">
        <f>E36</f>
        <v>маркетинговые расходы</v>
      </c>
      <c r="F42" s="130"/>
      <c r="G42" s="130" t="str">
        <f>IF($E42="","",INDEX(KPI!$G:$G,SUMIFS(KPI!$B:$B,KPI!$E:$E,$E42)))</f>
        <v>тыс.руб.</v>
      </c>
      <c r="H42" s="130"/>
      <c r="I42" s="134"/>
      <c r="J42" s="130" t="str">
        <f>структура!$AL$21</f>
        <v>Без НДС</v>
      </c>
      <c r="K42" s="134"/>
      <c r="L42" s="130"/>
      <c r="M42" s="135">
        <f>SUM($O42:$AB42)</f>
        <v>4594.2560394230777</v>
      </c>
      <c r="N42" s="123"/>
      <c r="O42" s="123"/>
      <c r="P42" s="136">
        <f>IF(P$1="",0,IF(1+опер3!P$346=0,0,(опер3!P$157)/(1+опер3!P$346)))</f>
        <v>818.75222756410255</v>
      </c>
      <c r="Q42" s="136">
        <f>IF(Q$1="",0,IF(1+опер3!Q$346=0,0,(опер3!Q$157)/(1+опер3!Q$346)))</f>
        <v>845.14597756410262</v>
      </c>
      <c r="R42" s="136">
        <f>IF(R$1="",0,IF(1+опер3!R$346=0,0,(опер3!R$157)/(1+опер3!R$346)))</f>
        <v>708.95551282051281</v>
      </c>
      <c r="S42" s="136">
        <f>IF(S$1="",0,IF(1+опер3!S$346=0,0,(опер3!S$157)/(1+опер3!S$346)))</f>
        <v>546.67821153846148</v>
      </c>
      <c r="T42" s="136">
        <f>IF(T$1="",0,IF(1+опер3!T$346=0,0,(опер3!T$157)/(1+опер3!T$346)))</f>
        <v>570.43258653846158</v>
      </c>
      <c r="U42" s="136">
        <f>IF(U$1="",0,IF(1+опер3!U$346=0,0,(опер3!U$157)/(1+опер3!U$346)))</f>
        <v>549.02089038461543</v>
      </c>
      <c r="V42" s="136">
        <f>IF(V$1="",0,IF(1+опер3!V$346=0,0,(опер3!V$157)/(1+опер3!V$346)))</f>
        <v>555.27063301282055</v>
      </c>
      <c r="W42" s="136">
        <f>IF(W$1="",0,IF(1+опер3!W$346=0,0,(опер3!W$157)/(1+опер3!W$346)))</f>
        <v>0</v>
      </c>
      <c r="X42" s="136">
        <f>IF(X$1="",0,IF(1+опер3!X$346=0,0,(опер3!X$157)/(1+опер3!X$346)))</f>
        <v>0</v>
      </c>
      <c r="Y42" s="136">
        <f>IF(Y$1="",0,IF(1+опер3!Y$346=0,0,(опер3!Y$157)/(1+опер3!Y$346)))</f>
        <v>0</v>
      </c>
      <c r="Z42" s="136">
        <f>IF(Z$1="",0,IF(1+опер3!Z$346=0,0,(опер3!Z$157)/(1+опер3!Z$346)))</f>
        <v>0</v>
      </c>
      <c r="AA42" s="136">
        <f>IF(AA$1="",0,IF(1+опер3!AA$346=0,0,(опер3!AA$157)/(1+опер3!AA$346)))</f>
        <v>0</v>
      </c>
      <c r="AB42" s="123"/>
    </row>
    <row r="43" spans="1:28" ht="3.9" customHeight="1" x14ac:dyDescent="0.25">
      <c r="A43" s="149">
        <f>1</f>
        <v>1</v>
      </c>
      <c r="B43" s="131"/>
      <c r="C43" s="2"/>
      <c r="D43" s="2"/>
      <c r="E43" s="2"/>
      <c r="F43" s="2"/>
      <c r="G43" s="2"/>
      <c r="H43" s="2"/>
      <c r="I43" s="28"/>
      <c r="J43" s="2"/>
      <c r="K43" s="28"/>
      <c r="L43" s="2"/>
      <c r="M43" s="52"/>
      <c r="N43" s="2"/>
      <c r="O43" s="2"/>
      <c r="P43" s="36"/>
      <c r="Q43" s="36"/>
      <c r="R43" s="36"/>
      <c r="S43" s="36"/>
      <c r="T43" s="36"/>
      <c r="U43" s="36"/>
      <c r="V43" s="36"/>
      <c r="W43" s="36"/>
      <c r="X43" s="36"/>
      <c r="Y43" s="36"/>
      <c r="Z43" s="36"/>
      <c r="AA43" s="36"/>
      <c r="AB43" s="2"/>
    </row>
    <row r="44" spans="1:28" ht="8.1" customHeight="1" x14ac:dyDescent="0.25">
      <c r="A44" s="149">
        <f>1</f>
        <v>1</v>
      </c>
      <c r="B44" s="131"/>
      <c r="C44" s="2"/>
      <c r="D44" s="2"/>
      <c r="E44" s="2"/>
      <c r="F44" s="2"/>
      <c r="G44" s="2"/>
      <c r="H44" s="2"/>
      <c r="I44" s="28"/>
      <c r="J44" s="2"/>
      <c r="K44" s="28"/>
      <c r="L44" s="2"/>
      <c r="M44" s="52"/>
      <c r="N44" s="2"/>
      <c r="O44" s="2"/>
      <c r="P44" s="36"/>
      <c r="Q44" s="36"/>
      <c r="R44" s="36"/>
      <c r="S44" s="36"/>
      <c r="T44" s="36"/>
      <c r="U44" s="36"/>
      <c r="V44" s="36"/>
      <c r="W44" s="36"/>
      <c r="X44" s="36"/>
      <c r="Y44" s="36"/>
      <c r="Z44" s="36"/>
      <c r="AA44" s="36"/>
      <c r="AB44" s="2"/>
    </row>
    <row r="45" spans="1:28" ht="3.9" customHeight="1" x14ac:dyDescent="0.25">
      <c r="A45" s="149">
        <f>1</f>
        <v>1</v>
      </c>
      <c r="B45" s="131"/>
      <c r="C45" s="2"/>
      <c r="D45" s="2"/>
      <c r="E45" s="2"/>
      <c r="F45" s="2"/>
      <c r="G45" s="2"/>
      <c r="H45" s="2"/>
      <c r="I45" s="28"/>
      <c r="J45" s="2"/>
      <c r="K45" s="28"/>
      <c r="L45" s="2"/>
      <c r="M45" s="52"/>
      <c r="N45" s="2"/>
      <c r="O45" s="2"/>
      <c r="P45" s="36"/>
      <c r="Q45" s="36"/>
      <c r="R45" s="36"/>
      <c r="S45" s="36"/>
      <c r="T45" s="36"/>
      <c r="U45" s="36"/>
      <c r="V45" s="36"/>
      <c r="W45" s="36"/>
      <c r="X45" s="36"/>
      <c r="Y45" s="36"/>
      <c r="Z45" s="36"/>
      <c r="AA45" s="36"/>
      <c r="AB45" s="2"/>
    </row>
    <row r="46" spans="1:28" s="126" customFormat="1" x14ac:dyDescent="0.25">
      <c r="A46" s="149">
        <f>1</f>
        <v>1</v>
      </c>
      <c r="B46" s="132" t="str">
        <f>структура!$J$12</f>
        <v>ОСНО</v>
      </c>
      <c r="C46" s="123"/>
      <c r="D46" s="123"/>
      <c r="E46" s="130" t="str">
        <f>KPI!$E$77</f>
        <v>расходы на аренду земли</v>
      </c>
      <c r="F46" s="130"/>
      <c r="G46" s="130" t="str">
        <f>IF($E46="","",INDEX(KPI!$G:$G,SUMIFS(KPI!$B:$B,KPI!$E:$E,$E46)))</f>
        <v>тыс.руб.</v>
      </c>
      <c r="H46" s="130"/>
      <c r="I46" s="134"/>
      <c r="J46" s="130" t="str">
        <f>структура!$AL$21</f>
        <v>Без НДС</v>
      </c>
      <c r="K46" s="134"/>
      <c r="L46" s="130"/>
      <c r="M46" s="135">
        <f>SUM($O46:$AB46)</f>
        <v>15217.124102819123</v>
      </c>
      <c r="N46" s="123"/>
      <c r="O46" s="123"/>
      <c r="P46" s="136">
        <f>IF(P$1="",0,IF(1+опер3!P$346=0,0,(опер3!P$175)/(1+опер3!P$346)))</f>
        <v>2173.8748718313032</v>
      </c>
      <c r="Q46" s="136">
        <f>IF(Q$1="",0,IF(1+опер3!Q$346=0,0,(опер3!Q$175)/(1+опер3!Q$346)))</f>
        <v>2173.8748718313032</v>
      </c>
      <c r="R46" s="136">
        <f>IF(R$1="",0,IF(1+опер3!R$346=0,0,(опер3!R$175)/(1+опер3!R$346)))</f>
        <v>2173.8748718313032</v>
      </c>
      <c r="S46" s="136">
        <f>IF(S$1="",0,IF(1+опер3!S$346=0,0,(опер3!S$175)/(1+опер3!S$346)))</f>
        <v>2173.8748718313032</v>
      </c>
      <c r="T46" s="136">
        <f>IF(T$1="",0,IF(1+опер3!T$346=0,0,(опер3!T$175)/(1+опер3!T$346)))</f>
        <v>2173.8748718313032</v>
      </c>
      <c r="U46" s="136">
        <f>IF(U$1="",0,IF(1+опер3!U$346=0,0,(опер3!U$175)/(1+опер3!U$346)))</f>
        <v>2173.8748718313032</v>
      </c>
      <c r="V46" s="136">
        <f>IF(V$1="",0,IF(1+опер3!V$346=0,0,(опер3!V$175)/(1+опер3!V$346)))</f>
        <v>2173.8748718313032</v>
      </c>
      <c r="W46" s="136">
        <f>IF(W$1="",0,IF(1+опер3!W$346=0,0,(опер3!W$175)/(1+опер3!W$346)))</f>
        <v>0</v>
      </c>
      <c r="X46" s="136">
        <f>IF(X$1="",0,IF(1+опер3!X$346=0,0,(опер3!X$175)/(1+опер3!X$346)))</f>
        <v>0</v>
      </c>
      <c r="Y46" s="136">
        <f>IF(Y$1="",0,IF(1+опер3!Y$346=0,0,(опер3!Y$175)/(1+опер3!Y$346)))</f>
        <v>0</v>
      </c>
      <c r="Z46" s="136">
        <f>IF(Z$1="",0,IF(1+опер3!Z$346=0,0,(опер3!Z$175)/(1+опер3!Z$346)))</f>
        <v>0</v>
      </c>
      <c r="AA46" s="136">
        <f>IF(AA$1="",0,IF(1+опер3!AA$346=0,0,(опер3!AA$175)/(1+опер3!AA$346)))</f>
        <v>0</v>
      </c>
      <c r="AB46" s="123"/>
    </row>
    <row r="47" spans="1:28" s="126" customFormat="1" ht="3.9" customHeight="1" x14ac:dyDescent="0.25">
      <c r="A47" s="149">
        <f>1</f>
        <v>1</v>
      </c>
      <c r="B47" s="131"/>
      <c r="C47" s="123"/>
      <c r="D47" s="123"/>
      <c r="E47" s="123"/>
      <c r="F47" s="123"/>
      <c r="G47" s="123"/>
      <c r="H47" s="123"/>
      <c r="I47" s="124"/>
      <c r="J47" s="123"/>
      <c r="K47" s="124"/>
      <c r="L47" s="123"/>
      <c r="M47" s="125"/>
      <c r="N47" s="123"/>
      <c r="O47" s="123"/>
      <c r="P47" s="137"/>
      <c r="Q47" s="137"/>
      <c r="R47" s="137"/>
      <c r="S47" s="137"/>
      <c r="T47" s="137"/>
      <c r="U47" s="137"/>
      <c r="V47" s="137"/>
      <c r="W47" s="137"/>
      <c r="X47" s="137"/>
      <c r="Y47" s="137"/>
      <c r="Z47" s="137"/>
      <c r="AA47" s="137"/>
      <c r="AB47" s="123"/>
    </row>
    <row r="48" spans="1:28" s="126" customFormat="1" x14ac:dyDescent="0.25">
      <c r="A48" s="149">
        <f>1</f>
        <v>1</v>
      </c>
      <c r="B48" s="132" t="str">
        <f>структура!$J$13</f>
        <v>УСН(6%)</v>
      </c>
      <c r="C48" s="123"/>
      <c r="D48" s="123"/>
      <c r="E48" s="130" t="str">
        <f>E46</f>
        <v>расходы на аренду земли</v>
      </c>
      <c r="F48" s="130"/>
      <c r="G48" s="130" t="str">
        <f>IF($E48="","",INDEX(KPI!$G:$G,SUMIFS(KPI!$B:$B,KPI!$E:$E,$E48)))</f>
        <v>тыс.руб.</v>
      </c>
      <c r="H48" s="130"/>
      <c r="I48" s="134"/>
      <c r="J48" s="130" t="str">
        <f>структура!$AL$21</f>
        <v>Без НДС</v>
      </c>
      <c r="K48" s="134"/>
      <c r="L48" s="130"/>
      <c r="M48" s="135">
        <f>SUM($O48:$AB48)</f>
        <v>15217.124102819123</v>
      </c>
      <c r="N48" s="123"/>
      <c r="O48" s="123"/>
      <c r="P48" s="136">
        <f>IF(P$1="",0,IF(1+опер3!P$346=0,0,(опер3!P$175)/(1+опер3!P$346)))</f>
        <v>2173.8748718313032</v>
      </c>
      <c r="Q48" s="136">
        <f>IF(Q$1="",0,IF(1+опер3!Q$346=0,0,(опер3!Q$175)/(1+опер3!Q$346)))</f>
        <v>2173.8748718313032</v>
      </c>
      <c r="R48" s="136">
        <f>IF(R$1="",0,IF(1+опер3!R$346=0,0,(опер3!R$175)/(1+опер3!R$346)))</f>
        <v>2173.8748718313032</v>
      </c>
      <c r="S48" s="136">
        <f>IF(S$1="",0,IF(1+опер3!S$346=0,0,(опер3!S$175)/(1+опер3!S$346)))</f>
        <v>2173.8748718313032</v>
      </c>
      <c r="T48" s="136">
        <f>IF(T$1="",0,IF(1+опер3!T$346=0,0,(опер3!T$175)/(1+опер3!T$346)))</f>
        <v>2173.8748718313032</v>
      </c>
      <c r="U48" s="136">
        <f>IF(U$1="",0,IF(1+опер3!U$346=0,0,(опер3!U$175)/(1+опер3!U$346)))</f>
        <v>2173.8748718313032</v>
      </c>
      <c r="V48" s="136">
        <f>IF(V$1="",0,IF(1+опер3!V$346=0,0,(опер3!V$175)/(1+опер3!V$346)))</f>
        <v>2173.8748718313032</v>
      </c>
      <c r="W48" s="136">
        <f>IF(W$1="",0,IF(1+опер3!W$346=0,0,(опер3!W$175)/(1+опер3!W$346)))</f>
        <v>0</v>
      </c>
      <c r="X48" s="136">
        <f>IF(X$1="",0,IF(1+опер3!X$346=0,0,(опер3!X$175)/(1+опер3!X$346)))</f>
        <v>0</v>
      </c>
      <c r="Y48" s="136">
        <f>IF(Y$1="",0,IF(1+опер3!Y$346=0,0,(опер3!Y$175)/(1+опер3!Y$346)))</f>
        <v>0</v>
      </c>
      <c r="Z48" s="136">
        <f>IF(Z$1="",0,IF(1+опер3!Z$346=0,0,(опер3!Z$175)/(1+опер3!Z$346)))</f>
        <v>0</v>
      </c>
      <c r="AA48" s="136">
        <f>IF(AA$1="",0,IF(1+опер3!AA$346=0,0,(опер3!AA$175)/(1+опер3!AA$346)))</f>
        <v>0</v>
      </c>
      <c r="AB48" s="123"/>
    </row>
    <row r="49" spans="1:28" s="126" customFormat="1" ht="3.9" customHeight="1" x14ac:dyDescent="0.25">
      <c r="A49" s="149">
        <f>1</f>
        <v>1</v>
      </c>
      <c r="B49" s="131"/>
      <c r="C49" s="123"/>
      <c r="D49" s="123"/>
      <c r="E49" s="123"/>
      <c r="F49" s="123"/>
      <c r="G49" s="123"/>
      <c r="H49" s="123"/>
      <c r="I49" s="124"/>
      <c r="J49" s="123"/>
      <c r="K49" s="124"/>
      <c r="L49" s="123"/>
      <c r="M49" s="125"/>
      <c r="N49" s="123"/>
      <c r="O49" s="123"/>
      <c r="P49" s="137"/>
      <c r="Q49" s="137"/>
      <c r="R49" s="137"/>
      <c r="S49" s="137"/>
      <c r="T49" s="137"/>
      <c r="U49" s="137"/>
      <c r="V49" s="137"/>
      <c r="W49" s="137"/>
      <c r="X49" s="137"/>
      <c r="Y49" s="137"/>
      <c r="Z49" s="137"/>
      <c r="AA49" s="137"/>
      <c r="AB49" s="123"/>
    </row>
    <row r="50" spans="1:28" s="126" customFormat="1" x14ac:dyDescent="0.25">
      <c r="A50" s="149">
        <f>1</f>
        <v>1</v>
      </c>
      <c r="B50" s="132" t="str">
        <f>структура!$J$14</f>
        <v>УСН(15%)</v>
      </c>
      <c r="C50" s="123"/>
      <c r="D50" s="123"/>
      <c r="E50" s="130" t="str">
        <f>E46</f>
        <v>расходы на аренду земли</v>
      </c>
      <c r="F50" s="130"/>
      <c r="G50" s="130" t="str">
        <f>IF($E50="","",INDEX(KPI!$G:$G,SUMIFS(KPI!$B:$B,KPI!$E:$E,$E50)))</f>
        <v>тыс.руб.</v>
      </c>
      <c r="H50" s="130"/>
      <c r="I50" s="134"/>
      <c r="J50" s="130" t="str">
        <f>структура!$AL$21</f>
        <v>Без НДС</v>
      </c>
      <c r="K50" s="134"/>
      <c r="L50" s="130"/>
      <c r="M50" s="135">
        <f>SUM($O50:$AB50)</f>
        <v>15217.124102819123</v>
      </c>
      <c r="N50" s="123"/>
      <c r="O50" s="123"/>
      <c r="P50" s="136">
        <f>IF(P$1="",0,IF(1+опер3!P$346=0,0,(опер3!P$175)/(1+опер3!P$346)))</f>
        <v>2173.8748718313032</v>
      </c>
      <c r="Q50" s="136">
        <f>IF(Q$1="",0,IF(1+опер3!Q$346=0,0,(опер3!Q$175)/(1+опер3!Q$346)))</f>
        <v>2173.8748718313032</v>
      </c>
      <c r="R50" s="136">
        <f>IF(R$1="",0,IF(1+опер3!R$346=0,0,(опер3!R$175)/(1+опер3!R$346)))</f>
        <v>2173.8748718313032</v>
      </c>
      <c r="S50" s="136">
        <f>IF(S$1="",0,IF(1+опер3!S$346=0,0,(опер3!S$175)/(1+опер3!S$346)))</f>
        <v>2173.8748718313032</v>
      </c>
      <c r="T50" s="136">
        <f>IF(T$1="",0,IF(1+опер3!T$346=0,0,(опер3!T$175)/(1+опер3!T$346)))</f>
        <v>2173.8748718313032</v>
      </c>
      <c r="U50" s="136">
        <f>IF(U$1="",0,IF(1+опер3!U$346=0,0,(опер3!U$175)/(1+опер3!U$346)))</f>
        <v>2173.8748718313032</v>
      </c>
      <c r="V50" s="136">
        <f>IF(V$1="",0,IF(1+опер3!V$346=0,0,(опер3!V$175)/(1+опер3!V$346)))</f>
        <v>2173.8748718313032</v>
      </c>
      <c r="W50" s="136">
        <f>IF(W$1="",0,IF(1+опер3!W$346=0,0,(опер3!W$175)/(1+опер3!W$346)))</f>
        <v>0</v>
      </c>
      <c r="X50" s="136">
        <f>IF(X$1="",0,IF(1+опер3!X$346=0,0,(опер3!X$175)/(1+опер3!X$346)))</f>
        <v>0</v>
      </c>
      <c r="Y50" s="136">
        <f>IF(Y$1="",0,IF(1+опер3!Y$346=0,0,(опер3!Y$175)/(1+опер3!Y$346)))</f>
        <v>0</v>
      </c>
      <c r="Z50" s="136">
        <f>IF(Z$1="",0,IF(1+опер3!Z$346=0,0,(опер3!Z$175)/(1+опер3!Z$346)))</f>
        <v>0</v>
      </c>
      <c r="AA50" s="136">
        <f>IF(AA$1="",0,IF(1+опер3!AA$346=0,0,(опер3!AA$175)/(1+опер3!AA$346)))</f>
        <v>0</v>
      </c>
      <c r="AB50" s="123"/>
    </row>
    <row r="51" spans="1:28" s="126" customFormat="1" ht="3.9" customHeight="1" x14ac:dyDescent="0.25">
      <c r="A51" s="149">
        <f>1</f>
        <v>1</v>
      </c>
      <c r="B51" s="131"/>
      <c r="C51" s="123"/>
      <c r="D51" s="123"/>
      <c r="E51" s="123"/>
      <c r="F51" s="123"/>
      <c r="G51" s="123"/>
      <c r="H51" s="123"/>
      <c r="I51" s="124"/>
      <c r="J51" s="123"/>
      <c r="K51" s="124"/>
      <c r="L51" s="123"/>
      <c r="M51" s="125"/>
      <c r="N51" s="123"/>
      <c r="O51" s="123"/>
      <c r="P51" s="137"/>
      <c r="Q51" s="137"/>
      <c r="R51" s="137"/>
      <c r="S51" s="137"/>
      <c r="T51" s="137"/>
      <c r="U51" s="137"/>
      <c r="V51" s="137"/>
      <c r="W51" s="137"/>
      <c r="X51" s="137"/>
      <c r="Y51" s="137"/>
      <c r="Z51" s="137"/>
      <c r="AA51" s="137"/>
      <c r="AB51" s="123"/>
    </row>
    <row r="52" spans="1:28" s="126" customFormat="1" x14ac:dyDescent="0.25">
      <c r="A52" s="149">
        <f>1</f>
        <v>1</v>
      </c>
      <c r="B52" s="132" t="str">
        <f>структура!$J$15</f>
        <v>УСН(6%)-ИП</v>
      </c>
      <c r="C52" s="123"/>
      <c r="D52" s="123"/>
      <c r="E52" s="130" t="str">
        <f>E46</f>
        <v>расходы на аренду земли</v>
      </c>
      <c r="F52" s="130"/>
      <c r="G52" s="130" t="str">
        <f>IF($E52="","",INDEX(KPI!$G:$G,SUMIFS(KPI!$B:$B,KPI!$E:$E,$E52)))</f>
        <v>тыс.руб.</v>
      </c>
      <c r="H52" s="130"/>
      <c r="I52" s="134"/>
      <c r="J52" s="130" t="str">
        <f>структура!$AL$21</f>
        <v>Без НДС</v>
      </c>
      <c r="K52" s="134"/>
      <c r="L52" s="130"/>
      <c r="M52" s="135">
        <f>SUM($O52:$AB52)</f>
        <v>15217.124102819123</v>
      </c>
      <c r="N52" s="123"/>
      <c r="O52" s="123"/>
      <c r="P52" s="136">
        <f>IF(P$1="",0,IF(1+опер3!P$346=0,0,(опер3!P$175)/(1+опер3!P$346)))</f>
        <v>2173.8748718313032</v>
      </c>
      <c r="Q52" s="136">
        <f>IF(Q$1="",0,IF(1+опер3!Q$346=0,0,(опер3!Q$175)/(1+опер3!Q$346)))</f>
        <v>2173.8748718313032</v>
      </c>
      <c r="R52" s="136">
        <f>IF(R$1="",0,IF(1+опер3!R$346=0,0,(опер3!R$175)/(1+опер3!R$346)))</f>
        <v>2173.8748718313032</v>
      </c>
      <c r="S52" s="136">
        <f>IF(S$1="",0,IF(1+опер3!S$346=0,0,(опер3!S$175)/(1+опер3!S$346)))</f>
        <v>2173.8748718313032</v>
      </c>
      <c r="T52" s="136">
        <f>IF(T$1="",0,IF(1+опер3!T$346=0,0,(опер3!T$175)/(1+опер3!T$346)))</f>
        <v>2173.8748718313032</v>
      </c>
      <c r="U52" s="136">
        <f>IF(U$1="",0,IF(1+опер3!U$346=0,0,(опер3!U$175)/(1+опер3!U$346)))</f>
        <v>2173.8748718313032</v>
      </c>
      <c r="V52" s="136">
        <f>IF(V$1="",0,IF(1+опер3!V$346=0,0,(опер3!V$175)/(1+опер3!V$346)))</f>
        <v>2173.8748718313032</v>
      </c>
      <c r="W52" s="136">
        <f>IF(W$1="",0,IF(1+опер3!W$346=0,0,(опер3!W$175)/(1+опер3!W$346)))</f>
        <v>0</v>
      </c>
      <c r="X52" s="136">
        <f>IF(X$1="",0,IF(1+опер3!X$346=0,0,(опер3!X$175)/(1+опер3!X$346)))</f>
        <v>0</v>
      </c>
      <c r="Y52" s="136">
        <f>IF(Y$1="",0,IF(1+опер3!Y$346=0,0,(опер3!Y$175)/(1+опер3!Y$346)))</f>
        <v>0</v>
      </c>
      <c r="Z52" s="136">
        <f>IF(Z$1="",0,IF(1+опер3!Z$346=0,0,(опер3!Z$175)/(1+опер3!Z$346)))</f>
        <v>0</v>
      </c>
      <c r="AA52" s="136">
        <f>IF(AA$1="",0,IF(1+опер3!AA$346=0,0,(опер3!AA$175)/(1+опер3!AA$346)))</f>
        <v>0</v>
      </c>
      <c r="AB52" s="123"/>
    </row>
    <row r="53" spans="1:28" ht="3.9" customHeight="1" x14ac:dyDescent="0.25">
      <c r="A53" s="149">
        <f>1</f>
        <v>1</v>
      </c>
      <c r="B53" s="131"/>
      <c r="C53" s="2"/>
      <c r="D53" s="2"/>
      <c r="E53" s="2"/>
      <c r="F53" s="2"/>
      <c r="G53" s="2"/>
      <c r="H53" s="2"/>
      <c r="I53" s="28"/>
      <c r="J53" s="2"/>
      <c r="K53" s="28"/>
      <c r="L53" s="2"/>
      <c r="M53" s="52"/>
      <c r="N53" s="2"/>
      <c r="O53" s="2"/>
      <c r="P53" s="36"/>
      <c r="Q53" s="36"/>
      <c r="R53" s="36"/>
      <c r="S53" s="36"/>
      <c r="T53" s="36"/>
      <c r="U53" s="36"/>
      <c r="V53" s="36"/>
      <c r="W53" s="36"/>
      <c r="X53" s="36"/>
      <c r="Y53" s="36"/>
      <c r="Z53" s="36"/>
      <c r="AA53" s="36"/>
      <c r="AB53" s="2"/>
    </row>
    <row r="54" spans="1:28" ht="8.1" customHeight="1" x14ac:dyDescent="0.25">
      <c r="A54" s="149">
        <f>1</f>
        <v>1</v>
      </c>
      <c r="B54" s="131"/>
      <c r="C54" s="2"/>
      <c r="D54" s="2"/>
      <c r="E54" s="2"/>
      <c r="F54" s="2"/>
      <c r="G54" s="2"/>
      <c r="H54" s="2"/>
      <c r="I54" s="28"/>
      <c r="J54" s="2"/>
      <c r="K54" s="28"/>
      <c r="L54" s="2"/>
      <c r="M54" s="52"/>
      <c r="N54" s="2"/>
      <c r="O54" s="2"/>
      <c r="P54" s="36"/>
      <c r="Q54" s="36"/>
      <c r="R54" s="36"/>
      <c r="S54" s="36"/>
      <c r="T54" s="36"/>
      <c r="U54" s="36"/>
      <c r="V54" s="36"/>
      <c r="W54" s="36"/>
      <c r="X54" s="36"/>
      <c r="Y54" s="36"/>
      <c r="Z54" s="36"/>
      <c r="AA54" s="36"/>
      <c r="AB54" s="2"/>
    </row>
    <row r="55" spans="1:28" ht="3.9" customHeight="1" x14ac:dyDescent="0.25">
      <c r="A55" s="149">
        <f>1</f>
        <v>1</v>
      </c>
      <c r="B55" s="131"/>
      <c r="C55" s="2"/>
      <c r="D55" s="2"/>
      <c r="E55" s="2"/>
      <c r="F55" s="2"/>
      <c r="G55" s="2"/>
      <c r="H55" s="2"/>
      <c r="I55" s="28"/>
      <c r="J55" s="2"/>
      <c r="K55" s="28"/>
      <c r="L55" s="2"/>
      <c r="M55" s="52"/>
      <c r="N55" s="2"/>
      <c r="O55" s="2"/>
      <c r="P55" s="36"/>
      <c r="Q55" s="36"/>
      <c r="R55" s="36"/>
      <c r="S55" s="36"/>
      <c r="T55" s="36"/>
      <c r="U55" s="36"/>
      <c r="V55" s="36"/>
      <c r="W55" s="36"/>
      <c r="X55" s="36"/>
      <c r="Y55" s="36"/>
      <c r="Z55" s="36"/>
      <c r="AA55" s="36"/>
      <c r="AB55" s="2"/>
    </row>
    <row r="56" spans="1:28" s="126" customFormat="1" x14ac:dyDescent="0.25">
      <c r="A56" s="149">
        <f>1</f>
        <v>1</v>
      </c>
      <c r="B56" s="132" t="str">
        <f>структура!$J$12</f>
        <v>ОСНО</v>
      </c>
      <c r="C56" s="123"/>
      <c r="D56" s="123"/>
      <c r="E56" s="130" t="str">
        <f>KPI!$E$78</f>
        <v>коммунальные расходы</v>
      </c>
      <c r="F56" s="130"/>
      <c r="G56" s="130" t="str">
        <f>IF($E56="","",INDEX(KPI!$G:$G,SUMIFS(KPI!$B:$B,KPI!$E:$E,$E56)))</f>
        <v>тыс.руб.</v>
      </c>
      <c r="H56" s="130"/>
      <c r="I56" s="134"/>
      <c r="J56" s="130" t="str">
        <f>структура!$AL$21</f>
        <v>Без НДС</v>
      </c>
      <c r="K56" s="134"/>
      <c r="L56" s="130"/>
      <c r="M56" s="135">
        <f>SUM($O56:$AB56)</f>
        <v>1552.0081500000003</v>
      </c>
      <c r="N56" s="123"/>
      <c r="O56" s="123"/>
      <c r="P56" s="136">
        <f>IF(P$1="",0,IF(1+опер3!P$346=0,0,(опер3!P$225)/(1+опер3!P$346)))</f>
        <v>221.50865000000007</v>
      </c>
      <c r="Q56" s="136">
        <f>IF(Q$1="",0,IF(1+опер3!Q$346=0,0,(опер3!Q$225)/(1+опер3!Q$346)))</f>
        <v>221.50865000000007</v>
      </c>
      <c r="R56" s="136">
        <f>IF(R$1="",0,IF(1+опер3!R$346=0,0,(опер3!R$225)/(1+опер3!R$346)))</f>
        <v>222.23245000000006</v>
      </c>
      <c r="S56" s="136">
        <f>IF(S$1="",0,IF(1+опер3!S$346=0,0,(опер3!S$225)/(1+опер3!S$346)))</f>
        <v>221.50865000000007</v>
      </c>
      <c r="T56" s="136">
        <f>IF(T$1="",0,IF(1+опер3!T$346=0,0,(опер3!T$225)/(1+опер3!T$346)))</f>
        <v>221.50865000000007</v>
      </c>
      <c r="U56" s="136">
        <f>IF(U$1="",0,IF(1+опер3!U$346=0,0,(опер3!U$225)/(1+опер3!U$346)))</f>
        <v>221.50865000000007</v>
      </c>
      <c r="V56" s="136">
        <f>IF(V$1="",0,IF(1+опер3!V$346=0,0,(опер3!V$225)/(1+опер3!V$346)))</f>
        <v>222.23245000000006</v>
      </c>
      <c r="W56" s="136">
        <f>IF(W$1="",0,IF(1+опер3!W$346=0,0,(опер3!W$225)/(1+опер3!W$346)))</f>
        <v>0</v>
      </c>
      <c r="X56" s="136">
        <f>IF(X$1="",0,IF(1+опер3!X$346=0,0,(опер3!X$225)/(1+опер3!X$346)))</f>
        <v>0</v>
      </c>
      <c r="Y56" s="136">
        <f>IF(Y$1="",0,IF(1+опер3!Y$346=0,0,(опер3!Y$225)/(1+опер3!Y$346)))</f>
        <v>0</v>
      </c>
      <c r="Z56" s="136">
        <f>IF(Z$1="",0,IF(1+опер3!Z$346=0,0,(опер3!Z$225)/(1+опер3!Z$346)))</f>
        <v>0</v>
      </c>
      <c r="AA56" s="136">
        <f>IF(AA$1="",0,IF(1+опер3!AA$346=0,0,(опер3!AA$225)/(1+опер3!AA$346)))</f>
        <v>0</v>
      </c>
      <c r="AB56" s="123"/>
    </row>
    <row r="57" spans="1:28" s="126" customFormat="1" ht="3.9" customHeight="1" x14ac:dyDescent="0.25">
      <c r="A57" s="149">
        <f>1</f>
        <v>1</v>
      </c>
      <c r="B57" s="131"/>
      <c r="C57" s="123"/>
      <c r="D57" s="123"/>
      <c r="E57" s="123"/>
      <c r="F57" s="123"/>
      <c r="G57" s="123"/>
      <c r="H57" s="123"/>
      <c r="I57" s="124"/>
      <c r="J57" s="123"/>
      <c r="K57" s="124"/>
      <c r="L57" s="123"/>
      <c r="M57" s="125"/>
      <c r="N57" s="123"/>
      <c r="O57" s="123"/>
      <c r="P57" s="137"/>
      <c r="Q57" s="137"/>
      <c r="R57" s="137"/>
      <c r="S57" s="137"/>
      <c r="T57" s="137"/>
      <c r="U57" s="137"/>
      <c r="V57" s="137"/>
      <c r="W57" s="137"/>
      <c r="X57" s="137"/>
      <c r="Y57" s="137"/>
      <c r="Z57" s="137"/>
      <c r="AA57" s="137"/>
      <c r="AB57" s="123"/>
    </row>
    <row r="58" spans="1:28" s="126" customFormat="1" x14ac:dyDescent="0.25">
      <c r="A58" s="149">
        <f>1</f>
        <v>1</v>
      </c>
      <c r="B58" s="132" t="str">
        <f>структура!$J$13</f>
        <v>УСН(6%)</v>
      </c>
      <c r="C58" s="123"/>
      <c r="D58" s="123"/>
      <c r="E58" s="130" t="str">
        <f>E56</f>
        <v>коммунальные расходы</v>
      </c>
      <c r="F58" s="130"/>
      <c r="G58" s="130" t="str">
        <f>IF($E58="","",INDEX(KPI!$G:$G,SUMIFS(KPI!$B:$B,KPI!$E:$E,$E58)))</f>
        <v>тыс.руб.</v>
      </c>
      <c r="H58" s="130"/>
      <c r="I58" s="134"/>
      <c r="J58" s="130" t="str">
        <f>структура!$AL$21</f>
        <v>Без НДС</v>
      </c>
      <c r="K58" s="134"/>
      <c r="L58" s="130"/>
      <c r="M58" s="135">
        <f>SUM($O58:$AB58)</f>
        <v>1552.0081500000003</v>
      </c>
      <c r="N58" s="123"/>
      <c r="O58" s="123"/>
      <c r="P58" s="136">
        <f>IF(P$1="",0,IF(1+опер3!P$346=0,0,(опер3!P$225)/(1+опер3!P$346)))</f>
        <v>221.50865000000007</v>
      </c>
      <c r="Q58" s="136">
        <f>IF(Q$1="",0,IF(1+опер3!Q$346=0,0,(опер3!Q$225)/(1+опер3!Q$346)))</f>
        <v>221.50865000000007</v>
      </c>
      <c r="R58" s="136">
        <f>IF(R$1="",0,IF(1+опер3!R$346=0,0,(опер3!R$225)/(1+опер3!R$346)))</f>
        <v>222.23245000000006</v>
      </c>
      <c r="S58" s="136">
        <f>IF(S$1="",0,IF(1+опер3!S$346=0,0,(опер3!S$225)/(1+опер3!S$346)))</f>
        <v>221.50865000000007</v>
      </c>
      <c r="T58" s="136">
        <f>IF(T$1="",0,IF(1+опер3!T$346=0,0,(опер3!T$225)/(1+опер3!T$346)))</f>
        <v>221.50865000000007</v>
      </c>
      <c r="U58" s="136">
        <f>IF(U$1="",0,IF(1+опер3!U$346=0,0,(опер3!U$225)/(1+опер3!U$346)))</f>
        <v>221.50865000000007</v>
      </c>
      <c r="V58" s="136">
        <f>IF(V$1="",0,IF(1+опер3!V$346=0,0,(опер3!V$225)/(1+опер3!V$346)))</f>
        <v>222.23245000000006</v>
      </c>
      <c r="W58" s="136">
        <f>IF(W$1="",0,IF(1+опер3!W$346=0,0,(опер3!W$225)/(1+опер3!W$346)))</f>
        <v>0</v>
      </c>
      <c r="X58" s="136">
        <f>IF(X$1="",0,IF(1+опер3!X$346=0,0,(опер3!X$225)/(1+опер3!X$346)))</f>
        <v>0</v>
      </c>
      <c r="Y58" s="136">
        <f>IF(Y$1="",0,IF(1+опер3!Y$346=0,0,(опер3!Y$225)/(1+опер3!Y$346)))</f>
        <v>0</v>
      </c>
      <c r="Z58" s="136">
        <f>IF(Z$1="",0,IF(1+опер3!Z$346=0,0,(опер3!Z$225)/(1+опер3!Z$346)))</f>
        <v>0</v>
      </c>
      <c r="AA58" s="136">
        <f>IF(AA$1="",0,IF(1+опер3!AA$346=0,0,(опер3!AA$225)/(1+опер3!AA$346)))</f>
        <v>0</v>
      </c>
      <c r="AB58" s="123"/>
    </row>
    <row r="59" spans="1:28" s="126" customFormat="1" ht="3.9" customHeight="1" x14ac:dyDescent="0.25">
      <c r="A59" s="149">
        <f>1</f>
        <v>1</v>
      </c>
      <c r="B59" s="131"/>
      <c r="C59" s="123"/>
      <c r="D59" s="123"/>
      <c r="E59" s="123"/>
      <c r="F59" s="123"/>
      <c r="G59" s="123"/>
      <c r="H59" s="123"/>
      <c r="I59" s="124"/>
      <c r="J59" s="123"/>
      <c r="K59" s="124"/>
      <c r="L59" s="123"/>
      <c r="M59" s="125"/>
      <c r="N59" s="123"/>
      <c r="O59" s="123"/>
      <c r="P59" s="137"/>
      <c r="Q59" s="137"/>
      <c r="R59" s="137"/>
      <c r="S59" s="137"/>
      <c r="T59" s="137"/>
      <c r="U59" s="137"/>
      <c r="V59" s="137"/>
      <c r="W59" s="137"/>
      <c r="X59" s="137"/>
      <c r="Y59" s="137"/>
      <c r="Z59" s="137"/>
      <c r="AA59" s="137"/>
      <c r="AB59" s="123"/>
    </row>
    <row r="60" spans="1:28" s="126" customFormat="1" x14ac:dyDescent="0.25">
      <c r="A60" s="149">
        <f>1</f>
        <v>1</v>
      </c>
      <c r="B60" s="132" t="str">
        <f>структура!$J$14</f>
        <v>УСН(15%)</v>
      </c>
      <c r="C60" s="123"/>
      <c r="D60" s="123"/>
      <c r="E60" s="130" t="str">
        <f>E56</f>
        <v>коммунальные расходы</v>
      </c>
      <c r="F60" s="130"/>
      <c r="G60" s="130" t="str">
        <f>IF($E60="","",INDEX(KPI!$G:$G,SUMIFS(KPI!$B:$B,KPI!$E:$E,$E60)))</f>
        <v>тыс.руб.</v>
      </c>
      <c r="H60" s="130"/>
      <c r="I60" s="134"/>
      <c r="J60" s="130" t="str">
        <f>структура!$AL$21</f>
        <v>Без НДС</v>
      </c>
      <c r="K60" s="134"/>
      <c r="L60" s="130"/>
      <c r="M60" s="135">
        <f>SUM($O60:$AB60)</f>
        <v>1552.0081500000003</v>
      </c>
      <c r="N60" s="123"/>
      <c r="O60" s="123"/>
      <c r="P60" s="136">
        <f>IF(P$1="",0,IF(1+опер3!P$346=0,0,(опер3!P$225)/(1+опер3!P$346)))</f>
        <v>221.50865000000007</v>
      </c>
      <c r="Q60" s="136">
        <f>IF(Q$1="",0,IF(1+опер3!Q$346=0,0,(опер3!Q$225)/(1+опер3!Q$346)))</f>
        <v>221.50865000000007</v>
      </c>
      <c r="R60" s="136">
        <f>IF(R$1="",0,IF(1+опер3!R$346=0,0,(опер3!R$225)/(1+опер3!R$346)))</f>
        <v>222.23245000000006</v>
      </c>
      <c r="S60" s="136">
        <f>IF(S$1="",0,IF(1+опер3!S$346=0,0,(опер3!S$225)/(1+опер3!S$346)))</f>
        <v>221.50865000000007</v>
      </c>
      <c r="T60" s="136">
        <f>IF(T$1="",0,IF(1+опер3!T$346=0,0,(опер3!T$225)/(1+опер3!T$346)))</f>
        <v>221.50865000000007</v>
      </c>
      <c r="U60" s="136">
        <f>IF(U$1="",0,IF(1+опер3!U$346=0,0,(опер3!U$225)/(1+опер3!U$346)))</f>
        <v>221.50865000000007</v>
      </c>
      <c r="V60" s="136">
        <f>IF(V$1="",0,IF(1+опер3!V$346=0,0,(опер3!V$225)/(1+опер3!V$346)))</f>
        <v>222.23245000000006</v>
      </c>
      <c r="W60" s="136">
        <f>IF(W$1="",0,IF(1+опер3!W$346=0,0,(опер3!W$225)/(1+опер3!W$346)))</f>
        <v>0</v>
      </c>
      <c r="X60" s="136">
        <f>IF(X$1="",0,IF(1+опер3!X$346=0,0,(опер3!X$225)/(1+опер3!X$346)))</f>
        <v>0</v>
      </c>
      <c r="Y60" s="136">
        <f>IF(Y$1="",0,IF(1+опер3!Y$346=0,0,(опер3!Y$225)/(1+опер3!Y$346)))</f>
        <v>0</v>
      </c>
      <c r="Z60" s="136">
        <f>IF(Z$1="",0,IF(1+опер3!Z$346=0,0,(опер3!Z$225)/(1+опер3!Z$346)))</f>
        <v>0</v>
      </c>
      <c r="AA60" s="136">
        <f>IF(AA$1="",0,IF(1+опер3!AA$346=0,0,(опер3!AA$225)/(1+опер3!AA$346)))</f>
        <v>0</v>
      </c>
      <c r="AB60" s="123"/>
    </row>
    <row r="61" spans="1:28" s="126" customFormat="1" ht="3.9" customHeight="1" x14ac:dyDescent="0.25">
      <c r="A61" s="149">
        <f>1</f>
        <v>1</v>
      </c>
      <c r="B61" s="131"/>
      <c r="C61" s="123"/>
      <c r="D61" s="123"/>
      <c r="E61" s="123"/>
      <c r="F61" s="123"/>
      <c r="G61" s="123"/>
      <c r="H61" s="123"/>
      <c r="I61" s="124"/>
      <c r="J61" s="123"/>
      <c r="K61" s="124"/>
      <c r="L61" s="123"/>
      <c r="M61" s="125"/>
      <c r="N61" s="123"/>
      <c r="O61" s="123"/>
      <c r="P61" s="137"/>
      <c r="Q61" s="137"/>
      <c r="R61" s="137"/>
      <c r="S61" s="137"/>
      <c r="T61" s="137"/>
      <c r="U61" s="137"/>
      <c r="V61" s="137"/>
      <c r="W61" s="137"/>
      <c r="X61" s="137"/>
      <c r="Y61" s="137"/>
      <c r="Z61" s="137"/>
      <c r="AA61" s="137"/>
      <c r="AB61" s="123"/>
    </row>
    <row r="62" spans="1:28" s="126" customFormat="1" x14ac:dyDescent="0.25">
      <c r="A62" s="149">
        <f>1</f>
        <v>1</v>
      </c>
      <c r="B62" s="132" t="str">
        <f>структура!$J$15</f>
        <v>УСН(6%)-ИП</v>
      </c>
      <c r="C62" s="123"/>
      <c r="D62" s="123"/>
      <c r="E62" s="130" t="str">
        <f>E56</f>
        <v>коммунальные расходы</v>
      </c>
      <c r="F62" s="130"/>
      <c r="G62" s="130" t="str">
        <f>IF($E62="","",INDEX(KPI!$G:$G,SUMIFS(KPI!$B:$B,KPI!$E:$E,$E62)))</f>
        <v>тыс.руб.</v>
      </c>
      <c r="H62" s="130"/>
      <c r="I62" s="134"/>
      <c r="J62" s="130" t="str">
        <f>структура!$AL$21</f>
        <v>Без НДС</v>
      </c>
      <c r="K62" s="134"/>
      <c r="L62" s="130"/>
      <c r="M62" s="135">
        <f>SUM($O62:$AB62)</f>
        <v>1552.0081500000003</v>
      </c>
      <c r="N62" s="123"/>
      <c r="O62" s="123"/>
      <c r="P62" s="136">
        <f>IF(P$1="",0,IF(1+опер3!P$346=0,0,(опер3!P$225)/(1+опер3!P$346)))</f>
        <v>221.50865000000007</v>
      </c>
      <c r="Q62" s="136">
        <f>IF(Q$1="",0,IF(1+опер3!Q$346=0,0,(опер3!Q$225)/(1+опер3!Q$346)))</f>
        <v>221.50865000000007</v>
      </c>
      <c r="R62" s="136">
        <f>IF(R$1="",0,IF(1+опер3!R$346=0,0,(опер3!R$225)/(1+опер3!R$346)))</f>
        <v>222.23245000000006</v>
      </c>
      <c r="S62" s="136">
        <f>IF(S$1="",0,IF(1+опер3!S$346=0,0,(опер3!S$225)/(1+опер3!S$346)))</f>
        <v>221.50865000000007</v>
      </c>
      <c r="T62" s="136">
        <f>IF(T$1="",0,IF(1+опер3!T$346=0,0,(опер3!T$225)/(1+опер3!T$346)))</f>
        <v>221.50865000000007</v>
      </c>
      <c r="U62" s="136">
        <f>IF(U$1="",0,IF(1+опер3!U$346=0,0,(опер3!U$225)/(1+опер3!U$346)))</f>
        <v>221.50865000000007</v>
      </c>
      <c r="V62" s="136">
        <f>IF(V$1="",0,IF(1+опер3!V$346=0,0,(опер3!V$225)/(1+опер3!V$346)))</f>
        <v>222.23245000000006</v>
      </c>
      <c r="W62" s="136">
        <f>IF(W$1="",0,IF(1+опер3!W$346=0,0,(опер3!W$225)/(1+опер3!W$346)))</f>
        <v>0</v>
      </c>
      <c r="X62" s="136">
        <f>IF(X$1="",0,IF(1+опер3!X$346=0,0,(опер3!X$225)/(1+опер3!X$346)))</f>
        <v>0</v>
      </c>
      <c r="Y62" s="136">
        <f>IF(Y$1="",0,IF(1+опер3!Y$346=0,0,(опер3!Y$225)/(1+опер3!Y$346)))</f>
        <v>0</v>
      </c>
      <c r="Z62" s="136">
        <f>IF(Z$1="",0,IF(1+опер3!Z$346=0,0,(опер3!Z$225)/(1+опер3!Z$346)))</f>
        <v>0</v>
      </c>
      <c r="AA62" s="136">
        <f>IF(AA$1="",0,IF(1+опер3!AA$346=0,0,(опер3!AA$225)/(1+опер3!AA$346)))</f>
        <v>0</v>
      </c>
      <c r="AB62" s="123"/>
    </row>
    <row r="63" spans="1:28" ht="3.9" customHeight="1" x14ac:dyDescent="0.25">
      <c r="A63" s="149">
        <f>1</f>
        <v>1</v>
      </c>
      <c r="B63" s="131"/>
      <c r="C63" s="2"/>
      <c r="D63" s="2"/>
      <c r="E63" s="2"/>
      <c r="F63" s="2"/>
      <c r="G63" s="2"/>
      <c r="H63" s="2"/>
      <c r="I63" s="28"/>
      <c r="J63" s="2"/>
      <c r="K63" s="28"/>
      <c r="L63" s="2"/>
      <c r="M63" s="52"/>
      <c r="N63" s="2"/>
      <c r="O63" s="2"/>
      <c r="P63" s="36"/>
      <c r="Q63" s="36"/>
      <c r="R63" s="36"/>
      <c r="S63" s="36"/>
      <c r="T63" s="36"/>
      <c r="U63" s="36"/>
      <c r="V63" s="36"/>
      <c r="W63" s="36"/>
      <c r="X63" s="36"/>
      <c r="Y63" s="36"/>
      <c r="Z63" s="36"/>
      <c r="AA63" s="36"/>
      <c r="AB63" s="2"/>
    </row>
    <row r="64" spans="1:28" ht="8.1" customHeight="1" x14ac:dyDescent="0.25">
      <c r="A64" s="149">
        <f>1</f>
        <v>1</v>
      </c>
      <c r="B64" s="131"/>
      <c r="C64" s="2"/>
      <c r="D64" s="2"/>
      <c r="E64" s="2"/>
      <c r="F64" s="2"/>
      <c r="G64" s="2"/>
      <c r="H64" s="2"/>
      <c r="I64" s="28"/>
      <c r="J64" s="2"/>
      <c r="K64" s="28"/>
      <c r="L64" s="2"/>
      <c r="M64" s="52"/>
      <c r="N64" s="2"/>
      <c r="O64" s="2"/>
      <c r="P64" s="36"/>
      <c r="Q64" s="36"/>
      <c r="R64" s="36"/>
      <c r="S64" s="36"/>
      <c r="T64" s="36"/>
      <c r="U64" s="36"/>
      <c r="V64" s="36"/>
      <c r="W64" s="36"/>
      <c r="X64" s="36"/>
      <c r="Y64" s="36"/>
      <c r="Z64" s="36"/>
      <c r="AA64" s="36"/>
      <c r="AB64" s="2"/>
    </row>
    <row r="65" spans="1:28" ht="3.9" customHeight="1" x14ac:dyDescent="0.25">
      <c r="A65" s="149">
        <f>1</f>
        <v>1</v>
      </c>
      <c r="B65" s="131"/>
      <c r="C65" s="2"/>
      <c r="D65" s="2"/>
      <c r="E65" s="2"/>
      <c r="F65" s="2"/>
      <c r="G65" s="2"/>
      <c r="H65" s="2"/>
      <c r="I65" s="28"/>
      <c r="J65" s="2"/>
      <c r="K65" s="28"/>
      <c r="L65" s="2"/>
      <c r="M65" s="52"/>
      <c r="N65" s="2"/>
      <c r="O65" s="2"/>
      <c r="P65" s="36"/>
      <c r="Q65" s="36"/>
      <c r="R65" s="36"/>
      <c r="S65" s="36"/>
      <c r="T65" s="36"/>
      <c r="U65" s="36"/>
      <c r="V65" s="36"/>
      <c r="W65" s="36"/>
      <c r="X65" s="36"/>
      <c r="Y65" s="36"/>
      <c r="Z65" s="36"/>
      <c r="AA65" s="36"/>
      <c r="AB65" s="2"/>
    </row>
    <row r="66" spans="1:28" s="126" customFormat="1" x14ac:dyDescent="0.25">
      <c r="A66" s="149">
        <f>1</f>
        <v>1</v>
      </c>
      <c r="B66" s="132" t="str">
        <f>структура!$J$12</f>
        <v>ОСНО</v>
      </c>
      <c r="C66" s="123"/>
      <c r="D66" s="123"/>
      <c r="E66" s="130" t="str">
        <f>KPI!$E$79</f>
        <v>начисление ФОТ</v>
      </c>
      <c r="F66" s="130"/>
      <c r="G66" s="130" t="str">
        <f>IF($E66="","",INDEX(KPI!$G:$G,SUMIFS(KPI!$B:$B,KPI!$E:$E,$E66)))</f>
        <v>тыс.руб.</v>
      </c>
      <c r="H66" s="130"/>
      <c r="I66" s="134"/>
      <c r="J66" s="130"/>
      <c r="K66" s="134"/>
      <c r="L66" s="130"/>
      <c r="M66" s="135">
        <f>SUM($O66:$AB66)</f>
        <v>15540</v>
      </c>
      <c r="N66" s="123"/>
      <c r="O66" s="123"/>
      <c r="P66" s="136">
        <f>IF(P$1="",0,опер3!P$260)</f>
        <v>2220</v>
      </c>
      <c r="Q66" s="136">
        <f>IF(Q$1="",0,опер3!Q$260)</f>
        <v>2220</v>
      </c>
      <c r="R66" s="136">
        <f>IF(R$1="",0,опер3!R$260)</f>
        <v>2220</v>
      </c>
      <c r="S66" s="136">
        <f>IF(S$1="",0,опер3!S$260)</f>
        <v>2220</v>
      </c>
      <c r="T66" s="136">
        <f>IF(T$1="",0,опер3!T$260)</f>
        <v>2220</v>
      </c>
      <c r="U66" s="136">
        <f>IF(U$1="",0,опер3!U$260)</f>
        <v>2220</v>
      </c>
      <c r="V66" s="136">
        <f>IF(V$1="",0,опер3!V$260)</f>
        <v>2220</v>
      </c>
      <c r="W66" s="136">
        <f>IF(W$1="",0,опер3!W$260)</f>
        <v>0</v>
      </c>
      <c r="X66" s="136">
        <f>IF(X$1="",0,опер3!X$260)</f>
        <v>0</v>
      </c>
      <c r="Y66" s="136">
        <f>IF(Y$1="",0,опер3!Y$260)</f>
        <v>0</v>
      </c>
      <c r="Z66" s="136">
        <f>IF(Z$1="",0,опер3!Z$260)</f>
        <v>0</v>
      </c>
      <c r="AA66" s="136">
        <f>IF(AA$1="",0,опер3!AA$260)</f>
        <v>0</v>
      </c>
      <c r="AB66" s="123"/>
    </row>
    <row r="67" spans="1:28" s="126" customFormat="1" ht="3.9" customHeight="1" x14ac:dyDescent="0.25">
      <c r="A67" s="149">
        <f>1</f>
        <v>1</v>
      </c>
      <c r="B67" s="131"/>
      <c r="C67" s="123"/>
      <c r="D67" s="123"/>
      <c r="E67" s="123"/>
      <c r="F67" s="123"/>
      <c r="G67" s="123"/>
      <c r="H67" s="123"/>
      <c r="I67" s="124"/>
      <c r="J67" s="123"/>
      <c r="K67" s="124"/>
      <c r="L67" s="123"/>
      <c r="M67" s="125"/>
      <c r="N67" s="123"/>
      <c r="O67" s="123"/>
      <c r="P67" s="137"/>
      <c r="Q67" s="137"/>
      <c r="R67" s="137"/>
      <c r="S67" s="137"/>
      <c r="T67" s="137"/>
      <c r="U67" s="137"/>
      <c r="V67" s="137"/>
      <c r="W67" s="137"/>
      <c r="X67" s="137"/>
      <c r="Y67" s="137"/>
      <c r="Z67" s="137"/>
      <c r="AA67" s="137"/>
      <c r="AB67" s="123"/>
    </row>
    <row r="68" spans="1:28" s="126" customFormat="1" x14ac:dyDescent="0.25">
      <c r="A68" s="149">
        <f>1</f>
        <v>1</v>
      </c>
      <c r="B68" s="132" t="str">
        <f>структура!$J$13</f>
        <v>УСН(6%)</v>
      </c>
      <c r="C68" s="123"/>
      <c r="D68" s="123"/>
      <c r="E68" s="130" t="str">
        <f>E66</f>
        <v>начисление ФОТ</v>
      </c>
      <c r="F68" s="130"/>
      <c r="G68" s="130" t="str">
        <f>IF($E68="","",INDEX(KPI!$G:$G,SUMIFS(KPI!$B:$B,KPI!$E:$E,$E68)))</f>
        <v>тыс.руб.</v>
      </c>
      <c r="H68" s="130"/>
      <c r="I68" s="134"/>
      <c r="J68" s="130"/>
      <c r="K68" s="134"/>
      <c r="L68" s="130"/>
      <c r="M68" s="135">
        <f>SUM($O68:$AB68)</f>
        <v>15540</v>
      </c>
      <c r="N68" s="123"/>
      <c r="O68" s="123"/>
      <c r="P68" s="136">
        <f>IF(P$1="",0,опер3!P$260)</f>
        <v>2220</v>
      </c>
      <c r="Q68" s="136">
        <f>IF(Q$1="",0,опер3!Q$260)</f>
        <v>2220</v>
      </c>
      <c r="R68" s="136">
        <f>IF(R$1="",0,опер3!R$260)</f>
        <v>2220</v>
      </c>
      <c r="S68" s="136">
        <f>IF(S$1="",0,опер3!S$260)</f>
        <v>2220</v>
      </c>
      <c r="T68" s="136">
        <f>IF(T$1="",0,опер3!T$260)</f>
        <v>2220</v>
      </c>
      <c r="U68" s="136">
        <f>IF(U$1="",0,опер3!U$260)</f>
        <v>2220</v>
      </c>
      <c r="V68" s="136">
        <f>IF(V$1="",0,опер3!V$260)</f>
        <v>2220</v>
      </c>
      <c r="W68" s="136">
        <f>IF(W$1="",0,опер3!W$260)</f>
        <v>0</v>
      </c>
      <c r="X68" s="136">
        <f>IF(X$1="",0,опер3!X$260)</f>
        <v>0</v>
      </c>
      <c r="Y68" s="136">
        <f>IF(Y$1="",0,опер3!Y$260)</f>
        <v>0</v>
      </c>
      <c r="Z68" s="136">
        <f>IF(Z$1="",0,опер3!Z$260)</f>
        <v>0</v>
      </c>
      <c r="AA68" s="136">
        <f>IF(AA$1="",0,опер3!AA$260)</f>
        <v>0</v>
      </c>
      <c r="AB68" s="123"/>
    </row>
    <row r="69" spans="1:28" s="126" customFormat="1" ht="3.9" customHeight="1" x14ac:dyDescent="0.25">
      <c r="A69" s="149">
        <f>1</f>
        <v>1</v>
      </c>
      <c r="B69" s="131"/>
      <c r="C69" s="123"/>
      <c r="D69" s="123"/>
      <c r="E69" s="123"/>
      <c r="F69" s="123"/>
      <c r="G69" s="123"/>
      <c r="H69" s="123"/>
      <c r="I69" s="124"/>
      <c r="J69" s="123"/>
      <c r="K69" s="124"/>
      <c r="L69" s="123"/>
      <c r="M69" s="125"/>
      <c r="N69" s="123"/>
      <c r="O69" s="123"/>
      <c r="P69" s="137"/>
      <c r="Q69" s="137"/>
      <c r="R69" s="137"/>
      <c r="S69" s="137"/>
      <c r="T69" s="137"/>
      <c r="U69" s="137"/>
      <c r="V69" s="137"/>
      <c r="W69" s="137"/>
      <c r="X69" s="137"/>
      <c r="Y69" s="137"/>
      <c r="Z69" s="137"/>
      <c r="AA69" s="137"/>
      <c r="AB69" s="123"/>
    </row>
    <row r="70" spans="1:28" s="126" customFormat="1" x14ac:dyDescent="0.25">
      <c r="A70" s="149">
        <f>1</f>
        <v>1</v>
      </c>
      <c r="B70" s="132" t="str">
        <f>структура!$J$14</f>
        <v>УСН(15%)</v>
      </c>
      <c r="C70" s="123"/>
      <c r="D70" s="123"/>
      <c r="E70" s="130" t="str">
        <f>E66</f>
        <v>начисление ФОТ</v>
      </c>
      <c r="F70" s="130"/>
      <c r="G70" s="130" t="str">
        <f>IF($E70="","",INDEX(KPI!$G:$G,SUMIFS(KPI!$B:$B,KPI!$E:$E,$E70)))</f>
        <v>тыс.руб.</v>
      </c>
      <c r="H70" s="130"/>
      <c r="I70" s="134"/>
      <c r="J70" s="130"/>
      <c r="K70" s="134"/>
      <c r="L70" s="130"/>
      <c r="M70" s="135">
        <f>SUM($O70:$AB70)</f>
        <v>15540</v>
      </c>
      <c r="N70" s="123"/>
      <c r="O70" s="123"/>
      <c r="P70" s="136">
        <f>IF(P$1="",0,опер3!P$260)</f>
        <v>2220</v>
      </c>
      <c r="Q70" s="136">
        <f>IF(Q$1="",0,опер3!Q$260)</f>
        <v>2220</v>
      </c>
      <c r="R70" s="136">
        <f>IF(R$1="",0,опер3!R$260)</f>
        <v>2220</v>
      </c>
      <c r="S70" s="136">
        <f>IF(S$1="",0,опер3!S$260)</f>
        <v>2220</v>
      </c>
      <c r="T70" s="136">
        <f>IF(T$1="",0,опер3!T$260)</f>
        <v>2220</v>
      </c>
      <c r="U70" s="136">
        <f>IF(U$1="",0,опер3!U$260)</f>
        <v>2220</v>
      </c>
      <c r="V70" s="136">
        <f>IF(V$1="",0,опер3!V$260)</f>
        <v>2220</v>
      </c>
      <c r="W70" s="136">
        <f>IF(W$1="",0,опер3!W$260)</f>
        <v>0</v>
      </c>
      <c r="X70" s="136">
        <f>IF(X$1="",0,опер3!X$260)</f>
        <v>0</v>
      </c>
      <c r="Y70" s="136">
        <f>IF(Y$1="",0,опер3!Y$260)</f>
        <v>0</v>
      </c>
      <c r="Z70" s="136">
        <f>IF(Z$1="",0,опер3!Z$260)</f>
        <v>0</v>
      </c>
      <c r="AA70" s="136">
        <f>IF(AA$1="",0,опер3!AA$260)</f>
        <v>0</v>
      </c>
      <c r="AB70" s="123"/>
    </row>
    <row r="71" spans="1:28" s="126" customFormat="1" ht="3.9" customHeight="1" x14ac:dyDescent="0.25">
      <c r="A71" s="149">
        <f>1</f>
        <v>1</v>
      </c>
      <c r="B71" s="131"/>
      <c r="C71" s="123"/>
      <c r="D71" s="123"/>
      <c r="E71" s="123"/>
      <c r="F71" s="123"/>
      <c r="G71" s="123"/>
      <c r="H71" s="123"/>
      <c r="I71" s="124"/>
      <c r="J71" s="123"/>
      <c r="K71" s="124"/>
      <c r="L71" s="123"/>
      <c r="M71" s="125"/>
      <c r="N71" s="123"/>
      <c r="O71" s="123"/>
      <c r="P71" s="137"/>
      <c r="Q71" s="137"/>
      <c r="R71" s="137"/>
      <c r="S71" s="137"/>
      <c r="T71" s="137"/>
      <c r="U71" s="137"/>
      <c r="V71" s="137"/>
      <c r="W71" s="137"/>
      <c r="X71" s="137"/>
      <c r="Y71" s="137"/>
      <c r="Z71" s="137"/>
      <c r="AA71" s="137"/>
      <c r="AB71" s="123"/>
    </row>
    <row r="72" spans="1:28" s="126" customFormat="1" x14ac:dyDescent="0.25">
      <c r="A72" s="149">
        <f>1</f>
        <v>1</v>
      </c>
      <c r="B72" s="132" t="str">
        <f>структура!$J$15</f>
        <v>УСН(6%)-ИП</v>
      </c>
      <c r="C72" s="123"/>
      <c r="D72" s="123"/>
      <c r="E72" s="130" t="str">
        <f>E66</f>
        <v>начисление ФОТ</v>
      </c>
      <c r="F72" s="130"/>
      <c r="G72" s="130" t="str">
        <f>IF($E72="","",INDEX(KPI!$G:$G,SUMIFS(KPI!$B:$B,KPI!$E:$E,$E72)))</f>
        <v>тыс.руб.</v>
      </c>
      <c r="H72" s="130"/>
      <c r="I72" s="134"/>
      <c r="J72" s="130"/>
      <c r="K72" s="134"/>
      <c r="L72" s="130"/>
      <c r="M72" s="135">
        <f>SUM($O72:$AB72)</f>
        <v>15540</v>
      </c>
      <c r="N72" s="123"/>
      <c r="O72" s="123"/>
      <c r="P72" s="136">
        <f>IF(P$1="",0,опер3!P$260)</f>
        <v>2220</v>
      </c>
      <c r="Q72" s="136">
        <f>IF(Q$1="",0,опер3!Q$260)</f>
        <v>2220</v>
      </c>
      <c r="R72" s="136">
        <f>IF(R$1="",0,опер3!R$260)</f>
        <v>2220</v>
      </c>
      <c r="S72" s="136">
        <f>IF(S$1="",0,опер3!S$260)</f>
        <v>2220</v>
      </c>
      <c r="T72" s="136">
        <f>IF(T$1="",0,опер3!T$260)</f>
        <v>2220</v>
      </c>
      <c r="U72" s="136">
        <f>IF(U$1="",0,опер3!U$260)</f>
        <v>2220</v>
      </c>
      <c r="V72" s="136">
        <f>IF(V$1="",0,опер3!V$260)</f>
        <v>2220</v>
      </c>
      <c r="W72" s="136">
        <f>IF(W$1="",0,опер3!W$260)</f>
        <v>0</v>
      </c>
      <c r="X72" s="136">
        <f>IF(X$1="",0,опер3!X$260)</f>
        <v>0</v>
      </c>
      <c r="Y72" s="136">
        <f>IF(Y$1="",0,опер3!Y$260)</f>
        <v>0</v>
      </c>
      <c r="Z72" s="136">
        <f>IF(Z$1="",0,опер3!Z$260)</f>
        <v>0</v>
      </c>
      <c r="AA72" s="136">
        <f>IF(AA$1="",0,опер3!AA$260)</f>
        <v>0</v>
      </c>
      <c r="AB72" s="123"/>
    </row>
    <row r="73" spans="1:28" ht="3.9" customHeight="1" x14ac:dyDescent="0.25">
      <c r="A73" s="149">
        <f>1</f>
        <v>1</v>
      </c>
      <c r="B73" s="131"/>
      <c r="C73" s="2"/>
      <c r="D73" s="2"/>
      <c r="E73" s="2"/>
      <c r="F73" s="2"/>
      <c r="G73" s="2"/>
      <c r="H73" s="2"/>
      <c r="I73" s="28"/>
      <c r="J73" s="2"/>
      <c r="K73" s="28"/>
      <c r="L73" s="2"/>
      <c r="M73" s="52"/>
      <c r="N73" s="2"/>
      <c r="O73" s="2"/>
      <c r="P73" s="36"/>
      <c r="Q73" s="36"/>
      <c r="R73" s="36"/>
      <c r="S73" s="36"/>
      <c r="T73" s="36"/>
      <c r="U73" s="36"/>
      <c r="V73" s="36"/>
      <c r="W73" s="36"/>
      <c r="X73" s="36"/>
      <c r="Y73" s="36"/>
      <c r="Z73" s="36"/>
      <c r="AA73" s="36"/>
      <c r="AB73" s="2"/>
    </row>
    <row r="74" spans="1:28" ht="8.1" customHeight="1" x14ac:dyDescent="0.25">
      <c r="A74" s="149">
        <f>1</f>
        <v>1</v>
      </c>
      <c r="B74" s="131"/>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ht="3.9" customHeight="1" x14ac:dyDescent="0.25">
      <c r="A75" s="149">
        <f>1</f>
        <v>1</v>
      </c>
      <c r="B75" s="131"/>
      <c r="C75" s="2"/>
      <c r="D75" s="2"/>
      <c r="E75" s="2"/>
      <c r="F75" s="2"/>
      <c r="G75" s="2"/>
      <c r="H75" s="2"/>
      <c r="I75" s="28"/>
      <c r="J75" s="2"/>
      <c r="K75" s="28"/>
      <c r="L75" s="2"/>
      <c r="M75" s="52"/>
      <c r="N75" s="2"/>
      <c r="O75" s="2"/>
      <c r="P75" s="36"/>
      <c r="Q75" s="36"/>
      <c r="R75" s="36"/>
      <c r="S75" s="36"/>
      <c r="T75" s="36"/>
      <c r="U75" s="36"/>
      <c r="V75" s="36"/>
      <c r="W75" s="36"/>
      <c r="X75" s="36"/>
      <c r="Y75" s="36"/>
      <c r="Z75" s="36"/>
      <c r="AA75" s="36"/>
      <c r="AB75" s="2"/>
    </row>
    <row r="76" spans="1:28" s="126" customFormat="1" x14ac:dyDescent="0.25">
      <c r="A76" s="149">
        <f>1</f>
        <v>1</v>
      </c>
      <c r="B76" s="132" t="str">
        <f>структура!$J$12</f>
        <v>ОСНО</v>
      </c>
      <c r="C76" s="123"/>
      <c r="D76" s="123"/>
      <c r="E76" s="130" t="str">
        <f>KPI!$E$80</f>
        <v>начисления в соцфонды и НС</v>
      </c>
      <c r="F76" s="130"/>
      <c r="G76" s="130" t="str">
        <f>IF($E76="","",INDEX(KPI!$G:$G,SUMIFS(KPI!$B:$B,KPI!$E:$E,$E76)))</f>
        <v>тыс.руб.</v>
      </c>
      <c r="H76" s="130"/>
      <c r="I76" s="134"/>
      <c r="J76" s="130"/>
      <c r="K76" s="134"/>
      <c r="L76" s="130"/>
      <c r="M76" s="135">
        <f>SUM($O76:$AB76)</f>
        <v>4693.08</v>
      </c>
      <c r="N76" s="123"/>
      <c r="O76" s="123"/>
      <c r="P76" s="136">
        <f>IF(P$1="",0,опер3!P$278)</f>
        <v>670.43999999999994</v>
      </c>
      <c r="Q76" s="136">
        <f>IF(Q$1="",0,опер3!Q$278)</f>
        <v>670.43999999999994</v>
      </c>
      <c r="R76" s="136">
        <f>IF(R$1="",0,опер3!R$278)</f>
        <v>670.43999999999994</v>
      </c>
      <c r="S76" s="136">
        <f>IF(S$1="",0,опер3!S$278)</f>
        <v>670.43999999999994</v>
      </c>
      <c r="T76" s="136">
        <f>IF(T$1="",0,опер3!T$278)</f>
        <v>670.43999999999994</v>
      </c>
      <c r="U76" s="136">
        <f>IF(U$1="",0,опер3!U$278)</f>
        <v>670.43999999999994</v>
      </c>
      <c r="V76" s="136">
        <f>IF(V$1="",0,опер3!V$278)</f>
        <v>670.43999999999994</v>
      </c>
      <c r="W76" s="136">
        <f>IF(W$1="",0,опер3!W$278)</f>
        <v>0</v>
      </c>
      <c r="X76" s="136">
        <f>IF(X$1="",0,опер3!X$278)</f>
        <v>0</v>
      </c>
      <c r="Y76" s="136">
        <f>IF(Y$1="",0,опер3!Y$278)</f>
        <v>0</v>
      </c>
      <c r="Z76" s="136">
        <f>IF(Z$1="",0,опер3!Z$278)</f>
        <v>0</v>
      </c>
      <c r="AA76" s="136">
        <f>IF(AA$1="",0,опер3!AA$278)</f>
        <v>0</v>
      </c>
      <c r="AB76" s="123"/>
    </row>
    <row r="77" spans="1:28" s="126" customFormat="1" ht="3.9" customHeight="1" x14ac:dyDescent="0.25">
      <c r="A77" s="149">
        <f>1</f>
        <v>1</v>
      </c>
      <c r="B77" s="131"/>
      <c r="C77" s="123"/>
      <c r="D77" s="123"/>
      <c r="E77" s="123"/>
      <c r="F77" s="123"/>
      <c r="G77" s="123"/>
      <c r="H77" s="123"/>
      <c r="I77" s="124"/>
      <c r="J77" s="123"/>
      <c r="K77" s="124"/>
      <c r="L77" s="123"/>
      <c r="M77" s="125"/>
      <c r="N77" s="123"/>
      <c r="O77" s="123"/>
      <c r="P77" s="137"/>
      <c r="Q77" s="137"/>
      <c r="R77" s="137"/>
      <c r="S77" s="137"/>
      <c r="T77" s="137"/>
      <c r="U77" s="137"/>
      <c r="V77" s="137"/>
      <c r="W77" s="137"/>
      <c r="X77" s="137"/>
      <c r="Y77" s="137"/>
      <c r="Z77" s="137"/>
      <c r="AA77" s="137"/>
      <c r="AB77" s="123"/>
    </row>
    <row r="78" spans="1:28" s="126" customFormat="1" x14ac:dyDescent="0.25">
      <c r="A78" s="149">
        <f>1</f>
        <v>1</v>
      </c>
      <c r="B78" s="132" t="str">
        <f>структура!$J$13</f>
        <v>УСН(6%)</v>
      </c>
      <c r="C78" s="123"/>
      <c r="D78" s="123"/>
      <c r="E78" s="130" t="str">
        <f>E76</f>
        <v>начисления в соцфонды и НС</v>
      </c>
      <c r="F78" s="130"/>
      <c r="G78" s="130" t="str">
        <f>IF($E78="","",INDEX(KPI!$G:$G,SUMIFS(KPI!$B:$B,KPI!$E:$E,$E78)))</f>
        <v>тыс.руб.</v>
      </c>
      <c r="H78" s="130"/>
      <c r="I78" s="134"/>
      <c r="J78" s="130"/>
      <c r="K78" s="134"/>
      <c r="L78" s="130"/>
      <c r="M78" s="135">
        <f>SUM($O78:$AB78)</f>
        <v>4693.08</v>
      </c>
      <c r="N78" s="123"/>
      <c r="O78" s="123"/>
      <c r="P78" s="136">
        <f>IF(P$1="",0,опер3!P$278)</f>
        <v>670.43999999999994</v>
      </c>
      <c r="Q78" s="136">
        <f>IF(Q$1="",0,опер3!Q$278)</f>
        <v>670.43999999999994</v>
      </c>
      <c r="R78" s="136">
        <f>IF(R$1="",0,опер3!R$278)</f>
        <v>670.43999999999994</v>
      </c>
      <c r="S78" s="136">
        <f>IF(S$1="",0,опер3!S$278)</f>
        <v>670.43999999999994</v>
      </c>
      <c r="T78" s="136">
        <f>IF(T$1="",0,опер3!T$278)</f>
        <v>670.43999999999994</v>
      </c>
      <c r="U78" s="136">
        <f>IF(U$1="",0,опер3!U$278)</f>
        <v>670.43999999999994</v>
      </c>
      <c r="V78" s="136">
        <f>IF(V$1="",0,опер3!V$278)</f>
        <v>670.43999999999994</v>
      </c>
      <c r="W78" s="136">
        <f>IF(W$1="",0,опер3!W$278)</f>
        <v>0</v>
      </c>
      <c r="X78" s="136">
        <f>IF(X$1="",0,опер3!X$278)</f>
        <v>0</v>
      </c>
      <c r="Y78" s="136">
        <f>IF(Y$1="",0,опер3!Y$278)</f>
        <v>0</v>
      </c>
      <c r="Z78" s="136">
        <f>IF(Z$1="",0,опер3!Z$278)</f>
        <v>0</v>
      </c>
      <c r="AA78" s="136">
        <f>IF(AA$1="",0,опер3!AA$278)</f>
        <v>0</v>
      </c>
      <c r="AB78" s="123"/>
    </row>
    <row r="79" spans="1:28" s="126" customFormat="1" ht="3.9" customHeight="1" x14ac:dyDescent="0.25">
      <c r="A79" s="149">
        <f>1</f>
        <v>1</v>
      </c>
      <c r="B79" s="131"/>
      <c r="C79" s="123"/>
      <c r="D79" s="123"/>
      <c r="E79" s="123"/>
      <c r="F79" s="123"/>
      <c r="G79" s="123"/>
      <c r="H79" s="123"/>
      <c r="I79" s="124"/>
      <c r="J79" s="123"/>
      <c r="K79" s="124"/>
      <c r="L79" s="123"/>
      <c r="M79" s="125"/>
      <c r="N79" s="123"/>
      <c r="O79" s="123"/>
      <c r="P79" s="137"/>
      <c r="Q79" s="137"/>
      <c r="R79" s="137"/>
      <c r="S79" s="137"/>
      <c r="T79" s="137"/>
      <c r="U79" s="137"/>
      <c r="V79" s="137"/>
      <c r="W79" s="137"/>
      <c r="X79" s="137"/>
      <c r="Y79" s="137"/>
      <c r="Z79" s="137"/>
      <c r="AA79" s="137"/>
      <c r="AB79" s="123"/>
    </row>
    <row r="80" spans="1:28" s="126" customFormat="1" x14ac:dyDescent="0.25">
      <c r="A80" s="149">
        <f>1</f>
        <v>1</v>
      </c>
      <c r="B80" s="132" t="str">
        <f>структура!$J$14</f>
        <v>УСН(15%)</v>
      </c>
      <c r="C80" s="123"/>
      <c r="D80" s="123"/>
      <c r="E80" s="130" t="str">
        <f>E76</f>
        <v>начисления в соцфонды и НС</v>
      </c>
      <c r="F80" s="130"/>
      <c r="G80" s="130" t="str">
        <f>IF($E80="","",INDEX(KPI!$G:$G,SUMIFS(KPI!$B:$B,KPI!$E:$E,$E80)))</f>
        <v>тыс.руб.</v>
      </c>
      <c r="H80" s="130"/>
      <c r="I80" s="134"/>
      <c r="J80" s="130"/>
      <c r="K80" s="134"/>
      <c r="L80" s="130"/>
      <c r="M80" s="135">
        <f>SUM($O80:$AB80)</f>
        <v>4693.08</v>
      </c>
      <c r="N80" s="123"/>
      <c r="O80" s="123"/>
      <c r="P80" s="136">
        <f>IF(P$1="",0,опер3!P$278)</f>
        <v>670.43999999999994</v>
      </c>
      <c r="Q80" s="136">
        <f>IF(Q$1="",0,опер3!Q$278)</f>
        <v>670.43999999999994</v>
      </c>
      <c r="R80" s="136">
        <f>IF(R$1="",0,опер3!R$278)</f>
        <v>670.43999999999994</v>
      </c>
      <c r="S80" s="136">
        <f>IF(S$1="",0,опер3!S$278)</f>
        <v>670.43999999999994</v>
      </c>
      <c r="T80" s="136">
        <f>IF(T$1="",0,опер3!T$278)</f>
        <v>670.43999999999994</v>
      </c>
      <c r="U80" s="136">
        <f>IF(U$1="",0,опер3!U$278)</f>
        <v>670.43999999999994</v>
      </c>
      <c r="V80" s="136">
        <f>IF(V$1="",0,опер3!V$278)</f>
        <v>670.43999999999994</v>
      </c>
      <c r="W80" s="136">
        <f>IF(W$1="",0,опер3!W$278)</f>
        <v>0</v>
      </c>
      <c r="X80" s="136">
        <f>IF(X$1="",0,опер3!X$278)</f>
        <v>0</v>
      </c>
      <c r="Y80" s="136">
        <f>IF(Y$1="",0,опер3!Y$278)</f>
        <v>0</v>
      </c>
      <c r="Z80" s="136">
        <f>IF(Z$1="",0,опер3!Z$278)</f>
        <v>0</v>
      </c>
      <c r="AA80" s="136">
        <f>IF(AA$1="",0,опер3!AA$278)</f>
        <v>0</v>
      </c>
      <c r="AB80" s="123"/>
    </row>
    <row r="81" spans="1:28" s="126" customFormat="1" ht="3.9" customHeight="1" x14ac:dyDescent="0.25">
      <c r="A81" s="149">
        <f>1</f>
        <v>1</v>
      </c>
      <c r="B81" s="131"/>
      <c r="C81" s="123"/>
      <c r="D81" s="123"/>
      <c r="E81" s="123"/>
      <c r="F81" s="123"/>
      <c r="G81" s="123"/>
      <c r="H81" s="123"/>
      <c r="I81" s="124"/>
      <c r="J81" s="123"/>
      <c r="K81" s="124"/>
      <c r="L81" s="123"/>
      <c r="M81" s="125"/>
      <c r="N81" s="123"/>
      <c r="O81" s="123"/>
      <c r="P81" s="137"/>
      <c r="Q81" s="137"/>
      <c r="R81" s="137"/>
      <c r="S81" s="137"/>
      <c r="T81" s="137"/>
      <c r="U81" s="137"/>
      <c r="V81" s="137"/>
      <c r="W81" s="137"/>
      <c r="X81" s="137"/>
      <c r="Y81" s="137"/>
      <c r="Z81" s="137"/>
      <c r="AA81" s="137"/>
      <c r="AB81" s="123"/>
    </row>
    <row r="82" spans="1:28" s="126" customFormat="1" x14ac:dyDescent="0.25">
      <c r="A82" s="149">
        <f>1</f>
        <v>1</v>
      </c>
      <c r="B82" s="132" t="str">
        <f>структура!$J$15</f>
        <v>УСН(6%)-ИП</v>
      </c>
      <c r="C82" s="123"/>
      <c r="D82" s="123"/>
      <c r="E82" s="130" t="str">
        <f>E76</f>
        <v>начисления в соцфонды и НС</v>
      </c>
      <c r="F82" s="130"/>
      <c r="G82" s="130" t="str">
        <f>IF($E82="","",INDEX(KPI!$G:$G,SUMIFS(KPI!$B:$B,KPI!$E:$E,$E82)))</f>
        <v>тыс.руб.</v>
      </c>
      <c r="H82" s="130"/>
      <c r="I82" s="134"/>
      <c r="J82" s="130"/>
      <c r="K82" s="134"/>
      <c r="L82" s="130"/>
      <c r="M82" s="135">
        <f>SUM($O82:$AB82)</f>
        <v>4693.08</v>
      </c>
      <c r="N82" s="123"/>
      <c r="O82" s="123"/>
      <c r="P82" s="136">
        <f>IF(P$1="",0,опер3!P$278)</f>
        <v>670.43999999999994</v>
      </c>
      <c r="Q82" s="136">
        <f>IF(Q$1="",0,опер3!Q$278)</f>
        <v>670.43999999999994</v>
      </c>
      <c r="R82" s="136">
        <f>IF(R$1="",0,опер3!R$278)</f>
        <v>670.43999999999994</v>
      </c>
      <c r="S82" s="136">
        <f>IF(S$1="",0,опер3!S$278)</f>
        <v>670.43999999999994</v>
      </c>
      <c r="T82" s="136">
        <f>IF(T$1="",0,опер3!T$278)</f>
        <v>670.43999999999994</v>
      </c>
      <c r="U82" s="136">
        <f>IF(U$1="",0,опер3!U$278)</f>
        <v>670.43999999999994</v>
      </c>
      <c r="V82" s="136">
        <f>IF(V$1="",0,опер3!V$278)</f>
        <v>670.43999999999994</v>
      </c>
      <c r="W82" s="136">
        <f>IF(W$1="",0,опер3!W$278)</f>
        <v>0</v>
      </c>
      <c r="X82" s="136">
        <f>IF(X$1="",0,опер3!X$278)</f>
        <v>0</v>
      </c>
      <c r="Y82" s="136">
        <f>IF(Y$1="",0,опер3!Y$278)</f>
        <v>0</v>
      </c>
      <c r="Z82" s="136">
        <f>IF(Z$1="",0,опер3!Z$278)</f>
        <v>0</v>
      </c>
      <c r="AA82" s="136">
        <f>IF(AA$1="",0,опер3!AA$278)</f>
        <v>0</v>
      </c>
      <c r="AB82" s="123"/>
    </row>
    <row r="83" spans="1:28" ht="3.9" customHeight="1" x14ac:dyDescent="0.25">
      <c r="A83" s="149">
        <f>1</f>
        <v>1</v>
      </c>
      <c r="B83" s="131"/>
      <c r="C83" s="2"/>
      <c r="D83" s="2"/>
      <c r="E83" s="2"/>
      <c r="F83" s="2"/>
      <c r="G83" s="2"/>
      <c r="H83" s="2"/>
      <c r="I83" s="28"/>
      <c r="J83" s="2"/>
      <c r="K83" s="28"/>
      <c r="L83" s="2"/>
      <c r="M83" s="52"/>
      <c r="N83" s="2"/>
      <c r="O83" s="2"/>
      <c r="P83" s="36"/>
      <c r="Q83" s="36"/>
      <c r="R83" s="36"/>
      <c r="S83" s="36"/>
      <c r="T83" s="36"/>
      <c r="U83" s="36"/>
      <c r="V83" s="36"/>
      <c r="W83" s="36"/>
      <c r="X83" s="36"/>
      <c r="Y83" s="36"/>
      <c r="Z83" s="36"/>
      <c r="AA83" s="36"/>
      <c r="AB83" s="2"/>
    </row>
    <row r="84" spans="1:28" ht="8.1" customHeight="1" x14ac:dyDescent="0.25">
      <c r="A84" s="149">
        <f>1</f>
        <v>1</v>
      </c>
      <c r="B84" s="131"/>
      <c r="C84" s="2"/>
      <c r="D84" s="2"/>
      <c r="E84" s="2"/>
      <c r="F84" s="2"/>
      <c r="G84" s="2"/>
      <c r="H84" s="2"/>
      <c r="I84" s="28"/>
      <c r="J84" s="2"/>
      <c r="K84" s="28"/>
      <c r="L84" s="2"/>
      <c r="M84" s="52"/>
      <c r="N84" s="2"/>
      <c r="O84" s="2"/>
      <c r="P84" s="36"/>
      <c r="Q84" s="36"/>
      <c r="R84" s="36"/>
      <c r="S84" s="36"/>
      <c r="T84" s="36"/>
      <c r="U84" s="36"/>
      <c r="V84" s="36"/>
      <c r="W84" s="36"/>
      <c r="X84" s="36"/>
      <c r="Y84" s="36"/>
      <c r="Z84" s="36"/>
      <c r="AA84" s="36"/>
      <c r="AB84" s="2"/>
    </row>
    <row r="85" spans="1:28" s="126" customFormat="1" x14ac:dyDescent="0.25">
      <c r="A85" s="149">
        <f>1</f>
        <v>1</v>
      </c>
      <c r="B85" s="132" t="str">
        <f>структура!$J$12</f>
        <v>ОСНО</v>
      </c>
      <c r="C85" s="123"/>
      <c r="D85" s="123"/>
      <c r="E85" s="130" t="str">
        <f>KPI!$E$81</f>
        <v>общехозяйственные расходы</v>
      </c>
      <c r="F85" s="130"/>
      <c r="G85" s="130" t="str">
        <f>IF($E85="","",INDEX(KPI!$G:$G,SUMIFS(KPI!$B:$B,KPI!$E:$E,$E85)))</f>
        <v>тыс.руб.</v>
      </c>
      <c r="H85" s="130"/>
      <c r="I85" s="134"/>
      <c r="J85" s="130" t="str">
        <f>структура!$AL$21</f>
        <v>Без НДС</v>
      </c>
      <c r="K85" s="134"/>
      <c r="L85" s="130"/>
      <c r="M85" s="135">
        <f>SUM($O85:$AB85)</f>
        <v>9154.866762820513</v>
      </c>
      <c r="N85" s="123"/>
      <c r="O85" s="123"/>
      <c r="P85" s="136">
        <f>IF(P$1="",0,IF(1+опер3!P$346=0,0,(опер3!P$311)/(1+опер3!P$346)))</f>
        <v>1146.2531185897433</v>
      </c>
      <c r="Q85" s="136">
        <f>IF(Q$1="",0,IF(1+опер3!Q$346=0,0,(опер3!Q$311)/(1+опер3!Q$346)))</f>
        <v>1183.2043685897436</v>
      </c>
      <c r="R85" s="136">
        <f>IF(R$1="",0,IF(1+опер3!R$346=0,0,(опер3!R$311)/(1+опер3!R$346)))</f>
        <v>1240.6721474358974</v>
      </c>
      <c r="S85" s="136">
        <f>IF(S$1="",0,IF(1+опер3!S$346=0,0,(опер3!S$311)/(1+опер3!S$346)))</f>
        <v>1275.5824935897435</v>
      </c>
      <c r="T85" s="136">
        <f>IF(T$1="",0,IF(1+опер3!T$346=0,0,(опер3!T$311)/(1+опер3!T$346)))</f>
        <v>1331.0093685897434</v>
      </c>
      <c r="U85" s="136">
        <f>IF(U$1="",0,IF(1+опер3!U$346=0,0,(опер3!U$311)/(1+опер3!U$346)))</f>
        <v>1423.3874935897436</v>
      </c>
      <c r="V85" s="136">
        <f>IF(V$1="",0,IF(1+опер3!V$346=0,0,(опер3!V$311)/(1+опер3!V$346)))</f>
        <v>1554.7577724358973</v>
      </c>
      <c r="W85" s="136">
        <f>IF(W$1="",0,IF(1+опер3!W$346=0,0,(опер3!W$311)/(1+опер3!W$346)))</f>
        <v>0</v>
      </c>
      <c r="X85" s="136">
        <f>IF(X$1="",0,IF(1+опер3!X$346=0,0,(опер3!X$311)/(1+опер3!X$346)))</f>
        <v>0</v>
      </c>
      <c r="Y85" s="136">
        <f>IF(Y$1="",0,IF(1+опер3!Y$346=0,0,(опер3!Y$311)/(1+опер3!Y$346)))</f>
        <v>0</v>
      </c>
      <c r="Z85" s="136">
        <f>IF(Z$1="",0,IF(1+опер3!Z$346=0,0,(опер3!Z$311)/(1+опер3!Z$346)))</f>
        <v>0</v>
      </c>
      <c r="AA85" s="136">
        <f>IF(AA$1="",0,IF(1+опер3!AA$346=0,0,(опер3!AA$311)/(1+опер3!AA$346)))</f>
        <v>0</v>
      </c>
      <c r="AB85" s="123"/>
    </row>
    <row r="86" spans="1:28" s="126" customFormat="1" ht="3.9" customHeight="1" x14ac:dyDescent="0.25">
      <c r="A86" s="149">
        <f>1</f>
        <v>1</v>
      </c>
      <c r="B86" s="131"/>
      <c r="C86" s="123"/>
      <c r="D86" s="123"/>
      <c r="E86" s="123"/>
      <c r="F86" s="123"/>
      <c r="G86" s="123"/>
      <c r="H86" s="123"/>
      <c r="I86" s="124"/>
      <c r="J86" s="123"/>
      <c r="K86" s="124"/>
      <c r="L86" s="123"/>
      <c r="M86" s="125"/>
      <c r="N86" s="123"/>
      <c r="O86" s="123"/>
      <c r="P86" s="137"/>
      <c r="Q86" s="137"/>
      <c r="R86" s="137"/>
      <c r="S86" s="137"/>
      <c r="T86" s="137"/>
      <c r="U86" s="137"/>
      <c r="V86" s="137"/>
      <c r="W86" s="137"/>
      <c r="X86" s="137"/>
      <c r="Y86" s="137"/>
      <c r="Z86" s="137"/>
      <c r="AA86" s="137"/>
      <c r="AB86" s="123"/>
    </row>
    <row r="87" spans="1:28" s="126" customFormat="1" x14ac:dyDescent="0.25">
      <c r="A87" s="149">
        <f>1</f>
        <v>1</v>
      </c>
      <c r="B87" s="132" t="str">
        <f>структура!$J$13</f>
        <v>УСН(6%)</v>
      </c>
      <c r="C87" s="123"/>
      <c r="D87" s="123"/>
      <c r="E87" s="130" t="str">
        <f>E85</f>
        <v>общехозяйственные расходы</v>
      </c>
      <c r="F87" s="130"/>
      <c r="G87" s="130" t="str">
        <f>IF($E87="","",INDEX(KPI!$G:$G,SUMIFS(KPI!$B:$B,KPI!$E:$E,$E87)))</f>
        <v>тыс.руб.</v>
      </c>
      <c r="H87" s="130"/>
      <c r="I87" s="134"/>
      <c r="J87" s="130" t="str">
        <f>структура!$AL$21</f>
        <v>Без НДС</v>
      </c>
      <c r="K87" s="134"/>
      <c r="L87" s="130"/>
      <c r="M87" s="135">
        <f>SUM($O87:$AB87)</f>
        <v>9154.866762820513</v>
      </c>
      <c r="N87" s="123"/>
      <c r="O87" s="123"/>
      <c r="P87" s="136">
        <f>IF(P$1="",0,IF(1+опер3!P$346=0,0,(опер3!P$311)/(1+опер3!P$346)))</f>
        <v>1146.2531185897433</v>
      </c>
      <c r="Q87" s="136">
        <f>IF(Q$1="",0,IF(1+опер3!Q$346=0,0,(опер3!Q$311)/(1+опер3!Q$346)))</f>
        <v>1183.2043685897436</v>
      </c>
      <c r="R87" s="136">
        <f>IF(R$1="",0,IF(1+опер3!R$346=0,0,(опер3!R$311)/(1+опер3!R$346)))</f>
        <v>1240.6721474358974</v>
      </c>
      <c r="S87" s="136">
        <f>IF(S$1="",0,IF(1+опер3!S$346=0,0,(опер3!S$311)/(1+опер3!S$346)))</f>
        <v>1275.5824935897435</v>
      </c>
      <c r="T87" s="136">
        <f>IF(T$1="",0,IF(1+опер3!T$346=0,0,(опер3!T$311)/(1+опер3!T$346)))</f>
        <v>1331.0093685897434</v>
      </c>
      <c r="U87" s="136">
        <f>IF(U$1="",0,IF(1+опер3!U$346=0,0,(опер3!U$311)/(1+опер3!U$346)))</f>
        <v>1423.3874935897436</v>
      </c>
      <c r="V87" s="136">
        <f>IF(V$1="",0,IF(1+опер3!V$346=0,0,(опер3!V$311)/(1+опер3!V$346)))</f>
        <v>1554.7577724358973</v>
      </c>
      <c r="W87" s="136">
        <f>IF(W$1="",0,IF(1+опер3!W$346=0,0,(опер3!W$311)/(1+опер3!W$346)))</f>
        <v>0</v>
      </c>
      <c r="X87" s="136">
        <f>IF(X$1="",0,IF(1+опер3!X$346=0,0,(опер3!X$311)/(1+опер3!X$346)))</f>
        <v>0</v>
      </c>
      <c r="Y87" s="136">
        <f>IF(Y$1="",0,IF(1+опер3!Y$346=0,0,(опер3!Y$311)/(1+опер3!Y$346)))</f>
        <v>0</v>
      </c>
      <c r="Z87" s="136">
        <f>IF(Z$1="",0,IF(1+опер3!Z$346=0,0,(опер3!Z$311)/(1+опер3!Z$346)))</f>
        <v>0</v>
      </c>
      <c r="AA87" s="136">
        <f>IF(AA$1="",0,IF(1+опер3!AA$346=0,0,(опер3!AA$311)/(1+опер3!AA$346)))</f>
        <v>0</v>
      </c>
      <c r="AB87" s="123"/>
    </row>
    <row r="88" spans="1:28" s="126" customFormat="1" ht="3.9" customHeight="1" x14ac:dyDescent="0.25">
      <c r="A88" s="149">
        <f>1</f>
        <v>1</v>
      </c>
      <c r="B88" s="131"/>
      <c r="C88" s="123"/>
      <c r="D88" s="123"/>
      <c r="E88" s="123"/>
      <c r="F88" s="123"/>
      <c r="G88" s="123"/>
      <c r="H88" s="123"/>
      <c r="I88" s="124"/>
      <c r="J88" s="123"/>
      <c r="K88" s="124"/>
      <c r="L88" s="123"/>
      <c r="M88" s="125"/>
      <c r="N88" s="123"/>
      <c r="O88" s="123"/>
      <c r="P88" s="137"/>
      <c r="Q88" s="137"/>
      <c r="R88" s="137"/>
      <c r="S88" s="137"/>
      <c r="T88" s="137"/>
      <c r="U88" s="137"/>
      <c r="V88" s="137"/>
      <c r="W88" s="137"/>
      <c r="X88" s="137"/>
      <c r="Y88" s="137"/>
      <c r="Z88" s="137"/>
      <c r="AA88" s="137"/>
      <c r="AB88" s="123"/>
    </row>
    <row r="89" spans="1:28" s="126" customFormat="1" x14ac:dyDescent="0.25">
      <c r="A89" s="149">
        <f>1</f>
        <v>1</v>
      </c>
      <c r="B89" s="132" t="str">
        <f>структура!$J$14</f>
        <v>УСН(15%)</v>
      </c>
      <c r="C89" s="123"/>
      <c r="D89" s="123"/>
      <c r="E89" s="130" t="str">
        <f>E85</f>
        <v>общехозяйственные расходы</v>
      </c>
      <c r="F89" s="130"/>
      <c r="G89" s="130" t="str">
        <f>IF($E89="","",INDEX(KPI!$G:$G,SUMIFS(KPI!$B:$B,KPI!$E:$E,$E89)))</f>
        <v>тыс.руб.</v>
      </c>
      <c r="H89" s="130"/>
      <c r="I89" s="134"/>
      <c r="J89" s="130" t="str">
        <f>структура!$AL$21</f>
        <v>Без НДС</v>
      </c>
      <c r="K89" s="134"/>
      <c r="L89" s="130"/>
      <c r="M89" s="135">
        <f>SUM($O89:$AB89)</f>
        <v>9154.866762820513</v>
      </c>
      <c r="N89" s="123"/>
      <c r="O89" s="123"/>
      <c r="P89" s="136">
        <f>IF(P$1="",0,IF(1+опер3!P$346=0,0,(опер3!P$311)/(1+опер3!P$346)))</f>
        <v>1146.2531185897433</v>
      </c>
      <c r="Q89" s="136">
        <f>IF(Q$1="",0,IF(1+опер3!Q$346=0,0,(опер3!Q$311)/(1+опер3!Q$346)))</f>
        <v>1183.2043685897436</v>
      </c>
      <c r="R89" s="136">
        <f>IF(R$1="",0,IF(1+опер3!R$346=0,0,(опер3!R$311)/(1+опер3!R$346)))</f>
        <v>1240.6721474358974</v>
      </c>
      <c r="S89" s="136">
        <f>IF(S$1="",0,IF(1+опер3!S$346=0,0,(опер3!S$311)/(1+опер3!S$346)))</f>
        <v>1275.5824935897435</v>
      </c>
      <c r="T89" s="136">
        <f>IF(T$1="",0,IF(1+опер3!T$346=0,0,(опер3!T$311)/(1+опер3!T$346)))</f>
        <v>1331.0093685897434</v>
      </c>
      <c r="U89" s="136">
        <f>IF(U$1="",0,IF(1+опер3!U$346=0,0,(опер3!U$311)/(1+опер3!U$346)))</f>
        <v>1423.3874935897436</v>
      </c>
      <c r="V89" s="136">
        <f>IF(V$1="",0,IF(1+опер3!V$346=0,0,(опер3!V$311)/(1+опер3!V$346)))</f>
        <v>1554.7577724358973</v>
      </c>
      <c r="W89" s="136">
        <f>IF(W$1="",0,IF(1+опер3!W$346=0,0,(опер3!W$311)/(1+опер3!W$346)))</f>
        <v>0</v>
      </c>
      <c r="X89" s="136">
        <f>IF(X$1="",0,IF(1+опер3!X$346=0,0,(опер3!X$311)/(1+опер3!X$346)))</f>
        <v>0</v>
      </c>
      <c r="Y89" s="136">
        <f>IF(Y$1="",0,IF(1+опер3!Y$346=0,0,(опер3!Y$311)/(1+опер3!Y$346)))</f>
        <v>0</v>
      </c>
      <c r="Z89" s="136">
        <f>IF(Z$1="",0,IF(1+опер3!Z$346=0,0,(опер3!Z$311)/(1+опер3!Z$346)))</f>
        <v>0</v>
      </c>
      <c r="AA89" s="136">
        <f>IF(AA$1="",0,IF(1+опер3!AA$346=0,0,(опер3!AA$311)/(1+опер3!AA$346)))</f>
        <v>0</v>
      </c>
      <c r="AB89" s="123"/>
    </row>
    <row r="90" spans="1:28" s="126" customFormat="1" ht="3.9" customHeight="1" x14ac:dyDescent="0.25">
      <c r="A90" s="149">
        <f>1</f>
        <v>1</v>
      </c>
      <c r="B90" s="131"/>
      <c r="C90" s="123"/>
      <c r="D90" s="123"/>
      <c r="E90" s="123"/>
      <c r="F90" s="123"/>
      <c r="G90" s="123"/>
      <c r="H90" s="123"/>
      <c r="I90" s="124"/>
      <c r="J90" s="123"/>
      <c r="K90" s="124"/>
      <c r="L90" s="123"/>
      <c r="M90" s="125"/>
      <c r="N90" s="123"/>
      <c r="O90" s="123"/>
      <c r="P90" s="137"/>
      <c r="Q90" s="137"/>
      <c r="R90" s="137"/>
      <c r="S90" s="137"/>
      <c r="T90" s="137"/>
      <c r="U90" s="137"/>
      <c r="V90" s="137"/>
      <c r="W90" s="137"/>
      <c r="X90" s="137"/>
      <c r="Y90" s="137"/>
      <c r="Z90" s="137"/>
      <c r="AA90" s="137"/>
      <c r="AB90" s="123"/>
    </row>
    <row r="91" spans="1:28" s="126" customFormat="1" x14ac:dyDescent="0.25">
      <c r="A91" s="149">
        <f>1</f>
        <v>1</v>
      </c>
      <c r="B91" s="132" t="str">
        <f>структура!$J$15</f>
        <v>УСН(6%)-ИП</v>
      </c>
      <c r="C91" s="123"/>
      <c r="D91" s="123"/>
      <c r="E91" s="130" t="str">
        <f>E85</f>
        <v>общехозяйственные расходы</v>
      </c>
      <c r="F91" s="130"/>
      <c r="G91" s="130" t="str">
        <f>IF($E91="","",INDEX(KPI!$G:$G,SUMIFS(KPI!$B:$B,KPI!$E:$E,$E91)))</f>
        <v>тыс.руб.</v>
      </c>
      <c r="H91" s="130"/>
      <c r="I91" s="134"/>
      <c r="J91" s="130" t="str">
        <f>структура!$AL$21</f>
        <v>Без НДС</v>
      </c>
      <c r="K91" s="134"/>
      <c r="L91" s="130"/>
      <c r="M91" s="135">
        <f>SUM($O91:$AB91)</f>
        <v>9154.866762820513</v>
      </c>
      <c r="N91" s="123"/>
      <c r="O91" s="123"/>
      <c r="P91" s="136">
        <f>IF(P$1="",0,IF(1+опер3!P$346=0,0,(опер3!P$311)/(1+опер3!P$346)))</f>
        <v>1146.2531185897433</v>
      </c>
      <c r="Q91" s="136">
        <f>IF(Q$1="",0,IF(1+опер3!Q$346=0,0,(опер3!Q$311)/(1+опер3!Q$346)))</f>
        <v>1183.2043685897436</v>
      </c>
      <c r="R91" s="136">
        <f>IF(R$1="",0,IF(1+опер3!R$346=0,0,(опер3!R$311)/(1+опер3!R$346)))</f>
        <v>1240.6721474358974</v>
      </c>
      <c r="S91" s="136">
        <f>IF(S$1="",0,IF(1+опер3!S$346=0,0,(опер3!S$311)/(1+опер3!S$346)))</f>
        <v>1275.5824935897435</v>
      </c>
      <c r="T91" s="136">
        <f>IF(T$1="",0,IF(1+опер3!T$346=0,0,(опер3!T$311)/(1+опер3!T$346)))</f>
        <v>1331.0093685897434</v>
      </c>
      <c r="U91" s="136">
        <f>IF(U$1="",0,IF(1+опер3!U$346=0,0,(опер3!U$311)/(1+опер3!U$346)))</f>
        <v>1423.3874935897436</v>
      </c>
      <c r="V91" s="136">
        <f>IF(V$1="",0,IF(1+опер3!V$346=0,0,(опер3!V$311)/(1+опер3!V$346)))</f>
        <v>1554.7577724358973</v>
      </c>
      <c r="W91" s="136">
        <f>IF(W$1="",0,IF(1+опер3!W$346=0,0,(опер3!W$311)/(1+опер3!W$346)))</f>
        <v>0</v>
      </c>
      <c r="X91" s="136">
        <f>IF(X$1="",0,IF(1+опер3!X$346=0,0,(опер3!X$311)/(1+опер3!X$346)))</f>
        <v>0</v>
      </c>
      <c r="Y91" s="136">
        <f>IF(Y$1="",0,IF(1+опер3!Y$346=0,0,(опер3!Y$311)/(1+опер3!Y$346)))</f>
        <v>0</v>
      </c>
      <c r="Z91" s="136">
        <f>IF(Z$1="",0,IF(1+опер3!Z$346=0,0,(опер3!Z$311)/(1+опер3!Z$346)))</f>
        <v>0</v>
      </c>
      <c r="AA91" s="136">
        <f>IF(AA$1="",0,IF(1+опер3!AA$346=0,0,(опер3!AA$311)/(1+опер3!AA$346)))</f>
        <v>0</v>
      </c>
      <c r="AB91" s="123"/>
    </row>
    <row r="92" spans="1:28" ht="3.9" customHeight="1" x14ac:dyDescent="0.25">
      <c r="A92" s="149">
        <f>1</f>
        <v>1</v>
      </c>
      <c r="B92" s="131"/>
      <c r="C92" s="2"/>
      <c r="D92" s="2"/>
      <c r="E92" s="2"/>
      <c r="F92" s="2"/>
      <c r="G92" s="2"/>
      <c r="H92" s="2"/>
      <c r="I92" s="28"/>
      <c r="J92" s="2"/>
      <c r="K92" s="28"/>
      <c r="L92" s="2"/>
      <c r="M92" s="52"/>
      <c r="N92" s="2"/>
      <c r="O92" s="2"/>
      <c r="P92" s="36"/>
      <c r="Q92" s="36"/>
      <c r="R92" s="36"/>
      <c r="S92" s="36"/>
      <c r="T92" s="36"/>
      <c r="U92" s="36"/>
      <c r="V92" s="36"/>
      <c r="W92" s="36"/>
      <c r="X92" s="36"/>
      <c r="Y92" s="36"/>
      <c r="Z92" s="36"/>
      <c r="AA92" s="36"/>
      <c r="AB92" s="2"/>
    </row>
    <row r="93" spans="1:28" ht="8.1" customHeight="1" x14ac:dyDescent="0.25">
      <c r="A93" s="149">
        <f>1</f>
        <v>1</v>
      </c>
      <c r="B93" s="131"/>
      <c r="C93" s="2"/>
      <c r="D93" s="2"/>
      <c r="E93" s="2"/>
      <c r="F93" s="2"/>
      <c r="G93" s="2"/>
      <c r="H93" s="2"/>
      <c r="I93" s="28"/>
      <c r="J93" s="2"/>
      <c r="K93" s="28"/>
      <c r="L93" s="2"/>
      <c r="M93" s="52"/>
      <c r="N93" s="2"/>
      <c r="O93" s="2"/>
      <c r="P93" s="36"/>
      <c r="Q93" s="36"/>
      <c r="R93" s="36"/>
      <c r="S93" s="36"/>
      <c r="T93" s="36"/>
      <c r="U93" s="36"/>
      <c r="V93" s="36"/>
      <c r="W93" s="36"/>
      <c r="X93" s="36"/>
      <c r="Y93" s="36"/>
      <c r="Z93" s="36"/>
      <c r="AA93" s="36"/>
      <c r="AB93" s="2"/>
    </row>
    <row r="94" spans="1:28" ht="3.9" customHeight="1" x14ac:dyDescent="0.25">
      <c r="A94" s="149">
        <f>1</f>
        <v>1</v>
      </c>
      <c r="B94" s="131"/>
      <c r="C94" s="2"/>
      <c r="D94" s="2"/>
      <c r="E94" s="2"/>
      <c r="F94" s="2"/>
      <c r="G94" s="2"/>
      <c r="H94" s="2"/>
      <c r="I94" s="28"/>
      <c r="J94" s="2"/>
      <c r="K94" s="28"/>
      <c r="L94" s="2"/>
      <c r="M94" s="52"/>
      <c r="N94" s="2"/>
      <c r="O94" s="2"/>
      <c r="P94" s="36"/>
      <c r="Q94" s="36"/>
      <c r="R94" s="36"/>
      <c r="S94" s="36"/>
      <c r="T94" s="36"/>
      <c r="U94" s="36"/>
      <c r="V94" s="36"/>
      <c r="W94" s="36"/>
      <c r="X94" s="36"/>
      <c r="Y94" s="36"/>
      <c r="Z94" s="36"/>
      <c r="AA94" s="36"/>
      <c r="AB94" s="2"/>
    </row>
    <row r="95" spans="1:28" s="126" customFormat="1" x14ac:dyDescent="0.25">
      <c r="A95" s="149">
        <f>1</f>
        <v>1</v>
      </c>
      <c r="B95" s="132" t="str">
        <f>структура!$J$12</f>
        <v>ОСНО</v>
      </c>
      <c r="C95" s="123"/>
      <c r="D95" s="123"/>
      <c r="E95" s="130" t="str">
        <f>KPI!$E$82</f>
        <v>непредвиденные расходы</v>
      </c>
      <c r="F95" s="130"/>
      <c r="G95" s="130" t="str">
        <f>IF($E95="","",INDEX(KPI!$G:$G,SUMIFS(KPI!$B:$B,KPI!$E:$E,$E95)))</f>
        <v>тыс.руб.</v>
      </c>
      <c r="H95" s="130"/>
      <c r="I95" s="134"/>
      <c r="J95" s="130" t="str">
        <f>структура!$AL$21</f>
        <v>Без НДС</v>
      </c>
      <c r="K95" s="134"/>
      <c r="L95" s="130"/>
      <c r="M95" s="135">
        <f>SUM($O95:$AB95)</f>
        <v>3923.5143269230766</v>
      </c>
      <c r="N95" s="123"/>
      <c r="O95" s="123"/>
      <c r="P95" s="136">
        <f>IF(P$1="",0,IF(1+опер3!P$346=0,0,(опер3!P$329)/(1+опер3!P$346)))</f>
        <v>491.25133653846149</v>
      </c>
      <c r="Q95" s="136">
        <f>IF(Q$1="",0,IF(1+опер3!Q$346=0,0,(опер3!Q$329)/(1+опер3!Q$346)))</f>
        <v>507.08758653846144</v>
      </c>
      <c r="R95" s="136">
        <f>IF(R$1="",0,IF(1+опер3!R$346=0,0,(опер3!R$329)/(1+опер3!R$346)))</f>
        <v>531.71663461538446</v>
      </c>
      <c r="S95" s="136">
        <f>IF(S$1="",0,IF(1+опер3!S$346=0,0,(опер3!S$329)/(1+опер3!S$346)))</f>
        <v>546.67821153846137</v>
      </c>
      <c r="T95" s="136">
        <f>IF(T$1="",0,IF(1+опер3!T$346=0,0,(опер3!T$329)/(1+опер3!T$346)))</f>
        <v>570.43258653846158</v>
      </c>
      <c r="U95" s="136">
        <f>IF(U$1="",0,IF(1+опер3!U$346=0,0,(опер3!U$329)/(1+опер3!U$346)))</f>
        <v>610.02321153846162</v>
      </c>
      <c r="V95" s="136">
        <f>IF(V$1="",0,IF(1+опер3!V$346=0,0,(опер3!V$329)/(1+опер3!V$346)))</f>
        <v>666.32475961538455</v>
      </c>
      <c r="W95" s="136">
        <f>IF(W$1="",0,IF(1+опер3!W$346=0,0,(опер3!W$329)/(1+опер3!W$346)))</f>
        <v>0</v>
      </c>
      <c r="X95" s="136">
        <f>IF(X$1="",0,IF(1+опер3!X$346=0,0,(опер3!X$329)/(1+опер3!X$346)))</f>
        <v>0</v>
      </c>
      <c r="Y95" s="136">
        <f>IF(Y$1="",0,IF(1+опер3!Y$346=0,0,(опер3!Y$329)/(1+опер3!Y$346)))</f>
        <v>0</v>
      </c>
      <c r="Z95" s="136">
        <f>IF(Z$1="",0,IF(1+опер3!Z$346=0,0,(опер3!Z$329)/(1+опер3!Z$346)))</f>
        <v>0</v>
      </c>
      <c r="AA95" s="136">
        <f>IF(AA$1="",0,IF(1+опер3!AA$346=0,0,(опер3!AA$329)/(1+опер3!AA$346)))</f>
        <v>0</v>
      </c>
      <c r="AB95" s="123"/>
    </row>
    <row r="96" spans="1:28" s="126" customFormat="1" ht="3.9" customHeight="1" x14ac:dyDescent="0.25">
      <c r="A96" s="149">
        <f>1</f>
        <v>1</v>
      </c>
      <c r="B96" s="131"/>
      <c r="C96" s="123"/>
      <c r="D96" s="123"/>
      <c r="E96" s="123"/>
      <c r="F96" s="123"/>
      <c r="G96" s="123"/>
      <c r="H96" s="123"/>
      <c r="I96" s="124"/>
      <c r="J96" s="123"/>
      <c r="K96" s="124"/>
      <c r="L96" s="123"/>
      <c r="M96" s="125"/>
      <c r="N96" s="123"/>
      <c r="O96" s="123"/>
      <c r="P96" s="137"/>
      <c r="Q96" s="137"/>
      <c r="R96" s="137"/>
      <c r="S96" s="137"/>
      <c r="T96" s="137"/>
      <c r="U96" s="137"/>
      <c r="V96" s="137"/>
      <c r="W96" s="137"/>
      <c r="X96" s="137"/>
      <c r="Y96" s="137"/>
      <c r="Z96" s="137"/>
      <c r="AA96" s="137"/>
      <c r="AB96" s="123"/>
    </row>
    <row r="97" spans="1:28" s="126" customFormat="1" x14ac:dyDescent="0.25">
      <c r="A97" s="149">
        <f>1</f>
        <v>1</v>
      </c>
      <c r="B97" s="132" t="str">
        <f>структура!$J$13</f>
        <v>УСН(6%)</v>
      </c>
      <c r="C97" s="123"/>
      <c r="D97" s="123"/>
      <c r="E97" s="130" t="str">
        <f>E95</f>
        <v>непредвиденные расходы</v>
      </c>
      <c r="F97" s="130"/>
      <c r="G97" s="130" t="str">
        <f>IF($E97="","",INDEX(KPI!$G:$G,SUMIFS(KPI!$B:$B,KPI!$E:$E,$E97)))</f>
        <v>тыс.руб.</v>
      </c>
      <c r="H97" s="130"/>
      <c r="I97" s="134"/>
      <c r="J97" s="130" t="str">
        <f>структура!$AL$21</f>
        <v>Без НДС</v>
      </c>
      <c r="K97" s="134"/>
      <c r="L97" s="130"/>
      <c r="M97" s="135">
        <f>SUM($O97:$AB97)</f>
        <v>3923.5143269230766</v>
      </c>
      <c r="N97" s="123"/>
      <c r="O97" s="123"/>
      <c r="P97" s="136">
        <f>IF(P$1="",0,IF(1+опер3!P$346=0,0,(опер3!P$329)/(1+опер3!P$346)))</f>
        <v>491.25133653846149</v>
      </c>
      <c r="Q97" s="136">
        <f>IF(Q$1="",0,IF(1+опер3!Q$346=0,0,(опер3!Q$329)/(1+опер3!Q$346)))</f>
        <v>507.08758653846144</v>
      </c>
      <c r="R97" s="136">
        <f>IF(R$1="",0,IF(1+опер3!R$346=0,0,(опер3!R$329)/(1+опер3!R$346)))</f>
        <v>531.71663461538446</v>
      </c>
      <c r="S97" s="136">
        <f>IF(S$1="",0,IF(1+опер3!S$346=0,0,(опер3!S$329)/(1+опер3!S$346)))</f>
        <v>546.67821153846137</v>
      </c>
      <c r="T97" s="136">
        <f>IF(T$1="",0,IF(1+опер3!T$346=0,0,(опер3!T$329)/(1+опер3!T$346)))</f>
        <v>570.43258653846158</v>
      </c>
      <c r="U97" s="136">
        <f>IF(U$1="",0,IF(1+опер3!U$346=0,0,(опер3!U$329)/(1+опер3!U$346)))</f>
        <v>610.02321153846162</v>
      </c>
      <c r="V97" s="136">
        <f>IF(V$1="",0,IF(1+опер3!V$346=0,0,(опер3!V$329)/(1+опер3!V$346)))</f>
        <v>666.32475961538455</v>
      </c>
      <c r="W97" s="136">
        <f>IF(W$1="",0,IF(1+опер3!W$346=0,0,(опер3!W$329)/(1+опер3!W$346)))</f>
        <v>0</v>
      </c>
      <c r="X97" s="136">
        <f>IF(X$1="",0,IF(1+опер3!X$346=0,0,(опер3!X$329)/(1+опер3!X$346)))</f>
        <v>0</v>
      </c>
      <c r="Y97" s="136">
        <f>IF(Y$1="",0,IF(1+опер3!Y$346=0,0,(опер3!Y$329)/(1+опер3!Y$346)))</f>
        <v>0</v>
      </c>
      <c r="Z97" s="136">
        <f>IF(Z$1="",0,IF(1+опер3!Z$346=0,0,(опер3!Z$329)/(1+опер3!Z$346)))</f>
        <v>0</v>
      </c>
      <c r="AA97" s="136">
        <f>IF(AA$1="",0,IF(1+опер3!AA$346=0,0,(опер3!AA$329)/(1+опер3!AA$346)))</f>
        <v>0</v>
      </c>
      <c r="AB97" s="123"/>
    </row>
    <row r="98" spans="1:28" s="126" customFormat="1" ht="3.9" customHeight="1" x14ac:dyDescent="0.25">
      <c r="A98" s="149">
        <f>1</f>
        <v>1</v>
      </c>
      <c r="B98" s="131"/>
      <c r="C98" s="123"/>
      <c r="D98" s="123"/>
      <c r="E98" s="123"/>
      <c r="F98" s="123"/>
      <c r="G98" s="123"/>
      <c r="H98" s="123"/>
      <c r="I98" s="124"/>
      <c r="J98" s="123"/>
      <c r="K98" s="124"/>
      <c r="L98" s="123"/>
      <c r="M98" s="125"/>
      <c r="N98" s="123"/>
      <c r="O98" s="123"/>
      <c r="P98" s="137"/>
      <c r="Q98" s="137"/>
      <c r="R98" s="137"/>
      <c r="S98" s="137"/>
      <c r="T98" s="137"/>
      <c r="U98" s="137"/>
      <c r="V98" s="137"/>
      <c r="W98" s="137"/>
      <c r="X98" s="137"/>
      <c r="Y98" s="137"/>
      <c r="Z98" s="137"/>
      <c r="AA98" s="137"/>
      <c r="AB98" s="123"/>
    </row>
    <row r="99" spans="1:28" s="126" customFormat="1" x14ac:dyDescent="0.25">
      <c r="A99" s="149">
        <f>1</f>
        <v>1</v>
      </c>
      <c r="B99" s="132" t="str">
        <f>структура!$J$14</f>
        <v>УСН(15%)</v>
      </c>
      <c r="C99" s="123"/>
      <c r="D99" s="123"/>
      <c r="E99" s="130" t="str">
        <f>E95</f>
        <v>непредвиденные расходы</v>
      </c>
      <c r="F99" s="130"/>
      <c r="G99" s="130" t="str">
        <f>IF($E99="","",INDEX(KPI!$G:$G,SUMIFS(KPI!$B:$B,KPI!$E:$E,$E99)))</f>
        <v>тыс.руб.</v>
      </c>
      <c r="H99" s="130"/>
      <c r="I99" s="134"/>
      <c r="J99" s="130" t="str">
        <f>структура!$AL$21</f>
        <v>Без НДС</v>
      </c>
      <c r="K99" s="134"/>
      <c r="L99" s="130"/>
      <c r="M99" s="135">
        <f>SUM($O99:$AB99)</f>
        <v>3923.5143269230766</v>
      </c>
      <c r="N99" s="123"/>
      <c r="O99" s="123"/>
      <c r="P99" s="136">
        <f>IF(P$1="",0,IF(1+опер3!P$346=0,0,(опер3!P$329)/(1+опер3!P$346)))</f>
        <v>491.25133653846149</v>
      </c>
      <c r="Q99" s="136">
        <f>IF(Q$1="",0,IF(1+опер3!Q$346=0,0,(опер3!Q$329)/(1+опер3!Q$346)))</f>
        <v>507.08758653846144</v>
      </c>
      <c r="R99" s="136">
        <f>IF(R$1="",0,IF(1+опер3!R$346=0,0,(опер3!R$329)/(1+опер3!R$346)))</f>
        <v>531.71663461538446</v>
      </c>
      <c r="S99" s="136">
        <f>IF(S$1="",0,IF(1+опер3!S$346=0,0,(опер3!S$329)/(1+опер3!S$346)))</f>
        <v>546.67821153846137</v>
      </c>
      <c r="T99" s="136">
        <f>IF(T$1="",0,IF(1+опер3!T$346=0,0,(опер3!T$329)/(1+опер3!T$346)))</f>
        <v>570.43258653846158</v>
      </c>
      <c r="U99" s="136">
        <f>IF(U$1="",0,IF(1+опер3!U$346=0,0,(опер3!U$329)/(1+опер3!U$346)))</f>
        <v>610.02321153846162</v>
      </c>
      <c r="V99" s="136">
        <f>IF(V$1="",0,IF(1+опер3!V$346=0,0,(опер3!V$329)/(1+опер3!V$346)))</f>
        <v>666.32475961538455</v>
      </c>
      <c r="W99" s="136">
        <f>IF(W$1="",0,IF(1+опер3!W$346=0,0,(опер3!W$329)/(1+опер3!W$346)))</f>
        <v>0</v>
      </c>
      <c r="X99" s="136">
        <f>IF(X$1="",0,IF(1+опер3!X$346=0,0,(опер3!X$329)/(1+опер3!X$346)))</f>
        <v>0</v>
      </c>
      <c r="Y99" s="136">
        <f>IF(Y$1="",0,IF(1+опер3!Y$346=0,0,(опер3!Y$329)/(1+опер3!Y$346)))</f>
        <v>0</v>
      </c>
      <c r="Z99" s="136">
        <f>IF(Z$1="",0,IF(1+опер3!Z$346=0,0,(опер3!Z$329)/(1+опер3!Z$346)))</f>
        <v>0</v>
      </c>
      <c r="AA99" s="136">
        <f>IF(AA$1="",0,IF(1+опер3!AA$346=0,0,(опер3!AA$329)/(1+опер3!AA$346)))</f>
        <v>0</v>
      </c>
      <c r="AB99" s="123"/>
    </row>
    <row r="100" spans="1:28" s="126" customFormat="1" ht="3.9" customHeight="1" x14ac:dyDescent="0.25">
      <c r="A100" s="149">
        <f>1</f>
        <v>1</v>
      </c>
      <c r="B100" s="131"/>
      <c r="C100" s="123"/>
      <c r="D100" s="123"/>
      <c r="E100" s="123"/>
      <c r="F100" s="123"/>
      <c r="G100" s="123"/>
      <c r="H100" s="123"/>
      <c r="I100" s="124"/>
      <c r="J100" s="123"/>
      <c r="K100" s="124"/>
      <c r="L100" s="123"/>
      <c r="M100" s="125"/>
      <c r="N100" s="123"/>
      <c r="O100" s="123"/>
      <c r="P100" s="137"/>
      <c r="Q100" s="137"/>
      <c r="R100" s="137"/>
      <c r="S100" s="137"/>
      <c r="T100" s="137"/>
      <c r="U100" s="137"/>
      <c r="V100" s="137"/>
      <c r="W100" s="137"/>
      <c r="X100" s="137"/>
      <c r="Y100" s="137"/>
      <c r="Z100" s="137"/>
      <c r="AA100" s="137"/>
      <c r="AB100" s="123"/>
    </row>
    <row r="101" spans="1:28" s="126" customFormat="1" x14ac:dyDescent="0.25">
      <c r="A101" s="149">
        <f>1</f>
        <v>1</v>
      </c>
      <c r="B101" s="132" t="str">
        <f>структура!$J$15</f>
        <v>УСН(6%)-ИП</v>
      </c>
      <c r="C101" s="123"/>
      <c r="D101" s="123"/>
      <c r="E101" s="130" t="str">
        <f>E95</f>
        <v>непредвиденные расходы</v>
      </c>
      <c r="F101" s="130"/>
      <c r="G101" s="130" t="str">
        <f>IF($E101="","",INDEX(KPI!$G:$G,SUMIFS(KPI!$B:$B,KPI!$E:$E,$E101)))</f>
        <v>тыс.руб.</v>
      </c>
      <c r="H101" s="130"/>
      <c r="I101" s="134"/>
      <c r="J101" s="130" t="str">
        <f>структура!$AL$21</f>
        <v>Без НДС</v>
      </c>
      <c r="K101" s="134"/>
      <c r="L101" s="130"/>
      <c r="M101" s="135">
        <f>SUM($O101:$AB101)</f>
        <v>3923.5143269230766</v>
      </c>
      <c r="N101" s="123"/>
      <c r="O101" s="123"/>
      <c r="P101" s="136">
        <f>IF(P$1="",0,IF(1+опер3!P$346=0,0,(опер3!P$329)/(1+опер3!P$346)))</f>
        <v>491.25133653846149</v>
      </c>
      <c r="Q101" s="136">
        <f>IF(Q$1="",0,IF(1+опер3!Q$346=0,0,(опер3!Q$329)/(1+опер3!Q$346)))</f>
        <v>507.08758653846144</v>
      </c>
      <c r="R101" s="136">
        <f>IF(R$1="",0,IF(1+опер3!R$346=0,0,(опер3!R$329)/(1+опер3!R$346)))</f>
        <v>531.71663461538446</v>
      </c>
      <c r="S101" s="136">
        <f>IF(S$1="",0,IF(1+опер3!S$346=0,0,(опер3!S$329)/(1+опер3!S$346)))</f>
        <v>546.67821153846137</v>
      </c>
      <c r="T101" s="136">
        <f>IF(T$1="",0,IF(1+опер3!T$346=0,0,(опер3!T$329)/(1+опер3!T$346)))</f>
        <v>570.43258653846158</v>
      </c>
      <c r="U101" s="136">
        <f>IF(U$1="",0,IF(1+опер3!U$346=0,0,(опер3!U$329)/(1+опер3!U$346)))</f>
        <v>610.02321153846162</v>
      </c>
      <c r="V101" s="136">
        <f>IF(V$1="",0,IF(1+опер3!V$346=0,0,(опер3!V$329)/(1+опер3!V$346)))</f>
        <v>666.32475961538455</v>
      </c>
      <c r="W101" s="136">
        <f>IF(W$1="",0,IF(1+опер3!W$346=0,0,(опер3!W$329)/(1+опер3!W$346)))</f>
        <v>0</v>
      </c>
      <c r="X101" s="136">
        <f>IF(X$1="",0,IF(1+опер3!X$346=0,0,(опер3!X$329)/(1+опер3!X$346)))</f>
        <v>0</v>
      </c>
      <c r="Y101" s="136">
        <f>IF(Y$1="",0,IF(1+опер3!Y$346=0,0,(опер3!Y$329)/(1+опер3!Y$346)))</f>
        <v>0</v>
      </c>
      <c r="Z101" s="136">
        <f>IF(Z$1="",0,IF(1+опер3!Z$346=0,0,(опер3!Z$329)/(1+опер3!Z$346)))</f>
        <v>0</v>
      </c>
      <c r="AA101" s="136">
        <f>IF(AA$1="",0,IF(1+опер3!AA$346=0,0,(опер3!AA$329)/(1+опер3!AA$346)))</f>
        <v>0</v>
      </c>
      <c r="AB101" s="123"/>
    </row>
    <row r="102" spans="1:28" ht="3.9" customHeight="1" x14ac:dyDescent="0.25">
      <c r="A102" s="149">
        <f>1</f>
        <v>1</v>
      </c>
      <c r="B102" s="131"/>
      <c r="C102" s="2"/>
      <c r="D102" s="2"/>
      <c r="E102" s="2"/>
      <c r="F102" s="2"/>
      <c r="G102" s="2"/>
      <c r="H102" s="2"/>
      <c r="I102" s="28"/>
      <c r="J102" s="2"/>
      <c r="K102" s="28"/>
      <c r="L102" s="2"/>
      <c r="M102" s="52"/>
      <c r="N102" s="2"/>
      <c r="O102" s="2"/>
      <c r="P102" s="36"/>
      <c r="Q102" s="36"/>
      <c r="R102" s="36"/>
      <c r="S102" s="36"/>
      <c r="T102" s="36"/>
      <c r="U102" s="36"/>
      <c r="V102" s="36"/>
      <c r="W102" s="36"/>
      <c r="X102" s="36"/>
      <c r="Y102" s="36"/>
      <c r="Z102" s="36"/>
      <c r="AA102" s="36"/>
      <c r="AB102" s="2"/>
    </row>
    <row r="103" spans="1:28" ht="8.1" customHeight="1" x14ac:dyDescent="0.25">
      <c r="A103" s="149">
        <f>1</f>
        <v>1</v>
      </c>
      <c r="B103" s="131"/>
      <c r="C103" s="2"/>
      <c r="D103" s="2"/>
      <c r="E103" s="2"/>
      <c r="F103" s="2"/>
      <c r="G103" s="2"/>
      <c r="H103" s="2"/>
      <c r="I103" s="28"/>
      <c r="J103" s="2"/>
      <c r="K103" s="28"/>
      <c r="L103" s="2"/>
      <c r="M103" s="52"/>
      <c r="N103" s="2"/>
      <c r="O103" s="2"/>
      <c r="P103" s="36"/>
      <c r="Q103" s="36"/>
      <c r="R103" s="36"/>
      <c r="S103" s="36"/>
      <c r="T103" s="36"/>
      <c r="U103" s="36"/>
      <c r="V103" s="36"/>
      <c r="W103" s="36"/>
      <c r="X103" s="36"/>
      <c r="Y103" s="36"/>
      <c r="Z103" s="36"/>
      <c r="AA103" s="36"/>
      <c r="AB103" s="2"/>
    </row>
    <row r="104" spans="1:28" ht="3.9" customHeight="1" x14ac:dyDescent="0.25">
      <c r="A104" s="149">
        <f>1</f>
        <v>1</v>
      </c>
      <c r="B104" s="131"/>
      <c r="C104" s="2"/>
      <c r="D104" s="2"/>
      <c r="E104" s="2"/>
      <c r="F104" s="2"/>
      <c r="G104" s="2"/>
      <c r="H104" s="2"/>
      <c r="I104" s="28"/>
      <c r="J104" s="2"/>
      <c r="K104" s="28"/>
      <c r="L104" s="2"/>
      <c r="M104" s="52"/>
      <c r="N104" s="2"/>
      <c r="O104" s="2"/>
      <c r="P104" s="36"/>
      <c r="Q104" s="36"/>
      <c r="R104" s="36"/>
      <c r="S104" s="36"/>
      <c r="T104" s="36"/>
      <c r="U104" s="36"/>
      <c r="V104" s="36"/>
      <c r="W104" s="36"/>
      <c r="X104" s="36"/>
      <c r="Y104" s="36"/>
      <c r="Z104" s="36"/>
      <c r="AA104" s="36"/>
      <c r="AB104" s="2"/>
    </row>
    <row r="105" spans="1:28" s="126" customFormat="1" x14ac:dyDescent="0.25">
      <c r="A105" s="149">
        <f>1</f>
        <v>1</v>
      </c>
      <c r="B105" s="132" t="str">
        <f>структура!$J$12</f>
        <v>ОСНО</v>
      </c>
      <c r="C105" s="123"/>
      <c r="D105" s="123"/>
      <c r="E105" s="130" t="str">
        <f>KPI!$E$83</f>
        <v>расходный НДС</v>
      </c>
      <c r="F105" s="130"/>
      <c r="G105" s="130" t="str">
        <f>IF($E105="","",INDEX(KPI!$G:$G,SUMIFS(KPI!$B:$B,KPI!$E:$E,$E105)))</f>
        <v>тыс.руб.</v>
      </c>
      <c r="H105" s="130"/>
      <c r="I105" s="134"/>
      <c r="J105" s="145" t="str">
        <f>структура!$AL$21</f>
        <v>Без НДС</v>
      </c>
      <c r="K105" s="134"/>
      <c r="L105" s="130"/>
      <c r="M105" s="135">
        <f>SUM($O105:$AB105)</f>
        <v>0</v>
      </c>
      <c r="N105" s="123"/>
      <c r="O105" s="123"/>
      <c r="P105" s="136">
        <f>IF(P$1="",0,0)</f>
        <v>0</v>
      </c>
      <c r="Q105" s="136">
        <f t="shared" ref="Q105:AA105" si="1">IF(Q$1="",0,0)</f>
        <v>0</v>
      </c>
      <c r="R105" s="136">
        <f t="shared" si="1"/>
        <v>0</v>
      </c>
      <c r="S105" s="136">
        <f t="shared" si="1"/>
        <v>0</v>
      </c>
      <c r="T105" s="136">
        <f t="shared" si="1"/>
        <v>0</v>
      </c>
      <c r="U105" s="136">
        <f t="shared" si="1"/>
        <v>0</v>
      </c>
      <c r="V105" s="136">
        <f t="shared" si="1"/>
        <v>0</v>
      </c>
      <c r="W105" s="136">
        <f t="shared" si="1"/>
        <v>0</v>
      </c>
      <c r="X105" s="136">
        <f t="shared" si="1"/>
        <v>0</v>
      </c>
      <c r="Y105" s="136">
        <f t="shared" si="1"/>
        <v>0</v>
      </c>
      <c r="Z105" s="136">
        <f t="shared" si="1"/>
        <v>0</v>
      </c>
      <c r="AA105" s="136">
        <f t="shared" si="1"/>
        <v>0</v>
      </c>
      <c r="AB105" s="123"/>
    </row>
    <row r="106" spans="1:28" s="126" customFormat="1" ht="3.9" customHeight="1" x14ac:dyDescent="0.25">
      <c r="A106" s="149">
        <f>1</f>
        <v>1</v>
      </c>
      <c r="B106" s="131"/>
      <c r="C106" s="123"/>
      <c r="D106" s="123"/>
      <c r="E106" s="123"/>
      <c r="F106" s="123"/>
      <c r="G106" s="123"/>
      <c r="H106" s="123"/>
      <c r="I106" s="124"/>
      <c r="J106" s="123"/>
      <c r="K106" s="124"/>
      <c r="L106" s="123"/>
      <c r="M106" s="125"/>
      <c r="N106" s="123"/>
      <c r="O106" s="123"/>
      <c r="P106" s="137"/>
      <c r="Q106" s="137"/>
      <c r="R106" s="137"/>
      <c r="S106" s="137"/>
      <c r="T106" s="137"/>
      <c r="U106" s="137"/>
      <c r="V106" s="137"/>
      <c r="W106" s="137"/>
      <c r="X106" s="137"/>
      <c r="Y106" s="137"/>
      <c r="Z106" s="137"/>
      <c r="AA106" s="137"/>
      <c r="AB106" s="123"/>
    </row>
    <row r="107" spans="1:28" s="126" customFormat="1" x14ac:dyDescent="0.25">
      <c r="A107" s="149">
        <f>1</f>
        <v>1</v>
      </c>
      <c r="B107" s="132" t="str">
        <f>структура!$J$13</f>
        <v>УСН(6%)</v>
      </c>
      <c r="C107" s="123"/>
      <c r="D107" s="123"/>
      <c r="E107" s="130" t="str">
        <f>E105</f>
        <v>расходный НДС</v>
      </c>
      <c r="F107" s="130"/>
      <c r="G107" s="130" t="str">
        <f>IF($E107="","",INDEX(KPI!$G:$G,SUMIFS(KPI!$B:$B,KPI!$E:$E,$E107)))</f>
        <v>тыс.руб.</v>
      </c>
      <c r="H107" s="130"/>
      <c r="I107" s="134"/>
      <c r="J107" s="145" t="str">
        <f>структура!$AL$21</f>
        <v>Без НДС</v>
      </c>
      <c r="K107" s="134"/>
      <c r="L107" s="130"/>
      <c r="M107" s="135">
        <f>SUM($O107:$AB107)</f>
        <v>6888.3538763971592</v>
      </c>
      <c r="N107" s="123"/>
      <c r="O107" s="123"/>
      <c r="P107" s="136">
        <f>IF(P$1="",0,SUMIFS(P$34:P106,$J$34:$J106,$J107,$B$34:$B106,$B107)*опер3!$P$346)</f>
        <v>970.32804090472223</v>
      </c>
      <c r="Q107" s="136">
        <f>IF(Q$1="",0,SUMIFS(Q$34:Q106,$J$34:$J106,$J107,$B$34:$B106,$B107)*опер3!$P$346)</f>
        <v>986.16429090472229</v>
      </c>
      <c r="R107" s="136">
        <f>IF(R$1="",0,SUMIFS(R$34:R106,$J$34:$J106,$J107,$B$34:$B106,$B107)*опер3!$P$346)</f>
        <v>975.49032334061963</v>
      </c>
      <c r="S107" s="136">
        <f>IF(S$1="",0,SUMIFS(S$34:S106,$J$34:$J106,$J107,$B$34:$B106,$B107)*опер3!$P$346)</f>
        <v>952.86448769959395</v>
      </c>
      <c r="T107" s="136">
        <f>IF(T$1="",0,SUMIFS(T$34:T106,$J$34:$J106,$J107,$B$34:$B106,$B107)*опер3!$P$346)</f>
        <v>973.45161269959408</v>
      </c>
      <c r="U107" s="136">
        <f>IF(U$1="",0,SUMIFS(U$34:U106,$J$34:$J106,$J107,$B$34:$B106,$B107)*опер3!$P$346)</f>
        <v>995.56302346882478</v>
      </c>
      <c r="V107" s="136">
        <f>IF(V$1="",0,SUMIFS(V$34:V106,$J$34:$J106,$J107,$B$34:$B106,$B107)*опер3!$P$346)</f>
        <v>1034.4920973790811</v>
      </c>
      <c r="W107" s="136">
        <f>IF(W$1="",0,SUMIFS(W$34:W106,$J$34:$J106,$J107,$B$34:$B106,$B107)*опер3!$P$346)</f>
        <v>0</v>
      </c>
      <c r="X107" s="136">
        <f>IF(X$1="",0,SUMIFS(X$34:X106,$J$34:$J106,$J107,$B$34:$B106,$B107)*опер3!$P$346)</f>
        <v>0</v>
      </c>
      <c r="Y107" s="136">
        <f>IF(Y$1="",0,SUMIFS(Y$34:Y106,$J$34:$J106,$J107,$B$34:$B106,$B107)*опер3!$P$346)</f>
        <v>0</v>
      </c>
      <c r="Z107" s="136">
        <f>IF(Z$1="",0,SUMIFS(Z$34:Z106,$J$34:$J106,$J107,$B$34:$B106,$B107)*опер3!$P$346)</f>
        <v>0</v>
      </c>
      <c r="AA107" s="136">
        <f>IF(AA$1="",0,SUMIFS(AA$34:AA106,$J$34:$J106,$J107,$B$34:$B106,$B107)*опер3!$P$346)</f>
        <v>0</v>
      </c>
      <c r="AB107" s="123"/>
    </row>
    <row r="108" spans="1:28" s="126" customFormat="1" ht="3.9" customHeight="1" x14ac:dyDescent="0.25">
      <c r="A108" s="149">
        <f>1</f>
        <v>1</v>
      </c>
      <c r="B108" s="131"/>
      <c r="C108" s="123"/>
      <c r="D108" s="123"/>
      <c r="E108" s="123"/>
      <c r="F108" s="123"/>
      <c r="G108" s="123"/>
      <c r="H108" s="123"/>
      <c r="I108" s="124"/>
      <c r="J108" s="123"/>
      <c r="K108" s="124"/>
      <c r="L108" s="123"/>
      <c r="M108" s="125"/>
      <c r="N108" s="123"/>
      <c r="O108" s="123"/>
      <c r="P108" s="137"/>
      <c r="Q108" s="137"/>
      <c r="R108" s="137"/>
      <c r="S108" s="137"/>
      <c r="T108" s="137"/>
      <c r="U108" s="137"/>
      <c r="V108" s="137"/>
      <c r="W108" s="137"/>
      <c r="X108" s="137"/>
      <c r="Y108" s="137"/>
      <c r="Z108" s="137"/>
      <c r="AA108" s="137"/>
      <c r="AB108" s="123"/>
    </row>
    <row r="109" spans="1:28" s="126" customFormat="1" x14ac:dyDescent="0.25">
      <c r="A109" s="149">
        <f>1</f>
        <v>1</v>
      </c>
      <c r="B109" s="132" t="str">
        <f>структура!$J$14</f>
        <v>УСН(15%)</v>
      </c>
      <c r="C109" s="123"/>
      <c r="D109" s="123"/>
      <c r="E109" s="130" t="str">
        <f>E105</f>
        <v>расходный НДС</v>
      </c>
      <c r="F109" s="130"/>
      <c r="G109" s="130" t="str">
        <f>IF($E109="","",INDEX(KPI!$G:$G,SUMIFS(KPI!$B:$B,KPI!$E:$E,$E109)))</f>
        <v>тыс.руб.</v>
      </c>
      <c r="H109" s="130"/>
      <c r="I109" s="134"/>
      <c r="J109" s="145" t="str">
        <f>структура!$AL$21</f>
        <v>Без НДС</v>
      </c>
      <c r="K109" s="134"/>
      <c r="L109" s="130"/>
      <c r="M109" s="135">
        <f>SUM($O109:$AB109)</f>
        <v>6888.3538763971592</v>
      </c>
      <c r="N109" s="123"/>
      <c r="O109" s="123"/>
      <c r="P109" s="136">
        <f>IF(P$1="",0,SUMIFS(P$34:P108,$J$34:$J108,$J109,$B$34:$B108,$B109)*опер3!$P$346)</f>
        <v>970.32804090472223</v>
      </c>
      <c r="Q109" s="136">
        <f>IF(Q$1="",0,SUMIFS(Q$34:Q108,$J$34:$J108,$J109,$B$34:$B108,$B109)*опер3!$P$346)</f>
        <v>986.16429090472229</v>
      </c>
      <c r="R109" s="136">
        <f>IF(R$1="",0,SUMIFS(R$34:R108,$J$34:$J108,$J109,$B$34:$B108,$B109)*опер3!$P$346)</f>
        <v>975.49032334061963</v>
      </c>
      <c r="S109" s="136">
        <f>IF(S$1="",0,SUMIFS(S$34:S108,$J$34:$J108,$J109,$B$34:$B108,$B109)*опер3!$P$346)</f>
        <v>952.86448769959395</v>
      </c>
      <c r="T109" s="136">
        <f>IF(T$1="",0,SUMIFS(T$34:T108,$J$34:$J108,$J109,$B$34:$B108,$B109)*опер3!$P$346)</f>
        <v>973.45161269959408</v>
      </c>
      <c r="U109" s="136">
        <f>IF(U$1="",0,SUMIFS(U$34:U108,$J$34:$J108,$J109,$B$34:$B108,$B109)*опер3!$P$346)</f>
        <v>995.56302346882478</v>
      </c>
      <c r="V109" s="136">
        <f>IF(V$1="",0,SUMIFS(V$34:V108,$J$34:$J108,$J109,$B$34:$B108,$B109)*опер3!$P$346)</f>
        <v>1034.4920973790811</v>
      </c>
      <c r="W109" s="136">
        <f>IF(W$1="",0,SUMIFS(W$34:W108,$J$34:$J108,$J109,$B$34:$B108,$B109)*опер3!$P$346)</f>
        <v>0</v>
      </c>
      <c r="X109" s="136">
        <f>IF(X$1="",0,SUMIFS(X$34:X108,$J$34:$J108,$J109,$B$34:$B108,$B109)*опер3!$P$346)</f>
        <v>0</v>
      </c>
      <c r="Y109" s="136">
        <f>IF(Y$1="",0,SUMIFS(Y$34:Y108,$J$34:$J108,$J109,$B$34:$B108,$B109)*опер3!$P$346)</f>
        <v>0</v>
      </c>
      <c r="Z109" s="136">
        <f>IF(Z$1="",0,SUMIFS(Z$34:Z108,$J$34:$J108,$J109,$B$34:$B108,$B109)*опер3!$P$346)</f>
        <v>0</v>
      </c>
      <c r="AA109" s="136">
        <f>IF(AA$1="",0,SUMIFS(AA$34:AA108,$J$34:$J108,$J109,$B$34:$B108,$B109)*опер3!$P$346)</f>
        <v>0</v>
      </c>
      <c r="AB109" s="123"/>
    </row>
    <row r="110" spans="1:28" s="126" customFormat="1" ht="3.9" customHeight="1" x14ac:dyDescent="0.25">
      <c r="A110" s="149">
        <f>1</f>
        <v>1</v>
      </c>
      <c r="B110" s="131"/>
      <c r="C110" s="123"/>
      <c r="D110" s="123"/>
      <c r="E110" s="123"/>
      <c r="F110" s="123"/>
      <c r="G110" s="123"/>
      <c r="H110" s="123"/>
      <c r="I110" s="124"/>
      <c r="J110" s="123"/>
      <c r="K110" s="124"/>
      <c r="L110" s="123"/>
      <c r="M110" s="125"/>
      <c r="N110" s="123"/>
      <c r="O110" s="123"/>
      <c r="P110" s="137"/>
      <c r="Q110" s="137"/>
      <c r="R110" s="137"/>
      <c r="S110" s="137"/>
      <c r="T110" s="137"/>
      <c r="U110" s="137"/>
      <c r="V110" s="137"/>
      <c r="W110" s="137"/>
      <c r="X110" s="137"/>
      <c r="Y110" s="137"/>
      <c r="Z110" s="137"/>
      <c r="AA110" s="137"/>
      <c r="AB110" s="123"/>
    </row>
    <row r="111" spans="1:28" s="126" customFormat="1" x14ac:dyDescent="0.25">
      <c r="A111" s="149">
        <f>1</f>
        <v>1</v>
      </c>
      <c r="B111" s="132" t="str">
        <f>структура!$J$15</f>
        <v>УСН(6%)-ИП</v>
      </c>
      <c r="C111" s="123"/>
      <c r="D111" s="123"/>
      <c r="E111" s="130" t="str">
        <f>E105</f>
        <v>расходный НДС</v>
      </c>
      <c r="F111" s="130"/>
      <c r="G111" s="130" t="str">
        <f>IF($E111="","",INDEX(KPI!$G:$G,SUMIFS(KPI!$B:$B,KPI!$E:$E,$E111)))</f>
        <v>тыс.руб.</v>
      </c>
      <c r="H111" s="130"/>
      <c r="I111" s="134"/>
      <c r="J111" s="145" t="str">
        <f>структура!$AL$21</f>
        <v>Без НДС</v>
      </c>
      <c r="K111" s="134"/>
      <c r="L111" s="130"/>
      <c r="M111" s="135">
        <f>SUM($O111:$AB111)</f>
        <v>6888.3538763971592</v>
      </c>
      <c r="N111" s="123"/>
      <c r="O111" s="123"/>
      <c r="P111" s="136">
        <f>IF(P$1="",0,SUMIFS(P$34:P110,$J$34:$J110,$J111,$B$34:$B110,$B111)*опер3!$P$346)</f>
        <v>970.32804090472223</v>
      </c>
      <c r="Q111" s="136">
        <f>IF(Q$1="",0,SUMIFS(Q$34:Q110,$J$34:$J110,$J111,$B$34:$B110,$B111)*опер3!$P$346)</f>
        <v>986.16429090472229</v>
      </c>
      <c r="R111" s="136">
        <f>IF(R$1="",0,SUMIFS(R$34:R110,$J$34:$J110,$J111,$B$34:$B110,$B111)*опер3!$P$346)</f>
        <v>975.49032334061963</v>
      </c>
      <c r="S111" s="136">
        <f>IF(S$1="",0,SUMIFS(S$34:S110,$J$34:$J110,$J111,$B$34:$B110,$B111)*опер3!$P$346)</f>
        <v>952.86448769959395</v>
      </c>
      <c r="T111" s="136">
        <f>IF(T$1="",0,SUMIFS(T$34:T110,$J$34:$J110,$J111,$B$34:$B110,$B111)*опер3!$P$346)</f>
        <v>973.45161269959408</v>
      </c>
      <c r="U111" s="136">
        <f>IF(U$1="",0,SUMIFS(U$34:U110,$J$34:$J110,$J111,$B$34:$B110,$B111)*опер3!$P$346)</f>
        <v>995.56302346882478</v>
      </c>
      <c r="V111" s="136">
        <f>IF(V$1="",0,SUMIFS(V$34:V110,$J$34:$J110,$J111,$B$34:$B110,$B111)*опер3!$P$346)</f>
        <v>1034.4920973790811</v>
      </c>
      <c r="W111" s="136">
        <f>IF(W$1="",0,SUMIFS(W$34:W110,$J$34:$J110,$J111,$B$34:$B110,$B111)*опер3!$P$346)</f>
        <v>0</v>
      </c>
      <c r="X111" s="136">
        <f>IF(X$1="",0,SUMIFS(X$34:X110,$J$34:$J110,$J111,$B$34:$B110,$B111)*опер3!$P$346)</f>
        <v>0</v>
      </c>
      <c r="Y111" s="136">
        <f>IF(Y$1="",0,SUMIFS(Y$34:Y110,$J$34:$J110,$J111,$B$34:$B110,$B111)*опер3!$P$346)</f>
        <v>0</v>
      </c>
      <c r="Z111" s="136">
        <f>IF(Z$1="",0,SUMIFS(Z$34:Z110,$J$34:$J110,$J111,$B$34:$B110,$B111)*опер3!$P$346)</f>
        <v>0</v>
      </c>
      <c r="AA111" s="136">
        <f>IF(AA$1="",0,SUMIFS(AA$34:AA110,$J$34:$J110,$J111,$B$34:$B110,$B111)*опер3!$P$346)</f>
        <v>0</v>
      </c>
      <c r="AB111" s="123"/>
    </row>
    <row r="112" spans="1:28" ht="3.9" customHeight="1" x14ac:dyDescent="0.25">
      <c r="A112" s="149">
        <f>1</f>
        <v>1</v>
      </c>
      <c r="B112" s="131"/>
      <c r="C112" s="2"/>
      <c r="D112" s="2"/>
      <c r="E112" s="2"/>
      <c r="F112" s="2"/>
      <c r="G112" s="2"/>
      <c r="H112" s="2"/>
      <c r="I112" s="28"/>
      <c r="J112" s="2"/>
      <c r="K112" s="28"/>
      <c r="L112" s="2"/>
      <c r="M112" s="52"/>
      <c r="N112" s="2"/>
      <c r="O112" s="2"/>
      <c r="P112" s="36"/>
      <c r="Q112" s="36"/>
      <c r="R112" s="36"/>
      <c r="S112" s="36"/>
      <c r="T112" s="36"/>
      <c r="U112" s="36"/>
      <c r="V112" s="36"/>
      <c r="W112" s="36"/>
      <c r="X112" s="36"/>
      <c r="Y112" s="36"/>
      <c r="Z112" s="36"/>
      <c r="AA112" s="36"/>
      <c r="AB112" s="2"/>
    </row>
    <row r="113" spans="1:28" ht="8.1" customHeight="1" x14ac:dyDescent="0.25">
      <c r="A113" s="149">
        <f>1</f>
        <v>1</v>
      </c>
      <c r="B113" s="131"/>
      <c r="C113" s="2"/>
      <c r="D113" s="2"/>
      <c r="E113" s="2"/>
      <c r="F113" s="2"/>
      <c r="G113" s="2"/>
      <c r="H113" s="2"/>
      <c r="I113" s="28"/>
      <c r="J113" s="2"/>
      <c r="K113" s="28"/>
      <c r="L113" s="2"/>
      <c r="M113" s="52"/>
      <c r="N113" s="2"/>
      <c r="O113" s="2"/>
      <c r="P113" s="36"/>
      <c r="Q113" s="36"/>
      <c r="R113" s="36"/>
      <c r="S113" s="36"/>
      <c r="T113" s="36"/>
      <c r="U113" s="36"/>
      <c r="V113" s="36"/>
      <c r="W113" s="36"/>
      <c r="X113" s="36"/>
      <c r="Y113" s="36"/>
      <c r="Z113" s="36"/>
      <c r="AA113" s="36"/>
      <c r="AB113" s="2"/>
    </row>
    <row r="114" spans="1:28" ht="3.9" customHeight="1" x14ac:dyDescent="0.25">
      <c r="A114" s="149">
        <f>1</f>
        <v>1</v>
      </c>
      <c r="B114" s="131"/>
      <c r="C114" s="2"/>
      <c r="D114" s="2"/>
      <c r="E114" s="118"/>
      <c r="F114" s="2"/>
      <c r="G114" s="118"/>
      <c r="H114" s="2"/>
      <c r="I114" s="28"/>
      <c r="J114" s="2"/>
      <c r="K114" s="28"/>
      <c r="L114" s="2"/>
      <c r="M114" s="139"/>
      <c r="N114" s="2"/>
      <c r="O114" s="2"/>
      <c r="P114" s="36"/>
      <c r="Q114" s="36"/>
      <c r="R114" s="36"/>
      <c r="S114" s="36"/>
      <c r="T114" s="36"/>
      <c r="U114" s="36"/>
      <c r="V114" s="36"/>
      <c r="W114" s="36"/>
      <c r="X114" s="36"/>
      <c r="Y114" s="36"/>
      <c r="Z114" s="36"/>
      <c r="AA114" s="36"/>
      <c r="AB114" s="2"/>
    </row>
    <row r="115" spans="1:28" ht="8.1" customHeight="1" x14ac:dyDescent="0.25">
      <c r="A115" s="149">
        <f>1</f>
        <v>1</v>
      </c>
      <c r="B115" s="131"/>
      <c r="C115" s="2"/>
      <c r="D115" s="2"/>
      <c r="E115" s="2"/>
      <c r="F115" s="2"/>
      <c r="G115" s="2"/>
      <c r="H115" s="2"/>
      <c r="I115" s="28"/>
      <c r="J115" s="2"/>
      <c r="K115" s="28"/>
      <c r="L115" s="2"/>
      <c r="M115" s="52"/>
      <c r="N115" s="2"/>
      <c r="O115" s="2"/>
      <c r="P115" s="36"/>
      <c r="Q115" s="36"/>
      <c r="R115" s="36"/>
      <c r="S115" s="36"/>
      <c r="T115" s="36"/>
      <c r="U115" s="36"/>
      <c r="V115" s="36"/>
      <c r="W115" s="36"/>
      <c r="X115" s="36"/>
      <c r="Y115" s="36"/>
      <c r="Z115" s="36"/>
      <c r="AA115" s="36"/>
      <c r="AB115" s="2"/>
    </row>
    <row r="116" spans="1:28" ht="3.9" customHeight="1" x14ac:dyDescent="0.25">
      <c r="A116" s="149">
        <f>1</f>
        <v>1</v>
      </c>
      <c r="B116" s="131"/>
      <c r="C116" s="2"/>
      <c r="D116" s="2"/>
      <c r="E116" s="2"/>
      <c r="F116" s="2"/>
      <c r="G116" s="2"/>
      <c r="H116" s="2"/>
      <c r="I116" s="28"/>
      <c r="J116" s="2"/>
      <c r="K116" s="28"/>
      <c r="L116" s="2"/>
      <c r="M116" s="52"/>
      <c r="N116" s="2"/>
      <c r="O116" s="2"/>
      <c r="P116" s="36"/>
      <c r="Q116" s="36"/>
      <c r="R116" s="36"/>
      <c r="S116" s="36"/>
      <c r="T116" s="36"/>
      <c r="U116" s="36"/>
      <c r="V116" s="36"/>
      <c r="W116" s="36"/>
      <c r="X116" s="36"/>
      <c r="Y116" s="36"/>
      <c r="Z116" s="36"/>
      <c r="AA116" s="36"/>
      <c r="AB116" s="2"/>
    </row>
    <row r="117" spans="1:28" s="5" customFormat="1" x14ac:dyDescent="0.25">
      <c r="A117" s="150">
        <f>1</f>
        <v>1</v>
      </c>
      <c r="B117" s="129" t="str">
        <f>структура!$J$12</f>
        <v>ОСНО</v>
      </c>
      <c r="C117" s="3"/>
      <c r="D117" s="3"/>
      <c r="E117" s="89" t="str">
        <f>KPI!$E$84</f>
        <v>амортизация кап/затрат</v>
      </c>
      <c r="F117" s="89"/>
      <c r="G117" s="89" t="str">
        <f>IF($E117="","",INDEX(KPI!$G:$G,SUMIFS(KPI!$B:$B,KPI!$E:$E,$E117)))</f>
        <v>тыс.руб.</v>
      </c>
      <c r="H117" s="89"/>
      <c r="I117" s="90"/>
      <c r="J117" s="89" t="str">
        <f>структура!$AL$21</f>
        <v>Без НДС</v>
      </c>
      <c r="K117" s="90"/>
      <c r="L117" s="89"/>
      <c r="M117" s="92">
        <f>SUM($O117:$AB117)</f>
        <v>13208.645700000005</v>
      </c>
      <c r="N117" s="3"/>
      <c r="O117" s="3"/>
      <c r="P117" s="93">
        <f>IF(P$1="",0,IF(1+опер3!P$346=0,0,(опер3!P$374+опер3!P$389)/(1+опер3!P$346)))</f>
        <v>1928.8541476190483</v>
      </c>
      <c r="Q117" s="93">
        <f>IF(Q$1="",0,IF(1+опер3!Q$346=0,0,(опер3!Q$374+опер3!Q$389)/(1+опер3!Q$346)))</f>
        <v>1928.8541476190483</v>
      </c>
      <c r="R117" s="93">
        <f>IF(R$1="",0,IF(1+опер3!R$346=0,0,(опер3!R$374+опер3!R$389)/(1+опер3!R$346)))</f>
        <v>1928.8541476190483</v>
      </c>
      <c r="S117" s="93">
        <f>IF(S$1="",0,IF(1+опер3!S$346=0,0,(опер3!S$374+опер3!S$389)/(1+опер3!S$346)))</f>
        <v>1928.8541476190483</v>
      </c>
      <c r="T117" s="93">
        <f>IF(T$1="",0,IF(1+опер3!T$346=0,0,(опер3!T$374+опер3!T$389)/(1+опер3!T$346)))</f>
        <v>1928.8541476190483</v>
      </c>
      <c r="U117" s="93">
        <f>IF(U$1="",0,IF(1+опер3!U$346=0,0,(опер3!U$374+опер3!U$389)/(1+опер3!U$346)))</f>
        <v>1782.1874809523817</v>
      </c>
      <c r="V117" s="93">
        <f>IF(V$1="",0,IF(1+опер3!V$346=0,0,(опер3!V$374+опер3!V$389)/(1+опер3!V$346)))</f>
        <v>1782.1874809523817</v>
      </c>
      <c r="W117" s="93">
        <f>IF(W$1="",0,IF(1+опер3!W$346=0,0,(опер3!W$374+опер3!W$389)/(1+опер3!W$346)))</f>
        <v>0</v>
      </c>
      <c r="X117" s="93">
        <f>IF(X$1="",0,IF(1+опер3!X$346=0,0,(опер3!X$374+опер3!X$389)/(1+опер3!X$346)))</f>
        <v>0</v>
      </c>
      <c r="Y117" s="93">
        <f>IF(Y$1="",0,IF(1+опер3!Y$346=0,0,(опер3!Y$374+опер3!Y$389)/(1+опер3!Y$346)))</f>
        <v>0</v>
      </c>
      <c r="Z117" s="93">
        <f>IF(Z$1="",0,IF(1+опер3!Z$346=0,0,(опер3!Z$374+опер3!Z$389)/(1+опер3!Z$346)))</f>
        <v>0</v>
      </c>
      <c r="AA117" s="93">
        <f>IF(AA$1="",0,IF(1+опер3!AA$346=0,0,(опер3!AA$374+опер3!AA$389)/(1+опер3!AA$346)))</f>
        <v>0</v>
      </c>
      <c r="AB117" s="3"/>
    </row>
    <row r="118" spans="1:28" s="5" customFormat="1" ht="3.9" customHeight="1" x14ac:dyDescent="0.25">
      <c r="A118" s="150">
        <f>1</f>
        <v>1</v>
      </c>
      <c r="B118" s="128"/>
      <c r="C118" s="3"/>
      <c r="D118" s="3"/>
      <c r="E118" s="3"/>
      <c r="F118" s="3"/>
      <c r="G118" s="3"/>
      <c r="H118" s="3"/>
      <c r="I118" s="28"/>
      <c r="J118" s="3"/>
      <c r="K118" s="28"/>
      <c r="L118" s="3"/>
      <c r="M118" s="55"/>
      <c r="N118" s="3"/>
      <c r="O118" s="3"/>
      <c r="P118" s="46"/>
      <c r="Q118" s="46"/>
      <c r="R118" s="46"/>
      <c r="S118" s="46"/>
      <c r="T118" s="46"/>
      <c r="U118" s="46"/>
      <c r="V118" s="46"/>
      <c r="W118" s="46"/>
      <c r="X118" s="46"/>
      <c r="Y118" s="46"/>
      <c r="Z118" s="46"/>
      <c r="AA118" s="46"/>
      <c r="AB118" s="3"/>
    </row>
    <row r="119" spans="1:28" s="5" customFormat="1" x14ac:dyDescent="0.25">
      <c r="A119" s="150">
        <f>1</f>
        <v>1</v>
      </c>
      <c r="B119" s="129" t="str">
        <f>структура!$J$13</f>
        <v>УСН(6%)</v>
      </c>
      <c r="C119" s="3"/>
      <c r="D119" s="3"/>
      <c r="E119" s="89" t="str">
        <f>E117</f>
        <v>амортизация кап/затрат</v>
      </c>
      <c r="F119" s="89"/>
      <c r="G119" s="89" t="str">
        <f>IF($E119="","",INDEX(KPI!$G:$G,SUMIFS(KPI!$B:$B,KPI!$E:$E,$E119)))</f>
        <v>тыс.руб.</v>
      </c>
      <c r="H119" s="89"/>
      <c r="I119" s="90"/>
      <c r="J119" s="89"/>
      <c r="K119" s="90"/>
      <c r="L119" s="89"/>
      <c r="M119" s="92">
        <f>SUM($O119:$AB119)</f>
        <v>15850.374840000004</v>
      </c>
      <c r="N119" s="3"/>
      <c r="O119" s="3"/>
      <c r="P119" s="93">
        <f>IF(P$1="",0,опер3!P$374+опер3!P$389)</f>
        <v>2314.6249771428579</v>
      </c>
      <c r="Q119" s="93">
        <f>IF(Q$1="",0,опер3!Q$374+опер3!Q$389)</f>
        <v>2314.6249771428579</v>
      </c>
      <c r="R119" s="93">
        <f>IF(R$1="",0,опер3!R$374+опер3!R$389)</f>
        <v>2314.6249771428579</v>
      </c>
      <c r="S119" s="93">
        <f>IF(S$1="",0,опер3!S$374+опер3!S$389)</f>
        <v>2314.6249771428579</v>
      </c>
      <c r="T119" s="93">
        <f>IF(T$1="",0,опер3!T$374+опер3!T$389)</f>
        <v>2314.6249771428579</v>
      </c>
      <c r="U119" s="93">
        <f>IF(U$1="",0,опер3!U$374+опер3!U$389)</f>
        <v>2138.6249771428579</v>
      </c>
      <c r="V119" s="93">
        <f>IF(V$1="",0,опер3!V$374+опер3!V$389)</f>
        <v>2138.6249771428579</v>
      </c>
      <c r="W119" s="93">
        <f>IF(W$1="",0,опер3!W$374+опер3!W$389)</f>
        <v>0</v>
      </c>
      <c r="X119" s="93">
        <f>IF(X$1="",0,опер3!X$374+опер3!X$389)</f>
        <v>0</v>
      </c>
      <c r="Y119" s="93">
        <f>IF(Y$1="",0,опер3!Y$374+опер3!Y$389)</f>
        <v>0</v>
      </c>
      <c r="Z119" s="93">
        <f>IF(Z$1="",0,опер3!Z$374+опер3!Z$389)</f>
        <v>0</v>
      </c>
      <c r="AA119" s="93">
        <f>IF(AA$1="",0,опер3!AA$374+опер3!AA$389)</f>
        <v>0</v>
      </c>
      <c r="AB119" s="3"/>
    </row>
    <row r="120" spans="1:28" s="5" customFormat="1" ht="3.9" customHeight="1" x14ac:dyDescent="0.25">
      <c r="A120" s="150">
        <f>1</f>
        <v>1</v>
      </c>
      <c r="B120" s="128"/>
      <c r="C120" s="3"/>
      <c r="D120" s="3"/>
      <c r="E120" s="3"/>
      <c r="F120" s="3"/>
      <c r="G120" s="3"/>
      <c r="H120" s="3"/>
      <c r="I120" s="28"/>
      <c r="J120" s="3"/>
      <c r="K120" s="28"/>
      <c r="L120" s="3"/>
      <c r="M120" s="55"/>
      <c r="N120" s="3"/>
      <c r="O120" s="3"/>
      <c r="P120" s="46"/>
      <c r="Q120" s="46"/>
      <c r="R120" s="46"/>
      <c r="S120" s="46"/>
      <c r="T120" s="46"/>
      <c r="U120" s="46"/>
      <c r="V120" s="46"/>
      <c r="W120" s="46"/>
      <c r="X120" s="46"/>
      <c r="Y120" s="46"/>
      <c r="Z120" s="46"/>
      <c r="AA120" s="46"/>
      <c r="AB120" s="3"/>
    </row>
    <row r="121" spans="1:28" s="5" customFormat="1" x14ac:dyDescent="0.25">
      <c r="A121" s="150">
        <f>1</f>
        <v>1</v>
      </c>
      <c r="B121" s="129" t="str">
        <f>структура!$J$14</f>
        <v>УСН(15%)</v>
      </c>
      <c r="C121" s="3"/>
      <c r="D121" s="3"/>
      <c r="E121" s="89" t="str">
        <f>E117</f>
        <v>амортизация кап/затрат</v>
      </c>
      <c r="F121" s="89"/>
      <c r="G121" s="89" t="str">
        <f>IF($E121="","",INDEX(KPI!$G:$G,SUMIFS(KPI!$B:$B,KPI!$E:$E,$E121)))</f>
        <v>тыс.руб.</v>
      </c>
      <c r="H121" s="89"/>
      <c r="I121" s="90"/>
      <c r="J121" s="89"/>
      <c r="K121" s="90"/>
      <c r="L121" s="89"/>
      <c r="M121" s="92">
        <f>SUM($O121:$AB121)</f>
        <v>15850.374840000004</v>
      </c>
      <c r="N121" s="3"/>
      <c r="O121" s="3"/>
      <c r="P121" s="93">
        <f>IF(P$1="",0,опер3!P$374+опер3!P$389)</f>
        <v>2314.6249771428579</v>
      </c>
      <c r="Q121" s="93">
        <f>IF(Q$1="",0,опер3!Q$374+опер3!Q$389)</f>
        <v>2314.6249771428579</v>
      </c>
      <c r="R121" s="93">
        <f>IF(R$1="",0,опер3!R$374+опер3!R$389)</f>
        <v>2314.6249771428579</v>
      </c>
      <c r="S121" s="93">
        <f>IF(S$1="",0,опер3!S$374+опер3!S$389)</f>
        <v>2314.6249771428579</v>
      </c>
      <c r="T121" s="93">
        <f>IF(T$1="",0,опер3!T$374+опер3!T$389)</f>
        <v>2314.6249771428579</v>
      </c>
      <c r="U121" s="93">
        <f>IF(U$1="",0,опер3!U$374+опер3!U$389)</f>
        <v>2138.6249771428579</v>
      </c>
      <c r="V121" s="93">
        <f>IF(V$1="",0,опер3!V$374+опер3!V$389)</f>
        <v>2138.6249771428579</v>
      </c>
      <c r="W121" s="93">
        <f>IF(W$1="",0,опер3!W$374+опер3!W$389)</f>
        <v>0</v>
      </c>
      <c r="X121" s="93">
        <f>IF(X$1="",0,опер3!X$374+опер3!X$389)</f>
        <v>0</v>
      </c>
      <c r="Y121" s="93">
        <f>IF(Y$1="",0,опер3!Y$374+опер3!Y$389)</f>
        <v>0</v>
      </c>
      <c r="Z121" s="93">
        <f>IF(Z$1="",0,опер3!Z$374+опер3!Z$389)</f>
        <v>0</v>
      </c>
      <c r="AA121" s="93">
        <f>IF(AA$1="",0,опер3!AA$374+опер3!AA$389)</f>
        <v>0</v>
      </c>
      <c r="AB121" s="3"/>
    </row>
    <row r="122" spans="1:28" s="5" customFormat="1" ht="3.9" customHeight="1" x14ac:dyDescent="0.25">
      <c r="A122" s="150">
        <f>1</f>
        <v>1</v>
      </c>
      <c r="B122" s="128"/>
      <c r="C122" s="3"/>
      <c r="D122" s="3"/>
      <c r="E122" s="3"/>
      <c r="F122" s="3"/>
      <c r="G122" s="3"/>
      <c r="H122" s="3"/>
      <c r="I122" s="28"/>
      <c r="J122" s="3"/>
      <c r="K122" s="28"/>
      <c r="L122" s="3"/>
      <c r="M122" s="55"/>
      <c r="N122" s="3"/>
      <c r="O122" s="3"/>
      <c r="P122" s="46"/>
      <c r="Q122" s="46"/>
      <c r="R122" s="46"/>
      <c r="S122" s="46"/>
      <c r="T122" s="46"/>
      <c r="U122" s="46"/>
      <c r="V122" s="46"/>
      <c r="W122" s="46"/>
      <c r="X122" s="46"/>
      <c r="Y122" s="46"/>
      <c r="Z122" s="46"/>
      <c r="AA122" s="46"/>
      <c r="AB122" s="3"/>
    </row>
    <row r="123" spans="1:28" s="5" customFormat="1" x14ac:dyDescent="0.25">
      <c r="A123" s="150">
        <f>1</f>
        <v>1</v>
      </c>
      <c r="B123" s="129" t="str">
        <f>структура!$J$15</f>
        <v>УСН(6%)-ИП</v>
      </c>
      <c r="C123" s="3"/>
      <c r="D123" s="3"/>
      <c r="E123" s="89" t="str">
        <f>E117</f>
        <v>амортизация кап/затрат</v>
      </c>
      <c r="F123" s="89"/>
      <c r="G123" s="89" t="str">
        <f>IF($E123="","",INDEX(KPI!$G:$G,SUMIFS(KPI!$B:$B,KPI!$E:$E,$E123)))</f>
        <v>тыс.руб.</v>
      </c>
      <c r="H123" s="89"/>
      <c r="I123" s="90"/>
      <c r="J123" s="89"/>
      <c r="K123" s="90"/>
      <c r="L123" s="89"/>
      <c r="M123" s="92">
        <f>SUM($O123:$AB123)</f>
        <v>15850.374840000004</v>
      </c>
      <c r="N123" s="3"/>
      <c r="O123" s="3"/>
      <c r="P123" s="93">
        <f>IF(P$1="",0,опер3!P$374+опер3!P$389)</f>
        <v>2314.6249771428579</v>
      </c>
      <c r="Q123" s="93">
        <f>IF(Q$1="",0,опер3!Q$374+опер3!Q$389)</f>
        <v>2314.6249771428579</v>
      </c>
      <c r="R123" s="93">
        <f>IF(R$1="",0,опер3!R$374+опер3!R$389)</f>
        <v>2314.6249771428579</v>
      </c>
      <c r="S123" s="93">
        <f>IF(S$1="",0,опер3!S$374+опер3!S$389)</f>
        <v>2314.6249771428579</v>
      </c>
      <c r="T123" s="93">
        <f>IF(T$1="",0,опер3!T$374+опер3!T$389)</f>
        <v>2314.6249771428579</v>
      </c>
      <c r="U123" s="93">
        <f>IF(U$1="",0,опер3!U$374+опер3!U$389)</f>
        <v>2138.6249771428579</v>
      </c>
      <c r="V123" s="93">
        <f>IF(V$1="",0,опер3!V$374+опер3!V$389)</f>
        <v>2138.6249771428579</v>
      </c>
      <c r="W123" s="93">
        <f>IF(W$1="",0,опер3!W$374+опер3!W$389)</f>
        <v>0</v>
      </c>
      <c r="X123" s="93">
        <f>IF(X$1="",0,опер3!X$374+опер3!X$389)</f>
        <v>0</v>
      </c>
      <c r="Y123" s="93">
        <f>IF(Y$1="",0,опер3!Y$374+опер3!Y$389)</f>
        <v>0</v>
      </c>
      <c r="Z123" s="93">
        <f>IF(Z$1="",0,опер3!Z$374+опер3!Z$389)</f>
        <v>0</v>
      </c>
      <c r="AA123" s="93">
        <f>IF(AA$1="",0,опер3!AA$374+опер3!AA$389)</f>
        <v>0</v>
      </c>
      <c r="AB123" s="3"/>
    </row>
    <row r="124" spans="1:28" ht="3.9" customHeight="1" x14ac:dyDescent="0.25">
      <c r="A124" s="149">
        <f>1</f>
        <v>1</v>
      </c>
      <c r="B124" s="131"/>
      <c r="C124" s="2"/>
      <c r="D124" s="2"/>
      <c r="E124" s="143"/>
      <c r="F124" s="2"/>
      <c r="G124" s="143"/>
      <c r="H124" s="2"/>
      <c r="I124" s="28"/>
      <c r="J124" s="2"/>
      <c r="K124" s="28"/>
      <c r="L124" s="2"/>
      <c r="M124" s="144"/>
      <c r="N124" s="2"/>
      <c r="O124" s="2"/>
      <c r="P124" s="36"/>
      <c r="Q124" s="36"/>
      <c r="R124" s="36"/>
      <c r="S124" s="36"/>
      <c r="T124" s="36"/>
      <c r="U124" s="36"/>
      <c r="V124" s="36"/>
      <c r="W124" s="36"/>
      <c r="X124" s="36"/>
      <c r="Y124" s="36"/>
      <c r="Z124" s="36"/>
      <c r="AA124" s="36"/>
      <c r="AB124" s="2"/>
    </row>
    <row r="125" spans="1:28" ht="8.1" customHeight="1" x14ac:dyDescent="0.25">
      <c r="A125" s="149">
        <f>1</f>
        <v>1</v>
      </c>
      <c r="B125" s="131"/>
      <c r="C125" s="2"/>
      <c r="D125" s="2"/>
      <c r="E125" s="2"/>
      <c r="F125" s="2"/>
      <c r="G125" s="2"/>
      <c r="H125" s="2"/>
      <c r="I125" s="28"/>
      <c r="J125" s="2"/>
      <c r="K125" s="28"/>
      <c r="L125" s="2"/>
      <c r="M125" s="52"/>
      <c r="N125" s="2"/>
      <c r="O125" s="2"/>
      <c r="P125" s="36"/>
      <c r="Q125" s="36"/>
      <c r="R125" s="36"/>
      <c r="S125" s="36"/>
      <c r="T125" s="36"/>
      <c r="U125" s="36"/>
      <c r="V125" s="36"/>
      <c r="W125" s="36"/>
      <c r="X125" s="36"/>
      <c r="Y125" s="36"/>
      <c r="Z125" s="36"/>
      <c r="AA125" s="36"/>
      <c r="AB125" s="2"/>
    </row>
    <row r="126" spans="1:28" ht="3.9" customHeight="1" x14ac:dyDescent="0.25">
      <c r="A126" s="149">
        <f>1</f>
        <v>1</v>
      </c>
      <c r="B126" s="131"/>
      <c r="C126" s="2"/>
      <c r="D126" s="2"/>
      <c r="E126" s="2"/>
      <c r="F126" s="2"/>
      <c r="G126" s="2"/>
      <c r="H126" s="2"/>
      <c r="I126" s="28"/>
      <c r="J126" s="2"/>
      <c r="K126" s="28"/>
      <c r="L126" s="2"/>
      <c r="M126" s="52"/>
      <c r="N126" s="2"/>
      <c r="O126" s="2"/>
      <c r="P126" s="36"/>
      <c r="Q126" s="36"/>
      <c r="R126" s="36"/>
      <c r="S126" s="36"/>
      <c r="T126" s="36"/>
      <c r="U126" s="36"/>
      <c r="V126" s="36"/>
      <c r="W126" s="36"/>
      <c r="X126" s="36"/>
      <c r="Y126" s="36"/>
      <c r="Z126" s="36"/>
      <c r="AA126" s="36"/>
      <c r="AB126" s="2"/>
    </row>
    <row r="127" spans="1:28" s="5" customFormat="1" x14ac:dyDescent="0.25">
      <c r="A127" s="150">
        <f>1</f>
        <v>1</v>
      </c>
      <c r="B127" s="129" t="str">
        <f>структура!$J$12</f>
        <v>ОСНО</v>
      </c>
      <c r="C127" s="3"/>
      <c r="D127" s="3"/>
      <c r="E127" s="89" t="str">
        <f>KPI!$E$86</f>
        <v>налог на прибыль</v>
      </c>
      <c r="F127" s="89"/>
      <c r="G127" s="89" t="str">
        <f>IF($E127="","",INDEX(KPI!$G:$G,SUMIFS(KPI!$B:$B,KPI!$E:$E,$E127)))</f>
        <v>тыс.руб.</v>
      </c>
      <c r="H127" s="89"/>
      <c r="I127" s="90"/>
      <c r="J127" s="89"/>
      <c r="K127" s="90"/>
      <c r="L127" s="89"/>
      <c r="M127" s="92">
        <f>SUM($O127:$AB127)</f>
        <v>12580.063163090022</v>
      </c>
      <c r="N127" s="3"/>
      <c r="O127" s="3"/>
      <c r="P127" s="93">
        <f>IF(P$1="",0,(P$16-P$26-P$117)*опер3!P$349)</f>
        <v>1340.8220398278791</v>
      </c>
      <c r="Q127" s="93">
        <f>IF(Q$1="",0,(Q$16-Q$26-Q$117)*опер3!Q$349)</f>
        <v>1430.5607898278779</v>
      </c>
      <c r="R127" s="93">
        <f>IF(R$1="",0,(R$16-R$26-R$117)*опер3!R$349)</f>
        <v>1605.4284112381356</v>
      </c>
      <c r="S127" s="93">
        <f>IF(S$1="",0,(S$16-S$26-S$117)*опер3!S$349)</f>
        <v>1727.7980930330066</v>
      </c>
      <c r="T127" s="93">
        <f>IF(T$1="",0,(T$16-T$26-T$117)*опер3!T$349)</f>
        <v>1865.573468033007</v>
      </c>
      <c r="U127" s="93">
        <f>IF(U$1="",0,(U$16-U$26-U$117)*опер3!U$349)</f>
        <v>2136.7328905971094</v>
      </c>
      <c r="V127" s="93">
        <f>IF(V$1="",0,(V$16-V$26-V$117)*опер3!V$349)</f>
        <v>2473.1474705330074</v>
      </c>
      <c r="W127" s="93">
        <f>IF(W$1="",0,(W$16-W$26-W$117)*опер3!W$349)</f>
        <v>0</v>
      </c>
      <c r="X127" s="93">
        <f>IF(X$1="",0,(X$16-X$26-X$117)*опер3!X$349)</f>
        <v>0</v>
      </c>
      <c r="Y127" s="93">
        <f>IF(Y$1="",0,(Y$16-Y$26-Y$117)*опер3!Y$349)</f>
        <v>0</v>
      </c>
      <c r="Z127" s="93">
        <f>IF(Z$1="",0,(Z$16-Z$26-Z$117)*опер3!Z$349)</f>
        <v>0</v>
      </c>
      <c r="AA127" s="93">
        <f>IF(AA$1="",0,(AA$16-AA$26-AA$117)*опер3!AA$349)</f>
        <v>0</v>
      </c>
      <c r="AB127" s="3"/>
    </row>
    <row r="128" spans="1:28" s="5" customFormat="1" ht="3.9" customHeight="1" x14ac:dyDescent="0.25">
      <c r="A128" s="150">
        <f>1</f>
        <v>1</v>
      </c>
      <c r="B128" s="128"/>
      <c r="C128" s="3"/>
      <c r="D128" s="3"/>
      <c r="E128" s="3"/>
      <c r="F128" s="3"/>
      <c r="G128" s="3"/>
      <c r="H128" s="3"/>
      <c r="I128" s="28"/>
      <c r="J128" s="3"/>
      <c r="K128" s="28"/>
      <c r="L128" s="3"/>
      <c r="M128" s="55"/>
      <c r="N128" s="3"/>
      <c r="O128" s="3"/>
      <c r="P128" s="46"/>
      <c r="Q128" s="46"/>
      <c r="R128" s="46"/>
      <c r="S128" s="46"/>
      <c r="T128" s="46"/>
      <c r="U128" s="46"/>
      <c r="V128" s="46"/>
      <c r="W128" s="46"/>
      <c r="X128" s="46"/>
      <c r="Y128" s="46"/>
      <c r="Z128" s="46"/>
      <c r="AA128" s="46"/>
      <c r="AB128" s="3"/>
    </row>
    <row r="129" spans="1:28" s="5" customFormat="1" x14ac:dyDescent="0.25">
      <c r="A129" s="150">
        <f>1</f>
        <v>1</v>
      </c>
      <c r="B129" s="129" t="str">
        <f>структура!$J$13</f>
        <v>УСН(6%)</v>
      </c>
      <c r="C129" s="3"/>
      <c r="D129" s="3"/>
      <c r="E129" s="89" t="str">
        <f>KPI!$E$87</f>
        <v>налог УСН</v>
      </c>
      <c r="F129" s="89"/>
      <c r="G129" s="89" t="str">
        <f>IF($E129="","",INDEX(KPI!$G:$G,SUMIFS(KPI!$B:$B,KPI!$E:$E,$E129)))</f>
        <v>тыс.руб.</v>
      </c>
      <c r="H129" s="89"/>
      <c r="I129" s="90"/>
      <c r="J129" s="89"/>
      <c r="K129" s="90"/>
      <c r="L129" s="89"/>
      <c r="M129" s="92">
        <f>SUM($O129:$AB129)</f>
        <v>6803.6746615384609</v>
      </c>
      <c r="N129" s="3"/>
      <c r="O129" s="3"/>
      <c r="P129" s="93">
        <f>IF(P$1="",0,IF(P$78&gt;опер3!P$361*опер3!P$352*P$18,опер3!P$361*опер3!P$352*P$18,(P$18-P$78)*опер3!P$352))</f>
        <v>589.50160384615378</v>
      </c>
      <c r="Q129" s="93">
        <f>IF(Q$1="",0,IF(Q$78&gt;опер3!Q$361*опер3!Q$352*Q$18,опер3!Q$361*опер3!Q$352*Q$18,(Q$18-Q$78)*опер3!Q$352))</f>
        <v>608.5051038461537</v>
      </c>
      <c r="R129" s="93">
        <f>IF(R$1="",0,IF(R$78&gt;опер3!R$361*опер3!R$352*R$18,опер3!R$361*опер3!R$352*R$18,(R$18-R$78)*опер3!R$352))</f>
        <v>638.05996153846161</v>
      </c>
      <c r="S129" s="93">
        <f>IF(S$1="",0,IF(S$78&gt;опер3!S$361*опер3!S$352*S$18,опер3!S$361*опер3!S$352*S$18,(S$18-S$78)*опер3!S$352))</f>
        <v>656.01385384615367</v>
      </c>
      <c r="T129" s="93">
        <f>IF(T$1="",0,IF(T$78&gt;опер3!T$361*опер3!T$352*T$18,опер3!T$361*опер3!T$352*T$18,(T$18-T$78)*опер3!T$352))</f>
        <v>1328.8118076923076</v>
      </c>
      <c r="U129" s="93">
        <f>IF(U$1="",0,IF(U$78&gt;опер3!U$361*опер3!U$352*U$18,опер3!U$361*опер3!U$352*U$18,(U$18-U$78)*опер3!U$352))</f>
        <v>1423.8293076923076</v>
      </c>
      <c r="V129" s="93">
        <f>IF(V$1="",0,IF(V$78&gt;опер3!V$361*опер3!V$352*V$18,опер3!V$361*опер3!V$352*V$18,(V$18-V$78)*опер3!V$352))</f>
        <v>1558.953023076923</v>
      </c>
      <c r="W129" s="93">
        <f>IF(W$1="",0,IF(W$78&gt;опер3!W$361*опер3!W$352*W$18,опер3!W$361*опер3!W$352*W$18,(W$18-W$78)*опер3!W$352))</f>
        <v>0</v>
      </c>
      <c r="X129" s="93">
        <f>IF(X$1="",0,IF(X$78&gt;опер3!X$361*опер3!X$352*X$18,опер3!X$361*опер3!X$352*X$18,(X$18-X$78)*опер3!X$352))</f>
        <v>0</v>
      </c>
      <c r="Y129" s="93">
        <f>IF(Y$1="",0,IF(Y$78&gt;опер3!Y$361*опер3!Y$352*Y$18,опер3!Y$361*опер3!Y$352*Y$18,(Y$18-Y$78)*опер3!Y$352))</f>
        <v>0</v>
      </c>
      <c r="Z129" s="93">
        <f>IF(Z$1="",0,IF(Z$78&gt;опер3!Z$361*опер3!Z$352*Z$18,опер3!Z$361*опер3!Z$352*Z$18,(Z$18-Z$78)*опер3!Z$352))</f>
        <v>0</v>
      </c>
      <c r="AA129" s="93">
        <f>IF(AA$1="",0,IF(AA$78&gt;опер3!AA$361*опер3!AA$352*AA$18,опер3!AA$361*опер3!AA$352*AA$18,(AA$18-AA$78)*опер3!AA$352))</f>
        <v>0</v>
      </c>
      <c r="AB129" s="3"/>
    </row>
    <row r="130" spans="1:28" s="5" customFormat="1" ht="3.9" customHeight="1" x14ac:dyDescent="0.25">
      <c r="A130" s="150">
        <f>1</f>
        <v>1</v>
      </c>
      <c r="B130" s="128"/>
      <c r="C130" s="3"/>
      <c r="D130" s="3"/>
      <c r="E130" s="3"/>
      <c r="F130" s="3"/>
      <c r="G130" s="3"/>
      <c r="H130" s="3"/>
      <c r="I130" s="28"/>
      <c r="J130" s="3"/>
      <c r="K130" s="28"/>
      <c r="L130" s="3"/>
      <c r="M130" s="55"/>
      <c r="N130" s="3"/>
      <c r="O130" s="3"/>
      <c r="P130" s="46"/>
      <c r="Q130" s="46"/>
      <c r="R130" s="46"/>
      <c r="S130" s="46"/>
      <c r="T130" s="46"/>
      <c r="U130" s="46"/>
      <c r="V130" s="46"/>
      <c r="W130" s="46"/>
      <c r="X130" s="46"/>
      <c r="Y130" s="46"/>
      <c r="Z130" s="46"/>
      <c r="AA130" s="46"/>
      <c r="AB130" s="3"/>
    </row>
    <row r="131" spans="1:28" s="5" customFormat="1" x14ac:dyDescent="0.25">
      <c r="A131" s="150">
        <f>1</f>
        <v>1</v>
      </c>
      <c r="B131" s="129" t="str">
        <f>структура!$J$14</f>
        <v>УСН(15%)</v>
      </c>
      <c r="C131" s="3"/>
      <c r="D131" s="3"/>
      <c r="E131" s="89" t="str">
        <f>KPI!$E$87</f>
        <v>налог УСН</v>
      </c>
      <c r="F131" s="89"/>
      <c r="G131" s="89" t="str">
        <f>IF($E131="","",INDEX(KPI!$G:$G,SUMIFS(KPI!$B:$B,KPI!$E:$E,$E131)))</f>
        <v>тыс.руб.</v>
      </c>
      <c r="H131" s="89"/>
      <c r="I131" s="90"/>
      <c r="J131" s="89"/>
      <c r="K131" s="90"/>
      <c r="L131" s="89"/>
      <c r="M131" s="92">
        <f>SUM($O131:$AB131)</f>
        <v>14306.605472781017</v>
      </c>
      <c r="N131" s="3"/>
      <c r="O131" s="3"/>
      <c r="P131" s="93">
        <f>IF(P$1="",0,IF((P$20-P$30)*опер3!P$355&lt;опер3!P$364*P$20,опер3!P$364*P$20,(P$20-P$30)*опер3!P$355))</f>
        <v>1640.646782416519</v>
      </c>
      <c r="Q131" s="93">
        <f>IF(Q$1="",0,IF((Q$20-Q$30)*опер3!Q$355&lt;опер3!Q$364*Q$20,опер3!Q$364*Q$20,(Q$20-Q$30)*опер3!Q$355))</f>
        <v>1721.4116574165187</v>
      </c>
      <c r="R131" s="93">
        <f>IF(R$1="",0,IF((R$20-R$30)*опер3!R$355&lt;опер3!R$364*R$20,опер3!R$364*R$20,(R$20-R$30)*опер3!R$355))</f>
        <v>1878.7925166857503</v>
      </c>
      <c r="S131" s="93">
        <f>IF(S$1="",0,IF((S$20-S$30)*опер3!S$355&lt;опер3!S$364*S$20,опер3!S$364*S$20,(S$20-S$30)*опер3!S$355))</f>
        <v>1988.925230301134</v>
      </c>
      <c r="T131" s="93">
        <f>IF(T$1="",0,IF((T$20-T$30)*опер3!T$355&lt;опер3!T$364*T$20,опер3!T$364*T$20,(T$20-T$30)*опер3!T$355))</f>
        <v>2112.923067801134</v>
      </c>
      <c r="U131" s="93">
        <f>IF(U$1="",0,IF((U$20-U$30)*опер3!U$355&lt;опер3!U$364*U$20,опер3!U$364*U$20,(U$20-U$30)*опер3!U$355))</f>
        <v>2330.5665481088267</v>
      </c>
      <c r="V131" s="93">
        <f>IF(V$1="",0,IF((V$20-V$30)*опер3!V$355&lt;опер3!V$364*V$20,опер3!V$364*V$20,(V$20-V$30)*опер3!V$355))</f>
        <v>2633.3396700511344</v>
      </c>
      <c r="W131" s="93">
        <f>IF(W$1="",0,IF((W$20-W$30)*опер3!W$355&lt;опер3!W$364*W$20,опер3!W$364*W$20,(W$20-W$30)*опер3!W$355))</f>
        <v>0</v>
      </c>
      <c r="X131" s="93">
        <f>IF(X$1="",0,IF((X$20-X$30)*опер3!X$355&lt;опер3!X$364*X$20,опер3!X$364*X$20,(X$20-X$30)*опер3!X$355))</f>
        <v>0</v>
      </c>
      <c r="Y131" s="93">
        <f>IF(Y$1="",0,IF((Y$20-Y$30)*опер3!Y$355&lt;опер3!Y$364*Y$20,опер3!Y$364*Y$20,(Y$20-Y$30)*опер3!Y$355))</f>
        <v>0</v>
      </c>
      <c r="Z131" s="93">
        <f>IF(Z$1="",0,IF((Z$20-Z$30)*опер3!Z$355&lt;опер3!Z$364*Z$20,опер3!Z$364*Z$20,(Z$20-Z$30)*опер3!Z$355))</f>
        <v>0</v>
      </c>
      <c r="AA131" s="93">
        <f>IF(AA$1="",0,IF((AA$20-AA$30)*опер3!AA$355&lt;опер3!AA$364*AA$20,опер3!AA$364*AA$20,(AA$20-AA$30)*опер3!AA$355))</f>
        <v>0</v>
      </c>
      <c r="AB131" s="3"/>
    </row>
    <row r="132" spans="1:28" s="5" customFormat="1" ht="3.9" customHeight="1" x14ac:dyDescent="0.25">
      <c r="A132" s="150">
        <f>1</f>
        <v>1</v>
      </c>
      <c r="B132" s="128"/>
      <c r="C132" s="3"/>
      <c r="D132" s="3"/>
      <c r="E132" s="3"/>
      <c r="F132" s="3"/>
      <c r="G132" s="3"/>
      <c r="H132" s="3"/>
      <c r="I132" s="28"/>
      <c r="J132" s="3"/>
      <c r="K132" s="28"/>
      <c r="L132" s="3"/>
      <c r="M132" s="55"/>
      <c r="N132" s="3"/>
      <c r="O132" s="3"/>
      <c r="P132" s="46"/>
      <c r="Q132" s="46"/>
      <c r="R132" s="46"/>
      <c r="S132" s="46"/>
      <c r="T132" s="46"/>
      <c r="U132" s="46"/>
      <c r="V132" s="46"/>
      <c r="W132" s="46"/>
      <c r="X132" s="46"/>
      <c r="Y132" s="46"/>
      <c r="Z132" s="46"/>
      <c r="AA132" s="46"/>
      <c r="AB132" s="3"/>
    </row>
    <row r="133" spans="1:28" s="5" customFormat="1" x14ac:dyDescent="0.25">
      <c r="A133" s="150">
        <f>1</f>
        <v>1</v>
      </c>
      <c r="B133" s="129" t="str">
        <f>структура!$J$15</f>
        <v>УСН(6%)-ИП</v>
      </c>
      <c r="C133" s="3"/>
      <c r="D133" s="3"/>
      <c r="E133" s="89" t="str">
        <f>KPI!$E$87</f>
        <v>налог УСН</v>
      </c>
      <c r="F133" s="89"/>
      <c r="G133" s="89" t="str">
        <f>IF($E133="","",INDEX(KPI!$G:$G,SUMIFS(KPI!$B:$B,KPI!$E:$E,$E133)))</f>
        <v>тыс.руб.</v>
      </c>
      <c r="H133" s="89"/>
      <c r="I133" s="90"/>
      <c r="J133" s="89"/>
      <c r="K133" s="90"/>
      <c r="L133" s="89"/>
      <c r="M133" s="92">
        <f>SUM($O133:$AB133)</f>
        <v>4311.594138461538</v>
      </c>
      <c r="N133" s="3"/>
      <c r="O133" s="3"/>
      <c r="P133" s="93">
        <f>IF(P$1="",0,IF(P$78&gt;опер3!P$361*опер3!P$358*P$18,опер3!P$361*опер3!P$358*P$18,(P$18-P$78)*опер3!P$358))</f>
        <v>0</v>
      </c>
      <c r="Q133" s="93">
        <f>IF(Q$1="",0,IF(Q$78&gt;опер3!Q$361*опер3!Q$358*Q$18,опер3!Q$361*опер3!Q$358*Q$18,(Q$18-Q$78)*опер3!Q$358))</f>
        <v>0</v>
      </c>
      <c r="R133" s="93">
        <f>IF(R$1="",0,IF(R$78&gt;опер3!R$361*опер3!R$358*R$18,опер3!R$361*опер3!R$358*R$18,(R$18-R$78)*опер3!R$358))</f>
        <v>0</v>
      </c>
      <c r="S133" s="93">
        <f>IF(S$1="",0,IF(S$78&gt;опер3!S$361*опер3!S$358*S$18,опер3!S$361*опер3!S$358*S$18,(S$18-S$78)*опер3!S$358))</f>
        <v>0</v>
      </c>
      <c r="T133" s="93">
        <f>IF(T$1="",0,IF(T$78&gt;опер3!T$361*опер3!T$358*T$18,опер3!T$361*опер3!T$358*T$18,(T$18-T$78)*опер3!T$358))</f>
        <v>1328.8118076923076</v>
      </c>
      <c r="U133" s="93">
        <f>IF(U$1="",0,IF(U$78&gt;опер3!U$361*опер3!U$358*U$18,опер3!U$361*опер3!U$358*U$18,(U$18-U$78)*опер3!U$358))</f>
        <v>1423.8293076923076</v>
      </c>
      <c r="V133" s="93">
        <f>IF(V$1="",0,IF(V$78&gt;опер3!V$361*опер3!V$358*V$18,опер3!V$361*опер3!V$358*V$18,(V$18-V$78)*опер3!V$358))</f>
        <v>1558.953023076923</v>
      </c>
      <c r="W133" s="93">
        <f>IF(W$1="",0,IF(W$78&gt;опер3!W$361*опер3!W$358*W$18,опер3!W$361*опер3!W$358*W$18,(W$18-W$78)*опер3!W$358))</f>
        <v>0</v>
      </c>
      <c r="X133" s="93">
        <f>IF(X$1="",0,IF(X$78&gt;опер3!X$361*опер3!X$358*X$18,опер3!X$361*опер3!X$358*X$18,(X$18-X$78)*опер3!X$358))</f>
        <v>0</v>
      </c>
      <c r="Y133" s="93">
        <f>IF(Y$1="",0,IF(Y$78&gt;опер3!Y$361*опер3!Y$358*Y$18,опер3!Y$361*опер3!Y$358*Y$18,(Y$18-Y$78)*опер3!Y$358))</f>
        <v>0</v>
      </c>
      <c r="Z133" s="93">
        <f>IF(Z$1="",0,IF(Z$78&gt;опер3!Z$361*опер3!Z$358*Z$18,опер3!Z$361*опер3!Z$358*Z$18,(Z$18-Z$78)*опер3!Z$358))</f>
        <v>0</v>
      </c>
      <c r="AA133" s="93">
        <f>IF(AA$1="",0,IF(AA$78&gt;опер3!AA$361*опер3!AA$358*AA$18,опер3!AA$361*опер3!AA$358*AA$18,(AA$18-AA$78)*опер3!AA$358))</f>
        <v>0</v>
      </c>
      <c r="AB133" s="3"/>
    </row>
    <row r="134" spans="1:28" ht="3.9" customHeight="1" x14ac:dyDescent="0.25">
      <c r="A134" s="149">
        <f>1</f>
        <v>1</v>
      </c>
      <c r="B134" s="131"/>
      <c r="C134" s="2"/>
      <c r="D134" s="2"/>
      <c r="E134" s="119"/>
      <c r="F134" s="2"/>
      <c r="G134" s="119"/>
      <c r="H134" s="2"/>
      <c r="I134" s="28"/>
      <c r="J134" s="2"/>
      <c r="K134" s="28"/>
      <c r="L134" s="2"/>
      <c r="M134" s="142"/>
      <c r="N134" s="2"/>
      <c r="O134" s="2"/>
      <c r="P134" s="36"/>
      <c r="Q134" s="36"/>
      <c r="R134" s="36"/>
      <c r="S134" s="36"/>
      <c r="T134" s="36"/>
      <c r="U134" s="36"/>
      <c r="V134" s="36"/>
      <c r="W134" s="36"/>
      <c r="X134" s="36"/>
      <c r="Y134" s="36"/>
      <c r="Z134" s="36"/>
      <c r="AA134" s="36"/>
      <c r="AB134" s="2"/>
    </row>
    <row r="135" spans="1:28" ht="8.1" customHeight="1" x14ac:dyDescent="0.25">
      <c r="A135" s="149">
        <f>1</f>
        <v>1</v>
      </c>
      <c r="B135" s="131"/>
      <c r="C135" s="2"/>
      <c r="D135" s="2"/>
      <c r="E135" s="2"/>
      <c r="F135" s="2"/>
      <c r="G135" s="2"/>
      <c r="H135" s="2"/>
      <c r="I135" s="28"/>
      <c r="J135" s="2"/>
      <c r="K135" s="28"/>
      <c r="L135" s="2"/>
      <c r="M135" s="52"/>
      <c r="N135" s="2"/>
      <c r="O135" s="2"/>
      <c r="P135" s="36"/>
      <c r="Q135" s="36"/>
      <c r="R135" s="36"/>
      <c r="S135" s="36"/>
      <c r="T135" s="36"/>
      <c r="U135" s="36"/>
      <c r="V135" s="36"/>
      <c r="W135" s="36"/>
      <c r="X135" s="36"/>
      <c r="Y135" s="36"/>
      <c r="Z135" s="36"/>
      <c r="AA135" s="36"/>
      <c r="AB135" s="2"/>
    </row>
    <row r="136" spans="1:28" ht="3.9" customHeight="1" x14ac:dyDescent="0.25">
      <c r="A136" s="149">
        <f>1</f>
        <v>1</v>
      </c>
      <c r="B136" s="131"/>
      <c r="C136" s="2"/>
      <c r="D136" s="2"/>
      <c r="E136" s="2"/>
      <c r="F136" s="2"/>
      <c r="G136" s="2"/>
      <c r="H136" s="2"/>
      <c r="I136" s="28"/>
      <c r="J136" s="2"/>
      <c r="K136" s="28"/>
      <c r="L136" s="2"/>
      <c r="M136" s="52"/>
      <c r="N136" s="2"/>
      <c r="O136" s="2"/>
      <c r="P136" s="36"/>
      <c r="Q136" s="36"/>
      <c r="R136" s="36"/>
      <c r="S136" s="36"/>
      <c r="T136" s="36"/>
      <c r="U136" s="36"/>
      <c r="V136" s="36"/>
      <c r="W136" s="36"/>
      <c r="X136" s="36"/>
      <c r="Y136" s="36"/>
      <c r="Z136" s="36"/>
      <c r="AA136" s="36"/>
      <c r="AB136" s="2"/>
    </row>
    <row r="137" spans="1:28" s="5" customFormat="1" x14ac:dyDescent="0.25">
      <c r="A137" s="150">
        <f>1</f>
        <v>1</v>
      </c>
      <c r="B137" s="129" t="str">
        <f>структура!$J$12</f>
        <v>ОСНО</v>
      </c>
      <c r="C137" s="3"/>
      <c r="D137" s="3"/>
      <c r="E137" s="89" t="str">
        <f>KPI!$E$88</f>
        <v>прибыль</v>
      </c>
      <c r="F137" s="89"/>
      <c r="G137" s="89" t="str">
        <f>IF($E137="","",INDEX(KPI!$G:$G,SUMIFS(KPI!$B:$B,KPI!$E:$E,$E137)))</f>
        <v>тыс.руб.</v>
      </c>
      <c r="H137" s="89"/>
      <c r="I137" s="90"/>
      <c r="J137" s="89"/>
      <c r="K137" s="90"/>
      <c r="L137" s="89"/>
      <c r="M137" s="92">
        <f>SUM($O137:$AB137)</f>
        <v>50320.25265236009</v>
      </c>
      <c r="N137" s="3"/>
      <c r="O137" s="3"/>
      <c r="P137" s="93">
        <f>IF(P$1="",0,P16-P26-P117-P127)</f>
        <v>5363.2881593115153</v>
      </c>
      <c r="Q137" s="93">
        <f t="shared" ref="Q137:AA137" si="2">IF(Q$1="",0,Q16-Q26-Q117-Q127)</f>
        <v>5722.2431593115116</v>
      </c>
      <c r="R137" s="93">
        <f t="shared" si="2"/>
        <v>6421.7136449525415</v>
      </c>
      <c r="S137" s="93">
        <f t="shared" si="2"/>
        <v>6911.1923721320254</v>
      </c>
      <c r="T137" s="93">
        <f t="shared" si="2"/>
        <v>7462.293872132027</v>
      </c>
      <c r="U137" s="93">
        <f t="shared" si="2"/>
        <v>8546.9315623884359</v>
      </c>
      <c r="V137" s="93">
        <f t="shared" si="2"/>
        <v>9892.5898821320279</v>
      </c>
      <c r="W137" s="93">
        <f t="shared" si="2"/>
        <v>0</v>
      </c>
      <c r="X137" s="93">
        <f t="shared" si="2"/>
        <v>0</v>
      </c>
      <c r="Y137" s="93">
        <f t="shared" si="2"/>
        <v>0</v>
      </c>
      <c r="Z137" s="93">
        <f t="shared" si="2"/>
        <v>0</v>
      </c>
      <c r="AA137" s="93">
        <f t="shared" si="2"/>
        <v>0</v>
      </c>
      <c r="AB137" s="3"/>
    </row>
    <row r="138" spans="1:28" s="5" customFormat="1" ht="3.9" customHeight="1" x14ac:dyDescent="0.25">
      <c r="A138" s="150">
        <f>1</f>
        <v>1</v>
      </c>
      <c r="B138" s="128"/>
      <c r="C138" s="3"/>
      <c r="D138" s="3"/>
      <c r="E138" s="3"/>
      <c r="F138" s="3"/>
      <c r="G138" s="3"/>
      <c r="H138" s="3"/>
      <c r="I138" s="28"/>
      <c r="J138" s="3"/>
      <c r="K138" s="28"/>
      <c r="L138" s="3"/>
      <c r="M138" s="55"/>
      <c r="N138" s="3"/>
      <c r="O138" s="3"/>
      <c r="P138" s="46"/>
      <c r="Q138" s="46"/>
      <c r="R138" s="46"/>
      <c r="S138" s="46"/>
      <c r="T138" s="46"/>
      <c r="U138" s="46"/>
      <c r="V138" s="46"/>
      <c r="W138" s="46"/>
      <c r="X138" s="46"/>
      <c r="Y138" s="46"/>
      <c r="Z138" s="46"/>
      <c r="AA138" s="46"/>
      <c r="AB138" s="3"/>
    </row>
    <row r="139" spans="1:28" s="5" customFormat="1" x14ac:dyDescent="0.25">
      <c r="A139" s="150">
        <f>1</f>
        <v>1</v>
      </c>
      <c r="B139" s="129" t="str">
        <f>структура!$J$13</f>
        <v>УСН(6%)</v>
      </c>
      <c r="C139" s="3"/>
      <c r="D139" s="3"/>
      <c r="E139" s="89" t="str">
        <f>E137</f>
        <v>прибыль</v>
      </c>
      <c r="F139" s="89"/>
      <c r="G139" s="89" t="str">
        <f>IF($E139="","",INDEX(KPI!$G:$G,SUMIFS(KPI!$B:$B,KPI!$E:$E,$E139)))</f>
        <v>тыс.руб.</v>
      </c>
      <c r="H139" s="89"/>
      <c r="I139" s="90"/>
      <c r="J139" s="89"/>
      <c r="K139" s="90"/>
      <c r="L139" s="89"/>
      <c r="M139" s="92">
        <f>SUM($O139:$AB139)</f>
        <v>72723.32031700165</v>
      </c>
      <c r="N139" s="3"/>
      <c r="O139" s="3"/>
      <c r="P139" s="93">
        <f>IF(P$1="",0,P18-P28-P119-P129)</f>
        <v>8033.5186351211169</v>
      </c>
      <c r="Q139" s="93">
        <f t="shared" ref="Q139:AA139" si="3">IF(Q$1="",0,Q18-Q28-Q119-Q129)</f>
        <v>8552.9476351211142</v>
      </c>
      <c r="R139" s="93">
        <f t="shared" si="3"/>
        <v>9572.5985058903498</v>
      </c>
      <c r="S139" s="93">
        <f t="shared" si="3"/>
        <v>10288.862704351883</v>
      </c>
      <c r="T139" s="93">
        <f t="shared" si="3"/>
        <v>10442.717000505731</v>
      </c>
      <c r="U139" s="93">
        <f t="shared" si="3"/>
        <v>11974.656035890346</v>
      </c>
      <c r="V139" s="93">
        <f t="shared" si="3"/>
        <v>13858.019800121116</v>
      </c>
      <c r="W139" s="93">
        <f t="shared" si="3"/>
        <v>0</v>
      </c>
      <c r="X139" s="93">
        <f t="shared" si="3"/>
        <v>0</v>
      </c>
      <c r="Y139" s="93">
        <f t="shared" si="3"/>
        <v>0</v>
      </c>
      <c r="Z139" s="93">
        <f t="shared" si="3"/>
        <v>0</v>
      </c>
      <c r="AA139" s="93">
        <f t="shared" si="3"/>
        <v>0</v>
      </c>
      <c r="AB139" s="3"/>
    </row>
    <row r="140" spans="1:28" s="5" customFormat="1" ht="3.9" customHeight="1" x14ac:dyDescent="0.25">
      <c r="A140" s="150">
        <f>1</f>
        <v>1</v>
      </c>
      <c r="B140" s="128"/>
      <c r="C140" s="3"/>
      <c r="D140" s="3"/>
      <c r="E140" s="3"/>
      <c r="F140" s="3"/>
      <c r="G140" s="3"/>
      <c r="H140" s="3"/>
      <c r="I140" s="28"/>
      <c r="J140" s="3"/>
      <c r="K140" s="28"/>
      <c r="L140" s="3"/>
      <c r="M140" s="55"/>
      <c r="N140" s="3"/>
      <c r="O140" s="3"/>
      <c r="P140" s="46"/>
      <c r="Q140" s="46"/>
      <c r="R140" s="46"/>
      <c r="S140" s="46"/>
      <c r="T140" s="46"/>
      <c r="U140" s="46"/>
      <c r="V140" s="46"/>
      <c r="W140" s="46"/>
      <c r="X140" s="46"/>
      <c r="Y140" s="46"/>
      <c r="Z140" s="46"/>
      <c r="AA140" s="46"/>
      <c r="AB140" s="3"/>
    </row>
    <row r="141" spans="1:28" s="5" customFormat="1" x14ac:dyDescent="0.25">
      <c r="A141" s="150">
        <f>1</f>
        <v>1</v>
      </c>
      <c r="B141" s="129" t="str">
        <f>структура!$J$14</f>
        <v>УСН(15%)</v>
      </c>
      <c r="C141" s="3"/>
      <c r="D141" s="3"/>
      <c r="E141" s="89" t="str">
        <f>E137</f>
        <v>прибыль</v>
      </c>
      <c r="F141" s="89"/>
      <c r="G141" s="89" t="str">
        <f>IF($E141="","",INDEX(KPI!$G:$G,SUMIFS(KPI!$B:$B,KPI!$E:$E,$E141)))</f>
        <v>тыс.руб.</v>
      </c>
      <c r="H141" s="89"/>
      <c r="I141" s="90"/>
      <c r="J141" s="89"/>
      <c r="K141" s="90"/>
      <c r="L141" s="89"/>
      <c r="M141" s="92">
        <f>SUM($O141:$AB141)</f>
        <v>65220.3895057591</v>
      </c>
      <c r="N141" s="3"/>
      <c r="O141" s="3"/>
      <c r="P141" s="93">
        <f>IF(P$1="",0,P20-P30-P121-P131)</f>
        <v>6982.3734565507511</v>
      </c>
      <c r="Q141" s="93">
        <f t="shared" ref="Q141:AA141" si="4">IF(Q$1="",0,Q20-Q30-Q121-Q131)</f>
        <v>7440.0410815507494</v>
      </c>
      <c r="R141" s="93">
        <f t="shared" si="4"/>
        <v>8331.8659507430602</v>
      </c>
      <c r="S141" s="93">
        <f t="shared" si="4"/>
        <v>8955.9513278969025</v>
      </c>
      <c r="T141" s="93">
        <f t="shared" si="4"/>
        <v>9658.6057403969044</v>
      </c>
      <c r="U141" s="93">
        <f t="shared" si="4"/>
        <v>11067.918795473826</v>
      </c>
      <c r="V141" s="93">
        <f t="shared" si="4"/>
        <v>12783.633153146904</v>
      </c>
      <c r="W141" s="93">
        <f t="shared" si="4"/>
        <v>0</v>
      </c>
      <c r="X141" s="93">
        <f t="shared" si="4"/>
        <v>0</v>
      </c>
      <c r="Y141" s="93">
        <f t="shared" si="4"/>
        <v>0</v>
      </c>
      <c r="Z141" s="93">
        <f t="shared" si="4"/>
        <v>0</v>
      </c>
      <c r="AA141" s="93">
        <f t="shared" si="4"/>
        <v>0</v>
      </c>
      <c r="AB141" s="3"/>
    </row>
    <row r="142" spans="1:28" s="5" customFormat="1" ht="3.9" customHeight="1" x14ac:dyDescent="0.25">
      <c r="A142" s="150">
        <f>1</f>
        <v>1</v>
      </c>
      <c r="B142" s="128"/>
      <c r="C142" s="3"/>
      <c r="D142" s="3"/>
      <c r="E142" s="3"/>
      <c r="F142" s="3"/>
      <c r="G142" s="3"/>
      <c r="H142" s="3"/>
      <c r="I142" s="28"/>
      <c r="J142" s="3"/>
      <c r="K142" s="28"/>
      <c r="L142" s="3"/>
      <c r="M142" s="55"/>
      <c r="N142" s="3"/>
      <c r="O142" s="3"/>
      <c r="P142" s="46"/>
      <c r="Q142" s="46"/>
      <c r="R142" s="46"/>
      <c r="S142" s="46"/>
      <c r="T142" s="46"/>
      <c r="U142" s="46"/>
      <c r="V142" s="46"/>
      <c r="W142" s="46"/>
      <c r="X142" s="46"/>
      <c r="Y142" s="46"/>
      <c r="Z142" s="46"/>
      <c r="AA142" s="46"/>
      <c r="AB142" s="3"/>
    </row>
    <row r="143" spans="1:28" s="5" customFormat="1" x14ac:dyDescent="0.25">
      <c r="A143" s="150">
        <f>1</f>
        <v>1</v>
      </c>
      <c r="B143" s="129" t="str">
        <f>структура!$J$15</f>
        <v>УСН(6%)-ИП</v>
      </c>
      <c r="C143" s="3"/>
      <c r="D143" s="3"/>
      <c r="E143" s="89" t="str">
        <f>E137</f>
        <v>прибыль</v>
      </c>
      <c r="F143" s="89"/>
      <c r="G143" s="89" t="str">
        <f>IF($E143="","",INDEX(KPI!$G:$G,SUMIFS(KPI!$B:$B,KPI!$E:$E,$E143)))</f>
        <v>тыс.руб.</v>
      </c>
      <c r="H143" s="89"/>
      <c r="I143" s="90"/>
      <c r="J143" s="89"/>
      <c r="K143" s="90"/>
      <c r="L143" s="89"/>
      <c r="M143" s="92">
        <f>SUM($O143:$AB143)</f>
        <v>75215.400840078568</v>
      </c>
      <c r="N143" s="3"/>
      <c r="O143" s="3"/>
      <c r="P143" s="93">
        <f>IF(P$1="",0,P22-P32-P123-P133)</f>
        <v>8623.0202389672704</v>
      </c>
      <c r="Q143" s="93">
        <f t="shared" ref="Q143:AA143" si="5">IF(Q$1="",0,Q22-Q32-Q123-Q133)</f>
        <v>9161.4527389672676</v>
      </c>
      <c r="R143" s="93">
        <f t="shared" si="5"/>
        <v>10210.658467428811</v>
      </c>
      <c r="S143" s="93">
        <f t="shared" si="5"/>
        <v>10944.876558198037</v>
      </c>
      <c r="T143" s="93">
        <f t="shared" si="5"/>
        <v>10442.717000505731</v>
      </c>
      <c r="U143" s="93">
        <f t="shared" si="5"/>
        <v>11974.656035890346</v>
      </c>
      <c r="V143" s="93">
        <f t="shared" si="5"/>
        <v>13858.019800121116</v>
      </c>
      <c r="W143" s="93">
        <f t="shared" si="5"/>
        <v>0</v>
      </c>
      <c r="X143" s="93">
        <f t="shared" si="5"/>
        <v>0</v>
      </c>
      <c r="Y143" s="93">
        <f t="shared" si="5"/>
        <v>0</v>
      </c>
      <c r="Z143" s="93">
        <f t="shared" si="5"/>
        <v>0</v>
      </c>
      <c r="AA143" s="93">
        <f t="shared" si="5"/>
        <v>0</v>
      </c>
      <c r="AB143" s="3"/>
    </row>
    <row r="144" spans="1:28" ht="3.9" customHeight="1" x14ac:dyDescent="0.25">
      <c r="A144" s="149">
        <f>1</f>
        <v>1</v>
      </c>
      <c r="B144" s="131"/>
      <c r="C144" s="2"/>
      <c r="D144" s="2"/>
      <c r="E144" s="117"/>
      <c r="F144" s="2"/>
      <c r="G144" s="117"/>
      <c r="H144" s="2"/>
      <c r="I144" s="28"/>
      <c r="J144" s="2"/>
      <c r="K144" s="28"/>
      <c r="L144" s="2"/>
      <c r="M144" s="138"/>
      <c r="N144" s="2"/>
      <c r="O144" s="2"/>
      <c r="P144" s="36"/>
      <c r="Q144" s="36"/>
      <c r="R144" s="36"/>
      <c r="S144" s="36"/>
      <c r="T144" s="36"/>
      <c r="U144" s="36"/>
      <c r="V144" s="36"/>
      <c r="W144" s="36"/>
      <c r="X144" s="36"/>
      <c r="Y144" s="36"/>
      <c r="Z144" s="36"/>
      <c r="AA144" s="36"/>
      <c r="AB144" s="2"/>
    </row>
    <row r="145" spans="1:28" ht="8.1" customHeight="1" x14ac:dyDescent="0.25">
      <c r="A145" s="149">
        <f>1</f>
        <v>1</v>
      </c>
      <c r="B145" s="131"/>
      <c r="C145" s="2"/>
      <c r="D145" s="2"/>
      <c r="E145" s="2"/>
      <c r="F145" s="2"/>
      <c r="G145" s="2"/>
      <c r="H145" s="2"/>
      <c r="I145" s="28"/>
      <c r="J145" s="2"/>
      <c r="K145" s="28"/>
      <c r="L145" s="2"/>
      <c r="M145" s="52"/>
      <c r="N145" s="2"/>
      <c r="O145" s="2"/>
      <c r="P145" s="36"/>
      <c r="Q145" s="36"/>
      <c r="R145" s="36"/>
      <c r="S145" s="36"/>
      <c r="T145" s="36"/>
      <c r="U145" s="36"/>
      <c r="V145" s="36"/>
      <c r="W145" s="36"/>
      <c r="X145" s="36"/>
      <c r="Y145" s="36"/>
      <c r="Z145" s="36"/>
      <c r="AA145" s="36"/>
      <c r="AB145" s="2"/>
    </row>
    <row r="146" spans="1:28" s="5" customFormat="1" x14ac:dyDescent="0.25">
      <c r="A146" s="150">
        <f>1</f>
        <v>1</v>
      </c>
      <c r="B146" s="131"/>
      <c r="C146" s="3"/>
      <c r="D146" s="3"/>
      <c r="E146" s="3"/>
      <c r="F146" s="3"/>
      <c r="G146" s="3"/>
      <c r="H146" s="3"/>
      <c r="I146" s="28"/>
      <c r="J146" s="3"/>
      <c r="K146" s="28"/>
      <c r="L146" s="3"/>
      <c r="M146" s="55"/>
      <c r="N146" s="3"/>
      <c r="O146" s="3"/>
      <c r="P146" s="46"/>
      <c r="Q146" s="46"/>
      <c r="R146" s="46"/>
      <c r="S146" s="46"/>
      <c r="T146" s="46"/>
      <c r="U146" s="46"/>
      <c r="V146" s="46"/>
      <c r="W146" s="46"/>
      <c r="X146" s="46"/>
      <c r="Y146" s="46"/>
      <c r="Z146" s="46"/>
      <c r="AA146" s="46"/>
      <c r="AB146" s="3"/>
    </row>
    <row r="147" spans="1:28" ht="3.9" customHeight="1" x14ac:dyDescent="0.25">
      <c r="A147" s="149">
        <f>1</f>
        <v>1</v>
      </c>
      <c r="B147" s="131"/>
      <c r="C147" s="2"/>
      <c r="D147" s="2"/>
      <c r="E147" s="2"/>
      <c r="F147" s="2"/>
      <c r="G147" s="2"/>
      <c r="H147" s="2"/>
      <c r="I147" s="28"/>
      <c r="J147" s="2"/>
      <c r="K147" s="28"/>
      <c r="L147" s="2"/>
      <c r="M147" s="52"/>
      <c r="N147" s="2"/>
      <c r="O147" s="2"/>
      <c r="P147" s="36"/>
      <c r="Q147" s="36"/>
      <c r="R147" s="36"/>
      <c r="S147" s="36"/>
      <c r="T147" s="36"/>
      <c r="U147" s="36"/>
      <c r="V147" s="36"/>
      <c r="W147" s="36"/>
      <c r="X147" s="36"/>
      <c r="Y147" s="36"/>
      <c r="Z147" s="36"/>
      <c r="AA147" s="36"/>
      <c r="AB147" s="2"/>
    </row>
    <row r="148" spans="1:28" s="5" customFormat="1" x14ac:dyDescent="0.25">
      <c r="A148" s="150">
        <f>1</f>
        <v>1</v>
      </c>
      <c r="B148" s="131"/>
      <c r="C148" s="3"/>
      <c r="D148" s="3"/>
      <c r="E148" s="181" t="s">
        <v>275</v>
      </c>
      <c r="F148" s="3"/>
      <c r="G148" s="3"/>
      <c r="H148" s="3"/>
      <c r="I148" s="28"/>
      <c r="J148" s="3"/>
      <c r="K148" s="28"/>
      <c r="L148" s="3"/>
      <c r="M148" s="55"/>
      <c r="N148" s="3"/>
      <c r="O148" s="3"/>
      <c r="P148" s="46"/>
      <c r="Q148" s="46"/>
      <c r="R148" s="46"/>
      <c r="S148" s="46"/>
      <c r="T148" s="46"/>
      <c r="U148" s="46"/>
      <c r="V148" s="46"/>
      <c r="W148" s="46"/>
      <c r="X148" s="46"/>
      <c r="Y148" s="46"/>
      <c r="Z148" s="46"/>
      <c r="AA148" s="46"/>
      <c r="AB148" s="3"/>
    </row>
    <row r="149" spans="1:28" ht="3.9" customHeight="1" x14ac:dyDescent="0.25">
      <c r="A149" s="149">
        <f>1</f>
        <v>1</v>
      </c>
      <c r="B149" s="131"/>
      <c r="C149" s="2"/>
      <c r="D149" s="2"/>
      <c r="E149" s="2"/>
      <c r="F149" s="2"/>
      <c r="G149" s="2"/>
      <c r="H149" s="2"/>
      <c r="I149" s="28"/>
      <c r="J149" s="2"/>
      <c r="K149" s="28"/>
      <c r="L149" s="2"/>
      <c r="M149" s="52"/>
      <c r="N149" s="2"/>
      <c r="O149" s="2"/>
      <c r="P149" s="36"/>
      <c r="Q149" s="36"/>
      <c r="R149" s="36"/>
      <c r="S149" s="36"/>
      <c r="T149" s="36"/>
      <c r="U149" s="36"/>
      <c r="V149" s="36"/>
      <c r="W149" s="36"/>
      <c r="X149" s="36"/>
      <c r="Y149" s="36"/>
      <c r="Z149" s="36"/>
      <c r="AA149" s="36"/>
      <c r="AB149" s="2"/>
    </row>
    <row r="150" spans="1:28" ht="8.1" customHeight="1" x14ac:dyDescent="0.25">
      <c r="A150" s="149">
        <f>1</f>
        <v>1</v>
      </c>
      <c r="B150" s="131"/>
      <c r="C150" s="2"/>
      <c r="D150" s="2"/>
      <c r="E150" s="2"/>
      <c r="F150" s="2"/>
      <c r="G150" s="2"/>
      <c r="H150" s="2"/>
      <c r="I150" s="28"/>
      <c r="J150" s="2"/>
      <c r="K150" s="28"/>
      <c r="L150" s="2"/>
      <c r="M150" s="52"/>
      <c r="N150" s="2"/>
      <c r="O150" s="2"/>
      <c r="P150" s="36"/>
      <c r="Q150" s="36"/>
      <c r="R150" s="36"/>
      <c r="S150" s="36"/>
      <c r="T150" s="36"/>
      <c r="U150" s="36"/>
      <c r="V150" s="36"/>
      <c r="W150" s="36"/>
      <c r="X150" s="36"/>
      <c r="Y150" s="36"/>
      <c r="Z150" s="36"/>
      <c r="AA150" s="36"/>
      <c r="AB150" s="2"/>
    </row>
    <row r="151" spans="1:28" ht="3.9" customHeight="1" x14ac:dyDescent="0.25">
      <c r="A151" s="149">
        <f>1</f>
        <v>1</v>
      </c>
      <c r="B151" s="131"/>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2"/>
    </row>
    <row r="152" spans="1:28" s="157" customFormat="1" x14ac:dyDescent="0.25">
      <c r="A152" s="150">
        <f>1</f>
        <v>1</v>
      </c>
      <c r="B152" s="156" t="str">
        <f>структура!$J$12</f>
        <v>ОСНО</v>
      </c>
      <c r="C152" s="155"/>
      <c r="D152" s="155"/>
      <c r="E152" s="220" t="str">
        <f>KPI!$E$97</f>
        <v>Возмещение НДС по кап/затратам</v>
      </c>
      <c r="F152" s="220"/>
      <c r="G152" s="220" t="str">
        <f>IF($E152="","",INDEX(KPI!$G:$G,SUMIFS(KPI!$B:$B,KPI!$E:$E,$E152)))</f>
        <v>тыс.руб.</v>
      </c>
      <c r="H152" s="220"/>
      <c r="I152" s="221"/>
      <c r="J152" s="220"/>
      <c r="K152" s="221"/>
      <c r="L152" s="220"/>
      <c r="M152" s="222">
        <f>SUM($O152:$AB152)</f>
        <v>2641.7291400000004</v>
      </c>
      <c r="N152" s="155"/>
      <c r="O152" s="155"/>
      <c r="P152" s="223">
        <f>IF(P$1="",0,IF(1+опер3!$P$346=0,0,опер3!$P$346*(капитал!$M$102+капитал!$M$109)/(1+опер3!$P$346)))</f>
        <v>2641.7291400000004</v>
      </c>
      <c r="Q152" s="223"/>
      <c r="R152" s="223"/>
      <c r="S152" s="223"/>
      <c r="T152" s="223"/>
      <c r="U152" s="223"/>
      <c r="V152" s="223"/>
      <c r="W152" s="223"/>
      <c r="X152" s="223"/>
      <c r="Y152" s="223"/>
      <c r="Z152" s="223"/>
      <c r="AA152" s="223"/>
      <c r="AB152" s="155"/>
    </row>
    <row r="153" spans="1:28" ht="3.9" customHeight="1" x14ac:dyDescent="0.25">
      <c r="A153" s="149">
        <f>1</f>
        <v>1</v>
      </c>
      <c r="B153" s="131"/>
      <c r="C153" s="2"/>
      <c r="D153" s="2"/>
      <c r="E153" s="117"/>
      <c r="F153" s="2"/>
      <c r="G153" s="117"/>
      <c r="H153" s="2"/>
      <c r="I153" s="28"/>
      <c r="J153" s="2"/>
      <c r="K153" s="28"/>
      <c r="L153" s="2"/>
      <c r="M153" s="138"/>
      <c r="N153" s="2"/>
      <c r="O153" s="2"/>
      <c r="P153" s="36"/>
      <c r="Q153" s="36"/>
      <c r="R153" s="36"/>
      <c r="S153" s="36"/>
      <c r="T153" s="36"/>
      <c r="U153" s="36"/>
      <c r="V153" s="36"/>
      <c r="W153" s="36"/>
      <c r="X153" s="36"/>
      <c r="Y153" s="36"/>
      <c r="Z153" s="36"/>
      <c r="AA153" s="36"/>
      <c r="AB153" s="2"/>
    </row>
    <row r="154" spans="1:28" ht="3.9" customHeight="1" x14ac:dyDescent="0.25">
      <c r="A154" s="149">
        <f>1</f>
        <v>1</v>
      </c>
      <c r="B154" s="131"/>
      <c r="C154" s="2"/>
      <c r="D154" s="2"/>
      <c r="E154" s="2"/>
      <c r="F154" s="2"/>
      <c r="G154" s="2"/>
      <c r="H154" s="2"/>
      <c r="I154" s="28"/>
      <c r="J154" s="2"/>
      <c r="K154" s="28"/>
      <c r="L154" s="2"/>
      <c r="M154" s="52"/>
      <c r="N154" s="2"/>
      <c r="O154" s="2"/>
      <c r="P154" s="36"/>
      <c r="Q154" s="36"/>
      <c r="R154" s="36"/>
      <c r="S154" s="36"/>
      <c r="T154" s="36"/>
      <c r="U154" s="36"/>
      <c r="V154" s="36"/>
      <c r="W154" s="36"/>
      <c r="X154" s="36"/>
      <c r="Y154" s="36"/>
      <c r="Z154" s="36"/>
      <c r="AA154" s="36"/>
      <c r="AB154" s="2"/>
    </row>
    <row r="155" spans="1:28" s="5" customFormat="1" x14ac:dyDescent="0.25">
      <c r="A155" s="150">
        <f>1</f>
        <v>1</v>
      </c>
      <c r="B155" s="129" t="str">
        <f>структура!$J$12</f>
        <v>ОСНО</v>
      </c>
      <c r="C155" s="3"/>
      <c r="D155" s="3"/>
      <c r="E155" s="147" t="str">
        <f>KPI!$E$89</f>
        <v>приток денежных средств</v>
      </c>
      <c r="F155" s="147"/>
      <c r="G155" s="147" t="str">
        <f>IF($E155="","",INDEX(KPI!$G:$G,SUMIFS(KPI!$B:$B,KPI!$E:$E,$E155)))</f>
        <v>тыс.руб.</v>
      </c>
      <c r="H155" s="147"/>
      <c r="I155" s="170"/>
      <c r="J155" s="147"/>
      <c r="K155" s="170"/>
      <c r="L155" s="147"/>
      <c r="M155" s="171">
        <f>SUM($O155:$AB155)</f>
        <v>159582.30221692304</v>
      </c>
      <c r="N155" s="3"/>
      <c r="O155" s="3"/>
      <c r="P155" s="172">
        <f>IF(P$1="",0,P$16*(1+опер3!P$346)+P152)</f>
        <v>22291.78260153846</v>
      </c>
      <c r="Q155" s="172">
        <f>IF(Q$1="",0,Q$16*(1+опер3!Q$346))</f>
        <v>20283.503461538457</v>
      </c>
      <c r="R155" s="172">
        <f>IF(R$1="",0,R$16*(1+опер3!R$346))</f>
        <v>21268.665384615389</v>
      </c>
      <c r="S155" s="172">
        <f>IF(S$1="",0,S$16*(1+опер3!S$346))</f>
        <v>21867.128461538457</v>
      </c>
      <c r="T155" s="172">
        <f>IF(T$1="",0,T$16*(1+опер3!T$346))</f>
        <v>22817.30346153846</v>
      </c>
      <c r="U155" s="172">
        <f>IF(U$1="",0,U$16*(1+опер3!U$346))</f>
        <v>24400.92846153846</v>
      </c>
      <c r="V155" s="172">
        <f>IF(V$1="",0,V$16*(1+опер3!V$346))</f>
        <v>26652.990384615383</v>
      </c>
      <c r="W155" s="172">
        <f>IF(W$1="",0,W$16*(1+опер3!W$346))</f>
        <v>0</v>
      </c>
      <c r="X155" s="172">
        <f>IF(X$1="",0,X$16*(1+опер3!X$346))</f>
        <v>0</v>
      </c>
      <c r="Y155" s="172">
        <f>IF(Y$1="",0,Y$16*(1+опер3!Y$346))</f>
        <v>0</v>
      </c>
      <c r="Z155" s="172">
        <f>IF(Z$1="",0,Z$16*(1+опер3!Z$346))</f>
        <v>0</v>
      </c>
      <c r="AA155" s="172">
        <f>IF(AA$1="",0,AA$16*(1+опер3!AA$346))</f>
        <v>0</v>
      </c>
      <c r="AB155" s="3"/>
    </row>
    <row r="156" spans="1:28" s="5" customFormat="1" ht="3.9" customHeight="1" x14ac:dyDescent="0.25">
      <c r="A156" s="150">
        <f>1</f>
        <v>1</v>
      </c>
      <c r="B156" s="128"/>
      <c r="C156" s="3"/>
      <c r="D156" s="3"/>
      <c r="E156" s="3"/>
      <c r="F156" s="3"/>
      <c r="G156" s="3"/>
      <c r="H156" s="3"/>
      <c r="I156" s="28"/>
      <c r="J156" s="3"/>
      <c r="K156" s="28"/>
      <c r="L156" s="3"/>
      <c r="M156" s="55"/>
      <c r="N156" s="3"/>
      <c r="O156" s="3"/>
      <c r="P156" s="46"/>
      <c r="Q156" s="46"/>
      <c r="R156" s="46"/>
      <c r="S156" s="46"/>
      <c r="T156" s="46"/>
      <c r="U156" s="46"/>
      <c r="V156" s="46"/>
      <c r="W156" s="46"/>
      <c r="X156" s="46"/>
      <c r="Y156" s="46"/>
      <c r="Z156" s="46"/>
      <c r="AA156" s="46"/>
      <c r="AB156" s="3"/>
    </row>
    <row r="157" spans="1:28" s="5" customFormat="1" x14ac:dyDescent="0.25">
      <c r="A157" s="150">
        <f>1</f>
        <v>1</v>
      </c>
      <c r="B157" s="129" t="str">
        <f>структура!$J$13</f>
        <v>УСН(6%)</v>
      </c>
      <c r="C157" s="3"/>
      <c r="D157" s="3"/>
      <c r="E157" s="147" t="str">
        <f>E155</f>
        <v>приток денежных средств</v>
      </c>
      <c r="F157" s="147"/>
      <c r="G157" s="147" t="str">
        <f>IF($E157="","",INDEX(KPI!$G:$G,SUMIFS(KPI!$B:$B,KPI!$E:$E,$E157)))</f>
        <v>тыс.руб.</v>
      </c>
      <c r="H157" s="147"/>
      <c r="I157" s="170"/>
      <c r="J157" s="147"/>
      <c r="K157" s="170"/>
      <c r="L157" s="147"/>
      <c r="M157" s="171">
        <f>SUM($O157:$AB157)</f>
        <v>156940.57307692306</v>
      </c>
      <c r="N157" s="3"/>
      <c r="O157" s="3"/>
      <c r="P157" s="172">
        <f>IF(P$1="",0,P18)</f>
        <v>19650.05346153846</v>
      </c>
      <c r="Q157" s="172">
        <f t="shared" ref="Q157:AA157" si="6">IF(Q$1="",0,Q18)</f>
        <v>20283.503461538457</v>
      </c>
      <c r="R157" s="172">
        <f t="shared" si="6"/>
        <v>21268.665384615386</v>
      </c>
      <c r="S157" s="172">
        <f t="shared" si="6"/>
        <v>21867.128461538457</v>
      </c>
      <c r="T157" s="172">
        <f t="shared" si="6"/>
        <v>22817.30346153846</v>
      </c>
      <c r="U157" s="172">
        <f t="shared" si="6"/>
        <v>24400.92846153846</v>
      </c>
      <c r="V157" s="172">
        <f t="shared" si="6"/>
        <v>26652.990384615383</v>
      </c>
      <c r="W157" s="172">
        <f t="shared" si="6"/>
        <v>0</v>
      </c>
      <c r="X157" s="172">
        <f t="shared" si="6"/>
        <v>0</v>
      </c>
      <c r="Y157" s="172">
        <f t="shared" si="6"/>
        <v>0</v>
      </c>
      <c r="Z157" s="172">
        <f t="shared" si="6"/>
        <v>0</v>
      </c>
      <c r="AA157" s="172">
        <f t="shared" si="6"/>
        <v>0</v>
      </c>
      <c r="AB157" s="3"/>
    </row>
    <row r="158" spans="1:28" s="5" customFormat="1" ht="3.9" customHeight="1" x14ac:dyDescent="0.25">
      <c r="A158" s="150">
        <f>1</f>
        <v>1</v>
      </c>
      <c r="B158" s="128"/>
      <c r="C158" s="3"/>
      <c r="D158" s="3"/>
      <c r="E158" s="3"/>
      <c r="F158" s="3"/>
      <c r="G158" s="3"/>
      <c r="H158" s="3"/>
      <c r="I158" s="28"/>
      <c r="J158" s="3"/>
      <c r="K158" s="28"/>
      <c r="L158" s="3"/>
      <c r="M158" s="55"/>
      <c r="N158" s="3"/>
      <c r="O158" s="3"/>
      <c r="P158" s="46"/>
      <c r="Q158" s="46"/>
      <c r="R158" s="46"/>
      <c r="S158" s="46"/>
      <c r="T158" s="46"/>
      <c r="U158" s="46"/>
      <c r="V158" s="46"/>
      <c r="W158" s="46"/>
      <c r="X158" s="46"/>
      <c r="Y158" s="46"/>
      <c r="Z158" s="46"/>
      <c r="AA158" s="46"/>
      <c r="AB158" s="3"/>
    </row>
    <row r="159" spans="1:28" s="5" customFormat="1" x14ac:dyDescent="0.25">
      <c r="A159" s="150">
        <f>1</f>
        <v>1</v>
      </c>
      <c r="B159" s="129" t="str">
        <f>структура!$J$14</f>
        <v>УСН(15%)</v>
      </c>
      <c r="C159" s="3"/>
      <c r="D159" s="3"/>
      <c r="E159" s="147" t="str">
        <f>E155</f>
        <v>приток денежных средств</v>
      </c>
      <c r="F159" s="147"/>
      <c r="G159" s="147" t="str">
        <f>IF($E159="","",INDEX(KPI!$G:$G,SUMIFS(KPI!$B:$B,KPI!$E:$E,$E159)))</f>
        <v>тыс.руб.</v>
      </c>
      <c r="H159" s="147"/>
      <c r="I159" s="170"/>
      <c r="J159" s="147"/>
      <c r="K159" s="170"/>
      <c r="L159" s="147"/>
      <c r="M159" s="171">
        <f>SUM($O159:$AB159)</f>
        <v>156940.57307692306</v>
      </c>
      <c r="N159" s="3"/>
      <c r="O159" s="3"/>
      <c r="P159" s="172">
        <f>IF(P$1="",0,P20)</f>
        <v>19650.05346153846</v>
      </c>
      <c r="Q159" s="172">
        <f t="shared" ref="Q159:AA159" si="7">IF(Q$1="",0,Q20)</f>
        <v>20283.503461538457</v>
      </c>
      <c r="R159" s="172">
        <f t="shared" si="7"/>
        <v>21268.665384615386</v>
      </c>
      <c r="S159" s="172">
        <f t="shared" si="7"/>
        <v>21867.128461538457</v>
      </c>
      <c r="T159" s="172">
        <f t="shared" si="7"/>
        <v>22817.30346153846</v>
      </c>
      <c r="U159" s="172">
        <f t="shared" si="7"/>
        <v>24400.92846153846</v>
      </c>
      <c r="V159" s="172">
        <f t="shared" si="7"/>
        <v>26652.990384615383</v>
      </c>
      <c r="W159" s="172">
        <f t="shared" si="7"/>
        <v>0</v>
      </c>
      <c r="X159" s="172">
        <f t="shared" si="7"/>
        <v>0</v>
      </c>
      <c r="Y159" s="172">
        <f t="shared" si="7"/>
        <v>0</v>
      </c>
      <c r="Z159" s="172">
        <f t="shared" si="7"/>
        <v>0</v>
      </c>
      <c r="AA159" s="172">
        <f t="shared" si="7"/>
        <v>0</v>
      </c>
      <c r="AB159" s="3"/>
    </row>
    <row r="160" spans="1:28" s="5" customFormat="1" ht="3.9" customHeight="1" x14ac:dyDescent="0.25">
      <c r="A160" s="150">
        <f>1</f>
        <v>1</v>
      </c>
      <c r="B160" s="128"/>
      <c r="C160" s="3"/>
      <c r="D160" s="3"/>
      <c r="E160" s="3"/>
      <c r="F160" s="3"/>
      <c r="G160" s="3"/>
      <c r="H160" s="3"/>
      <c r="I160" s="28"/>
      <c r="J160" s="3"/>
      <c r="K160" s="28"/>
      <c r="L160" s="3"/>
      <c r="M160" s="55"/>
      <c r="N160" s="3"/>
      <c r="O160" s="3"/>
      <c r="P160" s="46"/>
      <c r="Q160" s="46"/>
      <c r="R160" s="46"/>
      <c r="S160" s="46"/>
      <c r="T160" s="46"/>
      <c r="U160" s="46"/>
      <c r="V160" s="46"/>
      <c r="W160" s="46"/>
      <c r="X160" s="46"/>
      <c r="Y160" s="46"/>
      <c r="Z160" s="46"/>
      <c r="AA160" s="46"/>
      <c r="AB160" s="3"/>
    </row>
    <row r="161" spans="1:28" s="5" customFormat="1" x14ac:dyDescent="0.25">
      <c r="A161" s="150">
        <f>1</f>
        <v>1</v>
      </c>
      <c r="B161" s="129" t="str">
        <f>структура!$J$15</f>
        <v>УСН(6%)-ИП</v>
      </c>
      <c r="C161" s="3"/>
      <c r="D161" s="3"/>
      <c r="E161" s="147" t="str">
        <f>E155</f>
        <v>приток денежных средств</v>
      </c>
      <c r="F161" s="147"/>
      <c r="G161" s="147" t="str">
        <f>IF($E161="","",INDEX(KPI!$G:$G,SUMIFS(KPI!$B:$B,KPI!$E:$E,$E161)))</f>
        <v>тыс.руб.</v>
      </c>
      <c r="H161" s="147"/>
      <c r="I161" s="170"/>
      <c r="J161" s="147"/>
      <c r="K161" s="170"/>
      <c r="L161" s="147"/>
      <c r="M161" s="171">
        <f>SUM($O161:$AB161)</f>
        <v>156940.57307692306</v>
      </c>
      <c r="N161" s="3"/>
      <c r="O161" s="3"/>
      <c r="P161" s="172">
        <f>IF(P$1="",0,P22)</f>
        <v>19650.05346153846</v>
      </c>
      <c r="Q161" s="172">
        <f t="shared" ref="Q161:AA161" si="8">IF(Q$1="",0,Q22)</f>
        <v>20283.503461538457</v>
      </c>
      <c r="R161" s="172">
        <f t="shared" si="8"/>
        <v>21268.665384615386</v>
      </c>
      <c r="S161" s="172">
        <f t="shared" si="8"/>
        <v>21867.128461538457</v>
      </c>
      <c r="T161" s="172">
        <f t="shared" si="8"/>
        <v>22817.30346153846</v>
      </c>
      <c r="U161" s="172">
        <f t="shared" si="8"/>
        <v>24400.92846153846</v>
      </c>
      <c r="V161" s="172">
        <f t="shared" si="8"/>
        <v>26652.990384615383</v>
      </c>
      <c r="W161" s="172">
        <f t="shared" si="8"/>
        <v>0</v>
      </c>
      <c r="X161" s="172">
        <f t="shared" si="8"/>
        <v>0</v>
      </c>
      <c r="Y161" s="172">
        <f t="shared" si="8"/>
        <v>0</v>
      </c>
      <c r="Z161" s="172">
        <f t="shared" si="8"/>
        <v>0</v>
      </c>
      <c r="AA161" s="172">
        <f t="shared" si="8"/>
        <v>0</v>
      </c>
      <c r="AB161" s="3"/>
    </row>
    <row r="162" spans="1:28" ht="3.9" customHeight="1" x14ac:dyDescent="0.25">
      <c r="A162" s="149">
        <f>1</f>
        <v>1</v>
      </c>
      <c r="B162" s="131"/>
      <c r="C162" s="2"/>
      <c r="D162" s="2"/>
      <c r="E162" s="117"/>
      <c r="F162" s="2"/>
      <c r="G162" s="117"/>
      <c r="H162" s="2"/>
      <c r="I162" s="28"/>
      <c r="J162" s="2"/>
      <c r="K162" s="28"/>
      <c r="L162" s="2"/>
      <c r="M162" s="138"/>
      <c r="N162" s="2"/>
      <c r="O162" s="2"/>
      <c r="P162" s="36"/>
      <c r="Q162" s="36"/>
      <c r="R162" s="36"/>
      <c r="S162" s="36"/>
      <c r="T162" s="36"/>
      <c r="U162" s="36"/>
      <c r="V162" s="36"/>
      <c r="W162" s="36"/>
      <c r="X162" s="36"/>
      <c r="Y162" s="36"/>
      <c r="Z162" s="36"/>
      <c r="AA162" s="36"/>
      <c r="AB162" s="2"/>
    </row>
    <row r="163" spans="1:28" ht="8.1" customHeight="1" x14ac:dyDescent="0.25">
      <c r="A163" s="149">
        <f>1</f>
        <v>1</v>
      </c>
      <c r="B163" s="131"/>
      <c r="C163" s="2"/>
      <c r="D163" s="2"/>
      <c r="E163" s="2"/>
      <c r="F163" s="2"/>
      <c r="G163" s="2"/>
      <c r="H163" s="2"/>
      <c r="I163" s="28"/>
      <c r="J163" s="2"/>
      <c r="K163" s="28"/>
      <c r="L163" s="2"/>
      <c r="M163" s="52"/>
      <c r="N163" s="2"/>
      <c r="O163" s="2"/>
      <c r="P163" s="36"/>
      <c r="Q163" s="36"/>
      <c r="R163" s="36"/>
      <c r="S163" s="36"/>
      <c r="T163" s="36"/>
      <c r="U163" s="36"/>
      <c r="V163" s="36"/>
      <c r="W163" s="36"/>
      <c r="X163" s="36"/>
      <c r="Y163" s="36"/>
      <c r="Z163" s="36"/>
      <c r="AA163" s="36"/>
      <c r="AB163" s="2"/>
    </row>
    <row r="164" spans="1:28" ht="3.9" customHeight="1" x14ac:dyDescent="0.25">
      <c r="A164" s="149">
        <f>1</f>
        <v>1</v>
      </c>
      <c r="B164" s="131"/>
      <c r="C164" s="2"/>
      <c r="D164" s="2"/>
      <c r="E164" s="2"/>
      <c r="F164" s="2"/>
      <c r="G164" s="2"/>
      <c r="H164" s="2"/>
      <c r="I164" s="28"/>
      <c r="J164" s="2"/>
      <c r="K164" s="28"/>
      <c r="L164" s="2"/>
      <c r="M164" s="52"/>
      <c r="N164" s="2"/>
      <c r="O164" s="2"/>
      <c r="P164" s="36"/>
      <c r="Q164" s="36"/>
      <c r="R164" s="36"/>
      <c r="S164" s="36"/>
      <c r="T164" s="36"/>
      <c r="U164" s="36"/>
      <c r="V164" s="36"/>
      <c r="W164" s="36"/>
      <c r="X164" s="36"/>
      <c r="Y164" s="36"/>
      <c r="Z164" s="36"/>
      <c r="AA164" s="36"/>
      <c r="AB164" s="2"/>
    </row>
    <row r="165" spans="1:28" s="5" customFormat="1" x14ac:dyDescent="0.25">
      <c r="A165" s="150">
        <f>1</f>
        <v>1</v>
      </c>
      <c r="B165" s="129" t="str">
        <f>структура!$J$12</f>
        <v>ОСНО</v>
      </c>
      <c r="C165" s="3"/>
      <c r="D165" s="3"/>
      <c r="E165" s="173" t="str">
        <f>KPI!$E$90</f>
        <v>отток денежных средств</v>
      </c>
      <c r="F165" s="173"/>
      <c r="G165" s="173" t="str">
        <f>IF($E165="","",INDEX(KPI!$G:$G,SUMIFS(KPI!$B:$B,KPI!$E:$E,$E165)))</f>
        <v>тыс.руб.</v>
      </c>
      <c r="H165" s="173"/>
      <c r="I165" s="174"/>
      <c r="J165" s="173"/>
      <c r="K165" s="174"/>
      <c r="L165" s="173"/>
      <c r="M165" s="175">
        <f>SUM($O165:$AB165)</f>
        <v>87448.058927306498</v>
      </c>
      <c r="N165" s="3"/>
      <c r="O165" s="3"/>
      <c r="P165" s="176">
        <f>IF(P$1="",0,опер3!P$157+опер3!P$190+опер3!P$240+опер3!P$260+опер3!P$293+опер3!P$311+опер3!P$329)</f>
        <v>8629.6128854283324</v>
      </c>
      <c r="Q165" s="176">
        <f>IF(Q$1="",0,опер3!Q$157+опер3!Q$190+опер3!Q$240+опер3!Q$260+опер3!Q$293+опер3!Q$311+опер3!Q$329+P$16*опер3!P$346-P$107+P$127)</f>
        <v>12452.928654607898</v>
      </c>
      <c r="R165" s="176">
        <f>IF(R$1="",0,опер3!R$157+опер3!R$190+опер3!R$240+опер3!R$260+опер3!R$293+опер3!R$311+опер3!R$329+Q$16*опер3!Q$346-Q$107+Q$127)</f>
        <v>12568.362349223282</v>
      </c>
      <c r="S165" s="176">
        <f>IF(S$1="",0,опер3!S$157+опер3!S$190+опер3!S$240+опер3!S$260+опер3!S$293+опер3!S$311+опер3!S$329+R$16*опер3!R$346-R$107+R$127)</f>
        <v>12782.342578197644</v>
      </c>
      <c r="T165" s="176">
        <f>IF(T$1="",0,опер3!T$157+опер3!T$190+опер3!T$240+опер3!T$260+опер3!T$293+опер3!T$311+опер3!T$329+S$16*опер3!S$346-S$107+S$127)</f>
        <v>13150.604691787386</v>
      </c>
      <c r="U165" s="176">
        <f>IF(U$1="",0,опер3!U$157+опер3!U$190+опер3!U$240+опер3!U$260+опер3!U$293+опер3!U$311+опер3!U$329+T$16*опер3!T$346-T$107+T$127)</f>
        <v>13558.823906402769</v>
      </c>
      <c r="V165" s="176">
        <f>IF(V$1="",0,опер3!V$157+опер3!V$190+опер3!V$240+опер3!V$260+опер3!V$293+опер3!V$311+опер3!V$329+U$16*опер3!U$346-U$107+U$127)</f>
        <v>14305.383861659182</v>
      </c>
      <c r="W165" s="176">
        <f>IF(W$1="",0,опер3!W$157+опер3!W$190+опер3!W$240+опер3!W$260+опер3!W$293+опер3!W$311+опер3!W$329+V$16*опер3!V$346-V$107+V$127)</f>
        <v>0</v>
      </c>
      <c r="X165" s="176">
        <f>IF(X$1="",0,опер3!X$157+опер3!X$190+опер3!X$240+опер3!X$260+опер3!X$293+опер3!X$311+опер3!X$329+W$16*опер3!W$346-W$107+W$127)</f>
        <v>0</v>
      </c>
      <c r="Y165" s="176">
        <f>IF(Y$1="",0,опер3!Y$157+опер3!Y$190+опер3!Y$240+опер3!Y$260+опер3!Y$293+опер3!Y$311+опер3!Y$329+X$16*опер3!X$346-X$107+X$127)</f>
        <v>0</v>
      </c>
      <c r="Z165" s="176">
        <f>IF(Z$1="",0,опер3!Z$157+опер3!Z$190+опер3!Z$240+опер3!Z$260+опер3!Z$293+опер3!Z$311+опер3!Z$329+Y$16*опер3!Y$346-Y$107+Y$127)</f>
        <v>0</v>
      </c>
      <c r="AA165" s="176">
        <f>IF(AA$1="",0,опер3!AA$157+опер3!AA$190+опер3!AA$240+опер3!AA$260+опер3!AA$293+опер3!AA$311+опер3!AA$329+Z$16*опер3!Z$346-Z$107+Z$127)</f>
        <v>0</v>
      </c>
      <c r="AB165" s="3"/>
    </row>
    <row r="166" spans="1:28" s="5" customFormat="1" ht="3.9" customHeight="1" x14ac:dyDescent="0.25">
      <c r="A166" s="150">
        <f>1</f>
        <v>1</v>
      </c>
      <c r="B166" s="128"/>
      <c r="C166" s="3"/>
      <c r="D166" s="3"/>
      <c r="E166" s="3"/>
      <c r="F166" s="3"/>
      <c r="G166" s="3"/>
      <c r="H166" s="3"/>
      <c r="I166" s="28"/>
      <c r="J166" s="3"/>
      <c r="K166" s="28"/>
      <c r="L166" s="3"/>
      <c r="M166" s="55"/>
      <c r="N166" s="3"/>
      <c r="O166" s="3"/>
      <c r="P166" s="46"/>
      <c r="Q166" s="46"/>
      <c r="R166" s="46"/>
      <c r="S166" s="46"/>
      <c r="T166" s="46"/>
      <c r="U166" s="46"/>
      <c r="V166" s="46"/>
      <c r="W166" s="46"/>
      <c r="X166" s="46"/>
      <c r="Y166" s="46"/>
      <c r="Z166" s="46"/>
      <c r="AA166" s="46"/>
      <c r="AB166" s="3"/>
    </row>
    <row r="167" spans="1:28" s="5" customFormat="1" x14ac:dyDescent="0.25">
      <c r="A167" s="150">
        <f>1</f>
        <v>1</v>
      </c>
      <c r="B167" s="129" t="str">
        <f>структура!$J$13</f>
        <v>УСН(6%)</v>
      </c>
      <c r="C167" s="3"/>
      <c r="D167" s="3"/>
      <c r="E167" s="173" t="str">
        <f>E165</f>
        <v>отток денежных средств</v>
      </c>
      <c r="F167" s="173"/>
      <c r="G167" s="173" t="str">
        <f>IF($E167="","",INDEX(KPI!$G:$G,SUMIFS(KPI!$B:$B,KPI!$E:$E,$E167)))</f>
        <v>тыс.руб.</v>
      </c>
      <c r="H167" s="173"/>
      <c r="I167" s="174"/>
      <c r="J167" s="173"/>
      <c r="K167" s="174"/>
      <c r="L167" s="173"/>
      <c r="M167" s="175">
        <f>SUM($O167:$AB167)</f>
        <v>66725.129536844484</v>
      </c>
      <c r="N167" s="3"/>
      <c r="O167" s="3"/>
      <c r="P167" s="176">
        <f>IF(P$1="",0,опер3!P$157+опер3!P$190+опер3!P$240+опер3!P$260+опер3!P$293+опер3!P$311+опер3!P$329)</f>
        <v>8629.6128854283324</v>
      </c>
      <c r="Q167" s="176">
        <f>IF(Q$1="",0,опер3!Q$157+опер3!Q$190+опер3!Q$240+опер3!Q$260+опер3!Q$293+опер3!Q$311+опер3!Q$329+P$129)</f>
        <v>9396.9273492744851</v>
      </c>
      <c r="R167" s="176">
        <f>IF(R$1="",0,опер3!R$157+опер3!R$190+опер3!R$240+опер3!R$260+опер3!R$293+опер3!R$311+опер3!R$329+Q$129)</f>
        <v>9351.8870438898703</v>
      </c>
      <c r="S167" s="176">
        <f>IF(S$1="",0,опер3!S$157+опер3!S$190+опер3!S$240+опер3!S$260+опер3!S$293+опер3!S$311+опер3!S$329+R$129)</f>
        <v>9245.6868877360248</v>
      </c>
      <c r="T167" s="176">
        <f>IF(T$1="",0,опер3!T$157+опер3!T$190+опер3!T$240+опер3!T$260+опер3!T$293+опер3!T$311+опер3!T$329+S$129)</f>
        <v>9387.1635300437174</v>
      </c>
      <c r="U167" s="176">
        <f>IF(U$1="",0,опер3!U$157+опер3!U$190+опер3!U$240+опер3!U$260+опер3!U$293+опер3!U$311+опер3!U$329+T$129)</f>
        <v>10192.629948505255</v>
      </c>
      <c r="V167" s="176">
        <f>IF(V$1="",0,опер3!V$157+опер3!V$190+опер3!V$240+опер3!V$260+опер3!V$293+опер3!V$311+опер3!V$329+U$129)</f>
        <v>10521.221891966794</v>
      </c>
      <c r="W167" s="176">
        <f>IF(W$1="",0,опер3!W$157+опер3!W$190+опер3!W$240+опер3!W$260+опер3!W$293+опер3!W$311+опер3!W$329+V$129)</f>
        <v>0</v>
      </c>
      <c r="X167" s="176">
        <f>IF(X$1="",0,опер3!X$157+опер3!X$190+опер3!X$240+опер3!X$260+опер3!X$293+опер3!X$311+опер3!X$329+W$129)</f>
        <v>0</v>
      </c>
      <c r="Y167" s="176">
        <f>IF(Y$1="",0,опер3!Y$157+опер3!Y$190+опер3!Y$240+опер3!Y$260+опер3!Y$293+опер3!Y$311+опер3!Y$329+X$129)</f>
        <v>0</v>
      </c>
      <c r="Z167" s="176">
        <f>IF(Z$1="",0,опер3!Z$157+опер3!Z$190+опер3!Z$240+опер3!Z$260+опер3!Z$293+опер3!Z$311+опер3!Z$329+Y$129)</f>
        <v>0</v>
      </c>
      <c r="AA167" s="176">
        <f>IF(AA$1="",0,опер3!AA$157+опер3!AA$190+опер3!AA$240+опер3!AA$260+опер3!AA$293+опер3!AA$311+опер3!AA$329+Z$129)</f>
        <v>0</v>
      </c>
      <c r="AB167" s="3"/>
    </row>
    <row r="168" spans="1:28" s="5" customFormat="1" ht="3.9" customHeight="1" x14ac:dyDescent="0.25">
      <c r="A168" s="150">
        <f>1</f>
        <v>1</v>
      </c>
      <c r="B168" s="128"/>
      <c r="C168" s="3"/>
      <c r="D168" s="3"/>
      <c r="E168" s="3"/>
      <c r="F168" s="3"/>
      <c r="G168" s="3"/>
      <c r="H168" s="3"/>
      <c r="I168" s="28"/>
      <c r="J168" s="3"/>
      <c r="K168" s="28"/>
      <c r="L168" s="3"/>
      <c r="M168" s="55"/>
      <c r="N168" s="3"/>
      <c r="O168" s="3"/>
      <c r="P168" s="46"/>
      <c r="Q168" s="46"/>
      <c r="R168" s="46"/>
      <c r="S168" s="46"/>
      <c r="T168" s="46"/>
      <c r="U168" s="46"/>
      <c r="V168" s="46"/>
      <c r="W168" s="46"/>
      <c r="X168" s="46"/>
      <c r="Y168" s="46"/>
      <c r="Z168" s="46"/>
      <c r="AA168" s="46"/>
      <c r="AB168" s="3"/>
    </row>
    <row r="169" spans="1:28" s="5" customFormat="1" x14ac:dyDescent="0.25">
      <c r="A169" s="150">
        <f>1</f>
        <v>1</v>
      </c>
      <c r="B169" s="129" t="str">
        <f>структура!$J$14</f>
        <v>УСН(15%)</v>
      </c>
      <c r="C169" s="3"/>
      <c r="D169" s="3"/>
      <c r="E169" s="173" t="str">
        <f>E165</f>
        <v>отток денежных средств</v>
      </c>
      <c r="F169" s="173"/>
      <c r="G169" s="173" t="str">
        <f>IF($E169="","",INDEX(KPI!$G:$G,SUMIFS(KPI!$B:$B,KPI!$E:$E,$E169)))</f>
        <v>тыс.руб.</v>
      </c>
      <c r="H169" s="173"/>
      <c r="I169" s="174"/>
      <c r="J169" s="173"/>
      <c r="K169" s="174"/>
      <c r="L169" s="173"/>
      <c r="M169" s="175">
        <f>SUM($O169:$AB169)</f>
        <v>73153.673701112828</v>
      </c>
      <c r="N169" s="3"/>
      <c r="O169" s="3"/>
      <c r="P169" s="176">
        <f>IF(P$1="",0,опер3!P$157+опер3!P$190+опер3!P$240+опер3!P$260+опер3!P$293+опер3!P$311+опер3!P$329)</f>
        <v>8629.6128854283324</v>
      </c>
      <c r="Q169" s="176">
        <f>IF(Q$1="",0,опер3!Q$157+опер3!Q$190+опер3!Q$240+опер3!Q$260+опер3!Q$293+опер3!Q$311+опер3!Q$329+P$131)</f>
        <v>10448.07252784485</v>
      </c>
      <c r="R169" s="176">
        <f>IF(R$1="",0,опер3!R$157+опер3!R$190+опер3!R$240+опер3!R$260+опер3!R$293+опер3!R$311+опер3!R$329+Q$131)</f>
        <v>10464.793597460235</v>
      </c>
      <c r="S169" s="176">
        <f>IF(S$1="",0,опер3!S$157+опер3!S$190+опер3!S$240+опер3!S$260+опер3!S$293+опер3!S$311+опер3!S$329+R$131)</f>
        <v>10486.419442883314</v>
      </c>
      <c r="T169" s="176">
        <f>IF(T$1="",0,опер3!T$157+опер3!T$190+опер3!T$240+опер3!T$260+опер3!T$293+опер3!T$311+опер3!T$329+S$131)</f>
        <v>10720.074906498698</v>
      </c>
      <c r="U169" s="176">
        <f>IF(U$1="",0,опер3!U$157+опер3!U$190+опер3!U$240+опер3!U$260+опер3!U$293+опер3!U$311+опер3!U$329+T$131)</f>
        <v>10976.741208614081</v>
      </c>
      <c r="V169" s="176">
        <f>IF(V$1="",0,опер3!V$157+опер3!V$190+опер3!V$240+опер3!V$260+опер3!V$293+опер3!V$311+опер3!V$329+U$131)</f>
        <v>11427.959132383314</v>
      </c>
      <c r="W169" s="176">
        <f>IF(W$1="",0,опер3!W$157+опер3!W$190+опер3!W$240+опер3!W$260+опер3!W$293+опер3!W$311+опер3!W$329+V$131)</f>
        <v>0</v>
      </c>
      <c r="X169" s="176">
        <f>IF(X$1="",0,опер3!X$157+опер3!X$190+опер3!X$240+опер3!X$260+опер3!X$293+опер3!X$311+опер3!X$329+W$131)</f>
        <v>0</v>
      </c>
      <c r="Y169" s="176">
        <f>IF(Y$1="",0,опер3!Y$157+опер3!Y$190+опер3!Y$240+опер3!Y$260+опер3!Y$293+опер3!Y$311+опер3!Y$329+X$131)</f>
        <v>0</v>
      </c>
      <c r="Z169" s="176">
        <f>IF(Z$1="",0,опер3!Z$157+опер3!Z$190+опер3!Z$240+опер3!Z$260+опер3!Z$293+опер3!Z$311+опер3!Z$329+Y$131)</f>
        <v>0</v>
      </c>
      <c r="AA169" s="176">
        <f>IF(AA$1="",0,опер3!AA$157+опер3!AA$190+опер3!AA$240+опер3!AA$260+опер3!AA$293+опер3!AA$311+опер3!AA$329+Z$131)</f>
        <v>0</v>
      </c>
      <c r="AB169" s="3"/>
    </row>
    <row r="170" spans="1:28" s="5" customFormat="1" ht="3.9" customHeight="1" x14ac:dyDescent="0.25">
      <c r="A170" s="150">
        <f>1</f>
        <v>1</v>
      </c>
      <c r="B170" s="128"/>
      <c r="C170" s="3"/>
      <c r="D170" s="3"/>
      <c r="E170" s="3"/>
      <c r="F170" s="3"/>
      <c r="G170" s="3"/>
      <c r="H170" s="3"/>
      <c r="I170" s="28"/>
      <c r="J170" s="3"/>
      <c r="K170" s="28"/>
      <c r="L170" s="3"/>
      <c r="M170" s="55"/>
      <c r="N170" s="3"/>
      <c r="O170" s="3"/>
      <c r="P170" s="46"/>
      <c r="Q170" s="46"/>
      <c r="R170" s="46"/>
      <c r="S170" s="46"/>
      <c r="T170" s="46"/>
      <c r="U170" s="46"/>
      <c r="V170" s="46"/>
      <c r="W170" s="46"/>
      <c r="X170" s="46"/>
      <c r="Y170" s="46"/>
      <c r="Z170" s="46"/>
      <c r="AA170" s="46"/>
      <c r="AB170" s="3"/>
    </row>
    <row r="171" spans="1:28" s="5" customFormat="1" x14ac:dyDescent="0.25">
      <c r="A171" s="150">
        <f>1</f>
        <v>1</v>
      </c>
      <c r="B171" s="129" t="str">
        <f>структура!$J$15</f>
        <v>УСН(6%)-ИП</v>
      </c>
      <c r="C171" s="3"/>
      <c r="D171" s="3"/>
      <c r="E171" s="173" t="str">
        <f>E165</f>
        <v>отток денежных средств</v>
      </c>
      <c r="F171" s="173"/>
      <c r="G171" s="173" t="str">
        <f>IF($E171="","",INDEX(KPI!$G:$G,SUMIFS(KPI!$B:$B,KPI!$E:$E,$E171)))</f>
        <v>тыс.руб.</v>
      </c>
      <c r="H171" s="173"/>
      <c r="I171" s="174"/>
      <c r="J171" s="173"/>
      <c r="K171" s="174"/>
      <c r="L171" s="173"/>
      <c r="M171" s="175">
        <f>SUM($O171:$AB171)</f>
        <v>64233.049013767552</v>
      </c>
      <c r="N171" s="3"/>
      <c r="O171" s="3"/>
      <c r="P171" s="176">
        <f>IF(P$1="",0,опер3!P$157+опер3!P$190+опер3!P$240+опер3!P$260+опер3!P$293+опер3!P$311+опер3!P$329)</f>
        <v>8629.6128854283324</v>
      </c>
      <c r="Q171" s="176">
        <f>IF(Q$1="",0,опер3!Q$157+опер3!Q$190+опер3!Q$240+опер3!Q$260+опер3!Q$293+опер3!Q$311+опер3!Q$329+P$133)</f>
        <v>8807.4257454283306</v>
      </c>
      <c r="R171" s="176">
        <f>IF(R$1="",0,опер3!R$157+опер3!R$190+опер3!R$240+опер3!R$260+опер3!R$293+опер3!R$311+опер3!R$329+Q$133)</f>
        <v>8743.3819400437169</v>
      </c>
      <c r="S171" s="176">
        <f>IF(S$1="",0,опер3!S$157+опер3!S$190+опер3!S$240+опер3!S$260+опер3!S$293+опер3!S$311+опер3!S$329+R$133)</f>
        <v>8607.6269261975631</v>
      </c>
      <c r="T171" s="176">
        <f>IF(T$1="",0,опер3!T$157+опер3!T$190+опер3!T$240+опер3!T$260+опер3!T$293+опер3!T$311+опер3!T$329+S$133)</f>
        <v>8731.1496761975632</v>
      </c>
      <c r="U171" s="176">
        <f>IF(U$1="",0,опер3!U$157+опер3!U$190+опер3!U$240+опер3!U$260+опер3!U$293+опер3!U$311+опер3!U$329+T$133)</f>
        <v>10192.629948505255</v>
      </c>
      <c r="V171" s="176">
        <f>IF(V$1="",0,опер3!V$157+опер3!V$190+опер3!V$240+опер3!V$260+опер3!V$293+опер3!V$311+опер3!V$329+U$133)</f>
        <v>10521.221891966794</v>
      </c>
      <c r="W171" s="176">
        <f>IF(W$1="",0,опер3!W$157+опер3!W$190+опер3!W$240+опер3!W$260+опер3!W$293+опер3!W$311+опер3!W$329+V$133)</f>
        <v>0</v>
      </c>
      <c r="X171" s="176">
        <f>IF(X$1="",0,опер3!X$157+опер3!X$190+опер3!X$240+опер3!X$260+опер3!X$293+опер3!X$311+опер3!X$329+W$133)</f>
        <v>0</v>
      </c>
      <c r="Y171" s="176">
        <f>IF(Y$1="",0,опер3!Y$157+опер3!Y$190+опер3!Y$240+опер3!Y$260+опер3!Y$293+опер3!Y$311+опер3!Y$329+X$133)</f>
        <v>0</v>
      </c>
      <c r="Z171" s="176">
        <f>IF(Z$1="",0,опер3!Z$157+опер3!Z$190+опер3!Z$240+опер3!Z$260+опер3!Z$293+опер3!Z$311+опер3!Z$329+Y$133)</f>
        <v>0</v>
      </c>
      <c r="AA171" s="176">
        <f>IF(AA$1="",0,опер3!AA$157+опер3!AA$190+опер3!AA$240+опер3!AA$260+опер3!AA$293+опер3!AA$311+опер3!AA$329+Z$133)</f>
        <v>0</v>
      </c>
      <c r="AB171" s="3"/>
    </row>
    <row r="172" spans="1:28" ht="3.9" customHeight="1" x14ac:dyDescent="0.25">
      <c r="A172" s="149">
        <f>1</f>
        <v>1</v>
      </c>
      <c r="B172" s="131"/>
      <c r="C172" s="2"/>
      <c r="D172" s="2"/>
      <c r="E172" s="118"/>
      <c r="F172" s="2"/>
      <c r="G172" s="118"/>
      <c r="H172" s="2"/>
      <c r="I172" s="28"/>
      <c r="J172" s="2"/>
      <c r="K172" s="28"/>
      <c r="L172" s="2"/>
      <c r="M172" s="139"/>
      <c r="N172" s="2"/>
      <c r="O172" s="2"/>
      <c r="P172" s="36"/>
      <c r="Q172" s="36"/>
      <c r="R172" s="36"/>
      <c r="S172" s="36"/>
      <c r="T172" s="36"/>
      <c r="U172" s="36"/>
      <c r="V172" s="36"/>
      <c r="W172" s="36"/>
      <c r="X172" s="36"/>
      <c r="Y172" s="36"/>
      <c r="Z172" s="36"/>
      <c r="AA172" s="36"/>
      <c r="AB172" s="2"/>
    </row>
    <row r="173" spans="1:28" ht="8.1" customHeight="1" x14ac:dyDescent="0.25">
      <c r="A173" s="149">
        <f>1</f>
        <v>1</v>
      </c>
      <c r="B173" s="131"/>
      <c r="C173" s="2"/>
      <c r="D173" s="2"/>
      <c r="E173" s="2"/>
      <c r="F173" s="2"/>
      <c r="G173" s="2"/>
      <c r="H173" s="2"/>
      <c r="I173" s="28"/>
      <c r="J173" s="2"/>
      <c r="K173" s="28"/>
      <c r="L173" s="2"/>
      <c r="M173" s="52"/>
      <c r="N173" s="2"/>
      <c r="O173" s="2"/>
      <c r="P173" s="36"/>
      <c r="Q173" s="36"/>
      <c r="R173" s="36"/>
      <c r="S173" s="36"/>
      <c r="T173" s="36"/>
      <c r="U173" s="36"/>
      <c r="V173" s="36"/>
      <c r="W173" s="36"/>
      <c r="X173" s="36"/>
      <c r="Y173" s="36"/>
      <c r="Z173" s="36"/>
      <c r="AA173" s="36"/>
      <c r="AB173" s="2"/>
    </row>
    <row r="174" spans="1:28" ht="3.9" customHeight="1" x14ac:dyDescent="0.25">
      <c r="A174" s="149">
        <f>1</f>
        <v>1</v>
      </c>
      <c r="B174" s="131"/>
      <c r="C174" s="2"/>
      <c r="D174" s="2"/>
      <c r="E174" s="2"/>
      <c r="F174" s="2"/>
      <c r="G174" s="2"/>
      <c r="H174" s="2"/>
      <c r="I174" s="28"/>
      <c r="J174" s="2"/>
      <c r="K174" s="28"/>
      <c r="L174" s="2"/>
      <c r="M174" s="52"/>
      <c r="N174" s="2"/>
      <c r="O174" s="2"/>
      <c r="P174" s="36"/>
      <c r="Q174" s="36"/>
      <c r="R174" s="36"/>
      <c r="S174" s="36"/>
      <c r="T174" s="36"/>
      <c r="U174" s="36"/>
      <c r="V174" s="36"/>
      <c r="W174" s="36"/>
      <c r="X174" s="36"/>
      <c r="Y174" s="36"/>
      <c r="Z174" s="36"/>
      <c r="AA174" s="36"/>
      <c r="AB174" s="2"/>
    </row>
    <row r="175" spans="1:28" s="5" customFormat="1" x14ac:dyDescent="0.25">
      <c r="A175" s="150">
        <f>1</f>
        <v>1</v>
      </c>
      <c r="B175" s="129" t="str">
        <f>структура!$J$12</f>
        <v>ОСНО</v>
      </c>
      <c r="C175" s="3"/>
      <c r="D175" s="3"/>
      <c r="E175" s="146" t="str">
        <f>KPI!$E$91</f>
        <v>финансовый поток (CF)</v>
      </c>
      <c r="F175" s="146"/>
      <c r="G175" s="146" t="str">
        <f>IF($E175="","",INDEX(KPI!$G:$G,SUMIFS(KPI!$B:$B,KPI!$E:$E,$E175)))</f>
        <v>тыс.руб.</v>
      </c>
      <c r="H175" s="146"/>
      <c r="I175" s="177"/>
      <c r="J175" s="146"/>
      <c r="K175" s="177"/>
      <c r="L175" s="146"/>
      <c r="M175" s="178">
        <f>SUM($O175:$AB175)</f>
        <v>72134.24328961657</v>
      </c>
      <c r="N175" s="3"/>
      <c r="O175" s="3"/>
      <c r="P175" s="179">
        <f>IF(P$1="",0,P155-P165)</f>
        <v>13662.169716110127</v>
      </c>
      <c r="Q175" s="179">
        <f>IF(Q$1="",0,Q155-Q165)</f>
        <v>7830.5748069305591</v>
      </c>
      <c r="R175" s="179">
        <f t="shared" ref="R175:AA175" si="9">IF(R$1="",0,R155-R165)</f>
        <v>8700.3030353921076</v>
      </c>
      <c r="S175" s="179">
        <f t="shared" si="9"/>
        <v>9084.7858833408136</v>
      </c>
      <c r="T175" s="179">
        <f t="shared" si="9"/>
        <v>9666.698769751074</v>
      </c>
      <c r="U175" s="179">
        <f t="shared" si="9"/>
        <v>10842.104555135691</v>
      </c>
      <c r="V175" s="179">
        <f t="shared" si="9"/>
        <v>12347.606522956201</v>
      </c>
      <c r="W175" s="179">
        <f t="shared" si="9"/>
        <v>0</v>
      </c>
      <c r="X175" s="179">
        <f t="shared" si="9"/>
        <v>0</v>
      </c>
      <c r="Y175" s="179">
        <f t="shared" si="9"/>
        <v>0</v>
      </c>
      <c r="Z175" s="179">
        <f t="shared" si="9"/>
        <v>0</v>
      </c>
      <c r="AA175" s="179">
        <f t="shared" si="9"/>
        <v>0</v>
      </c>
      <c r="AB175" s="3"/>
    </row>
    <row r="176" spans="1:28" s="5" customFormat="1" ht="3.9" customHeight="1" x14ac:dyDescent="0.25">
      <c r="A176" s="150">
        <f>1</f>
        <v>1</v>
      </c>
      <c r="B176" s="128"/>
      <c r="C176" s="3"/>
      <c r="D176" s="3"/>
      <c r="E176" s="3"/>
      <c r="F176" s="3"/>
      <c r="G176" s="3"/>
      <c r="H176" s="3"/>
      <c r="I176" s="28"/>
      <c r="J176" s="3"/>
      <c r="K176" s="28"/>
      <c r="L176" s="3"/>
      <c r="M176" s="55"/>
      <c r="N176" s="3"/>
      <c r="O176" s="3"/>
      <c r="P176" s="46"/>
      <c r="Q176" s="46"/>
      <c r="R176" s="46"/>
      <c r="S176" s="46"/>
      <c r="T176" s="46"/>
      <c r="U176" s="46"/>
      <c r="V176" s="46"/>
      <c r="W176" s="46"/>
      <c r="X176" s="46"/>
      <c r="Y176" s="46"/>
      <c r="Z176" s="46"/>
      <c r="AA176" s="46"/>
      <c r="AB176" s="3"/>
    </row>
    <row r="177" spans="1:28" s="5" customFormat="1" x14ac:dyDescent="0.25">
      <c r="A177" s="150">
        <f>1</f>
        <v>1</v>
      </c>
      <c r="B177" s="129" t="str">
        <f>структура!$J$13</f>
        <v>УСН(6%)</v>
      </c>
      <c r="C177" s="3"/>
      <c r="D177" s="3"/>
      <c r="E177" s="146" t="str">
        <f>E175</f>
        <v>финансовый поток (CF)</v>
      </c>
      <c r="F177" s="146"/>
      <c r="G177" s="146" t="str">
        <f>IF($E177="","",INDEX(KPI!$G:$G,SUMIFS(KPI!$B:$B,KPI!$E:$E,$E177)))</f>
        <v>тыс.руб.</v>
      </c>
      <c r="H177" s="146"/>
      <c r="I177" s="177"/>
      <c r="J177" s="146"/>
      <c r="K177" s="177"/>
      <c r="L177" s="146"/>
      <c r="M177" s="178">
        <f>SUM($O177:$AB177)</f>
        <v>90215.443540078588</v>
      </c>
      <c r="N177" s="3"/>
      <c r="O177" s="3"/>
      <c r="P177" s="179">
        <f>IF(P$1="",0,P157-P167)</f>
        <v>11020.440576110128</v>
      </c>
      <c r="Q177" s="179">
        <f>IF(Q$1="",0,Q157-Q167)</f>
        <v>10886.576112263972</v>
      </c>
      <c r="R177" s="179">
        <f t="shared" ref="R177:AA177" si="10">IF(R$1="",0,R157-R167)</f>
        <v>11916.778340725516</v>
      </c>
      <c r="S177" s="179">
        <f t="shared" si="10"/>
        <v>12621.441573802433</v>
      </c>
      <c r="T177" s="179">
        <f t="shared" si="10"/>
        <v>13430.139931494743</v>
      </c>
      <c r="U177" s="179">
        <f t="shared" si="10"/>
        <v>14208.298513033205</v>
      </c>
      <c r="V177" s="179">
        <f t="shared" si="10"/>
        <v>16131.768492648589</v>
      </c>
      <c r="W177" s="179">
        <f t="shared" si="10"/>
        <v>0</v>
      </c>
      <c r="X177" s="179">
        <f t="shared" si="10"/>
        <v>0</v>
      </c>
      <c r="Y177" s="179">
        <f t="shared" si="10"/>
        <v>0</v>
      </c>
      <c r="Z177" s="179">
        <f t="shared" si="10"/>
        <v>0</v>
      </c>
      <c r="AA177" s="179">
        <f t="shared" si="10"/>
        <v>0</v>
      </c>
      <c r="AB177" s="3"/>
    </row>
    <row r="178" spans="1:28" s="5" customFormat="1" ht="3.9" customHeight="1" x14ac:dyDescent="0.25">
      <c r="A178" s="150">
        <f>1</f>
        <v>1</v>
      </c>
      <c r="B178" s="128"/>
      <c r="C178" s="3"/>
      <c r="D178" s="3"/>
      <c r="E178" s="3"/>
      <c r="F178" s="3"/>
      <c r="G178" s="3"/>
      <c r="H178" s="3"/>
      <c r="I178" s="28"/>
      <c r="J178" s="3"/>
      <c r="K178" s="28"/>
      <c r="L178" s="3"/>
      <c r="M178" s="55"/>
      <c r="N178" s="3"/>
      <c r="O178" s="3"/>
      <c r="P178" s="46"/>
      <c r="Q178" s="46"/>
      <c r="R178" s="46"/>
      <c r="S178" s="46"/>
      <c r="T178" s="46"/>
      <c r="U178" s="46"/>
      <c r="V178" s="46"/>
      <c r="W178" s="46"/>
      <c r="X178" s="46"/>
      <c r="Y178" s="46"/>
      <c r="Z178" s="46"/>
      <c r="AA178" s="46"/>
      <c r="AB178" s="3"/>
    </row>
    <row r="179" spans="1:28" s="5" customFormat="1" x14ac:dyDescent="0.25">
      <c r="A179" s="150">
        <f>1</f>
        <v>1</v>
      </c>
      <c r="B179" s="129" t="str">
        <f>структура!$J$14</f>
        <v>УСН(15%)</v>
      </c>
      <c r="C179" s="3"/>
      <c r="D179" s="3"/>
      <c r="E179" s="146" t="str">
        <f>E175</f>
        <v>финансовый поток (CF)</v>
      </c>
      <c r="F179" s="146"/>
      <c r="G179" s="146" t="str">
        <f>IF($E179="","",INDEX(KPI!$G:$G,SUMIFS(KPI!$B:$B,KPI!$E:$E,$E179)))</f>
        <v>тыс.руб.</v>
      </c>
      <c r="H179" s="146"/>
      <c r="I179" s="177"/>
      <c r="J179" s="146"/>
      <c r="K179" s="177"/>
      <c r="L179" s="146"/>
      <c r="M179" s="178">
        <f>SUM($O179:$AB179)</f>
        <v>83786.899375810244</v>
      </c>
      <c r="N179" s="3"/>
      <c r="O179" s="3"/>
      <c r="P179" s="179">
        <f>IF(P$1="",0,P159-P169)</f>
        <v>11020.440576110128</v>
      </c>
      <c r="Q179" s="179">
        <f t="shared" ref="Q179:AA179" si="11">IF(Q$1="",0,Q159-Q169)</f>
        <v>9835.4309336936076</v>
      </c>
      <c r="R179" s="179">
        <f t="shared" si="11"/>
        <v>10803.871787155151</v>
      </c>
      <c r="S179" s="179">
        <f t="shared" si="11"/>
        <v>11380.709018655143</v>
      </c>
      <c r="T179" s="179">
        <f t="shared" si="11"/>
        <v>12097.228555039763</v>
      </c>
      <c r="U179" s="179">
        <f t="shared" si="11"/>
        <v>13424.187252924379</v>
      </c>
      <c r="V179" s="179">
        <f t="shared" si="11"/>
        <v>15225.031252232069</v>
      </c>
      <c r="W179" s="179">
        <f t="shared" si="11"/>
        <v>0</v>
      </c>
      <c r="X179" s="179">
        <f t="shared" si="11"/>
        <v>0</v>
      </c>
      <c r="Y179" s="179">
        <f t="shared" si="11"/>
        <v>0</v>
      </c>
      <c r="Z179" s="179">
        <f t="shared" si="11"/>
        <v>0</v>
      </c>
      <c r="AA179" s="179">
        <f t="shared" si="11"/>
        <v>0</v>
      </c>
      <c r="AB179" s="3"/>
    </row>
    <row r="180" spans="1:28" s="5" customFormat="1" ht="3.9" customHeight="1" x14ac:dyDescent="0.25">
      <c r="A180" s="150">
        <f>1</f>
        <v>1</v>
      </c>
      <c r="B180" s="128"/>
      <c r="C180" s="3"/>
      <c r="D180" s="3"/>
      <c r="E180" s="3"/>
      <c r="F180" s="3"/>
      <c r="G180" s="3"/>
      <c r="H180" s="3"/>
      <c r="I180" s="28"/>
      <c r="J180" s="3"/>
      <c r="K180" s="28"/>
      <c r="L180" s="3"/>
      <c r="M180" s="55"/>
      <c r="N180" s="3"/>
      <c r="O180" s="3"/>
      <c r="P180" s="46"/>
      <c r="Q180" s="46"/>
      <c r="R180" s="46"/>
      <c r="S180" s="46"/>
      <c r="T180" s="46"/>
      <c r="U180" s="46"/>
      <c r="V180" s="46"/>
      <c r="W180" s="46"/>
      <c r="X180" s="46"/>
      <c r="Y180" s="46"/>
      <c r="Z180" s="46"/>
      <c r="AA180" s="46"/>
      <c r="AB180" s="3"/>
    </row>
    <row r="181" spans="1:28" s="5" customFormat="1" x14ac:dyDescent="0.25">
      <c r="A181" s="150">
        <f>1</f>
        <v>1</v>
      </c>
      <c r="B181" s="129" t="str">
        <f>структура!$J$15</f>
        <v>УСН(6%)-ИП</v>
      </c>
      <c r="C181" s="3"/>
      <c r="D181" s="3"/>
      <c r="E181" s="146" t="str">
        <f>E175</f>
        <v>финансовый поток (CF)</v>
      </c>
      <c r="F181" s="146"/>
      <c r="G181" s="146" t="str">
        <f>IF($E181="","",INDEX(KPI!$G:$G,SUMIFS(KPI!$B:$B,KPI!$E:$E,$E181)))</f>
        <v>тыс.руб.</v>
      </c>
      <c r="H181" s="146"/>
      <c r="I181" s="177"/>
      <c r="J181" s="146"/>
      <c r="K181" s="177"/>
      <c r="L181" s="146"/>
      <c r="M181" s="178">
        <f>SUM($O181:$AB181)</f>
        <v>92707.524063155521</v>
      </c>
      <c r="N181" s="3"/>
      <c r="O181" s="3"/>
      <c r="P181" s="179">
        <f>IF(P$1="",0,P161-P171)</f>
        <v>11020.440576110128</v>
      </c>
      <c r="Q181" s="179">
        <f t="shared" ref="Q181:AA181" si="12">IF(Q$1="",0,Q161-Q171)</f>
        <v>11476.077716110127</v>
      </c>
      <c r="R181" s="179">
        <f t="shared" si="12"/>
        <v>12525.283444571669</v>
      </c>
      <c r="S181" s="179">
        <f t="shared" si="12"/>
        <v>13259.501535340894</v>
      </c>
      <c r="T181" s="179">
        <f t="shared" si="12"/>
        <v>14086.153785340897</v>
      </c>
      <c r="U181" s="179">
        <f t="shared" si="12"/>
        <v>14208.298513033205</v>
      </c>
      <c r="V181" s="179">
        <f t="shared" si="12"/>
        <v>16131.768492648589</v>
      </c>
      <c r="W181" s="179">
        <f t="shared" si="12"/>
        <v>0</v>
      </c>
      <c r="X181" s="179">
        <f t="shared" si="12"/>
        <v>0</v>
      </c>
      <c r="Y181" s="179">
        <f t="shared" si="12"/>
        <v>0</v>
      </c>
      <c r="Z181" s="179">
        <f t="shared" si="12"/>
        <v>0</v>
      </c>
      <c r="AA181" s="179">
        <f t="shared" si="12"/>
        <v>0</v>
      </c>
      <c r="AB181" s="3"/>
    </row>
    <row r="182" spans="1:28" ht="3.9" customHeight="1" x14ac:dyDescent="0.25">
      <c r="A182" s="149">
        <f>1</f>
        <v>1</v>
      </c>
      <c r="B182" s="131"/>
      <c r="C182" s="2"/>
      <c r="D182" s="2"/>
      <c r="E182" s="119"/>
      <c r="F182" s="2"/>
      <c r="G182" s="119"/>
      <c r="H182" s="2"/>
      <c r="I182" s="28"/>
      <c r="J182" s="2"/>
      <c r="K182" s="28"/>
      <c r="L182" s="2"/>
      <c r="M182" s="142"/>
      <c r="N182" s="2"/>
      <c r="O182" s="2"/>
      <c r="P182" s="36"/>
      <c r="Q182" s="36"/>
      <c r="R182" s="36"/>
      <c r="S182" s="36"/>
      <c r="T182" s="36"/>
      <c r="U182" s="36"/>
      <c r="V182" s="36"/>
      <c r="W182" s="36"/>
      <c r="X182" s="36"/>
      <c r="Y182" s="36"/>
      <c r="Z182" s="36"/>
      <c r="AA182" s="36"/>
      <c r="AB182" s="2"/>
    </row>
    <row r="183" spans="1:28" ht="8.1" customHeight="1" x14ac:dyDescent="0.25">
      <c r="A183" s="149">
        <f>1</f>
        <v>1</v>
      </c>
      <c r="B183" s="131"/>
      <c r="C183" s="2"/>
      <c r="D183" s="2"/>
      <c r="E183" s="2"/>
      <c r="F183" s="2"/>
      <c r="G183" s="2"/>
      <c r="H183" s="2"/>
      <c r="I183" s="28"/>
      <c r="J183" s="2"/>
      <c r="K183" s="28"/>
      <c r="L183" s="2"/>
      <c r="M183" s="52"/>
      <c r="N183" s="2"/>
      <c r="O183" s="2"/>
      <c r="P183" s="36"/>
      <c r="Q183" s="36"/>
      <c r="R183" s="36"/>
      <c r="S183" s="36"/>
      <c r="T183" s="36"/>
      <c r="U183" s="36"/>
      <c r="V183" s="36"/>
      <c r="W183" s="36"/>
      <c r="X183" s="36"/>
      <c r="Y183" s="36"/>
      <c r="Z183" s="36"/>
      <c r="AA183" s="36"/>
      <c r="AB183" s="2"/>
    </row>
    <row r="184" spans="1:28" s="5" customFormat="1" x14ac:dyDescent="0.25">
      <c r="A184" s="150">
        <f>1</f>
        <v>1</v>
      </c>
      <c r="B184" s="131"/>
      <c r="C184" s="3"/>
      <c r="D184" s="3"/>
      <c r="E184" s="3"/>
      <c r="F184" s="3"/>
      <c r="G184" s="3"/>
      <c r="H184" s="3"/>
      <c r="I184" s="28"/>
      <c r="J184" s="3"/>
      <c r="K184" s="28"/>
      <c r="L184" s="3"/>
      <c r="M184" s="55"/>
      <c r="N184" s="3"/>
      <c r="O184" s="3"/>
      <c r="P184" s="46"/>
      <c r="Q184" s="46"/>
      <c r="R184" s="46"/>
      <c r="S184" s="46"/>
      <c r="T184" s="46"/>
      <c r="U184" s="46"/>
      <c r="V184" s="46"/>
      <c r="W184" s="46"/>
      <c r="X184" s="46"/>
      <c r="Y184" s="46"/>
      <c r="Z184" s="46"/>
      <c r="AA184" s="46"/>
      <c r="AB184" s="3"/>
    </row>
    <row r="185" spans="1:28" ht="3.9" customHeight="1" x14ac:dyDescent="0.25">
      <c r="A185" s="149">
        <f>1</f>
        <v>1</v>
      </c>
      <c r="B185" s="131"/>
      <c r="C185" s="2"/>
      <c r="D185" s="2"/>
      <c r="E185" s="2"/>
      <c r="F185" s="2"/>
      <c r="G185" s="2"/>
      <c r="H185" s="2"/>
      <c r="I185" s="28"/>
      <c r="J185" s="2"/>
      <c r="K185" s="28"/>
      <c r="L185" s="2"/>
      <c r="M185" s="52"/>
      <c r="N185" s="2"/>
      <c r="O185" s="2"/>
      <c r="P185" s="36"/>
      <c r="Q185" s="36"/>
      <c r="R185" s="36"/>
      <c r="S185" s="36"/>
      <c r="T185" s="36"/>
      <c r="U185" s="36"/>
      <c r="V185" s="36"/>
      <c r="W185" s="36"/>
      <c r="X185" s="36"/>
      <c r="Y185" s="36"/>
      <c r="Z185" s="36"/>
      <c r="AA185" s="36"/>
      <c r="AB185" s="2"/>
    </row>
    <row r="186" spans="1:28" s="5" customFormat="1" x14ac:dyDescent="0.25">
      <c r="A186" s="150">
        <f>1</f>
        <v>1</v>
      </c>
      <c r="B186" s="131"/>
      <c r="C186" s="3"/>
      <c r="D186" s="3"/>
      <c r="E186" s="181" t="s">
        <v>286</v>
      </c>
      <c r="F186" s="3"/>
      <c r="G186" s="3"/>
      <c r="H186" s="3"/>
      <c r="I186" s="28"/>
      <c r="J186" s="3"/>
      <c r="K186" s="28"/>
      <c r="L186" s="3"/>
      <c r="M186" s="55"/>
      <c r="N186" s="3"/>
      <c r="O186" s="3"/>
      <c r="P186" s="46"/>
      <c r="Q186" s="46"/>
      <c r="R186" s="46"/>
      <c r="S186" s="46"/>
      <c r="T186" s="46"/>
      <c r="U186" s="46"/>
      <c r="V186" s="46"/>
      <c r="W186" s="46"/>
      <c r="X186" s="46"/>
      <c r="Y186" s="46"/>
      <c r="Z186" s="46"/>
      <c r="AA186" s="46"/>
      <c r="AB186" s="3"/>
    </row>
    <row r="187" spans="1:28" ht="3.9" customHeight="1" x14ac:dyDescent="0.25">
      <c r="A187" s="149">
        <f>1</f>
        <v>1</v>
      </c>
      <c r="B187" s="131"/>
      <c r="C187" s="2"/>
      <c r="D187" s="2"/>
      <c r="E187" s="2"/>
      <c r="F187" s="2"/>
      <c r="G187" s="2"/>
      <c r="H187" s="2"/>
      <c r="I187" s="28"/>
      <c r="J187" s="2"/>
      <c r="K187" s="28"/>
      <c r="L187" s="2"/>
      <c r="M187" s="52"/>
      <c r="N187" s="2"/>
      <c r="O187" s="2"/>
      <c r="P187" s="36"/>
      <c r="Q187" s="36"/>
      <c r="R187" s="36"/>
      <c r="S187" s="36"/>
      <c r="T187" s="36"/>
      <c r="U187" s="36"/>
      <c r="V187" s="36"/>
      <c r="W187" s="36"/>
      <c r="X187" s="36"/>
      <c r="Y187" s="36"/>
      <c r="Z187" s="36"/>
      <c r="AA187" s="36"/>
      <c r="AB187" s="2"/>
    </row>
    <row r="188" spans="1:28" ht="8.1" customHeight="1" x14ac:dyDescent="0.25">
      <c r="A188" s="149">
        <f>1</f>
        <v>1</v>
      </c>
      <c r="B188" s="131"/>
      <c r="C188" s="2"/>
      <c r="D188" s="2"/>
      <c r="E188" s="2"/>
      <c r="F188" s="2"/>
      <c r="G188" s="2"/>
      <c r="H188" s="2"/>
      <c r="I188" s="28"/>
      <c r="J188" s="2"/>
      <c r="K188" s="28"/>
      <c r="L188" s="2"/>
      <c r="M188" s="52"/>
      <c r="N188" s="2"/>
      <c r="O188" s="2"/>
      <c r="P188" s="36"/>
      <c r="Q188" s="36"/>
      <c r="R188" s="36"/>
      <c r="S188" s="36"/>
      <c r="T188" s="36"/>
      <c r="U188" s="36"/>
      <c r="V188" s="36"/>
      <c r="W188" s="36"/>
      <c r="X188" s="36"/>
      <c r="Y188" s="36"/>
      <c r="Z188" s="36"/>
      <c r="AA188" s="36"/>
      <c r="AB188" s="2"/>
    </row>
    <row r="189" spans="1:28" ht="3.9" customHeight="1" thickBot="1" x14ac:dyDescent="0.3">
      <c r="A189" s="149">
        <f>1</f>
        <v>1</v>
      </c>
      <c r="B189" s="131"/>
      <c r="C189" s="2"/>
      <c r="D189" s="2"/>
      <c r="E189" s="2"/>
      <c r="F189" s="2"/>
      <c r="G189" s="2"/>
      <c r="H189" s="2"/>
      <c r="I189" s="28"/>
      <c r="J189" s="2"/>
      <c r="K189" s="28"/>
      <c r="L189" s="2"/>
      <c r="M189" s="52"/>
      <c r="N189" s="2"/>
      <c r="O189" s="2"/>
      <c r="P189" s="36"/>
      <c r="Q189" s="36"/>
      <c r="R189" s="36"/>
      <c r="S189" s="36"/>
      <c r="T189" s="36"/>
      <c r="U189" s="36"/>
      <c r="V189" s="36"/>
      <c r="W189" s="36"/>
      <c r="X189" s="36"/>
      <c r="Y189" s="36"/>
      <c r="Z189" s="36"/>
      <c r="AA189" s="36"/>
      <c r="AB189" s="2"/>
    </row>
    <row r="190" spans="1:28" s="5" customFormat="1" ht="12.6" thickBot="1" x14ac:dyDescent="0.3">
      <c r="A190" s="150">
        <f>1</f>
        <v>1</v>
      </c>
      <c r="B190" s="129"/>
      <c r="C190" s="3"/>
      <c r="D190" s="3"/>
      <c r="E190" s="183" t="str">
        <f>KPI!$E$98</f>
        <v>Инвестиционные вложения</v>
      </c>
      <c r="F190" s="183"/>
      <c r="G190" s="183" t="str">
        <f>IF($E190="","",INDEX(KPI!$G:$G,SUMIFS(KPI!$B:$B,KPI!$E:$E,$E190)))</f>
        <v>тыс.руб.</v>
      </c>
      <c r="H190" s="183"/>
      <c r="I190" s="184"/>
      <c r="J190" s="183"/>
      <c r="K190" s="184"/>
      <c r="L190" s="183"/>
      <c r="M190" s="186">
        <f>капитал!$J$20+капитал!$M$102+капитал!$M$109</f>
        <v>28550.37484</v>
      </c>
      <c r="N190" s="3"/>
      <c r="O190" s="3"/>
      <c r="P190" s="46"/>
      <c r="Q190" s="46"/>
      <c r="R190" s="46"/>
      <c r="S190" s="46"/>
      <c r="T190" s="46"/>
      <c r="U190" s="46"/>
      <c r="V190" s="46"/>
      <c r="W190" s="46"/>
      <c r="X190" s="46"/>
      <c r="Y190" s="46"/>
      <c r="Z190" s="46"/>
      <c r="AA190" s="46"/>
      <c r="AB190" s="3"/>
    </row>
    <row r="191" spans="1:28" ht="3.9" customHeight="1" x14ac:dyDescent="0.25">
      <c r="A191" s="149">
        <f>1</f>
        <v>1</v>
      </c>
      <c r="B191" s="131"/>
      <c r="C191" s="2"/>
      <c r="D191" s="2"/>
      <c r="E191" s="140"/>
      <c r="F191" s="2"/>
      <c r="G191" s="140"/>
      <c r="H191" s="2"/>
      <c r="I191" s="28"/>
      <c r="J191" s="2"/>
      <c r="K191" s="28"/>
      <c r="L191" s="2"/>
      <c r="M191" s="141"/>
      <c r="N191" s="2"/>
      <c r="O191" s="2"/>
      <c r="P191" s="36"/>
      <c r="Q191" s="36"/>
      <c r="R191" s="36"/>
      <c r="S191" s="36"/>
      <c r="T191" s="36"/>
      <c r="U191" s="36"/>
      <c r="V191" s="36"/>
      <c r="W191" s="36"/>
      <c r="X191" s="36"/>
      <c r="Y191" s="36"/>
      <c r="Z191" s="36"/>
      <c r="AA191" s="36"/>
      <c r="AB191" s="2"/>
    </row>
    <row r="192" spans="1:28" ht="3.9" customHeight="1" x14ac:dyDescent="0.25">
      <c r="A192" s="149">
        <f>1</f>
        <v>1</v>
      </c>
      <c r="B192" s="131"/>
      <c r="C192" s="2"/>
      <c r="D192" s="2"/>
      <c r="E192" s="2"/>
      <c r="F192" s="2"/>
      <c r="G192" s="2"/>
      <c r="H192" s="2"/>
      <c r="I192" s="28"/>
      <c r="J192" s="2"/>
      <c r="K192" s="28"/>
      <c r="L192" s="2"/>
      <c r="M192" s="52"/>
      <c r="N192" s="2"/>
      <c r="O192" s="2"/>
      <c r="P192" s="36"/>
      <c r="Q192" s="36"/>
      <c r="R192" s="36"/>
      <c r="S192" s="36"/>
      <c r="T192" s="36"/>
      <c r="U192" s="36"/>
      <c r="V192" s="36"/>
      <c r="W192" s="36"/>
      <c r="X192" s="36"/>
      <c r="Y192" s="36"/>
      <c r="Z192" s="36"/>
      <c r="AA192" s="36"/>
      <c r="AB192" s="2"/>
    </row>
    <row r="193" spans="1:28" s="5" customFormat="1" x14ac:dyDescent="0.25">
      <c r="A193" s="150">
        <f>1</f>
        <v>1</v>
      </c>
      <c r="B193" s="129"/>
      <c r="C193" s="3"/>
      <c r="D193" s="3"/>
      <c r="E193" s="3" t="str">
        <f>KPI!$E$99</f>
        <v>Коэффициент дисконтиования</v>
      </c>
      <c r="F193" s="3"/>
      <c r="G193" s="3" t="str">
        <f>IF($E193="","",INDEX(KPI!$G:$G,SUMIFS(KPI!$B:$B,KPI!$E:$E,$E193)))</f>
        <v>%</v>
      </c>
      <c r="H193" s="3"/>
      <c r="I193" s="28"/>
      <c r="J193" s="3"/>
      <c r="K193" s="28"/>
      <c r="L193" s="3"/>
      <c r="M193" s="55"/>
      <c r="N193" s="3"/>
      <c r="O193" s="3"/>
      <c r="P193" s="185">
        <f>IF(P$1="",0,(1+опер3!P$370))</f>
        <v>1.1000000000000001</v>
      </c>
      <c r="Q193" s="185">
        <f>IF(Q$1="",0,P193*(1+опер3!Q$370))</f>
        <v>1.2100000000000002</v>
      </c>
      <c r="R193" s="185">
        <f>IF(R$1="",0,Q193*(1+опер3!R$370))</f>
        <v>1.3310000000000004</v>
      </c>
      <c r="S193" s="185">
        <f>IF(S$1="",0,R193*(1+опер3!S$370))</f>
        <v>1.4641000000000006</v>
      </c>
      <c r="T193" s="185">
        <f>IF(T$1="",0,S193*(1+опер3!T$370))</f>
        <v>1.6105100000000008</v>
      </c>
      <c r="U193" s="185">
        <f>IF(U$1="",0,T193*(1+опер3!U$370))</f>
        <v>1.7715610000000011</v>
      </c>
      <c r="V193" s="185">
        <f>IF(V$1="",0,U193*(1+опер3!V$370))</f>
        <v>1.9487171000000014</v>
      </c>
      <c r="W193" s="185">
        <f>IF(W$1="",0,V193*(1+опер3!W$370))</f>
        <v>0</v>
      </c>
      <c r="X193" s="185">
        <f>IF(X$1="",0,W193*(1+опер3!X$370))</f>
        <v>0</v>
      </c>
      <c r="Y193" s="185">
        <f>IF(Y$1="",0,X193*(1+опер3!Y$370))</f>
        <v>0</v>
      </c>
      <c r="Z193" s="185">
        <f>IF(Z$1="",0,Y193*(1+опер3!Z$370))</f>
        <v>0</v>
      </c>
      <c r="AA193" s="185">
        <f>IF(AA$1="",0,Z193*(1+опер3!AA$370))</f>
        <v>0</v>
      </c>
      <c r="AB193" s="3"/>
    </row>
    <row r="194" spans="1:28" s="5" customFormat="1" ht="3.9" customHeight="1" x14ac:dyDescent="0.25">
      <c r="A194" s="150">
        <f>1</f>
        <v>1</v>
      </c>
      <c r="B194" s="128"/>
      <c r="C194" s="3"/>
      <c r="D194" s="3"/>
      <c r="E194" s="3"/>
      <c r="F194" s="3"/>
      <c r="G194" s="3"/>
      <c r="H194" s="3"/>
      <c r="I194" s="28"/>
      <c r="J194" s="3"/>
      <c r="K194" s="28"/>
      <c r="L194" s="3"/>
      <c r="M194" s="55"/>
      <c r="N194" s="3"/>
      <c r="O194" s="3"/>
      <c r="P194" s="46"/>
      <c r="Q194" s="46"/>
      <c r="R194" s="46"/>
      <c r="S194" s="46"/>
      <c r="T194" s="46"/>
      <c r="U194" s="46"/>
      <c r="V194" s="46"/>
      <c r="W194" s="46"/>
      <c r="X194" s="46"/>
      <c r="Y194" s="46"/>
      <c r="Z194" s="46"/>
      <c r="AA194" s="46"/>
      <c r="AB194" s="3"/>
    </row>
    <row r="195" spans="1:28" ht="3.9" customHeight="1" x14ac:dyDescent="0.25">
      <c r="A195" s="149">
        <f>1</f>
        <v>1</v>
      </c>
      <c r="B195" s="131"/>
      <c r="C195" s="2"/>
      <c r="D195" s="2"/>
      <c r="E195" s="2"/>
      <c r="F195" s="2"/>
      <c r="G195" s="2"/>
      <c r="H195" s="2"/>
      <c r="I195" s="28"/>
      <c r="J195" s="2"/>
      <c r="K195" s="28"/>
      <c r="L195" s="2"/>
      <c r="M195" s="52"/>
      <c r="N195" s="2"/>
      <c r="O195" s="2"/>
      <c r="P195" s="36"/>
      <c r="Q195" s="36"/>
      <c r="R195" s="36"/>
      <c r="S195" s="36"/>
      <c r="T195" s="36"/>
      <c r="U195" s="36"/>
      <c r="V195" s="36"/>
      <c r="W195" s="36"/>
      <c r="X195" s="36"/>
      <c r="Y195" s="36"/>
      <c r="Z195" s="36"/>
      <c r="AA195" s="36"/>
      <c r="AB195" s="2"/>
    </row>
    <row r="196" spans="1:28" s="5" customFormat="1" x14ac:dyDescent="0.25">
      <c r="A196" s="150">
        <f>1</f>
        <v>1</v>
      </c>
      <c r="B196" s="129" t="str">
        <f>структура!$J$12</f>
        <v>ОСНО</v>
      </c>
      <c r="C196" s="3"/>
      <c r="D196" s="3"/>
      <c r="E196" s="146" t="str">
        <f>KPI!$E$100</f>
        <v>NPV(CF)</v>
      </c>
      <c r="F196" s="146"/>
      <c r="G196" s="146" t="str">
        <f>IF($E196="","",INDEX(KPI!$G:$G,SUMIFS(KPI!$B:$B,KPI!$E:$E,$E196)))</f>
        <v>тыс.руб.</v>
      </c>
      <c r="H196" s="146"/>
      <c r="I196" s="177"/>
      <c r="J196" s="146"/>
      <c r="K196" s="177"/>
      <c r="L196" s="146"/>
      <c r="M196" s="178">
        <f>SUM($O196:$AB196)</f>
        <v>50092.020440832559</v>
      </c>
      <c r="N196" s="3"/>
      <c r="O196" s="3"/>
      <c r="P196" s="179">
        <f>IF(P$1="",0,IF(P$193=0,0,P175/P$193))</f>
        <v>12420.154287372841</v>
      </c>
      <c r="Q196" s="179">
        <f t="shared" ref="Q196:AA196" si="13">IF(Q$1="",0,IF(Q$193=0,0,Q175/Q$193))</f>
        <v>6471.5494272153373</v>
      </c>
      <c r="R196" s="179">
        <f t="shared" si="13"/>
        <v>6536.6664428190124</v>
      </c>
      <c r="S196" s="179">
        <f t="shared" si="13"/>
        <v>6205.0309974324227</v>
      </c>
      <c r="T196" s="179">
        <f t="shared" si="13"/>
        <v>6002.2593897281413</v>
      </c>
      <c r="U196" s="179">
        <f t="shared" si="13"/>
        <v>6120.0853682914021</v>
      </c>
      <c r="V196" s="179">
        <f t="shared" si="13"/>
        <v>6336.2745279733999</v>
      </c>
      <c r="W196" s="179">
        <f t="shared" si="13"/>
        <v>0</v>
      </c>
      <c r="X196" s="179">
        <f t="shared" si="13"/>
        <v>0</v>
      </c>
      <c r="Y196" s="179">
        <f t="shared" si="13"/>
        <v>0</v>
      </c>
      <c r="Z196" s="179">
        <f t="shared" si="13"/>
        <v>0</v>
      </c>
      <c r="AA196" s="179">
        <f t="shared" si="13"/>
        <v>0</v>
      </c>
      <c r="AB196" s="3"/>
    </row>
    <row r="197" spans="1:28" s="5" customFormat="1" ht="3.9" customHeight="1" x14ac:dyDescent="0.25">
      <c r="A197" s="150">
        <f>1</f>
        <v>1</v>
      </c>
      <c r="B197" s="128"/>
      <c r="C197" s="3"/>
      <c r="D197" s="3"/>
      <c r="E197" s="3"/>
      <c r="F197" s="3"/>
      <c r="G197" s="3"/>
      <c r="H197" s="3"/>
      <c r="I197" s="28"/>
      <c r="J197" s="3"/>
      <c r="K197" s="28"/>
      <c r="L197" s="3"/>
      <c r="M197" s="55"/>
      <c r="N197" s="3"/>
      <c r="O197" s="3"/>
      <c r="P197" s="46"/>
      <c r="Q197" s="46"/>
      <c r="R197" s="46"/>
      <c r="S197" s="46"/>
      <c r="T197" s="46"/>
      <c r="U197" s="46"/>
      <c r="V197" s="46"/>
      <c r="W197" s="46"/>
      <c r="X197" s="46"/>
      <c r="Y197" s="46"/>
      <c r="Z197" s="46"/>
      <c r="AA197" s="46"/>
      <c r="AB197" s="3"/>
    </row>
    <row r="198" spans="1:28" s="5" customFormat="1" x14ac:dyDescent="0.25">
      <c r="A198" s="150">
        <f>1</f>
        <v>1</v>
      </c>
      <c r="B198" s="129" t="str">
        <f>структура!$J$13</f>
        <v>УСН(6%)</v>
      </c>
      <c r="C198" s="3"/>
      <c r="D198" s="3"/>
      <c r="E198" s="146" t="str">
        <f>E196</f>
        <v>NPV(CF)</v>
      </c>
      <c r="F198" s="146"/>
      <c r="G198" s="146" t="str">
        <f>IF($E198="","",INDEX(KPI!$G:$G,SUMIFS(KPI!$B:$B,KPI!$E:$E,$E198)))</f>
        <v>тыс.руб.</v>
      </c>
      <c r="H198" s="146"/>
      <c r="I198" s="177"/>
      <c r="J198" s="146"/>
      <c r="K198" s="177"/>
      <c r="L198" s="146"/>
      <c r="M198" s="178">
        <f>SUM($O198:$AB198)</f>
        <v>61227.041369677238</v>
      </c>
      <c r="N198" s="3"/>
      <c r="O198" s="3"/>
      <c r="P198" s="179">
        <f>IF(P$1="",0,IF(P$193=0,0,P177/P$193))</f>
        <v>10018.582341918298</v>
      </c>
      <c r="Q198" s="179">
        <f t="shared" ref="Q198:AA198" si="14">IF(Q$1="",0,IF(Q$193=0,0,Q177/Q$193))</f>
        <v>8997.1703407140249</v>
      </c>
      <c r="R198" s="179">
        <f t="shared" si="14"/>
        <v>8953.2519464504221</v>
      </c>
      <c r="S198" s="179">
        <f t="shared" si="14"/>
        <v>8620.6144210111524</v>
      </c>
      <c r="T198" s="179">
        <f t="shared" si="14"/>
        <v>8339.0602551333031</v>
      </c>
      <c r="U198" s="179">
        <f t="shared" si="14"/>
        <v>8020.2141010290907</v>
      </c>
      <c r="V198" s="179">
        <f t="shared" si="14"/>
        <v>8278.1479634209481</v>
      </c>
      <c r="W198" s="179">
        <f t="shared" si="14"/>
        <v>0</v>
      </c>
      <c r="X198" s="179">
        <f t="shared" si="14"/>
        <v>0</v>
      </c>
      <c r="Y198" s="179">
        <f t="shared" si="14"/>
        <v>0</v>
      </c>
      <c r="Z198" s="179">
        <f t="shared" si="14"/>
        <v>0</v>
      </c>
      <c r="AA198" s="179">
        <f t="shared" si="14"/>
        <v>0</v>
      </c>
      <c r="AB198" s="3"/>
    </row>
    <row r="199" spans="1:28" s="5" customFormat="1" ht="3.9" customHeight="1" x14ac:dyDescent="0.25">
      <c r="A199" s="150">
        <f>1</f>
        <v>1</v>
      </c>
      <c r="B199" s="128"/>
      <c r="C199" s="3"/>
      <c r="D199" s="3"/>
      <c r="E199" s="3"/>
      <c r="F199" s="3"/>
      <c r="G199" s="3"/>
      <c r="H199" s="3"/>
      <c r="I199" s="28"/>
      <c r="J199" s="3"/>
      <c r="K199" s="28"/>
      <c r="L199" s="3"/>
      <c r="M199" s="55"/>
      <c r="N199" s="3"/>
      <c r="O199" s="3"/>
      <c r="P199" s="46"/>
      <c r="Q199" s="46"/>
      <c r="R199" s="46"/>
      <c r="S199" s="46"/>
      <c r="T199" s="46"/>
      <c r="U199" s="46"/>
      <c r="V199" s="46"/>
      <c r="W199" s="46"/>
      <c r="X199" s="46"/>
      <c r="Y199" s="46"/>
      <c r="Z199" s="46"/>
      <c r="AA199" s="46"/>
      <c r="AB199" s="3"/>
    </row>
    <row r="200" spans="1:28" s="5" customFormat="1" x14ac:dyDescent="0.25">
      <c r="A200" s="150">
        <f>1</f>
        <v>1</v>
      </c>
      <c r="B200" s="129" t="str">
        <f>структура!$J$14</f>
        <v>УСН(15%)</v>
      </c>
      <c r="C200" s="3"/>
      <c r="D200" s="3"/>
      <c r="E200" s="146" t="str">
        <f>E196</f>
        <v>NPV(CF)</v>
      </c>
      <c r="F200" s="146"/>
      <c r="G200" s="146" t="str">
        <f>IF($E200="","",INDEX(KPI!$G:$G,SUMIFS(KPI!$B:$B,KPI!$E:$E,$E200)))</f>
        <v>тыс.руб.</v>
      </c>
      <c r="H200" s="146"/>
      <c r="I200" s="177"/>
      <c r="J200" s="146"/>
      <c r="K200" s="177"/>
      <c r="L200" s="146"/>
      <c r="M200" s="178">
        <f>SUM($O200:$AB200)</f>
        <v>56939.203114668591</v>
      </c>
      <c r="N200" s="3"/>
      <c r="O200" s="3"/>
      <c r="P200" s="179">
        <f>IF(P$1="",0,IF(P$193=0,0,P179/P$193))</f>
        <v>10018.582341918298</v>
      </c>
      <c r="Q200" s="179">
        <f t="shared" ref="Q200:AA200" si="15">IF(Q$1="",0,IF(Q$193=0,0,Q179/Q$193))</f>
        <v>8128.4553171021535</v>
      </c>
      <c r="R200" s="179">
        <f t="shared" si="15"/>
        <v>8117.108780732643</v>
      </c>
      <c r="S200" s="179">
        <f t="shared" si="15"/>
        <v>7773.1773913360685</v>
      </c>
      <c r="T200" s="179">
        <f t="shared" si="15"/>
        <v>7511.4271597442776</v>
      </c>
      <c r="U200" s="179">
        <f t="shared" si="15"/>
        <v>7577.6037364360418</v>
      </c>
      <c r="V200" s="179">
        <f t="shared" si="15"/>
        <v>7812.8483873991036</v>
      </c>
      <c r="W200" s="179">
        <f t="shared" si="15"/>
        <v>0</v>
      </c>
      <c r="X200" s="179">
        <f t="shared" si="15"/>
        <v>0</v>
      </c>
      <c r="Y200" s="179">
        <f t="shared" si="15"/>
        <v>0</v>
      </c>
      <c r="Z200" s="179">
        <f t="shared" si="15"/>
        <v>0</v>
      </c>
      <c r="AA200" s="179">
        <f t="shared" si="15"/>
        <v>0</v>
      </c>
      <c r="AB200" s="3"/>
    </row>
    <row r="201" spans="1:28" s="5" customFormat="1" ht="3.9" customHeight="1" x14ac:dyDescent="0.25">
      <c r="A201" s="150">
        <f>1</f>
        <v>1</v>
      </c>
      <c r="B201" s="128"/>
      <c r="C201" s="3"/>
      <c r="D201" s="3"/>
      <c r="E201" s="3"/>
      <c r="F201" s="3"/>
      <c r="G201" s="3"/>
      <c r="H201" s="3"/>
      <c r="I201" s="28"/>
      <c r="J201" s="3"/>
      <c r="K201" s="28"/>
      <c r="L201" s="3"/>
      <c r="M201" s="55"/>
      <c r="N201" s="3"/>
      <c r="O201" s="3"/>
      <c r="P201" s="46"/>
      <c r="Q201" s="46"/>
      <c r="R201" s="46"/>
      <c r="S201" s="46"/>
      <c r="T201" s="46"/>
      <c r="U201" s="46"/>
      <c r="V201" s="46"/>
      <c r="W201" s="46"/>
      <c r="X201" s="46"/>
      <c r="Y201" s="46"/>
      <c r="Z201" s="46"/>
      <c r="AA201" s="46"/>
      <c r="AB201" s="3"/>
    </row>
    <row r="202" spans="1:28" s="5" customFormat="1" x14ac:dyDescent="0.25">
      <c r="A202" s="150">
        <f>1</f>
        <v>1</v>
      </c>
      <c r="B202" s="129" t="str">
        <f>структура!$J$15</f>
        <v>УСН(6%)-ИП</v>
      </c>
      <c r="C202" s="3"/>
      <c r="D202" s="3"/>
      <c r="E202" s="146" t="str">
        <f>E196</f>
        <v>NPV(CF)</v>
      </c>
      <c r="F202" s="146"/>
      <c r="G202" s="146" t="str">
        <f>IF($E202="","",INDEX(KPI!$G:$G,SUMIFS(KPI!$B:$B,KPI!$E:$E,$E202)))</f>
        <v>тыс.руб.</v>
      </c>
      <c r="H202" s="146"/>
      <c r="I202" s="177"/>
      <c r="J202" s="146"/>
      <c r="K202" s="177"/>
      <c r="L202" s="146"/>
      <c r="M202" s="178">
        <f>SUM($O202:$AB202)</f>
        <v>63014.548197894102</v>
      </c>
      <c r="N202" s="3"/>
      <c r="O202" s="3"/>
      <c r="P202" s="179">
        <f>IF(P$1="",0,IF(P$193=0,0,P181/P$193))</f>
        <v>10018.582341918298</v>
      </c>
      <c r="Q202" s="179">
        <f t="shared" ref="Q202:AA202" si="16">IF(Q$1="",0,IF(Q$193=0,0,Q181/Q$193))</f>
        <v>9484.3617488513428</v>
      </c>
      <c r="R202" s="179">
        <f t="shared" si="16"/>
        <v>9410.4308373941894</v>
      </c>
      <c r="S202" s="179">
        <f t="shared" si="16"/>
        <v>9056.4179600716398</v>
      </c>
      <c r="T202" s="179">
        <f t="shared" si="16"/>
        <v>8746.3932452085919</v>
      </c>
      <c r="U202" s="179">
        <f t="shared" si="16"/>
        <v>8020.2141010290907</v>
      </c>
      <c r="V202" s="179">
        <f t="shared" si="16"/>
        <v>8278.1479634209481</v>
      </c>
      <c r="W202" s="179">
        <f t="shared" si="16"/>
        <v>0</v>
      </c>
      <c r="X202" s="179">
        <f t="shared" si="16"/>
        <v>0</v>
      </c>
      <c r="Y202" s="179">
        <f t="shared" si="16"/>
        <v>0</v>
      </c>
      <c r="Z202" s="179">
        <f t="shared" si="16"/>
        <v>0</v>
      </c>
      <c r="AA202" s="179">
        <f t="shared" si="16"/>
        <v>0</v>
      </c>
      <c r="AB202" s="3"/>
    </row>
    <row r="203" spans="1:28" ht="3.9" customHeight="1" x14ac:dyDescent="0.25">
      <c r="A203" s="149">
        <f>1</f>
        <v>1</v>
      </c>
      <c r="B203" s="131"/>
      <c r="C203" s="2"/>
      <c r="D203" s="2"/>
      <c r="E203" s="119"/>
      <c r="F203" s="2"/>
      <c r="G203" s="119"/>
      <c r="H203" s="2"/>
      <c r="I203" s="28"/>
      <c r="J203" s="2"/>
      <c r="K203" s="28"/>
      <c r="L203" s="2"/>
      <c r="M203" s="142"/>
      <c r="N203" s="2"/>
      <c r="O203" s="2"/>
      <c r="P203" s="36"/>
      <c r="Q203" s="36"/>
      <c r="R203" s="36"/>
      <c r="S203" s="36"/>
      <c r="T203" s="36"/>
      <c r="U203" s="36"/>
      <c r="V203" s="36"/>
      <c r="W203" s="36"/>
      <c r="X203" s="36"/>
      <c r="Y203" s="36"/>
      <c r="Z203" s="36"/>
      <c r="AA203" s="36"/>
      <c r="AB203" s="2"/>
    </row>
    <row r="204" spans="1:28" ht="8.1" customHeight="1" x14ac:dyDescent="0.25">
      <c r="A204" s="149">
        <f>1</f>
        <v>1</v>
      </c>
      <c r="B204" s="131"/>
      <c r="C204" s="2"/>
      <c r="D204" s="2"/>
      <c r="E204" s="2"/>
      <c r="F204" s="2"/>
      <c r="G204" s="2"/>
      <c r="H204" s="2"/>
      <c r="I204" s="28"/>
      <c r="J204" s="2"/>
      <c r="K204" s="28"/>
      <c r="L204" s="2"/>
      <c r="M204" s="52"/>
      <c r="N204" s="2"/>
      <c r="O204" s="2"/>
      <c r="P204" s="36"/>
      <c r="Q204" s="36"/>
      <c r="R204" s="36"/>
      <c r="S204" s="36"/>
      <c r="T204" s="36"/>
      <c r="U204" s="36"/>
      <c r="V204" s="36"/>
      <c r="W204" s="36"/>
      <c r="X204" s="36"/>
      <c r="Y204" s="36"/>
      <c r="Z204" s="36"/>
      <c r="AA204" s="36"/>
      <c r="AB204" s="2"/>
    </row>
    <row r="205" spans="1:28" ht="3.9" customHeight="1" x14ac:dyDescent="0.25">
      <c r="A205" s="149">
        <f>1</f>
        <v>1</v>
      </c>
      <c r="B205" s="131"/>
      <c r="C205" s="2"/>
      <c r="D205" s="2"/>
      <c r="E205" s="2"/>
      <c r="F205" s="2"/>
      <c r="G205" s="2"/>
      <c r="H205" s="2"/>
      <c r="I205" s="28"/>
      <c r="J205" s="2"/>
      <c r="K205" s="28"/>
      <c r="L205" s="2"/>
      <c r="M205" s="52"/>
      <c r="N205" s="2"/>
      <c r="O205" s="2"/>
      <c r="P205" s="36"/>
      <c r="Q205" s="36"/>
      <c r="R205" s="36"/>
      <c r="S205" s="36"/>
      <c r="T205" s="36"/>
      <c r="U205" s="36"/>
      <c r="V205" s="36"/>
      <c r="W205" s="36"/>
      <c r="X205" s="36"/>
      <c r="Y205" s="36"/>
      <c r="Z205" s="36"/>
      <c r="AA205" s="36"/>
      <c r="AB205" s="2"/>
    </row>
    <row r="206" spans="1:28" s="5" customFormat="1" x14ac:dyDescent="0.25">
      <c r="A206" s="150">
        <f>1</f>
        <v>1</v>
      </c>
      <c r="B206" s="129" t="str">
        <f>структура!$J$12</f>
        <v>ОСНО</v>
      </c>
      <c r="C206" s="3"/>
      <c r="D206" s="3"/>
      <c r="E206" s="147" t="str">
        <f>KPI!$E$101</f>
        <v>NPV(CF)-Inv</v>
      </c>
      <c r="F206" s="147"/>
      <c r="G206" s="147" t="str">
        <f>IF($E206="","",INDEX(KPI!$G:$G,SUMIFS(KPI!$B:$B,KPI!$E:$E,$E206)))</f>
        <v>тыс.руб.</v>
      </c>
      <c r="H206" s="147"/>
      <c r="I206" s="170"/>
      <c r="J206" s="147"/>
      <c r="K206" s="170"/>
      <c r="L206" s="147"/>
      <c r="M206" s="171">
        <f>M196-M$190</f>
        <v>21541.645600832559</v>
      </c>
      <c r="N206" s="3"/>
      <c r="O206" s="3"/>
      <c r="P206" s="46"/>
      <c r="Q206" s="46"/>
      <c r="R206" s="46"/>
      <c r="S206" s="46"/>
      <c r="T206" s="46"/>
      <c r="U206" s="46"/>
      <c r="V206" s="46"/>
      <c r="W206" s="46"/>
      <c r="X206" s="46"/>
      <c r="Y206" s="46"/>
      <c r="Z206" s="46"/>
      <c r="AA206" s="46"/>
      <c r="AB206" s="3"/>
    </row>
    <row r="207" spans="1:28" s="5" customFormat="1" ht="3.9" customHeight="1" x14ac:dyDescent="0.25">
      <c r="A207" s="150">
        <f>1</f>
        <v>1</v>
      </c>
      <c r="B207" s="128"/>
      <c r="C207" s="3"/>
      <c r="D207" s="3"/>
      <c r="E207" s="3"/>
      <c r="F207" s="3"/>
      <c r="G207" s="3"/>
      <c r="H207" s="3"/>
      <c r="I207" s="28"/>
      <c r="J207" s="3"/>
      <c r="K207" s="28"/>
      <c r="L207" s="3"/>
      <c r="M207" s="55"/>
      <c r="N207" s="3"/>
      <c r="O207" s="3"/>
      <c r="P207" s="46"/>
      <c r="Q207" s="46"/>
      <c r="R207" s="46"/>
      <c r="S207" s="46"/>
      <c r="T207" s="46"/>
      <c r="U207" s="46"/>
      <c r="V207" s="46"/>
      <c r="W207" s="46"/>
      <c r="X207" s="46"/>
      <c r="Y207" s="46"/>
      <c r="Z207" s="46"/>
      <c r="AA207" s="46"/>
      <c r="AB207" s="3"/>
    </row>
    <row r="208" spans="1:28" s="5" customFormat="1" x14ac:dyDescent="0.25">
      <c r="A208" s="150">
        <f>1</f>
        <v>1</v>
      </c>
      <c r="B208" s="129" t="str">
        <f>структура!$J$13</f>
        <v>УСН(6%)</v>
      </c>
      <c r="C208" s="3"/>
      <c r="D208" s="3"/>
      <c r="E208" s="147" t="str">
        <f>E206</f>
        <v>NPV(CF)-Inv</v>
      </c>
      <c r="F208" s="147"/>
      <c r="G208" s="147" t="str">
        <f>IF($E208="","",INDEX(KPI!$G:$G,SUMIFS(KPI!$B:$B,KPI!$E:$E,$E208)))</f>
        <v>тыс.руб.</v>
      </c>
      <c r="H208" s="147"/>
      <c r="I208" s="170"/>
      <c r="J208" s="147"/>
      <c r="K208" s="170"/>
      <c r="L208" s="147"/>
      <c r="M208" s="171">
        <f>M198-M$190</f>
        <v>32676.666529677237</v>
      </c>
      <c r="N208" s="3"/>
      <c r="O208" s="3"/>
      <c r="P208" s="46"/>
      <c r="Q208" s="46"/>
      <c r="R208" s="46"/>
      <c r="S208" s="46"/>
      <c r="T208" s="46"/>
      <c r="U208" s="46"/>
      <c r="V208" s="46"/>
      <c r="W208" s="46"/>
      <c r="X208" s="46"/>
      <c r="Y208" s="46"/>
      <c r="Z208" s="46"/>
      <c r="AA208" s="46"/>
      <c r="AB208" s="3"/>
    </row>
    <row r="209" spans="1:28" s="5" customFormat="1" ht="3.9" customHeight="1" x14ac:dyDescent="0.25">
      <c r="A209" s="150">
        <f>1</f>
        <v>1</v>
      </c>
      <c r="B209" s="128"/>
      <c r="C209" s="3"/>
      <c r="D209" s="3"/>
      <c r="E209" s="3"/>
      <c r="F209" s="3"/>
      <c r="G209" s="3"/>
      <c r="H209" s="3"/>
      <c r="I209" s="28"/>
      <c r="J209" s="3"/>
      <c r="K209" s="28"/>
      <c r="L209" s="3"/>
      <c r="M209" s="55"/>
      <c r="N209" s="3"/>
      <c r="O209" s="3"/>
      <c r="P209" s="46"/>
      <c r="Q209" s="46"/>
      <c r="R209" s="46"/>
      <c r="S209" s="46"/>
      <c r="T209" s="46"/>
      <c r="U209" s="46"/>
      <c r="V209" s="46"/>
      <c r="W209" s="46"/>
      <c r="X209" s="46"/>
      <c r="Y209" s="46"/>
      <c r="Z209" s="46"/>
      <c r="AA209" s="46"/>
      <c r="AB209" s="3"/>
    </row>
    <row r="210" spans="1:28" s="5" customFormat="1" x14ac:dyDescent="0.25">
      <c r="A210" s="150">
        <f>1</f>
        <v>1</v>
      </c>
      <c r="B210" s="129" t="str">
        <f>структура!$J$14</f>
        <v>УСН(15%)</v>
      </c>
      <c r="C210" s="3"/>
      <c r="D210" s="3"/>
      <c r="E210" s="147" t="str">
        <f>E206</f>
        <v>NPV(CF)-Inv</v>
      </c>
      <c r="F210" s="147"/>
      <c r="G210" s="147" t="str">
        <f>IF($E210="","",INDEX(KPI!$G:$G,SUMIFS(KPI!$B:$B,KPI!$E:$E,$E210)))</f>
        <v>тыс.руб.</v>
      </c>
      <c r="H210" s="147"/>
      <c r="I210" s="170"/>
      <c r="J210" s="147"/>
      <c r="K210" s="170"/>
      <c r="L210" s="147"/>
      <c r="M210" s="171">
        <f>M200-M$190</f>
        <v>28388.828274668591</v>
      </c>
      <c r="N210" s="3"/>
      <c r="O210" s="3"/>
      <c r="P210" s="46"/>
      <c r="Q210" s="46"/>
      <c r="R210" s="46"/>
      <c r="S210" s="46"/>
      <c r="T210" s="46"/>
      <c r="U210" s="46"/>
      <c r="V210" s="46"/>
      <c r="W210" s="46"/>
      <c r="X210" s="46"/>
      <c r="Y210" s="46"/>
      <c r="Z210" s="46"/>
      <c r="AA210" s="46"/>
      <c r="AB210" s="3"/>
    </row>
    <row r="211" spans="1:28" s="5" customFormat="1" ht="3.9" customHeight="1" x14ac:dyDescent="0.25">
      <c r="A211" s="150">
        <f>1</f>
        <v>1</v>
      </c>
      <c r="B211" s="128"/>
      <c r="C211" s="3"/>
      <c r="D211" s="3"/>
      <c r="E211" s="3"/>
      <c r="F211" s="3"/>
      <c r="G211" s="3"/>
      <c r="H211" s="3"/>
      <c r="I211" s="28"/>
      <c r="J211" s="3"/>
      <c r="K211" s="28"/>
      <c r="L211" s="3"/>
      <c r="M211" s="55"/>
      <c r="N211" s="3"/>
      <c r="O211" s="3"/>
      <c r="P211" s="46"/>
      <c r="Q211" s="46"/>
      <c r="R211" s="46"/>
      <c r="S211" s="46"/>
      <c r="T211" s="46"/>
      <c r="U211" s="46"/>
      <c r="V211" s="46"/>
      <c r="W211" s="46"/>
      <c r="X211" s="46"/>
      <c r="Y211" s="46"/>
      <c r="Z211" s="46"/>
      <c r="AA211" s="46"/>
      <c r="AB211" s="3"/>
    </row>
    <row r="212" spans="1:28" s="5" customFormat="1" x14ac:dyDescent="0.25">
      <c r="A212" s="150">
        <f>1</f>
        <v>1</v>
      </c>
      <c r="B212" s="129" t="str">
        <f>структура!$J$15</f>
        <v>УСН(6%)-ИП</v>
      </c>
      <c r="C212" s="3"/>
      <c r="D212" s="3"/>
      <c r="E212" s="147" t="str">
        <f>E206</f>
        <v>NPV(CF)-Inv</v>
      </c>
      <c r="F212" s="147"/>
      <c r="G212" s="147" t="str">
        <f>IF($E212="","",INDEX(KPI!$G:$G,SUMIFS(KPI!$B:$B,KPI!$E:$E,$E212)))</f>
        <v>тыс.руб.</v>
      </c>
      <c r="H212" s="147"/>
      <c r="I212" s="170"/>
      <c r="J212" s="147"/>
      <c r="K212" s="170"/>
      <c r="L212" s="147"/>
      <c r="M212" s="171">
        <f>M202-M$190</f>
        <v>34464.173357894106</v>
      </c>
      <c r="N212" s="3"/>
      <c r="O212" s="3"/>
      <c r="P212" s="46"/>
      <c r="Q212" s="46"/>
      <c r="R212" s="46"/>
      <c r="S212" s="46"/>
      <c r="T212" s="46"/>
      <c r="U212" s="46"/>
      <c r="V212" s="46"/>
      <c r="W212" s="46"/>
      <c r="X212" s="46"/>
      <c r="Y212" s="46"/>
      <c r="Z212" s="46"/>
      <c r="AA212" s="46"/>
      <c r="AB212" s="3"/>
    </row>
    <row r="213" spans="1:28" ht="3.9" customHeight="1" x14ac:dyDescent="0.25">
      <c r="A213" s="149">
        <f>1</f>
        <v>1</v>
      </c>
      <c r="B213" s="131"/>
      <c r="C213" s="2"/>
      <c r="D213" s="2"/>
      <c r="E213" s="117"/>
      <c r="F213" s="2"/>
      <c r="G213" s="117"/>
      <c r="H213" s="2"/>
      <c r="I213" s="28"/>
      <c r="J213" s="2"/>
      <c r="K213" s="28"/>
      <c r="L213" s="2"/>
      <c r="M213" s="138"/>
      <c r="N213" s="2"/>
      <c r="O213" s="2"/>
      <c r="P213" s="36"/>
      <c r="Q213" s="36"/>
      <c r="R213" s="36"/>
      <c r="S213" s="36"/>
      <c r="T213" s="36"/>
      <c r="U213" s="36"/>
      <c r="V213" s="36"/>
      <c r="W213" s="36"/>
      <c r="X213" s="36"/>
      <c r="Y213" s="36"/>
      <c r="Z213" s="36"/>
      <c r="AA213" s="36"/>
      <c r="AB213" s="2"/>
    </row>
    <row r="214" spans="1:28" ht="8.1" customHeight="1" x14ac:dyDescent="0.25">
      <c r="A214" s="149">
        <f>1</f>
        <v>1</v>
      </c>
      <c r="B214" s="131"/>
      <c r="C214" s="2"/>
      <c r="D214" s="2"/>
      <c r="E214" s="2"/>
      <c r="F214" s="2"/>
      <c r="G214" s="2"/>
      <c r="H214" s="2"/>
      <c r="I214" s="28"/>
      <c r="J214" s="2"/>
      <c r="K214" s="28"/>
      <c r="L214" s="2"/>
      <c r="M214" s="52"/>
      <c r="N214" s="2"/>
      <c r="O214" s="2"/>
      <c r="P214" s="36"/>
      <c r="Q214" s="36"/>
      <c r="R214" s="36"/>
      <c r="S214" s="36"/>
      <c r="T214" s="36"/>
      <c r="U214" s="36"/>
      <c r="V214" s="36"/>
      <c r="W214" s="36"/>
      <c r="X214" s="36"/>
      <c r="Y214" s="36"/>
      <c r="Z214" s="36"/>
      <c r="AA214" s="36"/>
      <c r="AB214" s="2"/>
    </row>
    <row r="215" spans="1:28" ht="3.9" customHeight="1" x14ac:dyDescent="0.25">
      <c r="A215" s="149">
        <f>1</f>
        <v>1</v>
      </c>
      <c r="B215" s="131"/>
      <c r="C215" s="2"/>
      <c r="D215" s="2"/>
      <c r="E215" s="2"/>
      <c r="F215" s="2"/>
      <c r="G215" s="2"/>
      <c r="H215" s="2"/>
      <c r="I215" s="28"/>
      <c r="J215" s="2"/>
      <c r="K215" s="28"/>
      <c r="L215" s="2"/>
      <c r="M215" s="52"/>
      <c r="N215" s="2"/>
      <c r="O215" s="2"/>
      <c r="P215" s="36"/>
      <c r="Q215" s="36"/>
      <c r="R215" s="36"/>
      <c r="S215" s="36"/>
      <c r="T215" s="36"/>
      <c r="U215" s="36"/>
      <c r="V215" s="36"/>
      <c r="W215" s="36"/>
      <c r="X215" s="36"/>
      <c r="Y215" s="36"/>
      <c r="Z215" s="36"/>
      <c r="AA215" s="36"/>
      <c r="AB215" s="2"/>
    </row>
    <row r="216" spans="1:28" s="5" customFormat="1" x14ac:dyDescent="0.25">
      <c r="A216" s="150">
        <f>1</f>
        <v>1</v>
      </c>
      <c r="B216" s="129" t="str">
        <f>структура!$J$12</f>
        <v>ОСНО</v>
      </c>
      <c r="C216" s="3"/>
      <c r="D216" s="3"/>
      <c r="E216" s="147" t="str">
        <f>KPI!$E$102</f>
        <v>PI</v>
      </c>
      <c r="F216" s="147"/>
      <c r="G216" s="147" t="str">
        <f>IF($E216="","",INDEX(KPI!$G:$G,SUMIFS(KPI!$B:$B,KPI!$E:$E,$E216)))</f>
        <v>разы</v>
      </c>
      <c r="H216" s="147"/>
      <c r="I216" s="170"/>
      <c r="J216" s="147"/>
      <c r="K216" s="170"/>
      <c r="L216" s="147"/>
      <c r="M216" s="187">
        <f>IF(M$190=0,0,M196/M$190)</f>
        <v>1.7545135824504838</v>
      </c>
      <c r="N216" s="3"/>
      <c r="O216" s="3"/>
      <c r="P216" s="46"/>
      <c r="Q216" s="46"/>
      <c r="R216" s="46"/>
      <c r="S216" s="46"/>
      <c r="T216" s="46"/>
      <c r="U216" s="46"/>
      <c r="V216" s="46"/>
      <c r="W216" s="46"/>
      <c r="X216" s="46"/>
      <c r="Y216" s="46"/>
      <c r="Z216" s="46"/>
      <c r="AA216" s="46"/>
      <c r="AB216" s="3"/>
    </row>
    <row r="217" spans="1:28" s="5" customFormat="1" ht="3.9" customHeight="1" x14ac:dyDescent="0.25">
      <c r="A217" s="150">
        <f>1</f>
        <v>1</v>
      </c>
      <c r="B217" s="128"/>
      <c r="C217" s="3"/>
      <c r="D217" s="3"/>
      <c r="E217" s="3"/>
      <c r="F217" s="3"/>
      <c r="G217" s="3"/>
      <c r="H217" s="3"/>
      <c r="I217" s="28"/>
      <c r="J217" s="3"/>
      <c r="K217" s="28"/>
      <c r="L217" s="3"/>
      <c r="M217" s="55"/>
      <c r="N217" s="3"/>
      <c r="O217" s="3"/>
      <c r="P217" s="46"/>
      <c r="Q217" s="46"/>
      <c r="R217" s="46"/>
      <c r="S217" s="46"/>
      <c r="T217" s="46"/>
      <c r="U217" s="46"/>
      <c r="V217" s="46"/>
      <c r="W217" s="46"/>
      <c r="X217" s="46"/>
      <c r="Y217" s="46"/>
      <c r="Z217" s="46"/>
      <c r="AA217" s="46"/>
      <c r="AB217" s="3"/>
    </row>
    <row r="218" spans="1:28" s="5" customFormat="1" x14ac:dyDescent="0.25">
      <c r="A218" s="150">
        <f>1</f>
        <v>1</v>
      </c>
      <c r="B218" s="129" t="str">
        <f>структура!$J$13</f>
        <v>УСН(6%)</v>
      </c>
      <c r="C218" s="3"/>
      <c r="D218" s="3"/>
      <c r="E218" s="147" t="str">
        <f>E216</f>
        <v>PI</v>
      </c>
      <c r="F218" s="147"/>
      <c r="G218" s="147" t="str">
        <f>IF($E218="","",INDEX(KPI!$G:$G,SUMIFS(KPI!$B:$B,KPI!$E:$E,$E218)))</f>
        <v>разы</v>
      </c>
      <c r="H218" s="147"/>
      <c r="I218" s="170"/>
      <c r="J218" s="147"/>
      <c r="K218" s="170"/>
      <c r="L218" s="147"/>
      <c r="M218" s="187">
        <f>IF(M$190=0,0,M198/M$190)</f>
        <v>2.1445267080660591</v>
      </c>
      <c r="N218" s="3"/>
      <c r="O218" s="3"/>
      <c r="P218" s="46"/>
      <c r="Q218" s="46"/>
      <c r="R218" s="46"/>
      <c r="S218" s="46"/>
      <c r="T218" s="46"/>
      <c r="U218" s="46"/>
      <c r="V218" s="46"/>
      <c r="W218" s="46"/>
      <c r="X218" s="46"/>
      <c r="Y218" s="46"/>
      <c r="Z218" s="46"/>
      <c r="AA218" s="46"/>
      <c r="AB218" s="3"/>
    </row>
    <row r="219" spans="1:28" s="5" customFormat="1" ht="3.9" customHeight="1" x14ac:dyDescent="0.25">
      <c r="A219" s="150">
        <f>1</f>
        <v>1</v>
      </c>
      <c r="B219" s="128"/>
      <c r="C219" s="3"/>
      <c r="D219" s="3"/>
      <c r="E219" s="3"/>
      <c r="F219" s="3"/>
      <c r="G219" s="3"/>
      <c r="H219" s="3"/>
      <c r="I219" s="28"/>
      <c r="J219" s="3"/>
      <c r="K219" s="28"/>
      <c r="L219" s="3"/>
      <c r="M219" s="55"/>
      <c r="N219" s="3"/>
      <c r="O219" s="3"/>
      <c r="P219" s="46"/>
      <c r="Q219" s="46"/>
      <c r="R219" s="46"/>
      <c r="S219" s="46"/>
      <c r="T219" s="46"/>
      <c r="U219" s="46"/>
      <c r="V219" s="46"/>
      <c r="W219" s="46"/>
      <c r="X219" s="46"/>
      <c r="Y219" s="46"/>
      <c r="Z219" s="46"/>
      <c r="AA219" s="46"/>
      <c r="AB219" s="3"/>
    </row>
    <row r="220" spans="1:28" s="5" customFormat="1" x14ac:dyDescent="0.25">
      <c r="A220" s="150">
        <f>1</f>
        <v>1</v>
      </c>
      <c r="B220" s="129" t="str">
        <f>структура!$J$14</f>
        <v>УСН(15%)</v>
      </c>
      <c r="C220" s="3"/>
      <c r="D220" s="3"/>
      <c r="E220" s="147" t="str">
        <f>E216</f>
        <v>PI</v>
      </c>
      <c r="F220" s="147"/>
      <c r="G220" s="147" t="str">
        <f>IF($E220="","",INDEX(KPI!$G:$G,SUMIFS(KPI!$B:$B,KPI!$E:$E,$E220)))</f>
        <v>разы</v>
      </c>
      <c r="H220" s="147"/>
      <c r="I220" s="170"/>
      <c r="J220" s="147"/>
      <c r="K220" s="170"/>
      <c r="L220" s="147"/>
      <c r="M220" s="187">
        <f>IF(M$190=0,0,M200/M$190)</f>
        <v>1.994341700722434</v>
      </c>
      <c r="N220" s="3"/>
      <c r="O220" s="3"/>
      <c r="P220" s="46"/>
      <c r="Q220" s="46"/>
      <c r="R220" s="46"/>
      <c r="S220" s="46"/>
      <c r="T220" s="46"/>
      <c r="U220" s="46"/>
      <c r="V220" s="46"/>
      <c r="W220" s="46"/>
      <c r="X220" s="46"/>
      <c r="Y220" s="46"/>
      <c r="Z220" s="46"/>
      <c r="AA220" s="46"/>
      <c r="AB220" s="3"/>
    </row>
    <row r="221" spans="1:28" s="5" customFormat="1" ht="3.9" customHeight="1" x14ac:dyDescent="0.25">
      <c r="A221" s="150">
        <f>1</f>
        <v>1</v>
      </c>
      <c r="B221" s="128"/>
      <c r="C221" s="3"/>
      <c r="D221" s="3"/>
      <c r="E221" s="3"/>
      <c r="F221" s="3"/>
      <c r="G221" s="3"/>
      <c r="H221" s="3"/>
      <c r="I221" s="28"/>
      <c r="J221" s="3"/>
      <c r="K221" s="28"/>
      <c r="L221" s="3"/>
      <c r="M221" s="55"/>
      <c r="N221" s="3"/>
      <c r="O221" s="3"/>
      <c r="P221" s="46"/>
      <c r="Q221" s="46"/>
      <c r="R221" s="46"/>
      <c r="S221" s="46"/>
      <c r="T221" s="46"/>
      <c r="U221" s="46"/>
      <c r="V221" s="46"/>
      <c r="W221" s="46"/>
      <c r="X221" s="46"/>
      <c r="Y221" s="46"/>
      <c r="Z221" s="46"/>
      <c r="AA221" s="46"/>
      <c r="AB221" s="3"/>
    </row>
    <row r="222" spans="1:28" s="5" customFormat="1" x14ac:dyDescent="0.25">
      <c r="A222" s="150">
        <f>1</f>
        <v>1</v>
      </c>
      <c r="B222" s="129" t="str">
        <f>структура!$J$15</f>
        <v>УСН(6%)-ИП</v>
      </c>
      <c r="C222" s="3"/>
      <c r="D222" s="3"/>
      <c r="E222" s="147" t="str">
        <f>E216</f>
        <v>PI</v>
      </c>
      <c r="F222" s="147"/>
      <c r="G222" s="147" t="str">
        <f>IF($E222="","",INDEX(KPI!$G:$G,SUMIFS(KPI!$B:$B,KPI!$E:$E,$E222)))</f>
        <v>разы</v>
      </c>
      <c r="H222" s="147"/>
      <c r="I222" s="170"/>
      <c r="J222" s="147"/>
      <c r="K222" s="170"/>
      <c r="L222" s="147"/>
      <c r="M222" s="187">
        <f>IF(M$190=0,0,M202/M$190)</f>
        <v>2.207135582318474</v>
      </c>
      <c r="N222" s="3"/>
      <c r="O222" s="3"/>
      <c r="P222" s="46"/>
      <c r="Q222" s="46"/>
      <c r="R222" s="46"/>
      <c r="S222" s="46"/>
      <c r="T222" s="46"/>
      <c r="U222" s="46"/>
      <c r="V222" s="46"/>
      <c r="W222" s="46"/>
      <c r="X222" s="46"/>
      <c r="Y222" s="46"/>
      <c r="Z222" s="46"/>
      <c r="AA222" s="46"/>
      <c r="AB222" s="3"/>
    </row>
    <row r="223" spans="1:28" ht="3.9" customHeight="1" x14ac:dyDescent="0.25">
      <c r="A223" s="149">
        <f>1</f>
        <v>1</v>
      </c>
      <c r="B223" s="131"/>
      <c r="C223" s="2"/>
      <c r="D223" s="2"/>
      <c r="E223" s="117"/>
      <c r="F223" s="2"/>
      <c r="G223" s="117"/>
      <c r="H223" s="2"/>
      <c r="I223" s="28"/>
      <c r="J223" s="2"/>
      <c r="K223" s="28"/>
      <c r="L223" s="2"/>
      <c r="M223" s="138"/>
      <c r="N223" s="2"/>
      <c r="O223" s="2"/>
      <c r="P223" s="36"/>
      <c r="Q223" s="36"/>
      <c r="R223" s="36"/>
      <c r="S223" s="36"/>
      <c r="T223" s="36"/>
      <c r="U223" s="36"/>
      <c r="V223" s="36"/>
      <c r="W223" s="36"/>
      <c r="X223" s="36"/>
      <c r="Y223" s="36"/>
      <c r="Z223" s="36"/>
      <c r="AA223" s="36"/>
      <c r="AB223" s="2"/>
    </row>
    <row r="224" spans="1:28" ht="8.1" customHeight="1" x14ac:dyDescent="0.25">
      <c r="A224" s="149">
        <f>1</f>
        <v>1</v>
      </c>
      <c r="B224" s="131"/>
      <c r="C224" s="2"/>
      <c r="D224" s="2"/>
      <c r="E224" s="2"/>
      <c r="F224" s="2"/>
      <c r="G224" s="2"/>
      <c r="H224" s="2"/>
      <c r="I224" s="28"/>
      <c r="J224" s="2"/>
      <c r="K224" s="28"/>
      <c r="L224" s="2"/>
      <c r="M224" s="52"/>
      <c r="N224" s="2"/>
      <c r="O224" s="2"/>
      <c r="P224" s="36"/>
      <c r="Q224" s="36"/>
      <c r="R224" s="36"/>
      <c r="S224" s="36"/>
      <c r="T224" s="36"/>
      <c r="U224" s="36"/>
      <c r="V224" s="36"/>
      <c r="W224" s="36"/>
      <c r="X224" s="36"/>
      <c r="Y224" s="36"/>
      <c r="Z224" s="36"/>
      <c r="AA224" s="36"/>
      <c r="AB224" s="2"/>
    </row>
    <row r="225" spans="1:28" ht="3.9" customHeight="1" x14ac:dyDescent="0.25">
      <c r="A225" s="149">
        <f>1</f>
        <v>1</v>
      </c>
      <c r="B225" s="131"/>
      <c r="C225" s="2"/>
      <c r="D225" s="2"/>
      <c r="E225" s="2"/>
      <c r="F225" s="2"/>
      <c r="G225" s="2"/>
      <c r="H225" s="2"/>
      <c r="I225" s="28"/>
      <c r="J225" s="2"/>
      <c r="K225" s="28"/>
      <c r="L225" s="2"/>
      <c r="M225" s="52"/>
      <c r="N225" s="2"/>
      <c r="O225" s="2"/>
      <c r="P225" s="36"/>
      <c r="Q225" s="36"/>
      <c r="R225" s="36"/>
      <c r="S225" s="36"/>
      <c r="T225" s="36"/>
      <c r="U225" s="36"/>
      <c r="V225" s="36"/>
      <c r="W225" s="36"/>
      <c r="X225" s="36"/>
      <c r="Y225" s="36"/>
      <c r="Z225" s="36"/>
      <c r="AA225" s="36"/>
      <c r="AB225" s="2"/>
    </row>
    <row r="226" spans="1:28" s="5" customFormat="1" x14ac:dyDescent="0.25">
      <c r="A226" s="150">
        <f>1</f>
        <v>1</v>
      </c>
      <c r="B226" s="129" t="str">
        <f>структура!$J$12</f>
        <v>ОСНО</v>
      </c>
      <c r="C226" s="3"/>
      <c r="D226" s="3"/>
      <c r="E226" s="147" t="str">
        <f>KPI!$E$103</f>
        <v>ROI</v>
      </c>
      <c r="F226" s="147"/>
      <c r="G226" s="147" t="str">
        <f>IF($E226="","",INDEX(KPI!$G:$G,SUMIFS(KPI!$B:$B,KPI!$E:$E,$E226)))</f>
        <v>%</v>
      </c>
      <c r="H226" s="147"/>
      <c r="I226" s="170"/>
      <c r="J226" s="147"/>
      <c r="K226" s="170"/>
      <c r="L226" s="147"/>
      <c r="M226" s="188">
        <f>IF(M$190=0,0,M206/M$190)</f>
        <v>0.75451358245048383</v>
      </c>
      <c r="N226" s="3"/>
      <c r="O226" s="3"/>
      <c r="P226" s="46"/>
      <c r="Q226" s="46"/>
      <c r="R226" s="46"/>
      <c r="S226" s="46"/>
      <c r="T226" s="46"/>
      <c r="U226" s="46"/>
      <c r="V226" s="46"/>
      <c r="W226" s="46"/>
      <c r="X226" s="46"/>
      <c r="Y226" s="46"/>
      <c r="Z226" s="46"/>
      <c r="AA226" s="46"/>
      <c r="AB226" s="3"/>
    </row>
    <row r="227" spans="1:28" s="5" customFormat="1" ht="3.9" customHeight="1" x14ac:dyDescent="0.25">
      <c r="A227" s="150">
        <f>1</f>
        <v>1</v>
      </c>
      <c r="B227" s="128"/>
      <c r="C227" s="3"/>
      <c r="D227" s="3"/>
      <c r="E227" s="3"/>
      <c r="F227" s="3"/>
      <c r="G227" s="3"/>
      <c r="H227" s="3"/>
      <c r="I227" s="28"/>
      <c r="J227" s="3"/>
      <c r="K227" s="28"/>
      <c r="L227" s="3"/>
      <c r="M227" s="55"/>
      <c r="N227" s="3"/>
      <c r="O227" s="3"/>
      <c r="P227" s="46"/>
      <c r="Q227" s="46"/>
      <c r="R227" s="46"/>
      <c r="S227" s="46"/>
      <c r="T227" s="46"/>
      <c r="U227" s="46"/>
      <c r="V227" s="46"/>
      <c r="W227" s="46"/>
      <c r="X227" s="46"/>
      <c r="Y227" s="46"/>
      <c r="Z227" s="46"/>
      <c r="AA227" s="46"/>
      <c r="AB227" s="3"/>
    </row>
    <row r="228" spans="1:28" s="5" customFormat="1" x14ac:dyDescent="0.25">
      <c r="A228" s="150">
        <f>1</f>
        <v>1</v>
      </c>
      <c r="B228" s="129" t="str">
        <f>структура!$J$13</f>
        <v>УСН(6%)</v>
      </c>
      <c r="C228" s="3"/>
      <c r="D228" s="3"/>
      <c r="E228" s="147" t="str">
        <f>E226</f>
        <v>ROI</v>
      </c>
      <c r="F228" s="147"/>
      <c r="G228" s="147" t="str">
        <f>IF($E228="","",INDEX(KPI!$G:$G,SUMIFS(KPI!$B:$B,KPI!$E:$E,$E228)))</f>
        <v>%</v>
      </c>
      <c r="H228" s="147"/>
      <c r="I228" s="170"/>
      <c r="J228" s="147"/>
      <c r="K228" s="170"/>
      <c r="L228" s="147"/>
      <c r="M228" s="188">
        <f>IF(M$190=0,0,M208/M$190)</f>
        <v>1.1445267080660591</v>
      </c>
      <c r="N228" s="3"/>
      <c r="O228" s="3"/>
      <c r="P228" s="46"/>
      <c r="Q228" s="46"/>
      <c r="R228" s="46"/>
      <c r="S228" s="46"/>
      <c r="T228" s="46"/>
      <c r="U228" s="46"/>
      <c r="V228" s="46"/>
      <c r="W228" s="46"/>
      <c r="X228" s="46"/>
      <c r="Y228" s="46"/>
      <c r="Z228" s="46"/>
      <c r="AA228" s="46"/>
      <c r="AB228" s="3"/>
    </row>
    <row r="229" spans="1:28" s="5" customFormat="1" ht="3.9" customHeight="1" x14ac:dyDescent="0.25">
      <c r="A229" s="150">
        <f>1</f>
        <v>1</v>
      </c>
      <c r="B229" s="128"/>
      <c r="C229" s="3"/>
      <c r="D229" s="3"/>
      <c r="E229" s="3"/>
      <c r="F229" s="3"/>
      <c r="G229" s="3"/>
      <c r="H229" s="3"/>
      <c r="I229" s="28"/>
      <c r="J229" s="3"/>
      <c r="K229" s="28"/>
      <c r="L229" s="3"/>
      <c r="M229" s="55"/>
      <c r="N229" s="3"/>
      <c r="O229" s="3"/>
      <c r="P229" s="46"/>
      <c r="Q229" s="46"/>
      <c r="R229" s="46"/>
      <c r="S229" s="46"/>
      <c r="T229" s="46"/>
      <c r="U229" s="46"/>
      <c r="V229" s="46"/>
      <c r="W229" s="46"/>
      <c r="X229" s="46"/>
      <c r="Y229" s="46"/>
      <c r="Z229" s="46"/>
      <c r="AA229" s="46"/>
      <c r="AB229" s="3"/>
    </row>
    <row r="230" spans="1:28" s="5" customFormat="1" x14ac:dyDescent="0.25">
      <c r="A230" s="150">
        <f>1</f>
        <v>1</v>
      </c>
      <c r="B230" s="129" t="str">
        <f>структура!$J$14</f>
        <v>УСН(15%)</v>
      </c>
      <c r="C230" s="3"/>
      <c r="D230" s="3"/>
      <c r="E230" s="147" t="str">
        <f>E226</f>
        <v>ROI</v>
      </c>
      <c r="F230" s="147"/>
      <c r="G230" s="147" t="str">
        <f>IF($E230="","",INDEX(KPI!$G:$G,SUMIFS(KPI!$B:$B,KPI!$E:$E,$E230)))</f>
        <v>%</v>
      </c>
      <c r="H230" s="147"/>
      <c r="I230" s="170"/>
      <c r="J230" s="147"/>
      <c r="K230" s="170"/>
      <c r="L230" s="147"/>
      <c r="M230" s="188">
        <f>IF(M$190=0,0,M210/M$190)</f>
        <v>0.994341700722434</v>
      </c>
      <c r="N230" s="3"/>
      <c r="O230" s="3"/>
      <c r="P230" s="46"/>
      <c r="Q230" s="46"/>
      <c r="R230" s="46"/>
      <c r="S230" s="46"/>
      <c r="T230" s="46"/>
      <c r="U230" s="46"/>
      <c r="V230" s="46"/>
      <c r="W230" s="46"/>
      <c r="X230" s="46"/>
      <c r="Y230" s="46"/>
      <c r="Z230" s="46"/>
      <c r="AA230" s="46"/>
      <c r="AB230" s="3"/>
    </row>
    <row r="231" spans="1:28" s="5" customFormat="1" ht="3.9" customHeight="1" x14ac:dyDescent="0.25">
      <c r="A231" s="150">
        <f>1</f>
        <v>1</v>
      </c>
      <c r="B231" s="128"/>
      <c r="C231" s="3"/>
      <c r="D231" s="3"/>
      <c r="E231" s="3"/>
      <c r="F231" s="3"/>
      <c r="G231" s="3"/>
      <c r="H231" s="3"/>
      <c r="I231" s="28"/>
      <c r="J231" s="3"/>
      <c r="K231" s="28"/>
      <c r="L231" s="3"/>
      <c r="M231" s="55"/>
      <c r="N231" s="3"/>
      <c r="O231" s="3"/>
      <c r="P231" s="46"/>
      <c r="Q231" s="46"/>
      <c r="R231" s="46"/>
      <c r="S231" s="46"/>
      <c r="T231" s="46"/>
      <c r="U231" s="46"/>
      <c r="V231" s="46"/>
      <c r="W231" s="46"/>
      <c r="X231" s="46"/>
      <c r="Y231" s="46"/>
      <c r="Z231" s="46"/>
      <c r="AA231" s="46"/>
      <c r="AB231" s="3"/>
    </row>
    <row r="232" spans="1:28" s="5" customFormat="1" x14ac:dyDescent="0.25">
      <c r="A232" s="150">
        <f>1</f>
        <v>1</v>
      </c>
      <c r="B232" s="129" t="str">
        <f>структура!$J$15</f>
        <v>УСН(6%)-ИП</v>
      </c>
      <c r="C232" s="3"/>
      <c r="D232" s="3"/>
      <c r="E232" s="147" t="str">
        <f>E226</f>
        <v>ROI</v>
      </c>
      <c r="F232" s="147"/>
      <c r="G232" s="147" t="str">
        <f>IF($E232="","",INDEX(KPI!$G:$G,SUMIFS(KPI!$B:$B,KPI!$E:$E,$E232)))</f>
        <v>%</v>
      </c>
      <c r="H232" s="147"/>
      <c r="I232" s="170"/>
      <c r="J232" s="147"/>
      <c r="K232" s="170"/>
      <c r="L232" s="147"/>
      <c r="M232" s="188">
        <f>IF(M$190=0,0,M212/M$190)</f>
        <v>1.207135582318474</v>
      </c>
      <c r="N232" s="3"/>
      <c r="O232" s="3"/>
      <c r="P232" s="46"/>
      <c r="Q232" s="46"/>
      <c r="R232" s="46"/>
      <c r="S232" s="46"/>
      <c r="T232" s="46"/>
      <c r="U232" s="46"/>
      <c r="V232" s="46"/>
      <c r="W232" s="46"/>
      <c r="X232" s="46"/>
      <c r="Y232" s="46"/>
      <c r="Z232" s="46"/>
      <c r="AA232" s="46"/>
      <c r="AB232" s="3"/>
    </row>
    <row r="233" spans="1:28" ht="3.9" customHeight="1" x14ac:dyDescent="0.25">
      <c r="A233" s="149">
        <f>1</f>
        <v>1</v>
      </c>
      <c r="B233" s="131"/>
      <c r="C233" s="2"/>
      <c r="D233" s="2"/>
      <c r="E233" s="117"/>
      <c r="F233" s="2"/>
      <c r="G233" s="117"/>
      <c r="H233" s="2"/>
      <c r="I233" s="28"/>
      <c r="J233" s="2"/>
      <c r="K233" s="28"/>
      <c r="L233" s="2"/>
      <c r="M233" s="138"/>
      <c r="N233" s="2"/>
      <c r="O233" s="2"/>
      <c r="P233" s="36"/>
      <c r="Q233" s="36"/>
      <c r="R233" s="36"/>
      <c r="S233" s="36"/>
      <c r="T233" s="36"/>
      <c r="U233" s="36"/>
      <c r="V233" s="36"/>
      <c r="W233" s="36"/>
      <c r="X233" s="36"/>
      <c r="Y233" s="36"/>
      <c r="Z233" s="36"/>
      <c r="AA233" s="36"/>
      <c r="AB233" s="2"/>
    </row>
    <row r="234" spans="1:28" ht="8.1" customHeight="1" x14ac:dyDescent="0.25">
      <c r="A234" s="149">
        <f>1</f>
        <v>1</v>
      </c>
      <c r="B234" s="131"/>
      <c r="C234" s="2"/>
      <c r="D234" s="2"/>
      <c r="E234" s="2"/>
      <c r="F234" s="2"/>
      <c r="G234" s="2"/>
      <c r="H234" s="2"/>
      <c r="I234" s="28"/>
      <c r="J234" s="2"/>
      <c r="K234" s="28"/>
      <c r="L234" s="2"/>
      <c r="M234" s="52"/>
      <c r="N234" s="2"/>
      <c r="O234" s="2"/>
      <c r="P234" s="36"/>
      <c r="Q234" s="36"/>
      <c r="R234" s="36"/>
      <c r="S234" s="36"/>
      <c r="T234" s="36"/>
      <c r="U234" s="36"/>
      <c r="V234" s="36"/>
      <c r="W234" s="36"/>
      <c r="X234" s="36"/>
      <c r="Y234" s="36"/>
      <c r="Z234" s="36"/>
      <c r="AA234" s="36"/>
      <c r="AB234" s="2"/>
    </row>
    <row r="235" spans="1:28" ht="3.9" customHeight="1" x14ac:dyDescent="0.25">
      <c r="A235" s="149">
        <f>1</f>
        <v>1</v>
      </c>
      <c r="B235" s="131"/>
      <c r="C235" s="2"/>
      <c r="D235" s="2"/>
      <c r="E235" s="2"/>
      <c r="F235" s="2"/>
      <c r="G235" s="2"/>
      <c r="H235" s="2"/>
      <c r="I235" s="28"/>
      <c r="J235" s="2"/>
      <c r="K235" s="28"/>
      <c r="L235" s="2"/>
      <c r="M235" s="52"/>
      <c r="N235" s="2"/>
      <c r="O235" s="2"/>
      <c r="P235" s="36"/>
      <c r="Q235" s="36"/>
      <c r="R235" s="36"/>
      <c r="S235" s="36"/>
      <c r="T235" s="36"/>
      <c r="U235" s="36"/>
      <c r="V235" s="36"/>
      <c r="W235" s="36"/>
      <c r="X235" s="36"/>
      <c r="Y235" s="36"/>
      <c r="Z235" s="36"/>
      <c r="AA235" s="36"/>
      <c r="AB235" s="2"/>
    </row>
    <row r="236" spans="1:28" s="157" customFormat="1" x14ac:dyDescent="0.25">
      <c r="A236" s="155">
        <f>1</f>
        <v>1</v>
      </c>
      <c r="B236" s="156" t="str">
        <f>структура!$J$12</f>
        <v>ОСНО</v>
      </c>
      <c r="C236" s="155"/>
      <c r="D236" s="155"/>
      <c r="E236" s="189" t="str">
        <f>KPI!$E$104</f>
        <v>График возврата инвестиций (приведенный)</v>
      </c>
      <c r="F236" s="189"/>
      <c r="G236" s="189" t="str">
        <f>IF($E236="","",INDEX(KPI!$G:$G,SUMIFS(KPI!$B:$B,KPI!$E:$E,$E236)))</f>
        <v>тыс.руб.</v>
      </c>
      <c r="H236" s="189"/>
      <c r="I236" s="190"/>
      <c r="J236" s="189"/>
      <c r="K236" s="190"/>
      <c r="L236" s="189"/>
      <c r="M236" s="191">
        <f>SUM($O236:$AB236)</f>
        <v>28550.37484</v>
      </c>
      <c r="N236" s="155"/>
      <c r="O236" s="155"/>
      <c r="P236" s="192">
        <f>IF(P$1="",0,IF($M206&lt;0,0,IF(SUM($O236:O236)=$M$190,0,IF(SUM($O196:P196)&lt;=$M$190,P196,$M$190-SUM($O196:O196)))))</f>
        <v>12420.154287372841</v>
      </c>
      <c r="Q236" s="192">
        <f>IF(Q$1="",0,IF($M206&lt;0,0,IF(SUM($O236:P236)=$M$190,0,IF(SUM($O196:Q196)&lt;=$M$190,Q196,$M$190-SUM($O196:P196)))))</f>
        <v>6471.5494272153373</v>
      </c>
      <c r="R236" s="192">
        <f>IF(R$1="",0,IF($M206&lt;0,0,IF(SUM($O236:Q236)=$M$190,0,IF(SUM($O196:R196)&lt;=$M$190,R196,$M$190-SUM($O196:Q196)))))</f>
        <v>6536.6664428190124</v>
      </c>
      <c r="S236" s="192">
        <f>IF(S$1="",0,IF($M206&lt;0,0,IF(SUM($O236:R236)=$M$190,0,IF(SUM($O196:S196)&lt;=$M$190,S196,$M$190-SUM($O196:R196)))))</f>
        <v>3122.0046825928112</v>
      </c>
      <c r="T236" s="192">
        <f>IF(T$1="",0,IF($M206&lt;0,0,IF(SUM($O236:S236)=$M$190,0,IF(SUM($O196:T196)&lt;=$M$190,T196,$M$190-SUM($O196:S196)))))</f>
        <v>0</v>
      </c>
      <c r="U236" s="192">
        <f>IF(U$1="",0,IF($M206&lt;0,0,IF(SUM($O236:T236)=$M$190,0,IF(SUM($O196:U196)&lt;=$M$190,U196,$M$190-SUM($O196:T196)))))</f>
        <v>0</v>
      </c>
      <c r="V236" s="192">
        <f>IF(V$1="",0,IF($M206&lt;0,0,IF(SUM($O236:U236)=$M$190,0,IF(SUM($O196:V196)&lt;=$M$190,V196,$M$190-SUM($O196:U196)))))</f>
        <v>0</v>
      </c>
      <c r="W236" s="192">
        <f>IF(W$1="",0,IF($M206&lt;0,0,IF(SUM($O236:V236)=$M$190,0,IF(SUM($O196:W196)&lt;=$M$190,W196,$M$190-SUM($O196:V196)))))</f>
        <v>0</v>
      </c>
      <c r="X236" s="192">
        <f>IF(X$1="",0,IF($M206&lt;0,0,IF(SUM($O236:W236)=$M$190,0,IF(SUM($O196:X196)&lt;=$M$190,X196,$M$190-SUM($O196:W196)))))</f>
        <v>0</v>
      </c>
      <c r="Y236" s="192">
        <f>IF(Y$1="",0,IF($M206&lt;0,0,IF(SUM($O236:X236)=$M$190,0,IF(SUM($O196:Y196)&lt;=$M$190,Y196,$M$190-SUM($O196:X196)))))</f>
        <v>0</v>
      </c>
      <c r="Z236" s="192">
        <f>IF(Z$1="",0,IF($M206&lt;0,0,IF(SUM($O236:Y236)=$M$190,0,IF(SUM($O196:Z196)&lt;=$M$190,Z196,$M$190-SUM($O196:Y196)))))</f>
        <v>0</v>
      </c>
      <c r="AA236" s="192">
        <f>IF(AA$1="",0,IF($M206&lt;0,0,IF(SUM($O236:Z236)=$M$190,0,IF(SUM($O196:AA196)&lt;=$M$190,AA196,$M$190-SUM($O196:Z196)))))</f>
        <v>0</v>
      </c>
      <c r="AB236" s="155"/>
    </row>
    <row r="237" spans="1:28" s="5" customFormat="1" ht="3.9" customHeight="1" x14ac:dyDescent="0.25">
      <c r="A237" s="150">
        <f>1</f>
        <v>1</v>
      </c>
      <c r="B237" s="128"/>
      <c r="C237" s="3"/>
      <c r="D237" s="3"/>
      <c r="E237" s="3"/>
      <c r="F237" s="3"/>
      <c r="G237" s="3"/>
      <c r="H237" s="3"/>
      <c r="I237" s="28"/>
      <c r="J237" s="3"/>
      <c r="K237" s="28"/>
      <c r="L237" s="3"/>
      <c r="M237" s="55"/>
      <c r="N237" s="3"/>
      <c r="O237" s="3"/>
      <c r="P237" s="46"/>
      <c r="Q237" s="46"/>
      <c r="R237" s="46"/>
      <c r="S237" s="46"/>
      <c r="T237" s="46"/>
      <c r="U237" s="46"/>
      <c r="V237" s="46"/>
      <c r="W237" s="46"/>
      <c r="X237" s="46"/>
      <c r="Y237" s="46"/>
      <c r="Z237" s="46"/>
      <c r="AA237" s="46"/>
      <c r="AB237" s="3"/>
    </row>
    <row r="238" spans="1:28" s="157" customFormat="1" x14ac:dyDescent="0.25">
      <c r="A238" s="155">
        <f>1</f>
        <v>1</v>
      </c>
      <c r="B238" s="156" t="str">
        <f>структура!$J$13</f>
        <v>УСН(6%)</v>
      </c>
      <c r="C238" s="155"/>
      <c r="D238" s="155"/>
      <c r="E238" s="189" t="str">
        <f>E236</f>
        <v>График возврата инвестиций (приведенный)</v>
      </c>
      <c r="F238" s="189"/>
      <c r="G238" s="189" t="str">
        <f>IF($E238="","",INDEX(KPI!$G:$G,SUMIFS(KPI!$B:$B,KPI!$E:$E,$E238)))</f>
        <v>тыс.руб.</v>
      </c>
      <c r="H238" s="189"/>
      <c r="I238" s="190"/>
      <c r="J238" s="189"/>
      <c r="K238" s="190"/>
      <c r="L238" s="189"/>
      <c r="M238" s="191">
        <f>SUM($O238:$AB238)</f>
        <v>28550.37484</v>
      </c>
      <c r="N238" s="155"/>
      <c r="O238" s="155"/>
      <c r="P238" s="192">
        <f>IF(P$1="",0,IF($M208&lt;0,0,IF(SUM($O238:O238)=$M$190,0,IF(SUM($O198:P198)&lt;=$M$190,P198,$M$190-SUM($O198:O198)))))</f>
        <v>10018.582341918298</v>
      </c>
      <c r="Q238" s="192">
        <f>IF(Q$1="",0,IF($M208&lt;0,0,IF(SUM($O238:P238)=$M$190,0,IF(SUM($O198:Q198)&lt;=$M$190,Q198,$M$190-SUM($O198:P198)))))</f>
        <v>8997.1703407140249</v>
      </c>
      <c r="R238" s="192">
        <f>IF(R$1="",0,IF($M208&lt;0,0,IF(SUM($O238:Q238)=$M$190,0,IF(SUM($O198:R198)&lt;=$M$190,R198,$M$190-SUM($O198:Q198)))))</f>
        <v>8953.2519464504221</v>
      </c>
      <c r="S238" s="192">
        <f>IF(S$1="",0,IF($M208&lt;0,0,IF(SUM($O238:R238)=$M$190,0,IF(SUM($O198:S198)&lt;=$M$190,S198,$M$190-SUM($O198:R198)))))</f>
        <v>581.37021091725546</v>
      </c>
      <c r="T238" s="192">
        <f>IF(T$1="",0,IF($M208&lt;0,0,IF(SUM($O238:S238)=$M$190,0,IF(SUM($O198:T198)&lt;=$M$190,T198,$M$190-SUM($O198:S198)))))</f>
        <v>0</v>
      </c>
      <c r="U238" s="192">
        <f>IF(U$1="",0,IF($M208&lt;0,0,IF(SUM($O238:T238)=$M$190,0,IF(SUM($O198:U198)&lt;=$M$190,U198,$M$190-SUM($O198:T198)))))</f>
        <v>0</v>
      </c>
      <c r="V238" s="192">
        <f>IF(V$1="",0,IF($M208&lt;0,0,IF(SUM($O238:U238)=$M$190,0,IF(SUM($O198:V198)&lt;=$M$190,V198,$M$190-SUM($O198:U198)))))</f>
        <v>0</v>
      </c>
      <c r="W238" s="192">
        <f>IF(W$1="",0,IF($M208&lt;0,0,IF(SUM($O238:V238)=$M$190,0,IF(SUM($O198:W198)&lt;=$M$190,W198,$M$190-SUM($O198:V198)))))</f>
        <v>0</v>
      </c>
      <c r="X238" s="192">
        <f>IF(X$1="",0,IF($M208&lt;0,0,IF(SUM($O238:W238)=$M$190,0,IF(SUM($O198:X198)&lt;=$M$190,X198,$M$190-SUM($O198:W198)))))</f>
        <v>0</v>
      </c>
      <c r="Y238" s="192">
        <f>IF(Y$1="",0,IF($M208&lt;0,0,IF(SUM($O238:X238)=$M$190,0,IF(SUM($O198:Y198)&lt;=$M$190,Y198,$M$190-SUM($O198:X198)))))</f>
        <v>0</v>
      </c>
      <c r="Z238" s="192">
        <f>IF(Z$1="",0,IF($M208&lt;0,0,IF(SUM($O238:Y238)=$M$190,0,IF(SUM($O198:Z198)&lt;=$M$190,Z198,$M$190-SUM($O198:Y198)))))</f>
        <v>0</v>
      </c>
      <c r="AA238" s="192">
        <f>IF(AA$1="",0,IF($M208&lt;0,0,IF(SUM($O238:Z238)=$M$190,0,IF(SUM($O198:AA198)&lt;=$M$190,AA198,$M$190-SUM($O198:Z198)))))</f>
        <v>0</v>
      </c>
      <c r="AB238" s="155"/>
    </row>
    <row r="239" spans="1:28" s="5" customFormat="1" ht="3.9" customHeight="1" x14ac:dyDescent="0.25">
      <c r="A239" s="150">
        <f>1</f>
        <v>1</v>
      </c>
      <c r="B239" s="128"/>
      <c r="C239" s="3"/>
      <c r="D239" s="3"/>
      <c r="E239" s="3"/>
      <c r="F239" s="3"/>
      <c r="G239" s="3"/>
      <c r="H239" s="3"/>
      <c r="I239" s="28"/>
      <c r="J239" s="3"/>
      <c r="K239" s="28"/>
      <c r="L239" s="3"/>
      <c r="M239" s="55"/>
      <c r="N239" s="3"/>
      <c r="O239" s="3"/>
      <c r="P239" s="46"/>
      <c r="Q239" s="46"/>
      <c r="R239" s="46"/>
      <c r="S239" s="46"/>
      <c r="T239" s="46"/>
      <c r="U239" s="46"/>
      <c r="V239" s="46"/>
      <c r="W239" s="46"/>
      <c r="X239" s="46"/>
      <c r="Y239" s="46"/>
      <c r="Z239" s="46"/>
      <c r="AA239" s="46"/>
      <c r="AB239" s="3"/>
    </row>
    <row r="240" spans="1:28" s="157" customFormat="1" x14ac:dyDescent="0.25">
      <c r="A240" s="155">
        <f>1</f>
        <v>1</v>
      </c>
      <c r="B240" s="156" t="str">
        <f>структура!$J$14</f>
        <v>УСН(15%)</v>
      </c>
      <c r="C240" s="155"/>
      <c r="D240" s="155"/>
      <c r="E240" s="189" t="str">
        <f>E236</f>
        <v>График возврата инвестиций (приведенный)</v>
      </c>
      <c r="F240" s="189"/>
      <c r="G240" s="189" t="str">
        <f>IF($E240="","",INDEX(KPI!$G:$G,SUMIFS(KPI!$B:$B,KPI!$E:$E,$E240)))</f>
        <v>тыс.руб.</v>
      </c>
      <c r="H240" s="189"/>
      <c r="I240" s="190"/>
      <c r="J240" s="189"/>
      <c r="K240" s="190"/>
      <c r="L240" s="189"/>
      <c r="M240" s="191">
        <f>SUM($O240:$AB240)</f>
        <v>28550.37484</v>
      </c>
      <c r="N240" s="155"/>
      <c r="O240" s="155"/>
      <c r="P240" s="192">
        <f>IF(P$1="",0,IF($M210&lt;0,0,IF(SUM($O240:O240)=$M$190,0,IF(SUM($O200:P200)&lt;=$M$190,P200,$M$190-SUM($O200:O200)))))</f>
        <v>10018.582341918298</v>
      </c>
      <c r="Q240" s="192">
        <f>IF(Q$1="",0,IF($M210&lt;0,0,IF(SUM($O240:P240)=$M$190,0,IF(SUM($O200:Q200)&lt;=$M$190,Q200,$M$190-SUM($O200:P200)))))</f>
        <v>8128.4553171021535</v>
      </c>
      <c r="R240" s="192">
        <f>IF(R$1="",0,IF($M210&lt;0,0,IF(SUM($O240:Q240)=$M$190,0,IF(SUM($O200:R200)&lt;=$M$190,R200,$M$190-SUM($O200:Q200)))))</f>
        <v>8117.108780732643</v>
      </c>
      <c r="S240" s="192">
        <f>IF(S$1="",0,IF($M210&lt;0,0,IF(SUM($O240:R240)=$M$190,0,IF(SUM($O200:S200)&lt;=$M$190,S200,$M$190-SUM($O200:R200)))))</f>
        <v>2286.2284002469059</v>
      </c>
      <c r="T240" s="192">
        <f>IF(T$1="",0,IF($M210&lt;0,0,IF(SUM($O240:S240)=$M$190,0,IF(SUM($O200:T200)&lt;=$M$190,T200,$M$190-SUM($O200:S200)))))</f>
        <v>0</v>
      </c>
      <c r="U240" s="192">
        <f>IF(U$1="",0,IF($M210&lt;0,0,IF(SUM($O240:T240)=$M$190,0,IF(SUM($O200:U200)&lt;=$M$190,U200,$M$190-SUM($O200:T200)))))</f>
        <v>0</v>
      </c>
      <c r="V240" s="192">
        <f>IF(V$1="",0,IF($M210&lt;0,0,IF(SUM($O240:U240)=$M$190,0,IF(SUM($O200:V200)&lt;=$M$190,V200,$M$190-SUM($O200:U200)))))</f>
        <v>0</v>
      </c>
      <c r="W240" s="192">
        <f>IF(W$1="",0,IF($M210&lt;0,0,IF(SUM($O240:V240)=$M$190,0,IF(SUM($O200:W200)&lt;=$M$190,W200,$M$190-SUM($O200:V200)))))</f>
        <v>0</v>
      </c>
      <c r="X240" s="192">
        <f>IF(X$1="",0,IF($M210&lt;0,0,IF(SUM($O240:W240)=$M$190,0,IF(SUM($O200:X200)&lt;=$M$190,X200,$M$190-SUM($O200:W200)))))</f>
        <v>0</v>
      </c>
      <c r="Y240" s="192">
        <f>IF(Y$1="",0,IF($M210&lt;0,0,IF(SUM($O240:X240)=$M$190,0,IF(SUM($O200:Y200)&lt;=$M$190,Y200,$M$190-SUM($O200:X200)))))</f>
        <v>0</v>
      </c>
      <c r="Z240" s="192">
        <f>IF(Z$1="",0,IF($M210&lt;0,0,IF(SUM($O240:Y240)=$M$190,0,IF(SUM($O200:Z200)&lt;=$M$190,Z200,$M$190-SUM($O200:Y200)))))</f>
        <v>0</v>
      </c>
      <c r="AA240" s="192">
        <f>IF(AA$1="",0,IF($M210&lt;0,0,IF(SUM($O240:Z240)=$M$190,0,IF(SUM($O200:AA200)&lt;=$M$190,AA200,$M$190-SUM($O200:Z200)))))</f>
        <v>0</v>
      </c>
      <c r="AB240" s="155"/>
    </row>
    <row r="241" spans="1:28" s="5" customFormat="1" ht="3.9" customHeight="1" x14ac:dyDescent="0.25">
      <c r="A241" s="150">
        <f>1</f>
        <v>1</v>
      </c>
      <c r="B241" s="128"/>
      <c r="C241" s="3"/>
      <c r="D241" s="3"/>
      <c r="E241" s="3"/>
      <c r="F241" s="3"/>
      <c r="G241" s="3"/>
      <c r="H241" s="3"/>
      <c r="I241" s="28"/>
      <c r="J241" s="3"/>
      <c r="K241" s="28"/>
      <c r="L241" s="3"/>
      <c r="M241" s="55"/>
      <c r="N241" s="3"/>
      <c r="O241" s="3"/>
      <c r="P241" s="46"/>
      <c r="Q241" s="46"/>
      <c r="R241" s="46"/>
      <c r="S241" s="46"/>
      <c r="T241" s="46"/>
      <c r="U241" s="46"/>
      <c r="V241" s="46"/>
      <c r="W241" s="46"/>
      <c r="X241" s="46"/>
      <c r="Y241" s="46"/>
      <c r="Z241" s="46"/>
      <c r="AA241" s="46"/>
      <c r="AB241" s="3"/>
    </row>
    <row r="242" spans="1:28" s="157" customFormat="1" x14ac:dyDescent="0.25">
      <c r="A242" s="155">
        <f>1</f>
        <v>1</v>
      </c>
      <c r="B242" s="156" t="str">
        <f>структура!$J$15</f>
        <v>УСН(6%)-ИП</v>
      </c>
      <c r="C242" s="155"/>
      <c r="D242" s="155"/>
      <c r="E242" s="189" t="str">
        <f>E236</f>
        <v>График возврата инвестиций (приведенный)</v>
      </c>
      <c r="F242" s="189"/>
      <c r="G242" s="189" t="str">
        <f>IF($E242="","",INDEX(KPI!$G:$G,SUMIFS(KPI!$B:$B,KPI!$E:$E,$E242)))</f>
        <v>тыс.руб.</v>
      </c>
      <c r="H242" s="189"/>
      <c r="I242" s="190"/>
      <c r="J242" s="189"/>
      <c r="K242" s="190"/>
      <c r="L242" s="189"/>
      <c r="M242" s="191">
        <f>SUM($O242:$AB242)</f>
        <v>28550.37484</v>
      </c>
      <c r="N242" s="155"/>
      <c r="O242" s="155"/>
      <c r="P242" s="192">
        <f>IF(P$1="",0,IF($M212&lt;0,0,IF(SUM($O242:O242)=$M$190,0,IF(SUM($O202:P202)&lt;=$M$190,P202,$M$190-SUM($O202:O202)))))</f>
        <v>10018.582341918298</v>
      </c>
      <c r="Q242" s="192">
        <f>IF(Q$1="",0,IF($M212&lt;0,0,IF(SUM($O242:P242)=$M$190,0,IF(SUM($O202:Q202)&lt;=$M$190,Q202,$M$190-SUM($O202:P202)))))</f>
        <v>9484.3617488513428</v>
      </c>
      <c r="R242" s="192">
        <f>IF(R$1="",0,IF($M212&lt;0,0,IF(SUM($O242:Q242)=$M$190,0,IF(SUM($O202:R202)&lt;=$M$190,R202,$M$190-SUM($O202:Q202)))))</f>
        <v>9047.4307492303597</v>
      </c>
      <c r="S242" s="192">
        <f>IF(S$1="",0,IF($M212&lt;0,0,IF(SUM($O242:R242)=$M$190,0,IF(SUM($O202:S202)&lt;=$M$190,S202,$M$190-SUM($O202:R202)))))</f>
        <v>0</v>
      </c>
      <c r="T242" s="192">
        <f>IF(T$1="",0,IF($M212&lt;0,0,IF(SUM($O242:S242)=$M$190,0,IF(SUM($O202:T202)&lt;=$M$190,T202,$M$190-SUM($O202:S202)))))</f>
        <v>0</v>
      </c>
      <c r="U242" s="192">
        <f>IF(U$1="",0,IF($M212&lt;0,0,IF(SUM($O242:T242)=$M$190,0,IF(SUM($O202:U202)&lt;=$M$190,U202,$M$190-SUM($O202:T202)))))</f>
        <v>0</v>
      </c>
      <c r="V242" s="192">
        <f>IF(V$1="",0,IF($M212&lt;0,0,IF(SUM($O242:U242)=$M$190,0,IF(SUM($O202:V202)&lt;=$M$190,V202,$M$190-SUM($O202:U202)))))</f>
        <v>0</v>
      </c>
      <c r="W242" s="192">
        <f>IF(W$1="",0,IF($M212&lt;0,0,IF(SUM($O242:V242)=$M$190,0,IF(SUM($O202:W202)&lt;=$M$190,W202,$M$190-SUM($O202:V202)))))</f>
        <v>0</v>
      </c>
      <c r="X242" s="192">
        <f>IF(X$1="",0,IF($M212&lt;0,0,IF(SUM($O242:W242)=$M$190,0,IF(SUM($O202:X202)&lt;=$M$190,X202,$M$190-SUM($O202:W202)))))</f>
        <v>0</v>
      </c>
      <c r="Y242" s="192">
        <f>IF(Y$1="",0,IF($M212&lt;0,0,IF(SUM($O242:X242)=$M$190,0,IF(SUM($O202:Y202)&lt;=$M$190,Y202,$M$190-SUM($O202:X202)))))</f>
        <v>0</v>
      </c>
      <c r="Z242" s="192">
        <f>IF(Z$1="",0,IF($M212&lt;0,0,IF(SUM($O242:Y242)=$M$190,0,IF(SUM($O202:Z202)&lt;=$M$190,Z202,$M$190-SUM($O202:Y202)))))</f>
        <v>0</v>
      </c>
      <c r="AA242" s="192">
        <f>IF(AA$1="",0,IF($M212&lt;0,0,IF(SUM($O242:Z242)=$M$190,0,IF(SUM($O202:AA202)&lt;=$M$190,AA202,$M$190-SUM($O202:Z202)))))</f>
        <v>0</v>
      </c>
      <c r="AB242" s="155"/>
    </row>
    <row r="243" spans="1:28" ht="3.9" customHeight="1" x14ac:dyDescent="0.25">
      <c r="A243" s="149">
        <f>1</f>
        <v>1</v>
      </c>
      <c r="B243" s="131"/>
      <c r="C243" s="2"/>
      <c r="D243" s="2"/>
      <c r="E243" s="119"/>
      <c r="F243" s="2"/>
      <c r="G243" s="119"/>
      <c r="H243" s="2"/>
      <c r="I243" s="28"/>
      <c r="J243" s="2"/>
      <c r="K243" s="28"/>
      <c r="L243" s="2"/>
      <c r="M243" s="142"/>
      <c r="N243" s="2"/>
      <c r="O243" s="2"/>
      <c r="P243" s="36"/>
      <c r="Q243" s="36"/>
      <c r="R243" s="36"/>
      <c r="S243" s="36"/>
      <c r="T243" s="36"/>
      <c r="U243" s="36"/>
      <c r="V243" s="36"/>
      <c r="W243" s="36"/>
      <c r="X243" s="36"/>
      <c r="Y243" s="36"/>
      <c r="Z243" s="36"/>
      <c r="AA243" s="36"/>
      <c r="AB243" s="2"/>
    </row>
    <row r="244" spans="1:28" ht="8.1" customHeight="1" x14ac:dyDescent="0.25">
      <c r="A244" s="149">
        <f>1</f>
        <v>1</v>
      </c>
      <c r="B244" s="131"/>
      <c r="C244" s="2"/>
      <c r="D244" s="2"/>
      <c r="E244" s="2"/>
      <c r="F244" s="2"/>
      <c r="G244" s="2"/>
      <c r="H244" s="2"/>
      <c r="I244" s="28"/>
      <c r="J244" s="2"/>
      <c r="K244" s="28"/>
      <c r="L244" s="2"/>
      <c r="M244" s="52"/>
      <c r="N244" s="2"/>
      <c r="O244" s="2"/>
      <c r="P244" s="36"/>
      <c r="Q244" s="36"/>
      <c r="R244" s="36"/>
      <c r="S244" s="36"/>
      <c r="T244" s="36"/>
      <c r="U244" s="36"/>
      <c r="V244" s="36"/>
      <c r="W244" s="36"/>
      <c r="X244" s="36"/>
      <c r="Y244" s="36"/>
      <c r="Z244" s="36"/>
      <c r="AA244" s="36"/>
      <c r="AB244" s="2"/>
    </row>
    <row r="245" spans="1:28" ht="3.9" customHeight="1" x14ac:dyDescent="0.25">
      <c r="A245" s="149">
        <f>1</f>
        <v>1</v>
      </c>
      <c r="B245" s="131"/>
      <c r="C245" s="2"/>
      <c r="D245" s="2"/>
      <c r="E245" s="2"/>
      <c r="F245" s="2"/>
      <c r="G245" s="2"/>
      <c r="H245" s="2"/>
      <c r="I245" s="28"/>
      <c r="J245" s="2"/>
      <c r="K245" s="28"/>
      <c r="L245" s="2"/>
      <c r="M245" s="52"/>
      <c r="N245" s="2"/>
      <c r="O245" s="2"/>
      <c r="P245" s="36"/>
      <c r="Q245" s="36"/>
      <c r="R245" s="36"/>
      <c r="S245" s="36"/>
      <c r="T245" s="36"/>
      <c r="U245" s="36"/>
      <c r="V245" s="36"/>
      <c r="W245" s="36"/>
      <c r="X245" s="36"/>
      <c r="Y245" s="36"/>
      <c r="Z245" s="36"/>
      <c r="AA245" s="36"/>
      <c r="AB245" s="2"/>
    </row>
    <row r="246" spans="1:28" s="5" customFormat="1" x14ac:dyDescent="0.25">
      <c r="A246" s="150">
        <f>1</f>
        <v>1</v>
      </c>
      <c r="B246" s="129" t="str">
        <f>структура!$J$12</f>
        <v>ОСНО</v>
      </c>
      <c r="C246" s="3"/>
      <c r="D246" s="3"/>
      <c r="E246" s="147" t="str">
        <f>KPI!$E$105</f>
        <v>приведенный средневзвешенный срок окуп-ти</v>
      </c>
      <c r="F246" s="147"/>
      <c r="G246" s="147" t="str">
        <f>IF($E246="","",INDEX(KPI!$G:$G,SUMIFS(KPI!$B:$B,KPI!$E:$E,$E246)))</f>
        <v>лет</v>
      </c>
      <c r="H246" s="147"/>
      <c r="I246" s="170"/>
      <c r="J246" s="147"/>
      <c r="K246" s="170"/>
      <c r="L246" s="147"/>
      <c r="M246" s="187">
        <f>IF(OR($M206&lt;0,$M236=0),"&gt;"&amp;MAX($1:$1),SUMPRODUCT($O$2:$AB$2,$O236:$AB236)/$M236)</f>
        <v>2.0126275582247941</v>
      </c>
      <c r="N246" s="3"/>
      <c r="O246" s="3"/>
      <c r="P246" s="46"/>
      <c r="Q246" s="46"/>
      <c r="R246" s="46"/>
      <c r="S246" s="46"/>
      <c r="T246" s="46"/>
      <c r="U246" s="46"/>
      <c r="V246" s="46"/>
      <c r="W246" s="46"/>
      <c r="X246" s="46"/>
      <c r="Y246" s="46"/>
      <c r="Z246" s="46"/>
      <c r="AA246" s="46"/>
      <c r="AB246" s="3"/>
    </row>
    <row r="247" spans="1:28" s="5" customFormat="1" ht="3.9" customHeight="1" x14ac:dyDescent="0.25">
      <c r="A247" s="150">
        <f>1</f>
        <v>1</v>
      </c>
      <c r="B247" s="128"/>
      <c r="C247" s="3"/>
      <c r="D247" s="3"/>
      <c r="E247" s="3"/>
      <c r="F247" s="3"/>
      <c r="G247" s="3"/>
      <c r="H247" s="3"/>
      <c r="I247" s="28"/>
      <c r="J247" s="3"/>
      <c r="K247" s="28"/>
      <c r="L247" s="3"/>
      <c r="M247" s="55"/>
      <c r="N247" s="3"/>
      <c r="O247" s="3"/>
      <c r="P247" s="46"/>
      <c r="Q247" s="46"/>
      <c r="R247" s="46"/>
      <c r="S247" s="46"/>
      <c r="T247" s="46"/>
      <c r="U247" s="46"/>
      <c r="V247" s="46"/>
      <c r="W247" s="46"/>
      <c r="X247" s="46"/>
      <c r="Y247" s="46"/>
      <c r="Z247" s="46"/>
      <c r="AA247" s="46"/>
      <c r="AB247" s="3"/>
    </row>
    <row r="248" spans="1:28" s="5" customFormat="1" x14ac:dyDescent="0.25">
      <c r="A248" s="150">
        <f>1</f>
        <v>1</v>
      </c>
      <c r="B248" s="129" t="str">
        <f>структура!$J$13</f>
        <v>УСН(6%)</v>
      </c>
      <c r="C248" s="3"/>
      <c r="D248" s="3"/>
      <c r="E248" s="147" t="str">
        <f>E246</f>
        <v>приведенный средневзвешенный срок окуп-ти</v>
      </c>
      <c r="F248" s="147"/>
      <c r="G248" s="147" t="str">
        <f>IF($E248="","",INDEX(KPI!$G:$G,SUMIFS(KPI!$B:$B,KPI!$E:$E,$E248)))</f>
        <v>лет</v>
      </c>
      <c r="H248" s="147"/>
      <c r="I248" s="170"/>
      <c r="J248" s="147"/>
      <c r="K248" s="170"/>
      <c r="L248" s="147"/>
      <c r="M248" s="187">
        <f>IF(OR($M208&lt;0,$M238=0),"&gt;"&amp;MAX($1:$1),SUMPRODUCT($O$2:$AB$2,$O238:$AB238)/$M238)</f>
        <v>2.0034118650600048</v>
      </c>
      <c r="N248" s="3"/>
      <c r="O248" s="3"/>
      <c r="P248" s="46"/>
      <c r="Q248" s="46"/>
      <c r="R248" s="46"/>
      <c r="S248" s="46"/>
      <c r="T248" s="46"/>
      <c r="U248" s="46"/>
      <c r="V248" s="46"/>
      <c r="W248" s="46"/>
      <c r="X248" s="46"/>
      <c r="Y248" s="46"/>
      <c r="Z248" s="46"/>
      <c r="AA248" s="46"/>
      <c r="AB248" s="3"/>
    </row>
    <row r="249" spans="1:28" s="5" customFormat="1" ht="3.9" customHeight="1" x14ac:dyDescent="0.25">
      <c r="A249" s="150">
        <f>1</f>
        <v>1</v>
      </c>
      <c r="B249" s="128"/>
      <c r="C249" s="3"/>
      <c r="D249" s="3"/>
      <c r="E249" s="3"/>
      <c r="F249" s="3"/>
      <c r="G249" s="3"/>
      <c r="H249" s="3"/>
      <c r="I249" s="28"/>
      <c r="J249" s="3"/>
      <c r="K249" s="28"/>
      <c r="L249" s="3"/>
      <c r="M249" s="55"/>
      <c r="N249" s="3"/>
      <c r="O249" s="3"/>
      <c r="P249" s="46"/>
      <c r="Q249" s="46"/>
      <c r="R249" s="46"/>
      <c r="S249" s="46"/>
      <c r="T249" s="46"/>
      <c r="U249" s="46"/>
      <c r="V249" s="46"/>
      <c r="W249" s="46"/>
      <c r="X249" s="46"/>
      <c r="Y249" s="46"/>
      <c r="Z249" s="46"/>
      <c r="AA249" s="46"/>
      <c r="AB249" s="3"/>
    </row>
    <row r="250" spans="1:28" s="5" customFormat="1" x14ac:dyDescent="0.25">
      <c r="A250" s="150">
        <f>1</f>
        <v>1</v>
      </c>
      <c r="B250" s="129" t="str">
        <f>структура!$J$14</f>
        <v>УСН(15%)</v>
      </c>
      <c r="C250" s="3"/>
      <c r="D250" s="3"/>
      <c r="E250" s="147" t="str">
        <f>E246</f>
        <v>приведенный средневзвешенный срок окуп-ти</v>
      </c>
      <c r="F250" s="147"/>
      <c r="G250" s="147" t="str">
        <f>IF($E250="","",INDEX(KPI!$G:$G,SUMIFS(KPI!$B:$B,KPI!$E:$E,$E250)))</f>
        <v>лет</v>
      </c>
      <c r="H250" s="147"/>
      <c r="I250" s="170"/>
      <c r="J250" s="147"/>
      <c r="K250" s="170"/>
      <c r="L250" s="147"/>
      <c r="M250" s="187">
        <f>IF(OR($M210&lt;0,$M240=0),"&gt;"&amp;MAX($1:$1),SUMPRODUCT($O$2:$AB$2,$O240:$AB240)/$M240)</f>
        <v>2.0935533510252209</v>
      </c>
      <c r="N250" s="3"/>
      <c r="O250" s="3"/>
      <c r="P250" s="46"/>
      <c r="Q250" s="46"/>
      <c r="R250" s="46"/>
      <c r="S250" s="46"/>
      <c r="T250" s="46"/>
      <c r="U250" s="46"/>
      <c r="V250" s="46"/>
      <c r="W250" s="46"/>
      <c r="X250" s="46"/>
      <c r="Y250" s="46"/>
      <c r="Z250" s="46"/>
      <c r="AA250" s="46"/>
      <c r="AB250" s="3"/>
    </row>
    <row r="251" spans="1:28" s="5" customFormat="1" ht="3.9" customHeight="1" x14ac:dyDescent="0.25">
      <c r="A251" s="150">
        <f>1</f>
        <v>1</v>
      </c>
      <c r="B251" s="128"/>
      <c r="C251" s="3"/>
      <c r="D251" s="3"/>
      <c r="E251" s="3"/>
      <c r="F251" s="3"/>
      <c r="G251" s="3"/>
      <c r="H251" s="3"/>
      <c r="I251" s="28"/>
      <c r="J251" s="3"/>
      <c r="K251" s="28"/>
      <c r="L251" s="3"/>
      <c r="M251" s="55"/>
      <c r="N251" s="3"/>
      <c r="O251" s="3"/>
      <c r="P251" s="46"/>
      <c r="Q251" s="46"/>
      <c r="R251" s="46"/>
      <c r="S251" s="46"/>
      <c r="T251" s="46"/>
      <c r="U251" s="46"/>
      <c r="V251" s="46"/>
      <c r="W251" s="46"/>
      <c r="X251" s="46"/>
      <c r="Y251" s="46"/>
      <c r="Z251" s="46"/>
      <c r="AA251" s="46"/>
      <c r="AB251" s="3"/>
    </row>
    <row r="252" spans="1:28" s="5" customFormat="1" x14ac:dyDescent="0.25">
      <c r="A252" s="150">
        <f>1</f>
        <v>1</v>
      </c>
      <c r="B252" s="129" t="str">
        <f>структура!$J$15</f>
        <v>УСН(6%)-ИП</v>
      </c>
      <c r="C252" s="3"/>
      <c r="D252" s="3"/>
      <c r="E252" s="147" t="str">
        <f>E246</f>
        <v>приведенный средневзвешенный срок окуп-ти</v>
      </c>
      <c r="F252" s="147"/>
      <c r="G252" s="147" t="str">
        <f>IF($E252="","",INDEX(KPI!$G:$G,SUMIFS(KPI!$B:$B,KPI!$E:$E,$E252)))</f>
        <v>лет</v>
      </c>
      <c r="H252" s="147"/>
      <c r="I252" s="170"/>
      <c r="J252" s="147"/>
      <c r="K252" s="170"/>
      <c r="L252" s="147"/>
      <c r="M252" s="187">
        <f>IF(OR($M212&lt;0,$M242=0),"&gt;"&amp;MAX($1:$1),SUMPRODUCT($O$2:$AB$2,$O242:$AB242)/$M242)</f>
        <v>1.965984628988922</v>
      </c>
      <c r="N252" s="3"/>
      <c r="O252" s="3"/>
      <c r="P252" s="46"/>
      <c r="Q252" s="46"/>
      <c r="R252" s="46"/>
      <c r="S252" s="46"/>
      <c r="T252" s="46"/>
      <c r="U252" s="46"/>
      <c r="V252" s="46"/>
      <c r="W252" s="46"/>
      <c r="X252" s="46"/>
      <c r="Y252" s="46"/>
      <c r="Z252" s="46"/>
      <c r="AA252" s="46"/>
      <c r="AB252" s="3"/>
    </row>
    <row r="253" spans="1:28" ht="3.9" customHeight="1" x14ac:dyDescent="0.25">
      <c r="A253" s="149">
        <f>1</f>
        <v>1</v>
      </c>
      <c r="B253" s="131"/>
      <c r="C253" s="2"/>
      <c r="D253" s="2"/>
      <c r="E253" s="117"/>
      <c r="F253" s="2"/>
      <c r="G253" s="117"/>
      <c r="H253" s="2"/>
      <c r="I253" s="28"/>
      <c r="J253" s="2"/>
      <c r="K253" s="28"/>
      <c r="L253" s="2"/>
      <c r="M253" s="138"/>
      <c r="N253" s="2"/>
      <c r="O253" s="2"/>
      <c r="P253" s="36"/>
      <c r="Q253" s="36"/>
      <c r="R253" s="36"/>
      <c r="S253" s="36"/>
      <c r="T253" s="36"/>
      <c r="U253" s="36"/>
      <c r="V253" s="36"/>
      <c r="W253" s="36"/>
      <c r="X253" s="36"/>
      <c r="Y253" s="36"/>
      <c r="Z253" s="36"/>
      <c r="AA253" s="36"/>
      <c r="AB253" s="2"/>
    </row>
    <row r="254" spans="1:28" ht="8.1" customHeight="1" x14ac:dyDescent="0.25">
      <c r="A254" s="149">
        <f>1</f>
        <v>1</v>
      </c>
      <c r="B254" s="131"/>
      <c r="C254" s="2"/>
      <c r="D254" s="2"/>
      <c r="E254" s="2"/>
      <c r="F254" s="2"/>
      <c r="G254" s="2"/>
      <c r="H254" s="2"/>
      <c r="I254" s="28"/>
      <c r="J254" s="2"/>
      <c r="K254" s="28"/>
      <c r="L254" s="2"/>
      <c r="M254" s="52"/>
      <c r="N254" s="2"/>
      <c r="O254" s="2"/>
      <c r="P254" s="36"/>
      <c r="Q254" s="36"/>
      <c r="R254" s="36"/>
      <c r="S254" s="36"/>
      <c r="T254" s="36"/>
      <c r="U254" s="36"/>
      <c r="V254" s="36"/>
      <c r="W254" s="36"/>
      <c r="X254" s="36"/>
      <c r="Y254" s="36"/>
      <c r="Z254" s="36"/>
      <c r="AA254" s="36"/>
      <c r="AB254" s="2"/>
    </row>
    <row r="255" spans="1:28" ht="3.9" customHeight="1" x14ac:dyDescent="0.25">
      <c r="A255" s="149">
        <f>1</f>
        <v>1</v>
      </c>
      <c r="B255" s="131"/>
      <c r="C255" s="2"/>
      <c r="D255" s="2"/>
      <c r="E255" s="2"/>
      <c r="F255" s="2"/>
      <c r="G255" s="2"/>
      <c r="H255" s="2"/>
      <c r="I255" s="28"/>
      <c r="J255" s="2"/>
      <c r="K255" s="28"/>
      <c r="L255" s="2"/>
      <c r="M255" s="52"/>
      <c r="N255" s="2"/>
      <c r="O255" s="2"/>
      <c r="P255" s="36"/>
      <c r="Q255" s="36"/>
      <c r="R255" s="36"/>
      <c r="S255" s="36"/>
      <c r="T255" s="36"/>
      <c r="U255" s="36"/>
      <c r="V255" s="36"/>
      <c r="W255" s="36"/>
      <c r="X255" s="36"/>
      <c r="Y255" s="36"/>
      <c r="Z255" s="36"/>
      <c r="AA255" s="36"/>
      <c r="AB255" s="2"/>
    </row>
    <row r="256" spans="1:28" s="5" customFormat="1" x14ac:dyDescent="0.25">
      <c r="A256" s="150">
        <f>1</f>
        <v>1</v>
      </c>
      <c r="B256" s="129" t="str">
        <f>структура!$J$12</f>
        <v>ОСНО</v>
      </c>
      <c r="C256" s="3"/>
      <c r="D256" s="3"/>
      <c r="E256" s="146" t="str">
        <f>KPI!$E$107</f>
        <v>IRR</v>
      </c>
      <c r="F256" s="146"/>
      <c r="G256" s="146" t="str">
        <f>IF($E256="","",INDEX(KPI!$G:$G,SUMIFS(KPI!$B:$B,KPI!$E:$E,$E256)))</f>
        <v>%</v>
      </c>
      <c r="H256" s="146"/>
      <c r="I256" s="177"/>
      <c r="J256" s="146"/>
      <c r="K256" s="177"/>
      <c r="L256" s="146"/>
      <c r="M256" s="292">
        <f>IRR(P256:AA256)</f>
        <v>0.30860752204143971</v>
      </c>
      <c r="N256" s="3"/>
      <c r="O256" s="3"/>
      <c r="P256" s="179">
        <f>-$M$190</f>
        <v>-28550.37484</v>
      </c>
      <c r="Q256" s="179">
        <f>P175</f>
        <v>13662.169716110127</v>
      </c>
      <c r="R256" s="179">
        <f>Q175</f>
        <v>7830.5748069305591</v>
      </c>
      <c r="S256" s="179">
        <f t="shared" ref="S256:AA256" si="17">R175</f>
        <v>8700.3030353921076</v>
      </c>
      <c r="T256" s="179">
        <f t="shared" si="17"/>
        <v>9084.7858833408136</v>
      </c>
      <c r="U256" s="179">
        <f t="shared" si="17"/>
        <v>9666.698769751074</v>
      </c>
      <c r="V256" s="179">
        <f t="shared" si="17"/>
        <v>10842.104555135691</v>
      </c>
      <c r="W256" s="179">
        <f t="shared" si="17"/>
        <v>12347.606522956201</v>
      </c>
      <c r="X256" s="179">
        <f t="shared" si="17"/>
        <v>0</v>
      </c>
      <c r="Y256" s="179">
        <f t="shared" si="17"/>
        <v>0</v>
      </c>
      <c r="Z256" s="179">
        <f t="shared" si="17"/>
        <v>0</v>
      </c>
      <c r="AA256" s="179">
        <f t="shared" si="17"/>
        <v>0</v>
      </c>
      <c r="AB256" s="3"/>
    </row>
    <row r="257" spans="1:28" s="5" customFormat="1" ht="3.9" customHeight="1" x14ac:dyDescent="0.25">
      <c r="A257" s="150">
        <f>1</f>
        <v>1</v>
      </c>
      <c r="B257" s="128"/>
      <c r="C257" s="3"/>
      <c r="D257" s="3"/>
      <c r="E257" s="3"/>
      <c r="F257" s="3"/>
      <c r="G257" s="3"/>
      <c r="H257" s="3"/>
      <c r="I257" s="28"/>
      <c r="J257" s="3"/>
      <c r="K257" s="28"/>
      <c r="L257" s="3"/>
      <c r="M257" s="55"/>
      <c r="N257" s="3"/>
      <c r="O257" s="3"/>
      <c r="P257" s="46"/>
      <c r="Q257" s="46"/>
      <c r="R257" s="46"/>
      <c r="S257" s="46"/>
      <c r="T257" s="46"/>
      <c r="U257" s="46"/>
      <c r="V257" s="46"/>
      <c r="W257" s="46"/>
      <c r="X257" s="46"/>
      <c r="Y257" s="46"/>
      <c r="Z257" s="46"/>
      <c r="AA257" s="46"/>
      <c r="AB257" s="3"/>
    </row>
    <row r="258" spans="1:28" s="5" customFormat="1" x14ac:dyDescent="0.25">
      <c r="A258" s="150">
        <f>1</f>
        <v>1</v>
      </c>
      <c r="B258" s="129" t="str">
        <f>структура!$J$13</f>
        <v>УСН(6%)</v>
      </c>
      <c r="C258" s="3"/>
      <c r="D258" s="3"/>
      <c r="E258" s="146" t="str">
        <f>E256</f>
        <v>IRR</v>
      </c>
      <c r="F258" s="146"/>
      <c r="G258" s="146" t="str">
        <f>IF($E258="","",INDEX(KPI!$G:$G,SUMIFS(KPI!$B:$B,KPI!$E:$E,$E258)))</f>
        <v>%</v>
      </c>
      <c r="H258" s="146"/>
      <c r="I258" s="177"/>
      <c r="J258" s="146"/>
      <c r="K258" s="177"/>
      <c r="L258" s="146"/>
      <c r="M258" s="292">
        <f>IRR(P258:AA258)</f>
        <v>0.37354303854192894</v>
      </c>
      <c r="N258" s="3"/>
      <c r="O258" s="3"/>
      <c r="P258" s="179">
        <f>-$M$190</f>
        <v>-28550.37484</v>
      </c>
      <c r="Q258" s="179">
        <f>P177</f>
        <v>11020.440576110128</v>
      </c>
      <c r="R258" s="179">
        <f t="shared" ref="R258:AA258" si="18">Q177</f>
        <v>10886.576112263972</v>
      </c>
      <c r="S258" s="179">
        <f t="shared" si="18"/>
        <v>11916.778340725516</v>
      </c>
      <c r="T258" s="179">
        <f t="shared" si="18"/>
        <v>12621.441573802433</v>
      </c>
      <c r="U258" s="179">
        <f t="shared" si="18"/>
        <v>13430.139931494743</v>
      </c>
      <c r="V258" s="179">
        <f t="shared" si="18"/>
        <v>14208.298513033205</v>
      </c>
      <c r="W258" s="179">
        <f t="shared" si="18"/>
        <v>16131.768492648589</v>
      </c>
      <c r="X258" s="179">
        <f t="shared" si="18"/>
        <v>0</v>
      </c>
      <c r="Y258" s="179">
        <f t="shared" si="18"/>
        <v>0</v>
      </c>
      <c r="Z258" s="179">
        <f t="shared" si="18"/>
        <v>0</v>
      </c>
      <c r="AA258" s="179">
        <f t="shared" si="18"/>
        <v>0</v>
      </c>
      <c r="AB258" s="3"/>
    </row>
    <row r="259" spans="1:28" s="5" customFormat="1" ht="3.9" customHeight="1" x14ac:dyDescent="0.25">
      <c r="A259" s="150">
        <f>1</f>
        <v>1</v>
      </c>
      <c r="B259" s="128"/>
      <c r="C259" s="3"/>
      <c r="D259" s="3"/>
      <c r="E259" s="3"/>
      <c r="F259" s="3"/>
      <c r="G259" s="3"/>
      <c r="H259" s="3"/>
      <c r="I259" s="28"/>
      <c r="J259" s="3"/>
      <c r="K259" s="28"/>
      <c r="L259" s="3"/>
      <c r="M259" s="55"/>
      <c r="N259" s="3"/>
      <c r="O259" s="3"/>
      <c r="P259" s="46"/>
      <c r="Q259" s="46"/>
      <c r="R259" s="46"/>
      <c r="S259" s="46"/>
      <c r="T259" s="46"/>
      <c r="U259" s="46"/>
      <c r="V259" s="46"/>
      <c r="W259" s="46"/>
      <c r="X259" s="46"/>
      <c r="Y259" s="46"/>
      <c r="Z259" s="46"/>
      <c r="AA259" s="46"/>
      <c r="AB259" s="3"/>
    </row>
    <row r="260" spans="1:28" s="5" customFormat="1" x14ac:dyDescent="0.25">
      <c r="A260" s="150">
        <f>1</f>
        <v>1</v>
      </c>
      <c r="B260" s="129" t="str">
        <f>структура!$J$14</f>
        <v>УСН(15%)</v>
      </c>
      <c r="C260" s="3"/>
      <c r="D260" s="3"/>
      <c r="E260" s="146" t="str">
        <f>E256</f>
        <v>IRR</v>
      </c>
      <c r="F260" s="146"/>
      <c r="G260" s="146" t="str">
        <f>IF($E260="","",INDEX(KPI!$G:$G,SUMIFS(KPI!$B:$B,KPI!$E:$E,$E260)))</f>
        <v>%</v>
      </c>
      <c r="H260" s="146"/>
      <c r="I260" s="177"/>
      <c r="J260" s="146"/>
      <c r="K260" s="177"/>
      <c r="L260" s="146"/>
      <c r="M260" s="292">
        <f>IRR(P260:AA260)</f>
        <v>0.34385894429518893</v>
      </c>
      <c r="N260" s="3"/>
      <c r="O260" s="3"/>
      <c r="P260" s="179">
        <f>-$M$190</f>
        <v>-28550.37484</v>
      </c>
      <c r="Q260" s="179">
        <f>P179</f>
        <v>11020.440576110128</v>
      </c>
      <c r="R260" s="179">
        <f t="shared" ref="R260:AA260" si="19">Q179</f>
        <v>9835.4309336936076</v>
      </c>
      <c r="S260" s="179">
        <f t="shared" si="19"/>
        <v>10803.871787155151</v>
      </c>
      <c r="T260" s="179">
        <f t="shared" si="19"/>
        <v>11380.709018655143</v>
      </c>
      <c r="U260" s="179">
        <f t="shared" si="19"/>
        <v>12097.228555039763</v>
      </c>
      <c r="V260" s="179">
        <f t="shared" si="19"/>
        <v>13424.187252924379</v>
      </c>
      <c r="W260" s="179">
        <f t="shared" si="19"/>
        <v>15225.031252232069</v>
      </c>
      <c r="X260" s="179">
        <f t="shared" si="19"/>
        <v>0</v>
      </c>
      <c r="Y260" s="179">
        <f t="shared" si="19"/>
        <v>0</v>
      </c>
      <c r="Z260" s="179">
        <f t="shared" si="19"/>
        <v>0</v>
      </c>
      <c r="AA260" s="179">
        <f t="shared" si="19"/>
        <v>0</v>
      </c>
      <c r="AB260" s="3"/>
    </row>
    <row r="261" spans="1:28" s="5" customFormat="1" ht="3.9" customHeight="1" x14ac:dyDescent="0.25">
      <c r="A261" s="150">
        <f>1</f>
        <v>1</v>
      </c>
      <c r="B261" s="128"/>
      <c r="C261" s="3"/>
      <c r="D261" s="3"/>
      <c r="E261" s="3"/>
      <c r="F261" s="3"/>
      <c r="G261" s="3"/>
      <c r="H261" s="3"/>
      <c r="I261" s="28"/>
      <c r="J261" s="3"/>
      <c r="K261" s="28"/>
      <c r="L261" s="3"/>
      <c r="M261" s="55"/>
      <c r="N261" s="3"/>
      <c r="O261" s="3"/>
      <c r="P261" s="46"/>
      <c r="Q261" s="46"/>
      <c r="R261" s="46"/>
      <c r="S261" s="46"/>
      <c r="T261" s="46"/>
      <c r="U261" s="46"/>
      <c r="V261" s="46"/>
      <c r="W261" s="46"/>
      <c r="X261" s="46"/>
      <c r="Y261" s="46"/>
      <c r="Z261" s="46"/>
      <c r="AA261" s="46"/>
      <c r="AB261" s="3"/>
    </row>
    <row r="262" spans="1:28" s="5" customFormat="1" x14ac:dyDescent="0.25">
      <c r="A262" s="150">
        <f>1</f>
        <v>1</v>
      </c>
      <c r="B262" s="129" t="str">
        <f>структура!$J$15</f>
        <v>УСН(6%)-ИП</v>
      </c>
      <c r="C262" s="3"/>
      <c r="D262" s="3"/>
      <c r="E262" s="146" t="str">
        <f>E256</f>
        <v>IRR</v>
      </c>
      <c r="F262" s="146"/>
      <c r="G262" s="146" t="str">
        <f>IF($E262="","",INDEX(KPI!$G:$G,SUMIFS(KPI!$B:$B,KPI!$E:$E,$E262)))</f>
        <v>%</v>
      </c>
      <c r="H262" s="146"/>
      <c r="I262" s="177"/>
      <c r="J262" s="146"/>
      <c r="K262" s="177"/>
      <c r="L262" s="146"/>
      <c r="M262" s="292">
        <f>IRR(P262:AA262)</f>
        <v>0.38717750611520096</v>
      </c>
      <c r="N262" s="3"/>
      <c r="O262" s="3"/>
      <c r="P262" s="179">
        <f>-$M$190</f>
        <v>-28550.37484</v>
      </c>
      <c r="Q262" s="179">
        <f>P181</f>
        <v>11020.440576110128</v>
      </c>
      <c r="R262" s="179">
        <f t="shared" ref="R262:AA262" si="20">Q181</f>
        <v>11476.077716110127</v>
      </c>
      <c r="S262" s="179">
        <f t="shared" si="20"/>
        <v>12525.283444571669</v>
      </c>
      <c r="T262" s="179">
        <f t="shared" si="20"/>
        <v>13259.501535340894</v>
      </c>
      <c r="U262" s="179">
        <f t="shared" si="20"/>
        <v>14086.153785340897</v>
      </c>
      <c r="V262" s="179">
        <f t="shared" si="20"/>
        <v>14208.298513033205</v>
      </c>
      <c r="W262" s="179">
        <f t="shared" si="20"/>
        <v>16131.768492648589</v>
      </c>
      <c r="X262" s="179">
        <f t="shared" si="20"/>
        <v>0</v>
      </c>
      <c r="Y262" s="179">
        <f t="shared" si="20"/>
        <v>0</v>
      </c>
      <c r="Z262" s="179">
        <f t="shared" si="20"/>
        <v>0</v>
      </c>
      <c r="AA262" s="179">
        <f t="shared" si="20"/>
        <v>0</v>
      </c>
      <c r="AB262" s="3"/>
    </row>
    <row r="263" spans="1:28" ht="3.9" customHeight="1" x14ac:dyDescent="0.25">
      <c r="A263" s="149">
        <f>1</f>
        <v>1</v>
      </c>
      <c r="B263" s="131"/>
      <c r="C263" s="2"/>
      <c r="D263" s="2"/>
      <c r="E263" s="119"/>
      <c r="F263" s="2"/>
      <c r="G263" s="119"/>
      <c r="H263" s="2"/>
      <c r="I263" s="28"/>
      <c r="J263" s="2"/>
      <c r="K263" s="28"/>
      <c r="L263" s="2"/>
      <c r="M263" s="142"/>
      <c r="N263" s="2"/>
      <c r="O263" s="2"/>
      <c r="P263" s="36"/>
      <c r="Q263" s="36"/>
      <c r="R263" s="36"/>
      <c r="S263" s="36"/>
      <c r="T263" s="36"/>
      <c r="U263" s="36"/>
      <c r="V263" s="36"/>
      <c r="W263" s="36"/>
      <c r="X263" s="36"/>
      <c r="Y263" s="36"/>
      <c r="Z263" s="36"/>
      <c r="AA263" s="36"/>
      <c r="AB263" s="2"/>
    </row>
    <row r="264" spans="1:28" ht="8.1" customHeight="1" x14ac:dyDescent="0.25">
      <c r="A264" s="149">
        <f>1</f>
        <v>1</v>
      </c>
      <c r="B264" s="131"/>
      <c r="C264" s="2"/>
      <c r="D264" s="2"/>
      <c r="E264" s="2"/>
      <c r="F264" s="2"/>
      <c r="G264" s="2"/>
      <c r="H264" s="2"/>
      <c r="I264" s="28"/>
      <c r="J264" s="2"/>
      <c r="K264" s="28"/>
      <c r="L264" s="2"/>
      <c r="M264" s="52"/>
      <c r="N264" s="2"/>
      <c r="O264" s="2"/>
      <c r="P264" s="36"/>
      <c r="Q264" s="36"/>
      <c r="R264" s="36"/>
      <c r="S264" s="36"/>
      <c r="T264" s="36"/>
      <c r="U264" s="36"/>
      <c r="V264" s="36"/>
      <c r="W264" s="36"/>
      <c r="X264" s="36"/>
      <c r="Y264" s="36"/>
      <c r="Z264" s="36"/>
      <c r="AA264" s="36"/>
      <c r="AB264" s="2"/>
    </row>
    <row r="265" spans="1:28" s="5" customFormat="1" x14ac:dyDescent="0.25">
      <c r="A265" s="150">
        <f>1</f>
        <v>1</v>
      </c>
      <c r="B265" s="131"/>
      <c r="C265" s="3"/>
      <c r="D265" s="3"/>
      <c r="E265" s="3"/>
      <c r="F265" s="3"/>
      <c r="G265" s="3"/>
      <c r="H265" s="3"/>
      <c r="I265" s="28"/>
      <c r="J265" s="3"/>
      <c r="K265" s="28"/>
      <c r="L265" s="3"/>
      <c r="M265" s="55"/>
      <c r="N265" s="3"/>
      <c r="O265" s="3"/>
      <c r="P265" s="46"/>
      <c r="Q265" s="46"/>
      <c r="R265" s="46"/>
      <c r="S265" s="46"/>
      <c r="T265" s="46"/>
      <c r="U265" s="46"/>
      <c r="V265" s="46"/>
      <c r="W265" s="46"/>
      <c r="X265" s="46"/>
      <c r="Y265" s="46"/>
      <c r="Z265" s="46"/>
      <c r="AA265" s="46"/>
      <c r="AB265" s="3"/>
    </row>
    <row r="266" spans="1:28" ht="3.9" customHeight="1" x14ac:dyDescent="0.25">
      <c r="A266" s="149">
        <f>1</f>
        <v>1</v>
      </c>
      <c r="B266" s="131"/>
      <c r="C266" s="2"/>
      <c r="D266" s="2"/>
      <c r="E266" s="2"/>
      <c r="F266" s="2"/>
      <c r="G266" s="2"/>
      <c r="H266" s="2"/>
      <c r="I266" s="28"/>
      <c r="J266" s="2"/>
      <c r="K266" s="28"/>
      <c r="L266" s="2"/>
      <c r="M266" s="52"/>
      <c r="N266" s="2"/>
      <c r="O266" s="2"/>
      <c r="P266" s="36"/>
      <c r="Q266" s="36"/>
      <c r="R266" s="36"/>
      <c r="S266" s="36"/>
      <c r="T266" s="36"/>
      <c r="U266" s="36"/>
      <c r="V266" s="36"/>
      <c r="W266" s="36"/>
      <c r="X266" s="36"/>
      <c r="Y266" s="36"/>
      <c r="Z266" s="36"/>
      <c r="AA266" s="36"/>
      <c r="AB266" s="2"/>
    </row>
    <row r="267" spans="1:28" s="5" customFormat="1" x14ac:dyDescent="0.25">
      <c r="A267" s="150">
        <f>1</f>
        <v>1</v>
      </c>
      <c r="B267" s="131"/>
      <c r="C267" s="3"/>
      <c r="D267" s="3"/>
      <c r="E267" s="181" t="s">
        <v>278</v>
      </c>
      <c r="F267" s="3"/>
      <c r="G267" s="3"/>
      <c r="H267" s="3"/>
      <c r="I267" s="28"/>
      <c r="J267" s="3"/>
      <c r="K267" s="28"/>
      <c r="L267" s="3"/>
      <c r="M267" s="55"/>
      <c r="N267" s="3"/>
      <c r="O267" s="3"/>
      <c r="P267" s="46"/>
      <c r="Q267" s="46"/>
      <c r="R267" s="46"/>
      <c r="S267" s="46"/>
      <c r="T267" s="46"/>
      <c r="U267" s="46"/>
      <c r="V267" s="46"/>
      <c r="W267" s="46"/>
      <c r="X267" s="46"/>
      <c r="Y267" s="46"/>
      <c r="Z267" s="46"/>
      <c r="AA267" s="46"/>
      <c r="AB267" s="3"/>
    </row>
    <row r="268" spans="1:28" ht="3.9" customHeight="1" x14ac:dyDescent="0.25">
      <c r="A268" s="149">
        <f>1</f>
        <v>1</v>
      </c>
      <c r="B268" s="131"/>
      <c r="C268" s="2"/>
      <c r="D268" s="2"/>
      <c r="E268" s="2"/>
      <c r="F268" s="2"/>
      <c r="G268" s="2"/>
      <c r="H268" s="2"/>
      <c r="I268" s="28"/>
      <c r="J268" s="2"/>
      <c r="K268" s="28"/>
      <c r="L268" s="2"/>
      <c r="M268" s="52"/>
      <c r="N268" s="2"/>
      <c r="O268" s="2"/>
      <c r="P268" s="36"/>
      <c r="Q268" s="36"/>
      <c r="R268" s="36"/>
      <c r="S268" s="36"/>
      <c r="T268" s="36"/>
      <c r="U268" s="36"/>
      <c r="V268" s="36"/>
      <c r="W268" s="36"/>
      <c r="X268" s="36"/>
      <c r="Y268" s="36"/>
      <c r="Z268" s="36"/>
      <c r="AA268" s="36"/>
      <c r="AB268" s="2"/>
    </row>
    <row r="269" spans="1:28" ht="8.1" customHeight="1" x14ac:dyDescent="0.25">
      <c r="A269" s="149">
        <f>1</f>
        <v>1</v>
      </c>
      <c r="B269" s="131"/>
      <c r="C269" s="2"/>
      <c r="D269" s="2"/>
      <c r="E269" s="2"/>
      <c r="F269" s="2"/>
      <c r="G269" s="2"/>
      <c r="H269" s="2"/>
      <c r="I269" s="28"/>
      <c r="J269" s="2"/>
      <c r="K269" s="28"/>
      <c r="L269" s="2"/>
      <c r="M269" s="52"/>
      <c r="N269" s="2"/>
      <c r="O269" s="2"/>
      <c r="P269" s="36"/>
      <c r="Q269" s="36"/>
      <c r="R269" s="36"/>
      <c r="S269" s="36"/>
      <c r="T269" s="36"/>
      <c r="U269" s="36"/>
      <c r="V269" s="36"/>
      <c r="W269" s="36"/>
      <c r="X269" s="36"/>
      <c r="Y269" s="36"/>
      <c r="Z269" s="36"/>
      <c r="AA269" s="36"/>
      <c r="AB269" s="2"/>
    </row>
    <row r="270" spans="1:28" ht="3.9" customHeight="1" x14ac:dyDescent="0.25">
      <c r="A270" s="149">
        <f>1</f>
        <v>1</v>
      </c>
      <c r="B270" s="131"/>
      <c r="C270" s="2"/>
      <c r="D270" s="2"/>
      <c r="E270" s="2"/>
      <c r="F270" s="2"/>
      <c r="G270" s="2"/>
      <c r="H270" s="2"/>
      <c r="I270" s="28"/>
      <c r="J270" s="2"/>
      <c r="K270" s="28"/>
      <c r="L270" s="2"/>
      <c r="M270" s="52"/>
      <c r="N270" s="2"/>
      <c r="O270" s="2"/>
      <c r="P270" s="36"/>
      <c r="Q270" s="36"/>
      <c r="R270" s="36"/>
      <c r="S270" s="36"/>
      <c r="T270" s="36"/>
      <c r="U270" s="36"/>
      <c r="V270" s="36"/>
      <c r="W270" s="36"/>
      <c r="X270" s="36"/>
      <c r="Y270" s="36"/>
      <c r="Z270" s="36"/>
      <c r="AA270" s="36"/>
      <c r="AB270" s="2"/>
    </row>
    <row r="271" spans="1:28" s="163" customFormat="1" x14ac:dyDescent="0.25">
      <c r="A271" s="149">
        <f>1</f>
        <v>1</v>
      </c>
      <c r="B271" s="159" t="str">
        <f>структура!$J$12</f>
        <v>ОСНО</v>
      </c>
      <c r="C271" s="158"/>
      <c r="D271" s="158"/>
      <c r="E271" s="160" t="str">
        <f>KPI!$E$94</f>
        <v>БАЛАНС</v>
      </c>
      <c r="F271" s="160"/>
      <c r="G271" s="160" t="str">
        <f>IF($E271="","",INDEX(KPI!$G:$G,SUMIFS(KPI!$B:$B,KPI!$E:$E,$E271)))</f>
        <v>тыс.руб.</v>
      </c>
      <c r="H271" s="160"/>
      <c r="I271" s="161"/>
      <c r="J271" s="160" t="str">
        <f>структура!$AL$13</f>
        <v>контроль</v>
      </c>
      <c r="K271" s="161"/>
      <c r="L271" s="160"/>
      <c r="M271" s="180">
        <f>SUM($O271:$AB271)</f>
        <v>391.09000000002015</v>
      </c>
      <c r="N271" s="158"/>
      <c r="O271" s="158"/>
      <c r="P271" s="162">
        <f>IF(P$1="",0,P281+P291-P301-P311)</f>
        <v>55.87000000000171</v>
      </c>
      <c r="Q271" s="162">
        <f t="shared" ref="Q271:AA277" si="21">IF(Q$1="",0,Q281+Q291-Q301-Q311)</f>
        <v>55.870000000005348</v>
      </c>
      <c r="R271" s="162">
        <f t="shared" si="21"/>
        <v>55.870000000008986</v>
      </c>
      <c r="S271" s="162">
        <f t="shared" si="21"/>
        <v>55.869999999999891</v>
      </c>
      <c r="T271" s="162">
        <f t="shared" si="21"/>
        <v>55.869999999999891</v>
      </c>
      <c r="U271" s="162">
        <f t="shared" si="21"/>
        <v>55.870000000011714</v>
      </c>
      <c r="V271" s="162">
        <f t="shared" si="21"/>
        <v>55.869999999992615</v>
      </c>
      <c r="W271" s="162">
        <f t="shared" si="21"/>
        <v>0</v>
      </c>
      <c r="X271" s="162">
        <f t="shared" si="21"/>
        <v>0</v>
      </c>
      <c r="Y271" s="162">
        <f t="shared" si="21"/>
        <v>0</v>
      </c>
      <c r="Z271" s="162">
        <f t="shared" si="21"/>
        <v>0</v>
      </c>
      <c r="AA271" s="162">
        <f t="shared" si="21"/>
        <v>0</v>
      </c>
      <c r="AB271" s="158"/>
    </row>
    <row r="272" spans="1:28" s="163" customFormat="1" ht="3.9" customHeight="1" x14ac:dyDescent="0.25">
      <c r="A272" s="149">
        <f>1</f>
        <v>1</v>
      </c>
      <c r="B272" s="164"/>
      <c r="C272" s="158"/>
      <c r="D272" s="158"/>
      <c r="E272" s="158"/>
      <c r="F272" s="158"/>
      <c r="G272" s="158"/>
      <c r="H272" s="158"/>
      <c r="I272" s="165"/>
      <c r="J272" s="158"/>
      <c r="K272" s="165"/>
      <c r="L272" s="158"/>
      <c r="M272" s="166"/>
      <c r="N272" s="158"/>
      <c r="O272" s="158"/>
      <c r="P272" s="167"/>
      <c r="Q272" s="167"/>
      <c r="R272" s="167"/>
      <c r="S272" s="167"/>
      <c r="T272" s="167"/>
      <c r="U272" s="167"/>
      <c r="V272" s="167"/>
      <c r="W272" s="167"/>
      <c r="X272" s="167"/>
      <c r="Y272" s="167"/>
      <c r="Z272" s="167"/>
      <c r="AA272" s="167"/>
      <c r="AB272" s="158"/>
    </row>
    <row r="273" spans="1:28" s="163" customFormat="1" x14ac:dyDescent="0.25">
      <c r="A273" s="149">
        <f>1</f>
        <v>1</v>
      </c>
      <c r="B273" s="159" t="str">
        <f>структура!$J$13</f>
        <v>УСН(6%)</v>
      </c>
      <c r="C273" s="158"/>
      <c r="D273" s="158"/>
      <c r="E273" s="160" t="str">
        <f>E271</f>
        <v>БАЛАНС</v>
      </c>
      <c r="F273" s="160"/>
      <c r="G273" s="160" t="str">
        <f>IF($E273="","",INDEX(KPI!$G:$G,SUMIFS(KPI!$B:$B,KPI!$E:$E,$E273)))</f>
        <v>тыс.руб.</v>
      </c>
      <c r="H273" s="160"/>
      <c r="I273" s="161"/>
      <c r="J273" s="160" t="str">
        <f>структура!$AL$13</f>
        <v>контроль</v>
      </c>
      <c r="K273" s="161"/>
      <c r="L273" s="160"/>
      <c r="M273" s="180">
        <f>SUM($O273:$AB273)</f>
        <v>391.08999999995399</v>
      </c>
      <c r="N273" s="158"/>
      <c r="O273" s="158"/>
      <c r="P273" s="162">
        <f>IF(P$1="",0,P283+P293-P303-P313)</f>
        <v>55.869999999997162</v>
      </c>
      <c r="Q273" s="162">
        <f t="shared" si="21"/>
        <v>55.869999999996026</v>
      </c>
      <c r="R273" s="162">
        <f t="shared" si="21"/>
        <v>55.869999999991023</v>
      </c>
      <c r="S273" s="162">
        <f t="shared" si="21"/>
        <v>55.869999999996935</v>
      </c>
      <c r="T273" s="162">
        <f t="shared" si="21"/>
        <v>55.869999999994434</v>
      </c>
      <c r="U273" s="162">
        <f t="shared" si="21"/>
        <v>55.869999999981701</v>
      </c>
      <c r="V273" s="162">
        <f t="shared" si="21"/>
        <v>55.869999999996708</v>
      </c>
      <c r="W273" s="162">
        <f t="shared" si="21"/>
        <v>0</v>
      </c>
      <c r="X273" s="162">
        <f t="shared" si="21"/>
        <v>0</v>
      </c>
      <c r="Y273" s="162">
        <f t="shared" si="21"/>
        <v>0</v>
      </c>
      <c r="Z273" s="162">
        <f t="shared" si="21"/>
        <v>0</v>
      </c>
      <c r="AA273" s="162">
        <f t="shared" si="21"/>
        <v>0</v>
      </c>
      <c r="AB273" s="158"/>
    </row>
    <row r="274" spans="1:28" s="163" customFormat="1" ht="3.9" customHeight="1" x14ac:dyDescent="0.25">
      <c r="A274" s="149">
        <f>1</f>
        <v>1</v>
      </c>
      <c r="B274" s="164"/>
      <c r="C274" s="158"/>
      <c r="D274" s="158"/>
      <c r="E274" s="158"/>
      <c r="F274" s="158"/>
      <c r="G274" s="158"/>
      <c r="H274" s="158"/>
      <c r="I274" s="165"/>
      <c r="J274" s="158"/>
      <c r="K274" s="165"/>
      <c r="L274" s="158"/>
      <c r="M274" s="166"/>
      <c r="N274" s="158"/>
      <c r="O274" s="158"/>
      <c r="P274" s="167"/>
      <c r="Q274" s="167"/>
      <c r="R274" s="167"/>
      <c r="S274" s="167"/>
      <c r="T274" s="167"/>
      <c r="U274" s="167"/>
      <c r="V274" s="167"/>
      <c r="W274" s="167"/>
      <c r="X274" s="167"/>
      <c r="Y274" s="167"/>
      <c r="Z274" s="167"/>
      <c r="AA274" s="167"/>
      <c r="AB274" s="158"/>
    </row>
    <row r="275" spans="1:28" s="163" customFormat="1" x14ac:dyDescent="0.25">
      <c r="A275" s="149">
        <f>1</f>
        <v>1</v>
      </c>
      <c r="B275" s="159" t="str">
        <f>структура!$J$14</f>
        <v>УСН(15%)</v>
      </c>
      <c r="C275" s="158"/>
      <c r="D275" s="158"/>
      <c r="E275" s="160" t="str">
        <f>E271</f>
        <v>БАЛАНС</v>
      </c>
      <c r="F275" s="160"/>
      <c r="G275" s="160" t="str">
        <f>IF($E275="","",INDEX(KPI!$G:$G,SUMIFS(KPI!$B:$B,KPI!$E:$E,$E275)))</f>
        <v>тыс.руб.</v>
      </c>
      <c r="H275" s="160"/>
      <c r="I275" s="161"/>
      <c r="J275" s="160" t="str">
        <f>структура!$AL$13</f>
        <v>контроль</v>
      </c>
      <c r="K275" s="161"/>
      <c r="L275" s="160"/>
      <c r="M275" s="180">
        <f>SUM($O275:$AB275)</f>
        <v>391.08999999995444</v>
      </c>
      <c r="N275" s="158"/>
      <c r="O275" s="158"/>
      <c r="P275" s="162">
        <f>IF(P$1="",0,P285+P295-P305-P315)</f>
        <v>55.870000000000346</v>
      </c>
      <c r="Q275" s="162">
        <f t="shared" si="21"/>
        <v>55.869999999994207</v>
      </c>
      <c r="R275" s="162">
        <f t="shared" si="21"/>
        <v>55.869999999999209</v>
      </c>
      <c r="S275" s="162">
        <f t="shared" si="21"/>
        <v>55.869999999993297</v>
      </c>
      <c r="T275" s="162">
        <f t="shared" si="21"/>
        <v>55.86999999999216</v>
      </c>
      <c r="U275" s="162">
        <f t="shared" si="21"/>
        <v>55.869999999983975</v>
      </c>
      <c r="V275" s="162">
        <f t="shared" si="21"/>
        <v>55.869999999991251</v>
      </c>
      <c r="W275" s="162">
        <f t="shared" si="21"/>
        <v>0</v>
      </c>
      <c r="X275" s="162">
        <f t="shared" si="21"/>
        <v>0</v>
      </c>
      <c r="Y275" s="162">
        <f t="shared" si="21"/>
        <v>0</v>
      </c>
      <c r="Z275" s="162">
        <f t="shared" si="21"/>
        <v>0</v>
      </c>
      <c r="AA275" s="162">
        <f t="shared" si="21"/>
        <v>0</v>
      </c>
      <c r="AB275" s="158"/>
    </row>
    <row r="276" spans="1:28" s="163" customFormat="1" ht="3.9" customHeight="1" x14ac:dyDescent="0.25">
      <c r="A276" s="149">
        <f>1</f>
        <v>1</v>
      </c>
      <c r="B276" s="164"/>
      <c r="C276" s="158"/>
      <c r="D276" s="158"/>
      <c r="E276" s="158"/>
      <c r="F276" s="158"/>
      <c r="G276" s="158"/>
      <c r="H276" s="158"/>
      <c r="I276" s="165"/>
      <c r="J276" s="158"/>
      <c r="K276" s="165"/>
      <c r="L276" s="158"/>
      <c r="M276" s="166"/>
      <c r="N276" s="158"/>
      <c r="O276" s="158"/>
      <c r="P276" s="167"/>
      <c r="Q276" s="167"/>
      <c r="R276" s="167"/>
      <c r="S276" s="167"/>
      <c r="T276" s="167"/>
      <c r="U276" s="167"/>
      <c r="V276" s="167"/>
      <c r="W276" s="167"/>
      <c r="X276" s="167"/>
      <c r="Y276" s="167"/>
      <c r="Z276" s="167"/>
      <c r="AA276" s="167"/>
      <c r="AB276" s="158"/>
    </row>
    <row r="277" spans="1:28" s="163" customFormat="1" x14ac:dyDescent="0.25">
      <c r="A277" s="149">
        <f>1</f>
        <v>1</v>
      </c>
      <c r="B277" s="159" t="str">
        <f>структура!$J$15</f>
        <v>УСН(6%)-ИП</v>
      </c>
      <c r="C277" s="158"/>
      <c r="D277" s="158"/>
      <c r="E277" s="160" t="str">
        <f>E271</f>
        <v>БАЛАНС</v>
      </c>
      <c r="F277" s="160"/>
      <c r="G277" s="160" t="str">
        <f>IF($E277="","",INDEX(KPI!$G:$G,SUMIFS(KPI!$B:$B,KPI!$E:$E,$E277)))</f>
        <v>тыс.руб.</v>
      </c>
      <c r="H277" s="160"/>
      <c r="I277" s="161"/>
      <c r="J277" s="160" t="str">
        <f>структура!$AL$13</f>
        <v>контроль</v>
      </c>
      <c r="K277" s="161"/>
      <c r="L277" s="160"/>
      <c r="M277" s="180">
        <f>SUM($O277:$AB277)</f>
        <v>391.0900000000313</v>
      </c>
      <c r="N277" s="158"/>
      <c r="O277" s="158"/>
      <c r="P277" s="162">
        <f>IF(P$1="",0,P287+P297-P307-P317)</f>
        <v>55.870000000003699</v>
      </c>
      <c r="Q277" s="162">
        <f t="shared" si="21"/>
        <v>55.870000000003699</v>
      </c>
      <c r="R277" s="162">
        <f t="shared" si="21"/>
        <v>55.870000000003699</v>
      </c>
      <c r="S277" s="162">
        <f t="shared" si="21"/>
        <v>55.870000000003699</v>
      </c>
      <c r="T277" s="162">
        <f t="shared" si="21"/>
        <v>55.870000000008986</v>
      </c>
      <c r="U277" s="162">
        <f t="shared" si="21"/>
        <v>55.869999999996253</v>
      </c>
      <c r="V277" s="162">
        <f t="shared" si="21"/>
        <v>55.87000000001126</v>
      </c>
      <c r="W277" s="162">
        <f t="shared" si="21"/>
        <v>0</v>
      </c>
      <c r="X277" s="162">
        <f t="shared" si="21"/>
        <v>0</v>
      </c>
      <c r="Y277" s="162">
        <f t="shared" si="21"/>
        <v>0</v>
      </c>
      <c r="Z277" s="162">
        <f t="shared" si="21"/>
        <v>0</v>
      </c>
      <c r="AA277" s="162">
        <f t="shared" si="21"/>
        <v>0</v>
      </c>
      <c r="AB277" s="158"/>
    </row>
    <row r="278" spans="1:28" s="163" customFormat="1" ht="3.9" customHeight="1" x14ac:dyDescent="0.25">
      <c r="A278" s="149">
        <f>1</f>
        <v>1</v>
      </c>
      <c r="B278" s="164"/>
      <c r="C278" s="158"/>
      <c r="D278" s="158"/>
      <c r="E278" s="168"/>
      <c r="F278" s="158"/>
      <c r="G278" s="168"/>
      <c r="H278" s="158"/>
      <c r="I278" s="165"/>
      <c r="J278" s="158"/>
      <c r="K278" s="165"/>
      <c r="L278" s="158"/>
      <c r="M278" s="169"/>
      <c r="N278" s="158"/>
      <c r="O278" s="158"/>
      <c r="P278" s="167"/>
      <c r="Q278" s="167"/>
      <c r="R278" s="167"/>
      <c r="S278" s="167"/>
      <c r="T278" s="167"/>
      <c r="U278" s="167"/>
      <c r="V278" s="167"/>
      <c r="W278" s="167"/>
      <c r="X278" s="167"/>
      <c r="Y278" s="167"/>
      <c r="Z278" s="167"/>
      <c r="AA278" s="167"/>
      <c r="AB278" s="158"/>
    </row>
    <row r="279" spans="1:28" ht="8.1" customHeight="1" x14ac:dyDescent="0.25">
      <c r="A279" s="149">
        <f>1</f>
        <v>1</v>
      </c>
      <c r="B279" s="131"/>
      <c r="C279" s="2"/>
      <c r="D279" s="2"/>
      <c r="E279" s="2"/>
      <c r="F279" s="2"/>
      <c r="G279" s="2"/>
      <c r="H279" s="2"/>
      <c r="I279" s="28"/>
      <c r="J279" s="2"/>
      <c r="K279" s="28"/>
      <c r="L279" s="2"/>
      <c r="M279" s="52"/>
      <c r="N279" s="2"/>
      <c r="O279" s="2"/>
      <c r="P279" s="36"/>
      <c r="Q279" s="36"/>
      <c r="R279" s="36"/>
      <c r="S279" s="36"/>
      <c r="T279" s="36"/>
      <c r="U279" s="36"/>
      <c r="V279" s="36"/>
      <c r="W279" s="36"/>
      <c r="X279" s="36"/>
      <c r="Y279" s="36"/>
      <c r="Z279" s="36"/>
      <c r="AA279" s="36"/>
      <c r="AB279" s="2"/>
    </row>
    <row r="280" spans="1:28" ht="3.9" customHeight="1" x14ac:dyDescent="0.25">
      <c r="A280" s="149">
        <f>1</f>
        <v>1</v>
      </c>
      <c r="B280" s="131"/>
      <c r="C280" s="2"/>
      <c r="D280" s="2"/>
      <c r="E280" s="2"/>
      <c r="F280" s="2"/>
      <c r="G280" s="2"/>
      <c r="H280" s="2"/>
      <c r="I280" s="28"/>
      <c r="J280" s="2"/>
      <c r="K280" s="28"/>
      <c r="L280" s="2"/>
      <c r="M280" s="52"/>
      <c r="N280" s="2"/>
      <c r="O280" s="2"/>
      <c r="P280" s="36"/>
      <c r="Q280" s="36"/>
      <c r="R280" s="36"/>
      <c r="S280" s="36"/>
      <c r="T280" s="36"/>
      <c r="U280" s="36"/>
      <c r="V280" s="36"/>
      <c r="W280" s="36"/>
      <c r="X280" s="36"/>
      <c r="Y280" s="36"/>
      <c r="Z280" s="36"/>
      <c r="AA280" s="36"/>
      <c r="AB280" s="2"/>
    </row>
    <row r="281" spans="1:28" s="5" customFormat="1" x14ac:dyDescent="0.25">
      <c r="A281" s="150">
        <f>1</f>
        <v>1</v>
      </c>
      <c r="B281" s="129" t="str">
        <f>структура!$J$12</f>
        <v>ОСНО</v>
      </c>
      <c r="C281" s="3"/>
      <c r="D281" s="3"/>
      <c r="E281" s="89" t="str">
        <f>KPI!$E$92</f>
        <v>ВНЕОБОРОТНЫЕ АКТИВЫ</v>
      </c>
      <c r="F281" s="89"/>
      <c r="G281" s="89" t="str">
        <f>IF($E281="","",INDEX(KPI!$G:$G,SUMIFS(KPI!$B:$B,KPI!$E:$E,$E281)))</f>
        <v>тыс.руб.</v>
      </c>
      <c r="H281" s="89"/>
      <c r="I281" s="90"/>
      <c r="J281" s="89"/>
      <c r="K281" s="90"/>
      <c r="L281" s="89"/>
      <c r="M281" s="92"/>
      <c r="N281" s="3"/>
      <c r="O281" s="3"/>
      <c r="P281" s="93">
        <f>IF(P$1="",0,IF(1+опер3!P$346=0,0,капитал!$J$20+(капитал!$M$102+капитал!$M$109)/(1+опер3!P$346)-P$117))</f>
        <v>23979.791552380953</v>
      </c>
      <c r="Q281" s="93">
        <f>IF(Q$1="",0,P281-Q$117)</f>
        <v>22050.937404761906</v>
      </c>
      <c r="R281" s="93">
        <f t="shared" ref="R281:AA281" si="22">IF(R$1="",0,Q281-R$117)</f>
        <v>20122.083257142858</v>
      </c>
      <c r="S281" s="93">
        <f t="shared" si="22"/>
        <v>18193.229109523811</v>
      </c>
      <c r="T281" s="93">
        <f t="shared" si="22"/>
        <v>16264.374961904763</v>
      </c>
      <c r="U281" s="93">
        <f t="shared" si="22"/>
        <v>14482.187480952382</v>
      </c>
      <c r="V281" s="93">
        <f t="shared" si="22"/>
        <v>12700</v>
      </c>
      <c r="W281" s="93">
        <f t="shared" si="22"/>
        <v>0</v>
      </c>
      <c r="X281" s="93">
        <f t="shared" si="22"/>
        <v>0</v>
      </c>
      <c r="Y281" s="93">
        <f t="shared" si="22"/>
        <v>0</v>
      </c>
      <c r="Z281" s="93">
        <f t="shared" si="22"/>
        <v>0</v>
      </c>
      <c r="AA281" s="93">
        <f t="shared" si="22"/>
        <v>0</v>
      </c>
      <c r="AB281" s="3"/>
    </row>
    <row r="282" spans="1:28" s="5" customFormat="1" ht="3.9" customHeight="1" x14ac:dyDescent="0.25">
      <c r="A282" s="150">
        <f>1</f>
        <v>1</v>
      </c>
      <c r="B282" s="128"/>
      <c r="C282" s="3"/>
      <c r="D282" s="3"/>
      <c r="E282" s="3"/>
      <c r="F282" s="3"/>
      <c r="G282" s="3"/>
      <c r="H282" s="3"/>
      <c r="I282" s="28"/>
      <c r="J282" s="3"/>
      <c r="K282" s="28"/>
      <c r="L282" s="3"/>
      <c r="M282" s="55"/>
      <c r="N282" s="3"/>
      <c r="O282" s="3"/>
      <c r="P282" s="46"/>
      <c r="Q282" s="46"/>
      <c r="R282" s="46"/>
      <c r="S282" s="46"/>
      <c r="T282" s="46"/>
      <c r="U282" s="46"/>
      <c r="V282" s="46"/>
      <c r="W282" s="46"/>
      <c r="X282" s="46"/>
      <c r="Y282" s="46"/>
      <c r="Z282" s="46"/>
      <c r="AA282" s="46"/>
      <c r="AB282" s="3"/>
    </row>
    <row r="283" spans="1:28" s="5" customFormat="1" x14ac:dyDescent="0.25">
      <c r="A283" s="150">
        <f>1</f>
        <v>1</v>
      </c>
      <c r="B283" s="129" t="str">
        <f>структура!$J$13</f>
        <v>УСН(6%)</v>
      </c>
      <c r="C283" s="3"/>
      <c r="D283" s="3"/>
      <c r="E283" s="89" t="str">
        <f>E281</f>
        <v>ВНЕОБОРОТНЫЕ АКТИВЫ</v>
      </c>
      <c r="F283" s="89"/>
      <c r="G283" s="89" t="str">
        <f>IF($E283="","",INDEX(KPI!$G:$G,SUMIFS(KPI!$B:$B,KPI!$E:$E,$E283)))</f>
        <v>тыс.руб.</v>
      </c>
      <c r="H283" s="89"/>
      <c r="I283" s="90"/>
      <c r="J283" s="89"/>
      <c r="K283" s="90"/>
      <c r="L283" s="89"/>
      <c r="M283" s="92"/>
      <c r="N283" s="3"/>
      <c r="O283" s="3"/>
      <c r="P283" s="93">
        <f>IF(P$1="",0,капитал!$J$20+капитал!$M$102+капитал!$M$109-P119)</f>
        <v>26235.749862857141</v>
      </c>
      <c r="Q283" s="93">
        <f t="shared" ref="Q283:AA283" si="23">IF(Q$1="",0,P283-Q119)</f>
        <v>23921.124885714282</v>
      </c>
      <c r="R283" s="93">
        <f t="shared" si="23"/>
        <v>21606.499908571423</v>
      </c>
      <c r="S283" s="93">
        <f t="shared" si="23"/>
        <v>19291.874931428563</v>
      </c>
      <c r="T283" s="93">
        <f t="shared" si="23"/>
        <v>16977.249954285704</v>
      </c>
      <c r="U283" s="93">
        <f t="shared" si="23"/>
        <v>14838.624977142847</v>
      </c>
      <c r="V283" s="93">
        <f t="shared" si="23"/>
        <v>12699.999999999989</v>
      </c>
      <c r="W283" s="93">
        <f t="shared" si="23"/>
        <v>0</v>
      </c>
      <c r="X283" s="93">
        <f t="shared" si="23"/>
        <v>0</v>
      </c>
      <c r="Y283" s="93">
        <f t="shared" si="23"/>
        <v>0</v>
      </c>
      <c r="Z283" s="93">
        <f t="shared" si="23"/>
        <v>0</v>
      </c>
      <c r="AA283" s="93">
        <f t="shared" si="23"/>
        <v>0</v>
      </c>
      <c r="AB283" s="3"/>
    </row>
    <row r="284" spans="1:28" s="5" customFormat="1" ht="3.9" customHeight="1" x14ac:dyDescent="0.25">
      <c r="A284" s="150">
        <f>1</f>
        <v>1</v>
      </c>
      <c r="B284" s="128"/>
      <c r="C284" s="3"/>
      <c r="D284" s="3"/>
      <c r="E284" s="3"/>
      <c r="F284" s="3"/>
      <c r="G284" s="3"/>
      <c r="H284" s="3"/>
      <c r="I284" s="28"/>
      <c r="J284" s="3"/>
      <c r="K284" s="28"/>
      <c r="L284" s="3"/>
      <c r="M284" s="55"/>
      <c r="N284" s="3"/>
      <c r="O284" s="3"/>
      <c r="P284" s="46"/>
      <c r="Q284" s="46"/>
      <c r="R284" s="46"/>
      <c r="S284" s="46"/>
      <c r="T284" s="46"/>
      <c r="U284" s="46"/>
      <c r="V284" s="46"/>
      <c r="W284" s="46"/>
      <c r="X284" s="46"/>
      <c r="Y284" s="46"/>
      <c r="Z284" s="46"/>
      <c r="AA284" s="46"/>
      <c r="AB284" s="3"/>
    </row>
    <row r="285" spans="1:28" s="5" customFormat="1" x14ac:dyDescent="0.25">
      <c r="A285" s="150">
        <f>1</f>
        <v>1</v>
      </c>
      <c r="B285" s="129" t="str">
        <f>структура!$J$14</f>
        <v>УСН(15%)</v>
      </c>
      <c r="C285" s="3"/>
      <c r="D285" s="3"/>
      <c r="E285" s="89" t="str">
        <f>E281</f>
        <v>ВНЕОБОРОТНЫЕ АКТИВЫ</v>
      </c>
      <c r="F285" s="89"/>
      <c r="G285" s="89" t="str">
        <f>IF($E285="","",INDEX(KPI!$G:$G,SUMIFS(KPI!$B:$B,KPI!$E:$E,$E285)))</f>
        <v>тыс.руб.</v>
      </c>
      <c r="H285" s="89"/>
      <c r="I285" s="90"/>
      <c r="J285" s="89"/>
      <c r="K285" s="90"/>
      <c r="L285" s="89"/>
      <c r="M285" s="92"/>
      <c r="N285" s="3"/>
      <c r="O285" s="3"/>
      <c r="P285" s="93">
        <f>IF(P$1="",0,капитал!$J$20+капитал!$M$102+капитал!$M$109-P121)</f>
        <v>26235.749862857141</v>
      </c>
      <c r="Q285" s="93">
        <f t="shared" ref="Q285:AA285" si="24">IF(Q$1="",0,P285-Q121)</f>
        <v>23921.124885714282</v>
      </c>
      <c r="R285" s="93">
        <f t="shared" si="24"/>
        <v>21606.499908571423</v>
      </c>
      <c r="S285" s="93">
        <f t="shared" si="24"/>
        <v>19291.874931428563</v>
      </c>
      <c r="T285" s="93">
        <f t="shared" si="24"/>
        <v>16977.249954285704</v>
      </c>
      <c r="U285" s="93">
        <f t="shared" si="24"/>
        <v>14838.624977142847</v>
      </c>
      <c r="V285" s="93">
        <f t="shared" si="24"/>
        <v>12699.999999999989</v>
      </c>
      <c r="W285" s="93">
        <f t="shared" si="24"/>
        <v>0</v>
      </c>
      <c r="X285" s="93">
        <f t="shared" si="24"/>
        <v>0</v>
      </c>
      <c r="Y285" s="93">
        <f t="shared" si="24"/>
        <v>0</v>
      </c>
      <c r="Z285" s="93">
        <f t="shared" si="24"/>
        <v>0</v>
      </c>
      <c r="AA285" s="93">
        <f t="shared" si="24"/>
        <v>0</v>
      </c>
      <c r="AB285" s="3"/>
    </row>
    <row r="286" spans="1:28" s="5" customFormat="1" ht="3.9" customHeight="1" x14ac:dyDescent="0.25">
      <c r="A286" s="150">
        <f>1</f>
        <v>1</v>
      </c>
      <c r="B286" s="128"/>
      <c r="C286" s="3"/>
      <c r="D286" s="3"/>
      <c r="E286" s="3"/>
      <c r="F286" s="3"/>
      <c r="G286" s="3"/>
      <c r="H286" s="3"/>
      <c r="I286" s="28"/>
      <c r="J286" s="3"/>
      <c r="K286" s="28"/>
      <c r="L286" s="3"/>
      <c r="M286" s="55"/>
      <c r="N286" s="3"/>
      <c r="O286" s="3"/>
      <c r="P286" s="46"/>
      <c r="Q286" s="46"/>
      <c r="R286" s="46"/>
      <c r="S286" s="46"/>
      <c r="T286" s="46"/>
      <c r="U286" s="46"/>
      <c r="V286" s="46"/>
      <c r="W286" s="46"/>
      <c r="X286" s="46"/>
      <c r="Y286" s="46"/>
      <c r="Z286" s="46"/>
      <c r="AA286" s="46"/>
      <c r="AB286" s="3"/>
    </row>
    <row r="287" spans="1:28" s="5" customFormat="1" x14ac:dyDescent="0.25">
      <c r="A287" s="150">
        <f>1</f>
        <v>1</v>
      </c>
      <c r="B287" s="129" t="str">
        <f>структура!$J$15</f>
        <v>УСН(6%)-ИП</v>
      </c>
      <c r="C287" s="3"/>
      <c r="D287" s="3"/>
      <c r="E287" s="89" t="str">
        <f>E281</f>
        <v>ВНЕОБОРОТНЫЕ АКТИВЫ</v>
      </c>
      <c r="F287" s="89"/>
      <c r="G287" s="89" t="str">
        <f>IF($E287="","",INDEX(KPI!$G:$G,SUMIFS(KPI!$B:$B,KPI!$E:$E,$E287)))</f>
        <v>тыс.руб.</v>
      </c>
      <c r="H287" s="89"/>
      <c r="I287" s="90"/>
      <c r="J287" s="89"/>
      <c r="K287" s="90"/>
      <c r="L287" s="89"/>
      <c r="M287" s="92"/>
      <c r="N287" s="3"/>
      <c r="O287" s="3"/>
      <c r="P287" s="93">
        <f>IF(P$1="",0,капитал!$J$20+капитал!$M$102+капитал!$M$109-P123)</f>
        <v>26235.749862857141</v>
      </c>
      <c r="Q287" s="93">
        <f t="shared" ref="Q287:AA287" si="25">IF(Q$1="",0,P287-Q123)</f>
        <v>23921.124885714282</v>
      </c>
      <c r="R287" s="93">
        <f t="shared" si="25"/>
        <v>21606.499908571423</v>
      </c>
      <c r="S287" s="93">
        <f t="shared" si="25"/>
        <v>19291.874931428563</v>
      </c>
      <c r="T287" s="93">
        <f t="shared" si="25"/>
        <v>16977.249954285704</v>
      </c>
      <c r="U287" s="93">
        <f t="shared" si="25"/>
        <v>14838.624977142847</v>
      </c>
      <c r="V287" s="93">
        <f t="shared" si="25"/>
        <v>12699.999999999989</v>
      </c>
      <c r="W287" s="93">
        <f t="shared" si="25"/>
        <v>0</v>
      </c>
      <c r="X287" s="93">
        <f t="shared" si="25"/>
        <v>0</v>
      </c>
      <c r="Y287" s="93">
        <f t="shared" si="25"/>
        <v>0</v>
      </c>
      <c r="Z287" s="93">
        <f t="shared" si="25"/>
        <v>0</v>
      </c>
      <c r="AA287" s="93">
        <f t="shared" si="25"/>
        <v>0</v>
      </c>
      <c r="AB287" s="3"/>
    </row>
    <row r="288" spans="1:28" ht="3.9" customHeight="1" x14ac:dyDescent="0.25">
      <c r="A288" s="149">
        <f>1</f>
        <v>1</v>
      </c>
      <c r="B288" s="131"/>
      <c r="C288" s="2"/>
      <c r="D288" s="2"/>
      <c r="E288" s="118"/>
      <c r="F288" s="2"/>
      <c r="G288" s="118"/>
      <c r="H288" s="2"/>
      <c r="I288" s="28"/>
      <c r="J288" s="2"/>
      <c r="K288" s="28"/>
      <c r="L288" s="2"/>
      <c r="M288" s="139"/>
      <c r="N288" s="2"/>
      <c r="O288" s="2"/>
      <c r="P288" s="36"/>
      <c r="Q288" s="36"/>
      <c r="R288" s="36"/>
      <c r="S288" s="36"/>
      <c r="T288" s="36"/>
      <c r="U288" s="36"/>
      <c r="V288" s="36"/>
      <c r="W288" s="36"/>
      <c r="X288" s="36"/>
      <c r="Y288" s="36"/>
      <c r="Z288" s="36"/>
      <c r="AA288" s="36"/>
      <c r="AB288" s="2"/>
    </row>
    <row r="289" spans="1:28" ht="8.1" customHeight="1" x14ac:dyDescent="0.25">
      <c r="A289" s="149">
        <f>1</f>
        <v>1</v>
      </c>
      <c r="B289" s="131"/>
      <c r="C289" s="2"/>
      <c r="D289" s="2"/>
      <c r="E289" s="2"/>
      <c r="F289" s="2"/>
      <c r="G289" s="2"/>
      <c r="H289" s="2"/>
      <c r="I289" s="28"/>
      <c r="J289" s="2"/>
      <c r="K289" s="28"/>
      <c r="L289" s="2"/>
      <c r="M289" s="52"/>
      <c r="N289" s="2"/>
      <c r="O289" s="2"/>
      <c r="P289" s="36"/>
      <c r="Q289" s="36"/>
      <c r="R289" s="36"/>
      <c r="S289" s="36"/>
      <c r="T289" s="36"/>
      <c r="U289" s="36"/>
      <c r="V289" s="36"/>
      <c r="W289" s="36"/>
      <c r="X289" s="36"/>
      <c r="Y289" s="36"/>
      <c r="Z289" s="36"/>
      <c r="AA289" s="36"/>
      <c r="AB289" s="2"/>
    </row>
    <row r="290" spans="1:28" ht="3.9" customHeight="1" x14ac:dyDescent="0.25">
      <c r="A290" s="149">
        <f>1</f>
        <v>1</v>
      </c>
      <c r="B290" s="131"/>
      <c r="C290" s="2"/>
      <c r="D290" s="2"/>
      <c r="E290" s="2"/>
      <c r="F290" s="2"/>
      <c r="G290" s="2"/>
      <c r="H290" s="2"/>
      <c r="I290" s="28"/>
      <c r="J290" s="2"/>
      <c r="K290" s="28"/>
      <c r="L290" s="2"/>
      <c r="M290" s="52"/>
      <c r="N290" s="2"/>
      <c r="O290" s="2"/>
      <c r="P290" s="36"/>
      <c r="Q290" s="36"/>
      <c r="R290" s="36"/>
      <c r="S290" s="36"/>
      <c r="T290" s="36"/>
      <c r="U290" s="36"/>
      <c r="V290" s="36"/>
      <c r="W290" s="36"/>
      <c r="X290" s="36"/>
      <c r="Y290" s="36"/>
      <c r="Z290" s="36"/>
      <c r="AA290" s="36"/>
      <c r="AB290" s="2"/>
    </row>
    <row r="291" spans="1:28" s="5" customFormat="1" x14ac:dyDescent="0.25">
      <c r="A291" s="150">
        <f>1</f>
        <v>1</v>
      </c>
      <c r="B291" s="129" t="str">
        <f>структура!$J$12</f>
        <v>ОСНО</v>
      </c>
      <c r="C291" s="3"/>
      <c r="D291" s="3"/>
      <c r="E291" s="146" t="str">
        <f>KPI!$E$93</f>
        <v>ДЕНЕЖНЫЕ СРЕДСТВА</v>
      </c>
      <c r="F291" s="146"/>
      <c r="G291" s="146" t="str">
        <f>IF($E291="","",INDEX(KPI!$G:$G,SUMIFS(KPI!$B:$B,KPI!$E:$E,$E291)))</f>
        <v>тыс.руб.</v>
      </c>
      <c r="H291" s="146"/>
      <c r="I291" s="177"/>
      <c r="J291" s="146"/>
      <c r="K291" s="177"/>
      <c r="L291" s="146"/>
      <c r="M291" s="178"/>
      <c r="N291" s="3"/>
      <c r="O291" s="3"/>
      <c r="P291" s="179">
        <f>IF(P$1="",0,P175)</f>
        <v>13662.169716110127</v>
      </c>
      <c r="Q291" s="179">
        <f t="shared" ref="Q291:AA291" si="26">IF(Q$1="",0,P291+Q175)</f>
        <v>21492.744523040688</v>
      </c>
      <c r="R291" s="179">
        <f t="shared" si="26"/>
        <v>30193.047558432794</v>
      </c>
      <c r="S291" s="179">
        <f t="shared" si="26"/>
        <v>39277.833441773604</v>
      </c>
      <c r="T291" s="179">
        <f t="shared" si="26"/>
        <v>48944.532211524682</v>
      </c>
      <c r="U291" s="179">
        <f t="shared" si="26"/>
        <v>59786.636766660376</v>
      </c>
      <c r="V291" s="179">
        <f t="shared" si="26"/>
        <v>72134.24328961657</v>
      </c>
      <c r="W291" s="179">
        <f t="shared" si="26"/>
        <v>0</v>
      </c>
      <c r="X291" s="179">
        <f t="shared" si="26"/>
        <v>0</v>
      </c>
      <c r="Y291" s="179">
        <f t="shared" si="26"/>
        <v>0</v>
      </c>
      <c r="Z291" s="179">
        <f t="shared" si="26"/>
        <v>0</v>
      </c>
      <c r="AA291" s="179">
        <f t="shared" si="26"/>
        <v>0</v>
      </c>
      <c r="AB291" s="3"/>
    </row>
    <row r="292" spans="1:28" s="5" customFormat="1" ht="3.9" customHeight="1" x14ac:dyDescent="0.25">
      <c r="A292" s="150">
        <f>1</f>
        <v>1</v>
      </c>
      <c r="B292" s="128"/>
      <c r="C292" s="3"/>
      <c r="D292" s="3"/>
      <c r="E292" s="3"/>
      <c r="F292" s="3"/>
      <c r="G292" s="3"/>
      <c r="H292" s="3"/>
      <c r="I292" s="28"/>
      <c r="J292" s="3"/>
      <c r="K292" s="28"/>
      <c r="L292" s="3"/>
      <c r="M292" s="55"/>
      <c r="N292" s="3"/>
      <c r="O292" s="3"/>
      <c r="P292" s="46"/>
      <c r="Q292" s="46"/>
      <c r="R292" s="46"/>
      <c r="S292" s="46"/>
      <c r="T292" s="46"/>
      <c r="U292" s="46"/>
      <c r="V292" s="46"/>
      <c r="W292" s="46"/>
      <c r="X292" s="46"/>
      <c r="Y292" s="46"/>
      <c r="Z292" s="46"/>
      <c r="AA292" s="46"/>
      <c r="AB292" s="3"/>
    </row>
    <row r="293" spans="1:28" s="5" customFormat="1" x14ac:dyDescent="0.25">
      <c r="A293" s="150">
        <f>1</f>
        <v>1</v>
      </c>
      <c r="B293" s="129" t="str">
        <f>структура!$J$13</f>
        <v>УСН(6%)</v>
      </c>
      <c r="C293" s="3"/>
      <c r="D293" s="3"/>
      <c r="E293" s="146" t="str">
        <f>E291</f>
        <v>ДЕНЕЖНЫЕ СРЕДСТВА</v>
      </c>
      <c r="F293" s="146"/>
      <c r="G293" s="146" t="str">
        <f>IF($E293="","",INDEX(KPI!$G:$G,SUMIFS(KPI!$B:$B,KPI!$E:$E,$E293)))</f>
        <v>тыс.руб.</v>
      </c>
      <c r="H293" s="146"/>
      <c r="I293" s="177"/>
      <c r="J293" s="146"/>
      <c r="K293" s="177"/>
      <c r="L293" s="146"/>
      <c r="M293" s="178"/>
      <c r="N293" s="3"/>
      <c r="O293" s="3"/>
      <c r="P293" s="179">
        <f>IF(P$1="",0,P177)</f>
        <v>11020.440576110128</v>
      </c>
      <c r="Q293" s="179">
        <f t="shared" ref="Q293:AA293" si="27">IF(Q$1="",0,P293+Q177)</f>
        <v>21907.0166883741</v>
      </c>
      <c r="R293" s="179">
        <f t="shared" si="27"/>
        <v>33823.795029099616</v>
      </c>
      <c r="S293" s="179">
        <f t="shared" si="27"/>
        <v>46445.236602902049</v>
      </c>
      <c r="T293" s="179">
        <f t="shared" si="27"/>
        <v>59875.37653439679</v>
      </c>
      <c r="U293" s="179">
        <f t="shared" si="27"/>
        <v>74083.675047429992</v>
      </c>
      <c r="V293" s="179">
        <f t="shared" si="27"/>
        <v>90215.443540078588</v>
      </c>
      <c r="W293" s="179">
        <f t="shared" si="27"/>
        <v>0</v>
      </c>
      <c r="X293" s="179">
        <f t="shared" si="27"/>
        <v>0</v>
      </c>
      <c r="Y293" s="179">
        <f t="shared" si="27"/>
        <v>0</v>
      </c>
      <c r="Z293" s="179">
        <f t="shared" si="27"/>
        <v>0</v>
      </c>
      <c r="AA293" s="179">
        <f t="shared" si="27"/>
        <v>0</v>
      </c>
      <c r="AB293" s="3"/>
    </row>
    <row r="294" spans="1:28" s="5" customFormat="1" ht="3.9" customHeight="1" x14ac:dyDescent="0.25">
      <c r="A294" s="150">
        <f>1</f>
        <v>1</v>
      </c>
      <c r="B294" s="128"/>
      <c r="C294" s="3"/>
      <c r="D294" s="3"/>
      <c r="E294" s="3"/>
      <c r="F294" s="3"/>
      <c r="G294" s="3"/>
      <c r="H294" s="3"/>
      <c r="I294" s="28"/>
      <c r="J294" s="3"/>
      <c r="K294" s="28"/>
      <c r="L294" s="3"/>
      <c r="M294" s="55"/>
      <c r="N294" s="3"/>
      <c r="O294" s="3"/>
      <c r="P294" s="46"/>
      <c r="Q294" s="46"/>
      <c r="R294" s="46"/>
      <c r="S294" s="46"/>
      <c r="T294" s="46"/>
      <c r="U294" s="46"/>
      <c r="V294" s="46"/>
      <c r="W294" s="46"/>
      <c r="X294" s="46"/>
      <c r="Y294" s="46"/>
      <c r="Z294" s="46"/>
      <c r="AA294" s="46"/>
      <c r="AB294" s="3"/>
    </row>
    <row r="295" spans="1:28" s="5" customFormat="1" x14ac:dyDescent="0.25">
      <c r="A295" s="150">
        <f>1</f>
        <v>1</v>
      </c>
      <c r="B295" s="129" t="str">
        <f>структура!$J$14</f>
        <v>УСН(15%)</v>
      </c>
      <c r="C295" s="3"/>
      <c r="D295" s="3"/>
      <c r="E295" s="146" t="str">
        <f>E291</f>
        <v>ДЕНЕЖНЫЕ СРЕДСТВА</v>
      </c>
      <c r="F295" s="146"/>
      <c r="G295" s="146" t="str">
        <f>IF($E295="","",INDEX(KPI!$G:$G,SUMIFS(KPI!$B:$B,KPI!$E:$E,$E295)))</f>
        <v>тыс.руб.</v>
      </c>
      <c r="H295" s="146"/>
      <c r="I295" s="177"/>
      <c r="J295" s="146"/>
      <c r="K295" s="177"/>
      <c r="L295" s="146"/>
      <c r="M295" s="178"/>
      <c r="N295" s="3"/>
      <c r="O295" s="3"/>
      <c r="P295" s="179">
        <f>IF(P$1="",0,P179)</f>
        <v>11020.440576110128</v>
      </c>
      <c r="Q295" s="179">
        <f t="shared" ref="Q295:AA295" si="28">IF(Q$1="",0,P295+Q179)</f>
        <v>20855.871509803736</v>
      </c>
      <c r="R295" s="179">
        <f t="shared" si="28"/>
        <v>31659.743296958884</v>
      </c>
      <c r="S295" s="179">
        <f t="shared" si="28"/>
        <v>43040.452315614028</v>
      </c>
      <c r="T295" s="179">
        <f t="shared" si="28"/>
        <v>55137.680870653792</v>
      </c>
      <c r="U295" s="179">
        <f t="shared" si="28"/>
        <v>68561.86812357817</v>
      </c>
      <c r="V295" s="179">
        <f t="shared" si="28"/>
        <v>83786.899375810244</v>
      </c>
      <c r="W295" s="179">
        <f t="shared" si="28"/>
        <v>0</v>
      </c>
      <c r="X295" s="179">
        <f t="shared" si="28"/>
        <v>0</v>
      </c>
      <c r="Y295" s="179">
        <f t="shared" si="28"/>
        <v>0</v>
      </c>
      <c r="Z295" s="179">
        <f t="shared" si="28"/>
        <v>0</v>
      </c>
      <c r="AA295" s="179">
        <f t="shared" si="28"/>
        <v>0</v>
      </c>
      <c r="AB295" s="3"/>
    </row>
    <row r="296" spans="1:28" s="5" customFormat="1" ht="3.9" customHeight="1" x14ac:dyDescent="0.25">
      <c r="A296" s="150">
        <f>1</f>
        <v>1</v>
      </c>
      <c r="B296" s="128"/>
      <c r="C296" s="3"/>
      <c r="D296" s="3"/>
      <c r="E296" s="3"/>
      <c r="F296" s="3"/>
      <c r="G296" s="3"/>
      <c r="H296" s="3"/>
      <c r="I296" s="28"/>
      <c r="J296" s="3"/>
      <c r="K296" s="28"/>
      <c r="L296" s="3"/>
      <c r="M296" s="55"/>
      <c r="N296" s="3"/>
      <c r="O296" s="3"/>
      <c r="P296" s="46"/>
      <c r="Q296" s="46"/>
      <c r="R296" s="46"/>
      <c r="S296" s="46"/>
      <c r="T296" s="46"/>
      <c r="U296" s="46"/>
      <c r="V296" s="46"/>
      <c r="W296" s="46"/>
      <c r="X296" s="46"/>
      <c r="Y296" s="46"/>
      <c r="Z296" s="46"/>
      <c r="AA296" s="46"/>
      <c r="AB296" s="3"/>
    </row>
    <row r="297" spans="1:28" s="5" customFormat="1" x14ac:dyDescent="0.25">
      <c r="A297" s="150">
        <f>1</f>
        <v>1</v>
      </c>
      <c r="B297" s="129" t="str">
        <f>структура!$J$15</f>
        <v>УСН(6%)-ИП</v>
      </c>
      <c r="C297" s="3"/>
      <c r="D297" s="3"/>
      <c r="E297" s="146" t="str">
        <f>E291</f>
        <v>ДЕНЕЖНЫЕ СРЕДСТВА</v>
      </c>
      <c r="F297" s="146"/>
      <c r="G297" s="146" t="str">
        <f>IF($E297="","",INDEX(KPI!$G:$G,SUMIFS(KPI!$B:$B,KPI!$E:$E,$E297)))</f>
        <v>тыс.руб.</v>
      </c>
      <c r="H297" s="146"/>
      <c r="I297" s="177"/>
      <c r="J297" s="146"/>
      <c r="K297" s="177"/>
      <c r="L297" s="146"/>
      <c r="M297" s="178"/>
      <c r="N297" s="3"/>
      <c r="O297" s="3"/>
      <c r="P297" s="179">
        <f>IF(P$1="",0,P181)</f>
        <v>11020.440576110128</v>
      </c>
      <c r="Q297" s="179">
        <f t="shared" ref="Q297:AA297" si="29">IF(Q$1="",0,P297+Q181)</f>
        <v>22496.518292220255</v>
      </c>
      <c r="R297" s="179">
        <f t="shared" si="29"/>
        <v>35021.801736791924</v>
      </c>
      <c r="S297" s="179">
        <f t="shared" si="29"/>
        <v>48281.30327213282</v>
      </c>
      <c r="T297" s="179">
        <f t="shared" si="29"/>
        <v>62367.457057473715</v>
      </c>
      <c r="U297" s="179">
        <f t="shared" si="29"/>
        <v>76575.755570506924</v>
      </c>
      <c r="V297" s="179">
        <f t="shared" si="29"/>
        <v>92707.524063155521</v>
      </c>
      <c r="W297" s="179">
        <f t="shared" si="29"/>
        <v>0</v>
      </c>
      <c r="X297" s="179">
        <f t="shared" si="29"/>
        <v>0</v>
      </c>
      <c r="Y297" s="179">
        <f t="shared" si="29"/>
        <v>0</v>
      </c>
      <c r="Z297" s="179">
        <f t="shared" si="29"/>
        <v>0</v>
      </c>
      <c r="AA297" s="179">
        <f t="shared" si="29"/>
        <v>0</v>
      </c>
      <c r="AB297" s="3"/>
    </row>
    <row r="298" spans="1:28" ht="3.9" customHeight="1" x14ac:dyDescent="0.25">
      <c r="A298" s="149">
        <f>1</f>
        <v>1</v>
      </c>
      <c r="B298" s="131"/>
      <c r="C298" s="2"/>
      <c r="D298" s="2"/>
      <c r="E298" s="119"/>
      <c r="F298" s="2"/>
      <c r="G298" s="119"/>
      <c r="H298" s="2"/>
      <c r="I298" s="28"/>
      <c r="J298" s="2"/>
      <c r="K298" s="28"/>
      <c r="L298" s="2"/>
      <c r="M298" s="142"/>
      <c r="N298" s="2"/>
      <c r="O298" s="2"/>
      <c r="P298" s="36"/>
      <c r="Q298" s="36"/>
      <c r="R298" s="36"/>
      <c r="S298" s="36"/>
      <c r="T298" s="36"/>
      <c r="U298" s="36"/>
      <c r="V298" s="36"/>
      <c r="W298" s="36"/>
      <c r="X298" s="36"/>
      <c r="Y298" s="36"/>
      <c r="Z298" s="36"/>
      <c r="AA298" s="36"/>
      <c r="AB298" s="2"/>
    </row>
    <row r="299" spans="1:28" ht="8.1" customHeight="1" x14ac:dyDescent="0.25">
      <c r="A299" s="149">
        <f>1</f>
        <v>1</v>
      </c>
      <c r="B299" s="131"/>
      <c r="C299" s="2"/>
      <c r="D299" s="2"/>
      <c r="E299" s="2"/>
      <c r="F299" s="2"/>
      <c r="G299" s="2"/>
      <c r="H299" s="2"/>
      <c r="I299" s="28"/>
      <c r="J299" s="2"/>
      <c r="K299" s="28"/>
      <c r="L299" s="2"/>
      <c r="M299" s="52"/>
      <c r="N299" s="2"/>
      <c r="O299" s="2"/>
      <c r="P299" s="36"/>
      <c r="Q299" s="36"/>
      <c r="R299" s="36"/>
      <c r="S299" s="36"/>
      <c r="T299" s="36"/>
      <c r="U299" s="36"/>
      <c r="V299" s="36"/>
      <c r="W299" s="36"/>
      <c r="X299" s="36"/>
      <c r="Y299" s="36"/>
      <c r="Z299" s="36"/>
      <c r="AA299" s="36"/>
      <c r="AB299" s="2"/>
    </row>
    <row r="300" spans="1:28" ht="3.9" customHeight="1" x14ac:dyDescent="0.25">
      <c r="A300" s="149">
        <f>1</f>
        <v>1</v>
      </c>
      <c r="B300" s="131"/>
      <c r="C300" s="2"/>
      <c r="D300" s="2"/>
      <c r="E300" s="2"/>
      <c r="F300" s="2"/>
      <c r="G300" s="2"/>
      <c r="H300" s="2"/>
      <c r="I300" s="28"/>
      <c r="J300" s="2"/>
      <c r="K300" s="28"/>
      <c r="L300" s="2"/>
      <c r="M300" s="52"/>
      <c r="N300" s="2"/>
      <c r="O300" s="2"/>
      <c r="P300" s="36"/>
      <c r="Q300" s="36"/>
      <c r="R300" s="36"/>
      <c r="S300" s="36"/>
      <c r="T300" s="36"/>
      <c r="U300" s="36"/>
      <c r="V300" s="36"/>
      <c r="W300" s="36"/>
      <c r="X300" s="36"/>
      <c r="Y300" s="36"/>
      <c r="Z300" s="36"/>
      <c r="AA300" s="36"/>
      <c r="AB300" s="2"/>
    </row>
    <row r="301" spans="1:28" s="5" customFormat="1" x14ac:dyDescent="0.25">
      <c r="A301" s="150">
        <f>1</f>
        <v>1</v>
      </c>
      <c r="B301" s="129" t="str">
        <f>структура!$J$12</f>
        <v>ОСНО</v>
      </c>
      <c r="C301" s="3"/>
      <c r="D301" s="3"/>
      <c r="E301" s="147" t="str">
        <f>KPI!$E$95</f>
        <v>СОБСТВЕННЫЙ КАПИТАЛ</v>
      </c>
      <c r="F301" s="147"/>
      <c r="G301" s="147" t="str">
        <f>IF($E301="","",INDEX(KPI!$G:$G,SUMIFS(KPI!$B:$B,KPI!$E:$E,$E301)))</f>
        <v>тыс.руб.</v>
      </c>
      <c r="H301" s="147"/>
      <c r="I301" s="170"/>
      <c r="J301" s="147"/>
      <c r="K301" s="170"/>
      <c r="L301" s="147"/>
      <c r="M301" s="171"/>
      <c r="N301" s="3"/>
      <c r="O301" s="3"/>
      <c r="P301" s="172">
        <f>IF(P$1="",0,капитал!$J$20+капитал!$M$102+капитал!$M$109+P$137)</f>
        <v>33913.662999311513</v>
      </c>
      <c r="Q301" s="172">
        <f t="shared" ref="Q301:AA301" si="30">IF(Q$1="",0,P301+Q137)</f>
        <v>39635.906158623024</v>
      </c>
      <c r="R301" s="172">
        <f t="shared" si="30"/>
        <v>46057.619803575566</v>
      </c>
      <c r="S301" s="172">
        <f t="shared" si="30"/>
        <v>52968.812175707593</v>
      </c>
      <c r="T301" s="172">
        <f t="shared" si="30"/>
        <v>60431.106047839618</v>
      </c>
      <c r="U301" s="172">
        <f t="shared" si="30"/>
        <v>68978.037610228057</v>
      </c>
      <c r="V301" s="172">
        <f t="shared" si="30"/>
        <v>78870.627492360087</v>
      </c>
      <c r="W301" s="172">
        <f t="shared" si="30"/>
        <v>0</v>
      </c>
      <c r="X301" s="172">
        <f t="shared" si="30"/>
        <v>0</v>
      </c>
      <c r="Y301" s="172">
        <f t="shared" si="30"/>
        <v>0</v>
      </c>
      <c r="Z301" s="172">
        <f t="shared" si="30"/>
        <v>0</v>
      </c>
      <c r="AA301" s="172">
        <f t="shared" si="30"/>
        <v>0</v>
      </c>
      <c r="AB301" s="3"/>
    </row>
    <row r="302" spans="1:28" s="5" customFormat="1" ht="3.9" customHeight="1" x14ac:dyDescent="0.25">
      <c r="A302" s="150">
        <f>1</f>
        <v>1</v>
      </c>
      <c r="B302" s="128"/>
      <c r="C302" s="3"/>
      <c r="D302" s="3"/>
      <c r="E302" s="3"/>
      <c r="F302" s="3"/>
      <c r="G302" s="3"/>
      <c r="H302" s="3"/>
      <c r="I302" s="28"/>
      <c r="J302" s="3"/>
      <c r="K302" s="28"/>
      <c r="L302" s="3"/>
      <c r="M302" s="55"/>
      <c r="N302" s="3"/>
      <c r="O302" s="3"/>
      <c r="P302" s="46"/>
      <c r="Q302" s="46"/>
      <c r="R302" s="46"/>
      <c r="S302" s="46"/>
      <c r="T302" s="46"/>
      <c r="U302" s="46"/>
      <c r="V302" s="46"/>
      <c r="W302" s="46"/>
      <c r="X302" s="46"/>
      <c r="Y302" s="46"/>
      <c r="Z302" s="46"/>
      <c r="AA302" s="46"/>
      <c r="AB302" s="3"/>
    </row>
    <row r="303" spans="1:28" s="5" customFormat="1" x14ac:dyDescent="0.25">
      <c r="A303" s="150">
        <f>1</f>
        <v>1</v>
      </c>
      <c r="B303" s="129" t="str">
        <f>структура!$J$13</f>
        <v>УСН(6%)</v>
      </c>
      <c r="C303" s="3"/>
      <c r="D303" s="3"/>
      <c r="E303" s="147" t="str">
        <f>E301</f>
        <v>СОБСТВЕННЫЙ КАПИТАЛ</v>
      </c>
      <c r="F303" s="147"/>
      <c r="G303" s="147" t="str">
        <f>IF($E303="","",INDEX(KPI!$G:$G,SUMIFS(KPI!$B:$B,KPI!$E:$E,$E303)))</f>
        <v>тыс.руб.</v>
      </c>
      <c r="H303" s="147"/>
      <c r="I303" s="170"/>
      <c r="J303" s="147"/>
      <c r="K303" s="170"/>
      <c r="L303" s="147"/>
      <c r="M303" s="171"/>
      <c r="N303" s="3"/>
      <c r="O303" s="3"/>
      <c r="P303" s="172">
        <f>IF(P$1="",0,капитал!$J$20+капитал!$M$102+капитал!$M$109+P139)</f>
        <v>36583.89347512112</v>
      </c>
      <c r="Q303" s="172">
        <f t="shared" ref="Q303:AA303" si="31">IF(Q$1="",0,P303+Q139)</f>
        <v>45136.841110242232</v>
      </c>
      <c r="R303" s="172">
        <f t="shared" si="31"/>
        <v>54709.439616132586</v>
      </c>
      <c r="S303" s="172">
        <f t="shared" si="31"/>
        <v>64998.302320484465</v>
      </c>
      <c r="T303" s="172">
        <f t="shared" si="31"/>
        <v>75441.019320990192</v>
      </c>
      <c r="U303" s="172">
        <f t="shared" si="31"/>
        <v>87415.675356880543</v>
      </c>
      <c r="V303" s="172">
        <f t="shared" si="31"/>
        <v>101273.69515700165</v>
      </c>
      <c r="W303" s="172">
        <f t="shared" si="31"/>
        <v>0</v>
      </c>
      <c r="X303" s="172">
        <f t="shared" si="31"/>
        <v>0</v>
      </c>
      <c r="Y303" s="172">
        <f t="shared" si="31"/>
        <v>0</v>
      </c>
      <c r="Z303" s="172">
        <f t="shared" si="31"/>
        <v>0</v>
      </c>
      <c r="AA303" s="172">
        <f t="shared" si="31"/>
        <v>0</v>
      </c>
      <c r="AB303" s="3"/>
    </row>
    <row r="304" spans="1:28" s="5" customFormat="1" ht="3.9" customHeight="1" x14ac:dyDescent="0.25">
      <c r="A304" s="150">
        <f>1</f>
        <v>1</v>
      </c>
      <c r="B304" s="128"/>
      <c r="C304" s="3"/>
      <c r="D304" s="3"/>
      <c r="E304" s="3"/>
      <c r="F304" s="3"/>
      <c r="G304" s="3"/>
      <c r="H304" s="3"/>
      <c r="I304" s="28"/>
      <c r="J304" s="3"/>
      <c r="K304" s="28"/>
      <c r="L304" s="3"/>
      <c r="M304" s="55"/>
      <c r="N304" s="3"/>
      <c r="O304" s="3"/>
      <c r="P304" s="46"/>
      <c r="Q304" s="46"/>
      <c r="R304" s="46"/>
      <c r="S304" s="46"/>
      <c r="T304" s="46"/>
      <c r="U304" s="46"/>
      <c r="V304" s="46"/>
      <c r="W304" s="46"/>
      <c r="X304" s="46"/>
      <c r="Y304" s="46"/>
      <c r="Z304" s="46"/>
      <c r="AA304" s="46"/>
      <c r="AB304" s="3"/>
    </row>
    <row r="305" spans="1:28" s="5" customFormat="1" x14ac:dyDescent="0.25">
      <c r="A305" s="150">
        <f>1</f>
        <v>1</v>
      </c>
      <c r="B305" s="129" t="str">
        <f>структура!$J$14</f>
        <v>УСН(15%)</v>
      </c>
      <c r="C305" s="3"/>
      <c r="D305" s="3"/>
      <c r="E305" s="147" t="str">
        <f>E301</f>
        <v>СОБСТВЕННЫЙ КАПИТАЛ</v>
      </c>
      <c r="F305" s="147"/>
      <c r="G305" s="147" t="str">
        <f>IF($E305="","",INDEX(KPI!$G:$G,SUMIFS(KPI!$B:$B,KPI!$E:$E,$E305)))</f>
        <v>тыс.руб.</v>
      </c>
      <c r="H305" s="147"/>
      <c r="I305" s="170"/>
      <c r="J305" s="147"/>
      <c r="K305" s="170"/>
      <c r="L305" s="147"/>
      <c r="M305" s="171"/>
      <c r="N305" s="3"/>
      <c r="O305" s="3"/>
      <c r="P305" s="172">
        <f>IF(P$1="",0,капитал!$J$20+капитал!$M$102+капитал!$M$109+P141)</f>
        <v>35532.748296550752</v>
      </c>
      <c r="Q305" s="172">
        <f t="shared" ref="Q305:AA305" si="32">IF(Q$1="",0,P305+Q141)</f>
        <v>42972.789378101501</v>
      </c>
      <c r="R305" s="172">
        <f t="shared" si="32"/>
        <v>51304.655328844558</v>
      </c>
      <c r="S305" s="172">
        <f t="shared" si="32"/>
        <v>60260.60665674146</v>
      </c>
      <c r="T305" s="172">
        <f t="shared" si="32"/>
        <v>69919.21239713837</v>
      </c>
      <c r="U305" s="172">
        <f t="shared" si="32"/>
        <v>80987.1311926122</v>
      </c>
      <c r="V305" s="172">
        <f t="shared" si="32"/>
        <v>93770.764345759104</v>
      </c>
      <c r="W305" s="172">
        <f t="shared" si="32"/>
        <v>0</v>
      </c>
      <c r="X305" s="172">
        <f t="shared" si="32"/>
        <v>0</v>
      </c>
      <c r="Y305" s="172">
        <f t="shared" si="32"/>
        <v>0</v>
      </c>
      <c r="Z305" s="172">
        <f t="shared" si="32"/>
        <v>0</v>
      </c>
      <c r="AA305" s="172">
        <f t="shared" si="32"/>
        <v>0</v>
      </c>
      <c r="AB305" s="3"/>
    </row>
    <row r="306" spans="1:28" s="5" customFormat="1" ht="3.9" customHeight="1" x14ac:dyDescent="0.25">
      <c r="A306" s="150">
        <f>1</f>
        <v>1</v>
      </c>
      <c r="B306" s="128"/>
      <c r="C306" s="3"/>
      <c r="D306" s="3"/>
      <c r="E306" s="3"/>
      <c r="F306" s="3"/>
      <c r="G306" s="3"/>
      <c r="H306" s="3"/>
      <c r="I306" s="28"/>
      <c r="J306" s="3"/>
      <c r="K306" s="28"/>
      <c r="L306" s="3"/>
      <c r="M306" s="55"/>
      <c r="N306" s="3"/>
      <c r="O306" s="3"/>
      <c r="P306" s="46"/>
      <c r="Q306" s="46"/>
      <c r="R306" s="46"/>
      <c r="S306" s="46"/>
      <c r="T306" s="46"/>
      <c r="U306" s="46"/>
      <c r="V306" s="46"/>
      <c r="W306" s="46"/>
      <c r="X306" s="46"/>
      <c r="Y306" s="46"/>
      <c r="Z306" s="46"/>
      <c r="AA306" s="46"/>
      <c r="AB306" s="3"/>
    </row>
    <row r="307" spans="1:28" s="5" customFormat="1" x14ac:dyDescent="0.25">
      <c r="A307" s="150">
        <f>1</f>
        <v>1</v>
      </c>
      <c r="B307" s="129" t="str">
        <f>структура!$J$15</f>
        <v>УСН(6%)-ИП</v>
      </c>
      <c r="C307" s="3"/>
      <c r="D307" s="3"/>
      <c r="E307" s="147" t="str">
        <f>E301</f>
        <v>СОБСТВЕННЫЙ КАПИТАЛ</v>
      </c>
      <c r="F307" s="147"/>
      <c r="G307" s="147" t="str">
        <f>IF($E307="","",INDEX(KPI!$G:$G,SUMIFS(KPI!$B:$B,KPI!$E:$E,$E307)))</f>
        <v>тыс.руб.</v>
      </c>
      <c r="H307" s="147"/>
      <c r="I307" s="170"/>
      <c r="J307" s="147"/>
      <c r="K307" s="170"/>
      <c r="L307" s="147"/>
      <c r="M307" s="171"/>
      <c r="N307" s="3"/>
      <c r="O307" s="3"/>
      <c r="P307" s="172">
        <f>IF(P$1="",0,капитал!$J$20+капитал!$M$102+капитал!$M$109+P143)</f>
        <v>37173.395078967267</v>
      </c>
      <c r="Q307" s="172">
        <f t="shared" ref="Q307:AA307" si="33">IF(Q$1="",0,P307+Q143)</f>
        <v>46334.847817934533</v>
      </c>
      <c r="R307" s="172">
        <f t="shared" si="33"/>
        <v>56545.506285363343</v>
      </c>
      <c r="S307" s="172">
        <f t="shared" si="33"/>
        <v>67490.382843561383</v>
      </c>
      <c r="T307" s="172">
        <f t="shared" si="33"/>
        <v>77933.09984406711</v>
      </c>
      <c r="U307" s="172">
        <f t="shared" si="33"/>
        <v>89907.755879957462</v>
      </c>
      <c r="V307" s="172">
        <f t="shared" si="33"/>
        <v>103765.77568007857</v>
      </c>
      <c r="W307" s="172">
        <f t="shared" si="33"/>
        <v>0</v>
      </c>
      <c r="X307" s="172">
        <f t="shared" si="33"/>
        <v>0</v>
      </c>
      <c r="Y307" s="172">
        <f t="shared" si="33"/>
        <v>0</v>
      </c>
      <c r="Z307" s="172">
        <f t="shared" si="33"/>
        <v>0</v>
      </c>
      <c r="AA307" s="172">
        <f t="shared" si="33"/>
        <v>0</v>
      </c>
      <c r="AB307" s="3"/>
    </row>
    <row r="308" spans="1:28" ht="3.9" customHeight="1" x14ac:dyDescent="0.25">
      <c r="A308" s="149">
        <f>1</f>
        <v>1</v>
      </c>
      <c r="B308" s="131"/>
      <c r="C308" s="2"/>
      <c r="D308" s="2"/>
      <c r="E308" s="117"/>
      <c r="F308" s="2"/>
      <c r="G308" s="117"/>
      <c r="H308" s="2"/>
      <c r="I308" s="28"/>
      <c r="J308" s="2"/>
      <c r="K308" s="28"/>
      <c r="L308" s="2"/>
      <c r="M308" s="138"/>
      <c r="N308" s="2"/>
      <c r="O308" s="2"/>
      <c r="P308" s="36"/>
      <c r="Q308" s="36"/>
      <c r="R308" s="36"/>
      <c r="S308" s="36"/>
      <c r="T308" s="36"/>
      <c r="U308" s="36"/>
      <c r="V308" s="36"/>
      <c r="W308" s="36"/>
      <c r="X308" s="36"/>
      <c r="Y308" s="36"/>
      <c r="Z308" s="36"/>
      <c r="AA308" s="36"/>
      <c r="AB308" s="2"/>
    </row>
    <row r="309" spans="1:28" ht="8.1" customHeight="1" x14ac:dyDescent="0.25">
      <c r="A309" s="149">
        <f>1</f>
        <v>1</v>
      </c>
      <c r="B309" s="131"/>
      <c r="C309" s="2"/>
      <c r="D309" s="2"/>
      <c r="E309" s="2"/>
      <c r="F309" s="2"/>
      <c r="G309" s="2"/>
      <c r="H309" s="2"/>
      <c r="I309" s="28"/>
      <c r="J309" s="2"/>
      <c r="K309" s="28"/>
      <c r="L309" s="2"/>
      <c r="M309" s="52"/>
      <c r="N309" s="2"/>
      <c r="O309" s="2"/>
      <c r="P309" s="36"/>
      <c r="Q309" s="36"/>
      <c r="R309" s="36"/>
      <c r="S309" s="36"/>
      <c r="T309" s="36"/>
      <c r="U309" s="36"/>
      <c r="V309" s="36"/>
      <c r="W309" s="36"/>
      <c r="X309" s="36"/>
      <c r="Y309" s="36"/>
      <c r="Z309" s="36"/>
      <c r="AA309" s="36"/>
      <c r="AB309" s="2"/>
    </row>
    <row r="310" spans="1:28" ht="3.9" customHeight="1" x14ac:dyDescent="0.25">
      <c r="A310" s="149">
        <f>1</f>
        <v>1</v>
      </c>
      <c r="B310" s="131"/>
      <c r="C310" s="2"/>
      <c r="D310" s="2"/>
      <c r="E310" s="2"/>
      <c r="F310" s="2"/>
      <c r="G310" s="2"/>
      <c r="H310" s="2"/>
      <c r="I310" s="28"/>
      <c r="J310" s="2"/>
      <c r="K310" s="28"/>
      <c r="L310" s="2"/>
      <c r="M310" s="52"/>
      <c r="N310" s="2"/>
      <c r="O310" s="2"/>
      <c r="P310" s="36"/>
      <c r="Q310" s="36"/>
      <c r="R310" s="36"/>
      <c r="S310" s="36"/>
      <c r="T310" s="36"/>
      <c r="U310" s="36"/>
      <c r="V310" s="36"/>
      <c r="W310" s="36"/>
      <c r="X310" s="36"/>
      <c r="Y310" s="36"/>
      <c r="Z310" s="36"/>
      <c r="AA310" s="36"/>
      <c r="AB310" s="2"/>
    </row>
    <row r="311" spans="1:28" s="5" customFormat="1" x14ac:dyDescent="0.25">
      <c r="A311" s="150">
        <f>1</f>
        <v>1</v>
      </c>
      <c r="B311" s="129" t="str">
        <f>структура!$J$12</f>
        <v>ОСНО</v>
      </c>
      <c r="C311" s="3"/>
      <c r="D311" s="3"/>
      <c r="E311" s="89" t="str">
        <f>KPI!$E$96</f>
        <v>КРЕДИТОРСКАЯ ЗАДОЛЖЕННОСТЬ</v>
      </c>
      <c r="F311" s="89"/>
      <c r="G311" s="89" t="str">
        <f>IF($E311="","",INDEX(KPI!$G:$G,SUMIFS(KPI!$B:$B,KPI!$E:$E,$E311)))</f>
        <v>тыс.руб.</v>
      </c>
      <c r="H311" s="89"/>
      <c r="I311" s="90"/>
      <c r="J311" s="89"/>
      <c r="K311" s="90"/>
      <c r="L311" s="89"/>
      <c r="M311" s="92"/>
      <c r="N311" s="3"/>
      <c r="O311" s="3"/>
      <c r="P311" s="93">
        <f>IF(P$1="",0,опер3!$P$225-опер3!$P$240+P127+P16*опер3!P$346-P107)</f>
        <v>3672.4282691795679</v>
      </c>
      <c r="Q311" s="93">
        <f>IF(Q$1="",0,опер3!$P$225-опер3!$P$240+Q127+Q16*опер3!Q$346-Q107)</f>
        <v>3851.9057691795651</v>
      </c>
      <c r="R311" s="93">
        <f>IF(R$1="",0,опер3!$P$225-опер3!$P$240+R127+R16*опер3!R$346-R107)</f>
        <v>4201.641012000081</v>
      </c>
      <c r="S311" s="93">
        <f>IF(S$1="",0,опер3!$P$225-опер3!$P$240+S127+S16*опер3!S$346-S107)</f>
        <v>4446.3803755898216</v>
      </c>
      <c r="T311" s="93">
        <f>IF(T$1="",0,опер3!$P$225-опер3!$P$240+T127+T16*опер3!T$346-T107)</f>
        <v>4721.9311255898238</v>
      </c>
      <c r="U311" s="93">
        <f>IF(U$1="",0,опер3!$P$225-опер3!$P$240+U127+U16*опер3!U$346-U107)</f>
        <v>5234.9166373846947</v>
      </c>
      <c r="V311" s="93">
        <f>IF(V$1="",0,опер3!$P$225-опер3!$P$240+V127+V16*опер3!V$346-V107)</f>
        <v>5907.7457972564907</v>
      </c>
      <c r="W311" s="93">
        <f>IF(W$1="",0,опер3!$P$225-опер3!$P$240+W127+W16*опер3!W$346-W107)</f>
        <v>0</v>
      </c>
      <c r="X311" s="93">
        <f>IF(X$1="",0,опер3!$P$225-опер3!$P$240+X127+X16*опер3!X$346-X107)</f>
        <v>0</v>
      </c>
      <c r="Y311" s="93">
        <f>IF(Y$1="",0,опер3!$P$225-опер3!$P$240+Y127+Y16*опер3!Y$346-Y107)</f>
        <v>0</v>
      </c>
      <c r="Z311" s="93">
        <f>IF(Z$1="",0,опер3!$P$225-опер3!$P$240+Z127+Z16*опер3!Z$346-Z107)</f>
        <v>0</v>
      </c>
      <c r="AA311" s="93">
        <f>IF(AA$1="",0,опер3!$P$225-опер3!$P$240+AA127+AA16*опер3!AA$346-AA107)</f>
        <v>0</v>
      </c>
      <c r="AB311" s="3"/>
    </row>
    <row r="312" spans="1:28" s="5" customFormat="1" ht="3.9" customHeight="1" x14ac:dyDescent="0.25">
      <c r="A312" s="150">
        <f>1</f>
        <v>1</v>
      </c>
      <c r="B312" s="128"/>
      <c r="C312" s="3"/>
      <c r="D312" s="3"/>
      <c r="E312" s="3"/>
      <c r="F312" s="3"/>
      <c r="G312" s="3"/>
      <c r="H312" s="3"/>
      <c r="I312" s="28"/>
      <c r="J312" s="3"/>
      <c r="K312" s="28"/>
      <c r="L312" s="3"/>
      <c r="M312" s="55"/>
      <c r="N312" s="3"/>
      <c r="O312" s="3"/>
      <c r="P312" s="46"/>
      <c r="Q312" s="46"/>
      <c r="R312" s="46"/>
      <c r="S312" s="46"/>
      <c r="T312" s="46"/>
      <c r="U312" s="46"/>
      <c r="V312" s="46"/>
      <c r="W312" s="46"/>
      <c r="X312" s="46"/>
      <c r="Y312" s="46"/>
      <c r="Z312" s="46"/>
      <c r="AA312" s="46"/>
      <c r="AB312" s="3"/>
    </row>
    <row r="313" spans="1:28" s="5" customFormat="1" x14ac:dyDescent="0.25">
      <c r="A313" s="150">
        <f>1</f>
        <v>1</v>
      </c>
      <c r="B313" s="129" t="str">
        <f>структура!$J$13</f>
        <v>УСН(6%)</v>
      </c>
      <c r="C313" s="3"/>
      <c r="D313" s="3"/>
      <c r="E313" s="89" t="str">
        <f>E311</f>
        <v>КРЕДИТОРСКАЯ ЗАДОЛЖЕННОСТЬ</v>
      </c>
      <c r="F313" s="89"/>
      <c r="G313" s="89" t="str">
        <f>IF($E313="","",INDEX(KPI!$G:$G,SUMIFS(KPI!$B:$B,KPI!$E:$E,$E313)))</f>
        <v>тыс.руб.</v>
      </c>
      <c r="H313" s="89"/>
      <c r="I313" s="90"/>
      <c r="J313" s="89"/>
      <c r="K313" s="90"/>
      <c r="L313" s="89"/>
      <c r="M313" s="92"/>
      <c r="N313" s="3"/>
      <c r="O313" s="3"/>
      <c r="P313" s="93">
        <f>IF(P$1="",0,опер3!$P$225-опер3!$P$240+P129)</f>
        <v>616.42696384615374</v>
      </c>
      <c r="Q313" s="93">
        <f>IF(Q$1="",0,опер3!$P$225-опер3!$P$240+Q129)</f>
        <v>635.43046384615377</v>
      </c>
      <c r="R313" s="93">
        <f>IF(R$1="",0,опер3!$P$225-опер3!$P$240+R129)</f>
        <v>664.98532153846168</v>
      </c>
      <c r="S313" s="93">
        <f>IF(S$1="",0,опер3!$P$225-опер3!$P$240+S129)</f>
        <v>682.93921384615373</v>
      </c>
      <c r="T313" s="93">
        <f>IF(T$1="",0,опер3!$P$225-опер3!$P$240+T129)</f>
        <v>1355.7371676923076</v>
      </c>
      <c r="U313" s="93">
        <f>IF(U$1="",0,опер3!$P$225-опер3!$P$240+U129)</f>
        <v>1450.7546676923075</v>
      </c>
      <c r="V313" s="93">
        <f>IF(V$1="",0,опер3!$P$225-опер3!$P$240+V129)</f>
        <v>1585.878383076923</v>
      </c>
      <c r="W313" s="93">
        <f>IF(W$1="",0,опер3!$P$225-опер3!$P$240+W129)</f>
        <v>0</v>
      </c>
      <c r="X313" s="93">
        <f>IF(X$1="",0,опер3!$P$225-опер3!$P$240+X129)</f>
        <v>0</v>
      </c>
      <c r="Y313" s="93">
        <f>IF(Y$1="",0,опер3!$P$225-опер3!$P$240+Y129)</f>
        <v>0</v>
      </c>
      <c r="Z313" s="93">
        <f>IF(Z$1="",0,опер3!$P$225-опер3!$P$240+Z129)</f>
        <v>0</v>
      </c>
      <c r="AA313" s="93">
        <f>IF(AA$1="",0,опер3!$P$225-опер3!$P$240+AA129)</f>
        <v>0</v>
      </c>
      <c r="AB313" s="3"/>
    </row>
    <row r="314" spans="1:28" s="5" customFormat="1" ht="3.9" customHeight="1" x14ac:dyDescent="0.25">
      <c r="A314" s="150">
        <f>1</f>
        <v>1</v>
      </c>
      <c r="B314" s="128"/>
      <c r="C314" s="3"/>
      <c r="D314" s="3"/>
      <c r="E314" s="3"/>
      <c r="F314" s="3"/>
      <c r="G314" s="3"/>
      <c r="H314" s="3"/>
      <c r="I314" s="28"/>
      <c r="J314" s="3"/>
      <c r="K314" s="28"/>
      <c r="L314" s="3"/>
      <c r="M314" s="55"/>
      <c r="N314" s="3"/>
      <c r="O314" s="3"/>
      <c r="P314" s="46"/>
      <c r="Q314" s="46"/>
      <c r="R314" s="46"/>
      <c r="S314" s="46"/>
      <c r="T314" s="46"/>
      <c r="U314" s="46"/>
      <c r="V314" s="46"/>
      <c r="W314" s="46"/>
      <c r="X314" s="46"/>
      <c r="Y314" s="46"/>
      <c r="Z314" s="46"/>
      <c r="AA314" s="46"/>
      <c r="AB314" s="3"/>
    </row>
    <row r="315" spans="1:28" s="5" customFormat="1" x14ac:dyDescent="0.25">
      <c r="A315" s="150">
        <f>1</f>
        <v>1</v>
      </c>
      <c r="B315" s="129" t="str">
        <f>структура!$J$14</f>
        <v>УСН(15%)</v>
      </c>
      <c r="C315" s="3"/>
      <c r="D315" s="3"/>
      <c r="E315" s="89" t="str">
        <f>E311</f>
        <v>КРЕДИТОРСКАЯ ЗАДОЛЖЕННОСТЬ</v>
      </c>
      <c r="F315" s="89"/>
      <c r="G315" s="89" t="str">
        <f>IF($E315="","",INDEX(KPI!$G:$G,SUMIFS(KPI!$B:$B,KPI!$E:$E,$E315)))</f>
        <v>тыс.руб.</v>
      </c>
      <c r="H315" s="89"/>
      <c r="I315" s="90"/>
      <c r="J315" s="89"/>
      <c r="K315" s="90"/>
      <c r="L315" s="89"/>
      <c r="M315" s="92"/>
      <c r="N315" s="3"/>
      <c r="O315" s="3"/>
      <c r="P315" s="93">
        <f>IF(P$1="",0,опер3!$P$225-опер3!$P$240+P131)</f>
        <v>1667.572142416519</v>
      </c>
      <c r="Q315" s="93">
        <f>IF(Q$1="",0,опер3!$P$225-опер3!$P$240+Q131)</f>
        <v>1748.3370174165186</v>
      </c>
      <c r="R315" s="93">
        <f>IF(R$1="",0,опер3!$P$225-опер3!$P$240+R131)</f>
        <v>1905.7178766857503</v>
      </c>
      <c r="S315" s="93">
        <f>IF(S$1="",0,опер3!$P$225-опер3!$P$240+S131)</f>
        <v>2015.8505903011339</v>
      </c>
      <c r="T315" s="93">
        <f>IF(T$1="",0,опер3!$P$225-опер3!$P$240+T131)</f>
        <v>2139.8484278011342</v>
      </c>
      <c r="U315" s="93">
        <f>IF(U$1="",0,опер3!$P$225-опер3!$P$240+U131)</f>
        <v>2357.4919081088269</v>
      </c>
      <c r="V315" s="93">
        <f>IF(V$1="",0,опер3!$P$225-опер3!$P$240+V131)</f>
        <v>2660.2650300511345</v>
      </c>
      <c r="W315" s="93">
        <f>IF(W$1="",0,опер3!$P$225-опер3!$P$240+W131)</f>
        <v>0</v>
      </c>
      <c r="X315" s="93">
        <f>IF(X$1="",0,опер3!$P$225-опер3!$P$240+X131)</f>
        <v>0</v>
      </c>
      <c r="Y315" s="93">
        <f>IF(Y$1="",0,опер3!$P$225-опер3!$P$240+Y131)</f>
        <v>0</v>
      </c>
      <c r="Z315" s="93">
        <f>IF(Z$1="",0,опер3!$P$225-опер3!$P$240+Z131)</f>
        <v>0</v>
      </c>
      <c r="AA315" s="93">
        <f>IF(AA$1="",0,опер3!$P$225-опер3!$P$240+AA131)</f>
        <v>0</v>
      </c>
      <c r="AB315" s="3"/>
    </row>
    <row r="316" spans="1:28" s="5" customFormat="1" ht="3.9" customHeight="1" x14ac:dyDescent="0.25">
      <c r="A316" s="150">
        <f>1</f>
        <v>1</v>
      </c>
      <c r="B316" s="128"/>
      <c r="C316" s="3"/>
      <c r="D316" s="3"/>
      <c r="E316" s="3"/>
      <c r="F316" s="3"/>
      <c r="G316" s="3"/>
      <c r="H316" s="3"/>
      <c r="I316" s="28"/>
      <c r="J316" s="3"/>
      <c r="K316" s="28"/>
      <c r="L316" s="3"/>
      <c r="M316" s="55"/>
      <c r="N316" s="3"/>
      <c r="O316" s="3"/>
      <c r="P316" s="46"/>
      <c r="Q316" s="46"/>
      <c r="R316" s="46"/>
      <c r="S316" s="46"/>
      <c r="T316" s="46"/>
      <c r="U316" s="46"/>
      <c r="V316" s="46"/>
      <c r="W316" s="46"/>
      <c r="X316" s="46"/>
      <c r="Y316" s="46"/>
      <c r="Z316" s="46"/>
      <c r="AA316" s="46"/>
      <c r="AB316" s="3"/>
    </row>
    <row r="317" spans="1:28" s="5" customFormat="1" x14ac:dyDescent="0.25">
      <c r="A317" s="150">
        <f>1</f>
        <v>1</v>
      </c>
      <c r="B317" s="129" t="str">
        <f>структура!$J$15</f>
        <v>УСН(6%)-ИП</v>
      </c>
      <c r="C317" s="3"/>
      <c r="D317" s="3"/>
      <c r="E317" s="89" t="str">
        <f>E311</f>
        <v>КРЕДИТОРСКАЯ ЗАДОЛЖЕННОСТЬ</v>
      </c>
      <c r="F317" s="89"/>
      <c r="G317" s="89" t="str">
        <f>IF($E317="","",INDEX(KPI!$G:$G,SUMIFS(KPI!$B:$B,KPI!$E:$E,$E317)))</f>
        <v>тыс.руб.</v>
      </c>
      <c r="H317" s="89"/>
      <c r="I317" s="90"/>
      <c r="J317" s="89"/>
      <c r="K317" s="90"/>
      <c r="L317" s="89"/>
      <c r="M317" s="92"/>
      <c r="N317" s="3"/>
      <c r="O317" s="3"/>
      <c r="P317" s="93">
        <f>IF(P$1="",0,опер3!$P$225-опер3!$P$240+P133)</f>
        <v>26.925360000000012</v>
      </c>
      <c r="Q317" s="93">
        <f>IF(Q$1="",0,опер3!$P$225-опер3!$P$240+Q133)</f>
        <v>26.925360000000012</v>
      </c>
      <c r="R317" s="93">
        <f>IF(R$1="",0,опер3!$P$225-опер3!$P$240+R133)</f>
        <v>26.925360000000012</v>
      </c>
      <c r="S317" s="93">
        <f>IF(S$1="",0,опер3!$P$225-опер3!$P$240+S133)</f>
        <v>26.925360000000012</v>
      </c>
      <c r="T317" s="93">
        <f>IF(T$1="",0,опер3!$P$225-опер3!$P$240+T133)</f>
        <v>1355.7371676923076</v>
      </c>
      <c r="U317" s="93">
        <f>IF(U$1="",0,опер3!$P$225-опер3!$P$240+U133)</f>
        <v>1450.7546676923075</v>
      </c>
      <c r="V317" s="93">
        <f>IF(V$1="",0,опер3!$P$225-опер3!$P$240+V133)</f>
        <v>1585.878383076923</v>
      </c>
      <c r="W317" s="93">
        <f>IF(W$1="",0,опер3!$P$225-опер3!$P$240+W133)</f>
        <v>0</v>
      </c>
      <c r="X317" s="93">
        <f>IF(X$1="",0,опер3!$P$225-опер3!$P$240+X133)</f>
        <v>0</v>
      </c>
      <c r="Y317" s="93">
        <f>IF(Y$1="",0,опер3!$P$225-опер3!$P$240+Y133)</f>
        <v>0</v>
      </c>
      <c r="Z317" s="93">
        <f>IF(Z$1="",0,опер3!$P$225-опер3!$P$240+Z133)</f>
        <v>0</v>
      </c>
      <c r="AA317" s="93">
        <f>IF(AA$1="",0,опер3!$P$225-опер3!$P$240+AA133)</f>
        <v>0</v>
      </c>
      <c r="AB317" s="3"/>
    </row>
    <row r="318" spans="1:28" ht="3.9" customHeight="1" x14ac:dyDescent="0.25">
      <c r="A318" s="149">
        <f>1</f>
        <v>1</v>
      </c>
      <c r="B318" s="131"/>
      <c r="C318" s="2"/>
      <c r="D318" s="2"/>
      <c r="E318" s="118"/>
      <c r="F318" s="2"/>
      <c r="G318" s="118"/>
      <c r="H318" s="2"/>
      <c r="I318" s="28"/>
      <c r="J318" s="2"/>
      <c r="K318" s="28"/>
      <c r="L318" s="2"/>
      <c r="M318" s="139"/>
      <c r="N318" s="2"/>
      <c r="O318" s="2"/>
      <c r="P318" s="36"/>
      <c r="Q318" s="36"/>
      <c r="R318" s="36"/>
      <c r="S318" s="36"/>
      <c r="T318" s="36"/>
      <c r="U318" s="36"/>
      <c r="V318" s="36"/>
      <c r="W318" s="36"/>
      <c r="X318" s="36"/>
      <c r="Y318" s="36"/>
      <c r="Z318" s="36"/>
      <c r="AA318" s="36"/>
      <c r="AB318" s="2"/>
    </row>
    <row r="319" spans="1:28" x14ac:dyDescent="0.25">
      <c r="A319" s="149">
        <f>1</f>
        <v>1</v>
      </c>
      <c r="B319" s="131"/>
      <c r="C319" s="2"/>
      <c r="D319" s="2"/>
      <c r="E319" s="2"/>
      <c r="F319" s="2"/>
      <c r="G319" s="2"/>
      <c r="H319" s="2"/>
      <c r="I319" s="28"/>
      <c r="J319" s="2"/>
      <c r="K319" s="28"/>
      <c r="L319" s="2"/>
      <c r="M319" s="52"/>
      <c r="N319" s="2"/>
      <c r="O319" s="2"/>
      <c r="P319" s="36"/>
      <c r="Q319" s="36"/>
      <c r="R319" s="36"/>
      <c r="S319" s="36"/>
      <c r="T319" s="36"/>
      <c r="U319" s="36"/>
      <c r="V319" s="36"/>
      <c r="W319" s="36"/>
      <c r="X319" s="36"/>
      <c r="Y319" s="36"/>
      <c r="Z319" s="36"/>
      <c r="AA319" s="36"/>
      <c r="AB319" s="2"/>
    </row>
    <row r="320" spans="1:28" x14ac:dyDescent="0.25">
      <c r="A320" s="149">
        <f>1</f>
        <v>1</v>
      </c>
      <c r="B320" s="131"/>
      <c r="C320" s="2"/>
      <c r="D320" s="2"/>
      <c r="E320" s="2"/>
      <c r="F320" s="2"/>
      <c r="G320" s="2"/>
      <c r="H320" s="2"/>
      <c r="I320" s="28"/>
      <c r="J320" s="2"/>
      <c r="K320" s="28"/>
      <c r="L320" s="2"/>
      <c r="M320" s="52"/>
      <c r="N320" s="2"/>
      <c r="O320" s="2"/>
      <c r="P320" s="36"/>
      <c r="Q320" s="36"/>
      <c r="R320" s="36"/>
      <c r="S320" s="36"/>
      <c r="T320" s="36"/>
      <c r="U320" s="36"/>
      <c r="V320" s="36"/>
      <c r="W320" s="36"/>
      <c r="X320" s="36"/>
      <c r="Y320" s="36"/>
      <c r="Z320" s="36"/>
      <c r="AA320" s="36"/>
      <c r="AB320" s="2"/>
    </row>
    <row r="321" spans="1:28" x14ac:dyDescent="0.25">
      <c r="A321" s="149">
        <f>1</f>
        <v>1</v>
      </c>
      <c r="B321" s="131"/>
      <c r="C321" s="2"/>
      <c r="D321" s="2"/>
      <c r="E321" s="2"/>
      <c r="F321" s="2"/>
      <c r="G321" s="2"/>
      <c r="H321" s="2"/>
      <c r="I321" s="28"/>
      <c r="J321" s="2"/>
      <c r="K321" s="28"/>
      <c r="L321" s="2"/>
      <c r="M321" s="52"/>
      <c r="N321" s="2"/>
      <c r="O321" s="2"/>
      <c r="P321" s="36"/>
      <c r="Q321" s="36"/>
      <c r="R321" s="36"/>
      <c r="S321" s="36"/>
      <c r="T321" s="36"/>
      <c r="U321" s="36"/>
      <c r="V321" s="36"/>
      <c r="W321" s="36"/>
      <c r="X321" s="36"/>
      <c r="Y321" s="36"/>
      <c r="Z321" s="36"/>
      <c r="AA321" s="36"/>
      <c r="AB321" s="2"/>
    </row>
    <row r="322" spans="1:28" x14ac:dyDescent="0.25">
      <c r="A322" s="149">
        <f>1</f>
        <v>1</v>
      </c>
      <c r="B322" s="131"/>
      <c r="C322" s="2"/>
      <c r="D322" s="2"/>
      <c r="E322" s="2"/>
      <c r="F322" s="2"/>
      <c r="G322" s="2"/>
      <c r="H322" s="2"/>
      <c r="I322" s="28"/>
      <c r="J322" s="2"/>
      <c r="K322" s="28"/>
      <c r="L322" s="2"/>
      <c r="M322" s="52"/>
      <c r="N322" s="2"/>
      <c r="O322" s="2"/>
      <c r="P322" s="36"/>
      <c r="Q322" s="36"/>
      <c r="R322" s="36"/>
      <c r="S322" s="36"/>
      <c r="T322" s="36"/>
      <c r="U322" s="36"/>
      <c r="V322" s="36"/>
      <c r="W322" s="36"/>
      <c r="X322" s="36"/>
      <c r="Y322" s="36"/>
      <c r="Z322" s="36"/>
      <c r="AA322" s="36"/>
      <c r="AB322" s="2"/>
    </row>
    <row r="323" spans="1:28" x14ac:dyDescent="0.25">
      <c r="A323" s="149">
        <f>1</f>
        <v>1</v>
      </c>
      <c r="B323" s="131"/>
      <c r="C323" s="2"/>
      <c r="D323" s="2"/>
      <c r="E323" s="2"/>
      <c r="F323" s="2"/>
      <c r="G323" s="2"/>
      <c r="H323" s="2"/>
      <c r="I323" s="28"/>
      <c r="J323" s="2"/>
      <c r="K323" s="28"/>
      <c r="L323" s="2"/>
      <c r="M323" s="52"/>
      <c r="N323" s="2"/>
      <c r="O323" s="2"/>
      <c r="P323" s="36"/>
      <c r="Q323" s="36"/>
      <c r="R323" s="36"/>
      <c r="S323" s="36"/>
      <c r="T323" s="36"/>
      <c r="U323" s="36"/>
      <c r="V323" s="36"/>
      <c r="W323" s="36"/>
      <c r="X323" s="36"/>
      <c r="Y323" s="36"/>
      <c r="Z323" s="36"/>
      <c r="AA323" s="36"/>
      <c r="AB323" s="2"/>
    </row>
    <row r="324" spans="1:28" x14ac:dyDescent="0.25">
      <c r="A324" s="149">
        <f>1</f>
        <v>1</v>
      </c>
      <c r="B324" s="131"/>
      <c r="C324" s="2"/>
      <c r="D324" s="2"/>
      <c r="E324" s="2"/>
      <c r="F324" s="2"/>
      <c r="G324" s="2"/>
      <c r="H324" s="2"/>
      <c r="I324" s="28"/>
      <c r="J324" s="2"/>
      <c r="K324" s="28"/>
      <c r="L324" s="2"/>
      <c r="M324" s="52"/>
      <c r="N324" s="2"/>
      <c r="O324" s="2"/>
      <c r="P324" s="36"/>
      <c r="Q324" s="36"/>
      <c r="R324" s="36"/>
      <c r="S324" s="36"/>
      <c r="T324" s="36"/>
      <c r="U324" s="36"/>
      <c r="V324" s="36"/>
      <c r="W324" s="36"/>
      <c r="X324" s="36"/>
      <c r="Y324" s="36"/>
      <c r="Z324" s="36"/>
      <c r="AA324" s="36"/>
      <c r="AB324" s="2"/>
    </row>
    <row r="325" spans="1:28" x14ac:dyDescent="0.25">
      <c r="A325" s="149">
        <f>1</f>
        <v>1</v>
      </c>
      <c r="B325" s="131"/>
      <c r="C325" s="2"/>
      <c r="D325" s="2"/>
      <c r="E325" s="2"/>
      <c r="F325" s="2"/>
      <c r="G325" s="2"/>
      <c r="H325" s="2"/>
      <c r="I325" s="28"/>
      <c r="J325" s="2"/>
      <c r="K325" s="28"/>
      <c r="L325" s="2"/>
      <c r="M325" s="52"/>
      <c r="N325" s="2"/>
      <c r="O325" s="2"/>
      <c r="P325" s="36"/>
      <c r="Q325" s="36"/>
      <c r="R325" s="36"/>
      <c r="S325" s="36"/>
      <c r="T325" s="36"/>
      <c r="U325" s="36"/>
      <c r="V325" s="36"/>
      <c r="W325" s="36"/>
      <c r="X325" s="36"/>
      <c r="Y325" s="36"/>
      <c r="Z325" s="36"/>
      <c r="AA325" s="36"/>
      <c r="AB325" s="2"/>
    </row>
    <row r="326" spans="1:28" x14ac:dyDescent="0.25">
      <c r="A326" s="149">
        <f>1</f>
        <v>1</v>
      </c>
      <c r="B326" s="131"/>
      <c r="C326" s="2"/>
      <c r="D326" s="2"/>
      <c r="E326" s="2"/>
      <c r="F326" s="2"/>
      <c r="G326" s="2"/>
      <c r="H326" s="2"/>
      <c r="I326" s="28"/>
      <c r="J326" s="2"/>
      <c r="K326" s="28"/>
      <c r="L326" s="2"/>
      <c r="M326" s="52"/>
      <c r="N326" s="2"/>
      <c r="O326" s="2"/>
      <c r="P326" s="36"/>
      <c r="Q326" s="36"/>
      <c r="R326" s="36"/>
      <c r="S326" s="36"/>
      <c r="T326" s="36"/>
      <c r="U326" s="36"/>
      <c r="V326" s="36"/>
      <c r="W326" s="36"/>
      <c r="X326" s="36"/>
      <c r="Y326" s="36"/>
      <c r="Z326" s="36"/>
      <c r="AA326" s="36"/>
      <c r="AB326" s="2"/>
    </row>
    <row r="327" spans="1:28" x14ac:dyDescent="0.25">
      <c r="A327" s="149">
        <f>1</f>
        <v>1</v>
      </c>
      <c r="B327" s="131"/>
      <c r="C327" s="2"/>
      <c r="D327" s="2"/>
      <c r="E327" s="2"/>
      <c r="F327" s="2"/>
      <c r="G327" s="2"/>
      <c r="H327" s="2"/>
      <c r="I327" s="28"/>
      <c r="J327" s="2"/>
      <c r="K327" s="28"/>
      <c r="L327" s="2"/>
      <c r="M327" s="52"/>
      <c r="N327" s="2"/>
      <c r="O327" s="2"/>
      <c r="P327" s="36"/>
      <c r="Q327" s="36"/>
      <c r="R327" s="36"/>
      <c r="S327" s="36"/>
      <c r="T327" s="36"/>
      <c r="U327" s="36"/>
      <c r="V327" s="36"/>
      <c r="W327" s="36"/>
      <c r="X327" s="36"/>
      <c r="Y327" s="36"/>
      <c r="Z327" s="36"/>
      <c r="AA327" s="36"/>
      <c r="AB327" s="2"/>
    </row>
    <row r="328" spans="1:28" x14ac:dyDescent="0.25">
      <c r="A328" s="149">
        <f>1</f>
        <v>1</v>
      </c>
      <c r="B328" s="131"/>
      <c r="C328" s="2"/>
      <c r="D328" s="2"/>
      <c r="E328" s="2"/>
      <c r="F328" s="2"/>
      <c r="G328" s="2"/>
      <c r="H328" s="2"/>
      <c r="I328" s="28"/>
      <c r="J328" s="2"/>
      <c r="K328" s="28"/>
      <c r="L328" s="2"/>
      <c r="M328" s="52"/>
      <c r="N328" s="2"/>
      <c r="O328" s="2"/>
      <c r="P328" s="36"/>
      <c r="Q328" s="36"/>
      <c r="R328" s="36"/>
      <c r="S328" s="36"/>
      <c r="T328" s="36"/>
      <c r="U328" s="36"/>
      <c r="V328" s="36"/>
      <c r="W328" s="36"/>
      <c r="X328" s="36"/>
      <c r="Y328" s="36"/>
      <c r="Z328" s="36"/>
      <c r="AA328" s="36"/>
      <c r="AB328" s="2"/>
    </row>
    <row r="329" spans="1:28" x14ac:dyDescent="0.25">
      <c r="A329" s="149">
        <f>1</f>
        <v>1</v>
      </c>
      <c r="B329" s="131"/>
      <c r="C329" s="2"/>
      <c r="D329" s="2"/>
      <c r="E329" s="2"/>
      <c r="F329" s="2"/>
      <c r="G329" s="2"/>
      <c r="H329" s="2"/>
      <c r="I329" s="28"/>
      <c r="J329" s="2"/>
      <c r="K329" s="28"/>
      <c r="L329" s="2"/>
      <c r="M329" s="52"/>
      <c r="N329" s="2"/>
      <c r="O329" s="2"/>
      <c r="P329" s="36"/>
      <c r="Q329" s="36"/>
      <c r="R329" s="36"/>
      <c r="S329" s="36"/>
      <c r="T329" s="36"/>
      <c r="U329" s="36"/>
      <c r="V329" s="36"/>
      <c r="W329" s="36"/>
      <c r="X329" s="36"/>
      <c r="Y329" s="36"/>
      <c r="Z329" s="36"/>
      <c r="AA329" s="36"/>
      <c r="AB329" s="2"/>
    </row>
    <row r="330" spans="1:28" x14ac:dyDescent="0.25">
      <c r="A330" s="149">
        <f>1</f>
        <v>1</v>
      </c>
      <c r="B330" s="131"/>
      <c r="C330" s="2"/>
      <c r="D330" s="2"/>
      <c r="E330" s="2"/>
      <c r="F330" s="2"/>
      <c r="G330" s="2"/>
      <c r="H330" s="2"/>
      <c r="I330" s="28"/>
      <c r="J330" s="2"/>
      <c r="K330" s="28"/>
      <c r="L330" s="2"/>
      <c r="M330" s="52"/>
      <c r="N330" s="2"/>
      <c r="O330" s="2"/>
      <c r="P330" s="36"/>
      <c r="Q330" s="36"/>
      <c r="R330" s="36"/>
      <c r="S330" s="36"/>
      <c r="T330" s="36"/>
      <c r="U330" s="36"/>
      <c r="V330" s="36"/>
      <c r="W330" s="36"/>
      <c r="X330" s="36"/>
      <c r="Y330" s="36"/>
      <c r="Z330" s="36"/>
      <c r="AA330" s="36"/>
      <c r="AB330" s="2"/>
    </row>
    <row r="331" spans="1:28" x14ac:dyDescent="0.25">
      <c r="P331" s="57"/>
      <c r="Q331" s="57"/>
      <c r="R331" s="57"/>
      <c r="S331" s="57"/>
      <c r="T331" s="57"/>
      <c r="U331" s="57"/>
      <c r="V331" s="57"/>
      <c r="W331" s="57"/>
      <c r="X331" s="57"/>
      <c r="Y331" s="57"/>
      <c r="Z331" s="57"/>
      <c r="AA331" s="57"/>
    </row>
  </sheetData>
  <autoFilter ref="A8:B8"/>
  <conditionalFormatting sqref="A2:XFD2 A7:XFD253 A3:B6 F3:XFD5 F6 H6:XFD6 E1:XFD1 A264:XFD1048576">
    <cfRule type="cellIs" dxfId="1662" priority="1663" operator="equal">
      <formula>0</formula>
    </cfRule>
  </conditionalFormatting>
  <conditionalFormatting sqref="P16:AA16">
    <cfRule type="expression" dxfId="1661" priority="1662">
      <formula>P$1=""</formula>
    </cfRule>
  </conditionalFormatting>
  <conditionalFormatting sqref="P18:AA18">
    <cfRule type="expression" dxfId="1660" priority="1661">
      <formula>P$1=""</formula>
    </cfRule>
  </conditionalFormatting>
  <conditionalFormatting sqref="P20:AA20">
    <cfRule type="expression" dxfId="1659" priority="1660">
      <formula>P$1=""</formula>
    </cfRule>
  </conditionalFormatting>
  <conditionalFormatting sqref="P22:AA22">
    <cfRule type="expression" dxfId="1658" priority="1659">
      <formula>P$1=""</formula>
    </cfRule>
  </conditionalFormatting>
  <conditionalFormatting sqref="P26:AA26">
    <cfRule type="expression" dxfId="1657" priority="1658">
      <formula>P$1=""</formula>
    </cfRule>
  </conditionalFormatting>
  <conditionalFormatting sqref="P28:AA28">
    <cfRule type="expression" dxfId="1656" priority="1657">
      <formula>P$1=""</formula>
    </cfRule>
  </conditionalFormatting>
  <conditionalFormatting sqref="P30:AA30">
    <cfRule type="expression" dxfId="1655" priority="1656">
      <formula>P$1=""</formula>
    </cfRule>
  </conditionalFormatting>
  <conditionalFormatting sqref="P32:AA32">
    <cfRule type="expression" dxfId="1654" priority="1655">
      <formula>P$1=""</formula>
    </cfRule>
  </conditionalFormatting>
  <conditionalFormatting sqref="P36:AA36">
    <cfRule type="expression" dxfId="1653" priority="1654">
      <formula>P$1=""</formula>
    </cfRule>
  </conditionalFormatting>
  <conditionalFormatting sqref="P38:AA38">
    <cfRule type="expression" dxfId="1652" priority="1653">
      <formula>P$1=""</formula>
    </cfRule>
  </conditionalFormatting>
  <conditionalFormatting sqref="P40:AA40">
    <cfRule type="expression" dxfId="1651" priority="1652">
      <formula>P$1=""</formula>
    </cfRule>
  </conditionalFormatting>
  <conditionalFormatting sqref="P42:AA42">
    <cfRule type="expression" dxfId="1650" priority="1651">
      <formula>P$1=""</formula>
    </cfRule>
  </conditionalFormatting>
  <conditionalFormatting sqref="P42:AA42 P40:AA40 P38:AA38">
    <cfRule type="expression" dxfId="1649" priority="1650">
      <formula>P$1=""</formula>
    </cfRule>
  </conditionalFormatting>
  <conditionalFormatting sqref="P46:AA46">
    <cfRule type="expression" dxfId="1648" priority="1649">
      <formula>P$1=""</formula>
    </cfRule>
  </conditionalFormatting>
  <conditionalFormatting sqref="P48:AA48">
    <cfRule type="expression" dxfId="1647" priority="1648">
      <formula>P$1=""</formula>
    </cfRule>
  </conditionalFormatting>
  <conditionalFormatting sqref="P50:AA50">
    <cfRule type="expression" dxfId="1646" priority="1647">
      <formula>P$1=""</formula>
    </cfRule>
  </conditionalFormatting>
  <conditionalFormatting sqref="P52:AA52">
    <cfRule type="expression" dxfId="1645" priority="1646">
      <formula>P$1=""</formula>
    </cfRule>
  </conditionalFormatting>
  <conditionalFormatting sqref="P52:AA52 P50:AA50 P48:AA48">
    <cfRule type="expression" dxfId="1644" priority="1645">
      <formula>P$1=""</formula>
    </cfRule>
  </conditionalFormatting>
  <conditionalFormatting sqref="P52:AA52 P50:AA50 P48:AA48">
    <cfRule type="expression" dxfId="1643" priority="1644">
      <formula>P$1=""</formula>
    </cfRule>
  </conditionalFormatting>
  <conditionalFormatting sqref="P56:AA56">
    <cfRule type="expression" dxfId="1642" priority="1643">
      <formula>P$1=""</formula>
    </cfRule>
  </conditionalFormatting>
  <conditionalFormatting sqref="P58:AA58">
    <cfRule type="expression" dxfId="1641" priority="1642">
      <formula>P$1=""</formula>
    </cfRule>
  </conditionalFormatting>
  <conditionalFormatting sqref="P60:AA60">
    <cfRule type="expression" dxfId="1640" priority="1641">
      <formula>P$1=""</formula>
    </cfRule>
  </conditionalFormatting>
  <conditionalFormatting sqref="P62:AA62">
    <cfRule type="expression" dxfId="1639" priority="1640">
      <formula>P$1=""</formula>
    </cfRule>
  </conditionalFormatting>
  <conditionalFormatting sqref="P62:AA62 P60:AA60 P58:AA58">
    <cfRule type="expression" dxfId="1638" priority="1639">
      <formula>P$1=""</formula>
    </cfRule>
  </conditionalFormatting>
  <conditionalFormatting sqref="P62:AA62 P60:AA60 P58:AA58">
    <cfRule type="expression" dxfId="1637" priority="1638">
      <formula>P$1=""</formula>
    </cfRule>
  </conditionalFormatting>
  <conditionalFormatting sqref="P62:AA62 P60:AA60 P58:AA58">
    <cfRule type="expression" dxfId="1636" priority="1637">
      <formula>P$1=""</formula>
    </cfRule>
  </conditionalFormatting>
  <conditionalFormatting sqref="P66:AA66">
    <cfRule type="expression" dxfId="1635" priority="1636">
      <formula>P$1=""</formula>
    </cfRule>
  </conditionalFormatting>
  <conditionalFormatting sqref="P68:AA68">
    <cfRule type="expression" dxfId="1634" priority="1635">
      <formula>P$1=""</formula>
    </cfRule>
  </conditionalFormatting>
  <conditionalFormatting sqref="P70:AA70">
    <cfRule type="expression" dxfId="1633" priority="1634">
      <formula>P$1=""</formula>
    </cfRule>
  </conditionalFormatting>
  <conditionalFormatting sqref="P72:AA72">
    <cfRule type="expression" dxfId="1632" priority="1633">
      <formula>P$1=""</formula>
    </cfRule>
  </conditionalFormatting>
  <conditionalFormatting sqref="P72:AA72 P70:AA70 P68:AA68">
    <cfRule type="expression" dxfId="1631" priority="1632">
      <formula>P$1=""</formula>
    </cfRule>
  </conditionalFormatting>
  <conditionalFormatting sqref="P72:AA72 P70:AA70 P68:AA68">
    <cfRule type="expression" dxfId="1630" priority="1631">
      <formula>P$1=""</formula>
    </cfRule>
  </conditionalFormatting>
  <conditionalFormatting sqref="P72:AA72 P70:AA70 P68:AA68">
    <cfRule type="expression" dxfId="1629" priority="1630">
      <formula>P$1=""</formula>
    </cfRule>
  </conditionalFormatting>
  <conditionalFormatting sqref="P72:AA72 P70:AA70 P68:AA68">
    <cfRule type="expression" dxfId="1628" priority="1629">
      <formula>P$1=""</formula>
    </cfRule>
  </conditionalFormatting>
  <conditionalFormatting sqref="P76:AA76">
    <cfRule type="expression" dxfId="1627" priority="1628">
      <formula>P$1=""</formula>
    </cfRule>
  </conditionalFormatting>
  <conditionalFormatting sqref="P78:AA78">
    <cfRule type="expression" dxfId="1626" priority="1627">
      <formula>P$1=""</formula>
    </cfRule>
  </conditionalFormatting>
  <conditionalFormatting sqref="P80:AA80">
    <cfRule type="expression" dxfId="1625" priority="1626">
      <formula>P$1=""</formula>
    </cfRule>
  </conditionalFormatting>
  <conditionalFormatting sqref="P82:AA82">
    <cfRule type="expression" dxfId="1624" priority="1625">
      <formula>P$1=""</formula>
    </cfRule>
  </conditionalFormatting>
  <conditionalFormatting sqref="P82:AA82 P80:AA80 P78:AA78">
    <cfRule type="expression" dxfId="1623" priority="1624">
      <formula>P$1=""</formula>
    </cfRule>
  </conditionalFormatting>
  <conditionalFormatting sqref="P82:AA82 P80:AA80 P78:AA78">
    <cfRule type="expression" dxfId="1622" priority="1623">
      <formula>P$1=""</formula>
    </cfRule>
  </conditionalFormatting>
  <conditionalFormatting sqref="P82:AA82 P80:AA80 P78:AA78">
    <cfRule type="expression" dxfId="1621" priority="1622">
      <formula>P$1=""</formula>
    </cfRule>
  </conditionalFormatting>
  <conditionalFormatting sqref="P82:AA82 P80:AA80 P78:AA78">
    <cfRule type="expression" dxfId="1620" priority="1621">
      <formula>P$1=""</formula>
    </cfRule>
  </conditionalFormatting>
  <conditionalFormatting sqref="P82:AA82 P80:AA80 P78:AA78">
    <cfRule type="expression" dxfId="1619" priority="1620">
      <formula>P$1=""</formula>
    </cfRule>
  </conditionalFormatting>
  <conditionalFormatting sqref="P85:AA85">
    <cfRule type="expression" dxfId="1618" priority="1619">
      <formula>P$1=""</formula>
    </cfRule>
  </conditionalFormatting>
  <conditionalFormatting sqref="P87:AA87">
    <cfRule type="expression" dxfId="1617" priority="1618">
      <formula>P$1=""</formula>
    </cfRule>
  </conditionalFormatting>
  <conditionalFormatting sqref="P89:AA89">
    <cfRule type="expression" dxfId="1616" priority="1617">
      <formula>P$1=""</formula>
    </cfRule>
  </conditionalFormatting>
  <conditionalFormatting sqref="P91:AA91">
    <cfRule type="expression" dxfId="1615" priority="1616">
      <formula>P$1=""</formula>
    </cfRule>
  </conditionalFormatting>
  <conditionalFormatting sqref="P91:AA91 P89:AA89 P87:AA87">
    <cfRule type="expression" dxfId="1614" priority="1615">
      <formula>P$1=""</formula>
    </cfRule>
  </conditionalFormatting>
  <conditionalFormatting sqref="P91:AA91 P89:AA89 P87:AA87">
    <cfRule type="expression" dxfId="1613" priority="1614">
      <formula>P$1=""</formula>
    </cfRule>
  </conditionalFormatting>
  <conditionalFormatting sqref="P91:AA91 P89:AA89 P87:AA87">
    <cfRule type="expression" dxfId="1612" priority="1613">
      <formula>P$1=""</formula>
    </cfRule>
  </conditionalFormatting>
  <conditionalFormatting sqref="P91:AA91 P89:AA89 P87:AA87">
    <cfRule type="expression" dxfId="1611" priority="1612">
      <formula>P$1=""</formula>
    </cfRule>
  </conditionalFormatting>
  <conditionalFormatting sqref="P95:AA95">
    <cfRule type="expression" dxfId="1610" priority="1611">
      <formula>P$1=""</formula>
    </cfRule>
  </conditionalFormatting>
  <conditionalFormatting sqref="P97:AA97">
    <cfRule type="expression" dxfId="1609" priority="1610">
      <formula>P$1=""</formula>
    </cfRule>
  </conditionalFormatting>
  <conditionalFormatting sqref="P99:AA99">
    <cfRule type="expression" dxfId="1608" priority="1609">
      <formula>P$1=""</formula>
    </cfRule>
  </conditionalFormatting>
  <conditionalFormatting sqref="P101:AA101">
    <cfRule type="expression" dxfId="1607" priority="1608">
      <formula>P$1=""</formula>
    </cfRule>
  </conditionalFormatting>
  <conditionalFormatting sqref="P101:AA101 P99:AA99 P97:AA97">
    <cfRule type="expression" dxfId="1606" priority="1607">
      <formula>P$1=""</formula>
    </cfRule>
  </conditionalFormatting>
  <conditionalFormatting sqref="P101:AA101 P99:AA99 P97:AA97">
    <cfRule type="expression" dxfId="1605" priority="1606">
      <formula>P$1=""</formula>
    </cfRule>
  </conditionalFormatting>
  <conditionalFormatting sqref="P101:AA101 P99:AA99 P97:AA97">
    <cfRule type="expression" dxfId="1604" priority="1605">
      <formula>P$1=""</formula>
    </cfRule>
  </conditionalFormatting>
  <conditionalFormatting sqref="P101:AA101 P99:AA99 P97:AA97">
    <cfRule type="expression" dxfId="1603" priority="1604">
      <formula>P$1=""</formula>
    </cfRule>
  </conditionalFormatting>
  <conditionalFormatting sqref="P101:AA101 P99:AA99 P97:AA97">
    <cfRule type="expression" dxfId="1602" priority="1603">
      <formula>P$1=""</formula>
    </cfRule>
  </conditionalFormatting>
  <conditionalFormatting sqref="P105:AA105">
    <cfRule type="expression" dxfId="1601" priority="1602">
      <formula>P$1=""</formula>
    </cfRule>
  </conditionalFormatting>
  <conditionalFormatting sqref="P107:AA107">
    <cfRule type="expression" dxfId="1600" priority="1601">
      <formula>P$1=""</formula>
    </cfRule>
  </conditionalFormatting>
  <conditionalFormatting sqref="P109:AA109">
    <cfRule type="expression" dxfId="1599" priority="1600">
      <formula>P$1=""</formula>
    </cfRule>
  </conditionalFormatting>
  <conditionalFormatting sqref="P111:AA111">
    <cfRule type="expression" dxfId="1598" priority="1599">
      <formula>P$1=""</formula>
    </cfRule>
  </conditionalFormatting>
  <conditionalFormatting sqref="P107:AA107 P109:AA109 P111:AA111">
    <cfRule type="expression" dxfId="1597" priority="1598">
      <formula>P$1=""</formula>
    </cfRule>
  </conditionalFormatting>
  <conditionalFormatting sqref="P107:AA107 P109:AA109 P111:AA111">
    <cfRule type="expression" dxfId="1596" priority="1597">
      <formula>P$1=""</formula>
    </cfRule>
  </conditionalFormatting>
  <conditionalFormatting sqref="P107:AA107 P109:AA109 P111:AA111">
    <cfRule type="expression" dxfId="1595" priority="1596">
      <formula>P$1=""</formula>
    </cfRule>
  </conditionalFormatting>
  <conditionalFormatting sqref="P107:AA107 P109:AA109 P111:AA111">
    <cfRule type="expression" dxfId="1594" priority="1595">
      <formula>P$1=""</formula>
    </cfRule>
  </conditionalFormatting>
  <conditionalFormatting sqref="P107:AA107 P109:AA109 P111:AA111">
    <cfRule type="expression" dxfId="1593" priority="1594">
      <formula>P$1=""</formula>
    </cfRule>
  </conditionalFormatting>
  <conditionalFormatting sqref="P111:AA111 P109:AA109">
    <cfRule type="expression" dxfId="1592" priority="1593">
      <formula>P$1=""</formula>
    </cfRule>
  </conditionalFormatting>
  <conditionalFormatting sqref="P117:AA117">
    <cfRule type="expression" dxfId="1591" priority="1592">
      <formula>P$1=""</formula>
    </cfRule>
  </conditionalFormatting>
  <conditionalFormatting sqref="P119:AA119">
    <cfRule type="expression" dxfId="1590" priority="1591">
      <formula>P$1=""</formula>
    </cfRule>
  </conditionalFormatting>
  <conditionalFormatting sqref="P121:AA121">
    <cfRule type="expression" dxfId="1589" priority="1590">
      <formula>P$1=""</formula>
    </cfRule>
  </conditionalFormatting>
  <conditionalFormatting sqref="P123:AA123">
    <cfRule type="expression" dxfId="1588" priority="1589">
      <formula>P$1=""</formula>
    </cfRule>
  </conditionalFormatting>
  <conditionalFormatting sqref="P119:AA119 P121:AA121 P123:AA123">
    <cfRule type="expression" dxfId="1587" priority="1588">
      <formula>P$1=""</formula>
    </cfRule>
  </conditionalFormatting>
  <conditionalFormatting sqref="P119:AA119 P121:AA121 P123:AA123">
    <cfRule type="expression" dxfId="1586" priority="1587">
      <formula>P$1=""</formula>
    </cfRule>
  </conditionalFormatting>
  <conditionalFormatting sqref="P119:AA119 P121:AA121 P123:AA123">
    <cfRule type="expression" dxfId="1585" priority="1586">
      <formula>P$1=""</formula>
    </cfRule>
  </conditionalFormatting>
  <conditionalFormatting sqref="P119:AA119 P121:AA121 P123:AA123">
    <cfRule type="expression" dxfId="1584" priority="1585">
      <formula>P$1=""</formula>
    </cfRule>
  </conditionalFormatting>
  <conditionalFormatting sqref="P119:AA119 P121:AA121 P123:AA123">
    <cfRule type="expression" dxfId="1583" priority="1584">
      <formula>P$1=""</formula>
    </cfRule>
  </conditionalFormatting>
  <conditionalFormatting sqref="P123:AA123 P121:AA121">
    <cfRule type="expression" dxfId="1582" priority="1583">
      <formula>P$1=""</formula>
    </cfRule>
  </conditionalFormatting>
  <conditionalFormatting sqref="P32:AA32 P30:AA30 P28:AA28">
    <cfRule type="expression" dxfId="1581" priority="1582">
      <formula>P$1=""</formula>
    </cfRule>
  </conditionalFormatting>
  <conditionalFormatting sqref="P119:AA119">
    <cfRule type="expression" dxfId="1580" priority="1581">
      <formula>P$1=""</formula>
    </cfRule>
  </conditionalFormatting>
  <conditionalFormatting sqref="P123:AA123 P121:AA121">
    <cfRule type="expression" dxfId="1579" priority="1580">
      <formula>P$1=""</formula>
    </cfRule>
  </conditionalFormatting>
  <conditionalFormatting sqref="P123:AA123 P121:AA121">
    <cfRule type="expression" dxfId="1578" priority="1579">
      <formula>P$1=""</formula>
    </cfRule>
  </conditionalFormatting>
  <conditionalFormatting sqref="P127:AA127">
    <cfRule type="expression" dxfId="1577" priority="1578">
      <formula>P$1=""</formula>
    </cfRule>
  </conditionalFormatting>
  <conditionalFormatting sqref="P129:AA129">
    <cfRule type="expression" dxfId="1576" priority="1577">
      <formula>P$1=""</formula>
    </cfRule>
  </conditionalFormatting>
  <conditionalFormatting sqref="P131:AA131">
    <cfRule type="expression" dxfId="1575" priority="1576">
      <formula>P$1=""</formula>
    </cfRule>
  </conditionalFormatting>
  <conditionalFormatting sqref="P133:AA133">
    <cfRule type="expression" dxfId="1574" priority="1575">
      <formula>P$1=""</formula>
    </cfRule>
  </conditionalFormatting>
  <conditionalFormatting sqref="P131:AA131 P129:AA129 P133:AA133">
    <cfRule type="expression" dxfId="1573" priority="1574">
      <formula>P$1=""</formula>
    </cfRule>
  </conditionalFormatting>
  <conditionalFormatting sqref="P131:AA131 P129:AA129 P133:AA133">
    <cfRule type="expression" dxfId="1572" priority="1573">
      <formula>P$1=""</formula>
    </cfRule>
  </conditionalFormatting>
  <conditionalFormatting sqref="P131:AA131 P129:AA129 P133:AA133">
    <cfRule type="expression" dxfId="1571" priority="1572">
      <formula>P$1=""</formula>
    </cfRule>
  </conditionalFormatting>
  <conditionalFormatting sqref="P131:AA131 P129:AA129 P133:AA133">
    <cfRule type="expression" dxfId="1570" priority="1571">
      <formula>P$1=""</formula>
    </cfRule>
  </conditionalFormatting>
  <conditionalFormatting sqref="P131:AA131 P129:AA129 P133:AA133">
    <cfRule type="expression" dxfId="1569" priority="1570">
      <formula>P$1=""</formula>
    </cfRule>
  </conditionalFormatting>
  <conditionalFormatting sqref="P131:AA131 P133:AA133">
    <cfRule type="expression" dxfId="1568" priority="1569">
      <formula>P$1=""</formula>
    </cfRule>
  </conditionalFormatting>
  <conditionalFormatting sqref="P129:AA129">
    <cfRule type="expression" dxfId="1567" priority="1568">
      <formula>P$1=""</formula>
    </cfRule>
  </conditionalFormatting>
  <conditionalFormatting sqref="P131:AA131 P133:AA133">
    <cfRule type="expression" dxfId="1566" priority="1567">
      <formula>P$1=""</formula>
    </cfRule>
  </conditionalFormatting>
  <conditionalFormatting sqref="P131:AA131 P133:AA133">
    <cfRule type="expression" dxfId="1565" priority="1566">
      <formula>P$1=""</formula>
    </cfRule>
  </conditionalFormatting>
  <conditionalFormatting sqref="P133:AA133">
    <cfRule type="expression" dxfId="1564" priority="1565">
      <formula>P$1=""</formula>
    </cfRule>
  </conditionalFormatting>
  <conditionalFormatting sqref="P133:AA133">
    <cfRule type="expression" dxfId="1563" priority="1564">
      <formula>P$1=""</formula>
    </cfRule>
  </conditionalFormatting>
  <conditionalFormatting sqref="P133:AA133">
    <cfRule type="expression" dxfId="1562" priority="1563">
      <formula>P$1=""</formula>
    </cfRule>
  </conditionalFormatting>
  <conditionalFormatting sqref="P133:AA133">
    <cfRule type="expression" dxfId="1561" priority="1562">
      <formula>P$1=""</formula>
    </cfRule>
  </conditionalFormatting>
  <conditionalFormatting sqref="P137:AA137">
    <cfRule type="expression" dxfId="1560" priority="1561">
      <formula>P$1=""</formula>
    </cfRule>
  </conditionalFormatting>
  <conditionalFormatting sqref="P139:AA139">
    <cfRule type="expression" dxfId="1559" priority="1560">
      <formula>P$1=""</formula>
    </cfRule>
  </conditionalFormatting>
  <conditionalFormatting sqref="P141:AA141">
    <cfRule type="expression" dxfId="1558" priority="1559">
      <formula>P$1=""</formula>
    </cfRule>
  </conditionalFormatting>
  <conditionalFormatting sqref="P143:AA143">
    <cfRule type="expression" dxfId="1557" priority="1558">
      <formula>P$1=""</formula>
    </cfRule>
  </conditionalFormatting>
  <conditionalFormatting sqref="P139:AA139 P141:AA141 P143:AA143">
    <cfRule type="expression" dxfId="1556" priority="1557">
      <formula>P$1=""</formula>
    </cfRule>
  </conditionalFormatting>
  <conditionalFormatting sqref="P139:AA139 P141:AA141 P143:AA143">
    <cfRule type="expression" dxfId="1555" priority="1556">
      <formula>P$1=""</formula>
    </cfRule>
  </conditionalFormatting>
  <conditionalFormatting sqref="P139:AA139 P141:AA141 P143:AA143">
    <cfRule type="expression" dxfId="1554" priority="1555">
      <formula>P$1=""</formula>
    </cfRule>
  </conditionalFormatting>
  <conditionalFormatting sqref="P139:AA139 P141:AA141 P143:AA143">
    <cfRule type="expression" dxfId="1553" priority="1554">
      <formula>P$1=""</formula>
    </cfRule>
  </conditionalFormatting>
  <conditionalFormatting sqref="P139:AA139 P141:AA141 P143:AA143">
    <cfRule type="expression" dxfId="1552" priority="1553">
      <formula>P$1=""</formula>
    </cfRule>
  </conditionalFormatting>
  <conditionalFormatting sqref="P141:AA141 P143:AA143">
    <cfRule type="expression" dxfId="1551" priority="1552">
      <formula>P$1=""</formula>
    </cfRule>
  </conditionalFormatting>
  <conditionalFormatting sqref="P139:AA139">
    <cfRule type="expression" dxfId="1550" priority="1551">
      <formula>P$1=""</formula>
    </cfRule>
  </conditionalFormatting>
  <conditionalFormatting sqref="P141:AA141 P143:AA143">
    <cfRule type="expression" dxfId="1549" priority="1550">
      <formula>P$1=""</formula>
    </cfRule>
  </conditionalFormatting>
  <conditionalFormatting sqref="P141:AA141 P143:AA143">
    <cfRule type="expression" dxfId="1548" priority="1549">
      <formula>P$1=""</formula>
    </cfRule>
  </conditionalFormatting>
  <conditionalFormatting sqref="P143:AA143">
    <cfRule type="expression" dxfId="1547" priority="1548">
      <formula>P$1=""</formula>
    </cfRule>
  </conditionalFormatting>
  <conditionalFormatting sqref="P143:AA143">
    <cfRule type="expression" dxfId="1546" priority="1547">
      <formula>P$1=""</formula>
    </cfRule>
  </conditionalFormatting>
  <conditionalFormatting sqref="P143:AA143">
    <cfRule type="expression" dxfId="1545" priority="1546">
      <formula>P$1=""</formula>
    </cfRule>
  </conditionalFormatting>
  <conditionalFormatting sqref="P143:AA143">
    <cfRule type="expression" dxfId="1544" priority="1545">
      <formula>P$1=""</formula>
    </cfRule>
  </conditionalFormatting>
  <conditionalFormatting sqref="P137:AA137">
    <cfRule type="expression" dxfId="1543" priority="1544">
      <formula>P$1=""</formula>
    </cfRule>
  </conditionalFormatting>
  <conditionalFormatting sqref="P137:AA137">
    <cfRule type="expression" dxfId="1542" priority="1543">
      <formula>P$1=""</formula>
    </cfRule>
  </conditionalFormatting>
  <conditionalFormatting sqref="P137:AA137">
    <cfRule type="expression" dxfId="1541" priority="1542">
      <formula>P$1=""</formula>
    </cfRule>
  </conditionalFormatting>
  <conditionalFormatting sqref="P137:AA137">
    <cfRule type="expression" dxfId="1540" priority="1541">
      <formula>P$1=""</formula>
    </cfRule>
  </conditionalFormatting>
  <conditionalFormatting sqref="P137:AA137">
    <cfRule type="expression" dxfId="1539" priority="1540">
      <formula>P$1=""</formula>
    </cfRule>
  </conditionalFormatting>
  <conditionalFormatting sqref="P137:AA137">
    <cfRule type="expression" dxfId="1538" priority="1539">
      <formula>P$1=""</formula>
    </cfRule>
  </conditionalFormatting>
  <conditionalFormatting sqref="P137:AA137">
    <cfRule type="expression" dxfId="1537" priority="1538">
      <formula>P$1=""</formula>
    </cfRule>
  </conditionalFormatting>
  <conditionalFormatting sqref="P143:AA143 P141:AA141">
    <cfRule type="expression" dxfId="1536" priority="1537">
      <formula>P$1=""</formula>
    </cfRule>
  </conditionalFormatting>
  <conditionalFormatting sqref="P143:AA143 P141:AA141">
    <cfRule type="expression" dxfId="1535" priority="1536">
      <formula>P$1=""</formula>
    </cfRule>
  </conditionalFormatting>
  <conditionalFormatting sqref="P155:AA155">
    <cfRule type="expression" dxfId="1534" priority="1535">
      <formula>P$1=""</formula>
    </cfRule>
  </conditionalFormatting>
  <conditionalFormatting sqref="P157:AA157">
    <cfRule type="expression" dxfId="1533" priority="1534">
      <formula>P$1=""</formula>
    </cfRule>
  </conditionalFormatting>
  <conditionalFormatting sqref="P159:AA159">
    <cfRule type="expression" dxfId="1532" priority="1533">
      <formula>P$1=""</formula>
    </cfRule>
  </conditionalFormatting>
  <conditionalFormatting sqref="P161:AA161">
    <cfRule type="expression" dxfId="1531" priority="1532">
      <formula>P$1=""</formula>
    </cfRule>
  </conditionalFormatting>
  <conditionalFormatting sqref="P157:AA157 P159:AA159 P161:AA161">
    <cfRule type="expression" dxfId="1530" priority="1531">
      <formula>P$1=""</formula>
    </cfRule>
  </conditionalFormatting>
  <conditionalFormatting sqref="P157:AA157 P159:AA159 P161:AA161">
    <cfRule type="expression" dxfId="1529" priority="1530">
      <formula>P$1=""</formula>
    </cfRule>
  </conditionalFormatting>
  <conditionalFormatting sqref="P157:AA157 P159:AA159 P161:AA161">
    <cfRule type="expression" dxfId="1528" priority="1529">
      <formula>P$1=""</formula>
    </cfRule>
  </conditionalFormatting>
  <conditionalFormatting sqref="P157:AA157 P159:AA159 P161:AA161">
    <cfRule type="expression" dxfId="1527" priority="1528">
      <formula>P$1=""</formula>
    </cfRule>
  </conditionalFormatting>
  <conditionalFormatting sqref="P157:AA157 P159:AA159 P161:AA161">
    <cfRule type="expression" dxfId="1526" priority="1527">
      <formula>P$1=""</formula>
    </cfRule>
  </conditionalFormatting>
  <conditionalFormatting sqref="P159:AA159 P161:AA161">
    <cfRule type="expression" dxfId="1525" priority="1526">
      <formula>P$1=""</formula>
    </cfRule>
  </conditionalFormatting>
  <conditionalFormatting sqref="P157:AA157">
    <cfRule type="expression" dxfId="1524" priority="1525">
      <formula>P$1=""</formula>
    </cfRule>
  </conditionalFormatting>
  <conditionalFormatting sqref="P159:AA159 P161:AA161">
    <cfRule type="expression" dxfId="1523" priority="1524">
      <formula>P$1=""</formula>
    </cfRule>
  </conditionalFormatting>
  <conditionalFormatting sqref="P159:AA159 P161:AA161">
    <cfRule type="expression" dxfId="1522" priority="1523">
      <formula>P$1=""</formula>
    </cfRule>
  </conditionalFormatting>
  <conditionalFormatting sqref="P161:AA161">
    <cfRule type="expression" dxfId="1521" priority="1522">
      <formula>P$1=""</formula>
    </cfRule>
  </conditionalFormatting>
  <conditionalFormatting sqref="P161:AA161">
    <cfRule type="expression" dxfId="1520" priority="1521">
      <formula>P$1=""</formula>
    </cfRule>
  </conditionalFormatting>
  <conditionalFormatting sqref="P161:AA161">
    <cfRule type="expression" dxfId="1519" priority="1520">
      <formula>P$1=""</formula>
    </cfRule>
  </conditionalFormatting>
  <conditionalFormatting sqref="P161:AA161">
    <cfRule type="expression" dxfId="1518" priority="1519">
      <formula>P$1=""</formula>
    </cfRule>
  </conditionalFormatting>
  <conditionalFormatting sqref="P155:AA155">
    <cfRule type="expression" dxfId="1517" priority="1518">
      <formula>P$1=""</formula>
    </cfRule>
  </conditionalFormatting>
  <conditionalFormatting sqref="P155:AA155">
    <cfRule type="expression" dxfId="1516" priority="1517">
      <formula>P$1=""</formula>
    </cfRule>
  </conditionalFormatting>
  <conditionalFormatting sqref="P155:AA155">
    <cfRule type="expression" dxfId="1515" priority="1516">
      <formula>P$1=""</formula>
    </cfRule>
  </conditionalFormatting>
  <conditionalFormatting sqref="P155:AA155">
    <cfRule type="expression" dxfId="1514" priority="1515">
      <formula>P$1=""</formula>
    </cfRule>
  </conditionalFormatting>
  <conditionalFormatting sqref="P155:AA155">
    <cfRule type="expression" dxfId="1513" priority="1514">
      <formula>P$1=""</formula>
    </cfRule>
  </conditionalFormatting>
  <conditionalFormatting sqref="P155:AA155">
    <cfRule type="expression" dxfId="1512" priority="1513">
      <formula>P$1=""</formula>
    </cfRule>
  </conditionalFormatting>
  <conditionalFormatting sqref="P155:AA155">
    <cfRule type="expression" dxfId="1511" priority="1512">
      <formula>P$1=""</formula>
    </cfRule>
  </conditionalFormatting>
  <conditionalFormatting sqref="P161:AA161 P159:AA159">
    <cfRule type="expression" dxfId="1510" priority="1511">
      <formula>P$1=""</formula>
    </cfRule>
  </conditionalFormatting>
  <conditionalFormatting sqref="P161:AA161 P159:AA159">
    <cfRule type="expression" dxfId="1509" priority="1510">
      <formula>P$1=""</formula>
    </cfRule>
  </conditionalFormatting>
  <conditionalFormatting sqref="P161:AA161 P159:AA159">
    <cfRule type="expression" dxfId="1508" priority="1509">
      <formula>P$1=""</formula>
    </cfRule>
  </conditionalFormatting>
  <conditionalFormatting sqref="P161:AA161 P159:AA159">
    <cfRule type="expression" dxfId="1507" priority="1508">
      <formula>P$1=""</formula>
    </cfRule>
  </conditionalFormatting>
  <conditionalFormatting sqref="P165:AA165">
    <cfRule type="expression" dxfId="1506" priority="1507">
      <formula>P$1=""</formula>
    </cfRule>
  </conditionalFormatting>
  <conditionalFormatting sqref="P167:AA167">
    <cfRule type="expression" dxfId="1505" priority="1506">
      <formula>P$1=""</formula>
    </cfRule>
  </conditionalFormatting>
  <conditionalFormatting sqref="P169:AA169">
    <cfRule type="expression" dxfId="1504" priority="1505">
      <formula>P$1=""</formula>
    </cfRule>
  </conditionalFormatting>
  <conditionalFormatting sqref="P171:AA171">
    <cfRule type="expression" dxfId="1503" priority="1504">
      <formula>P$1=""</formula>
    </cfRule>
  </conditionalFormatting>
  <conditionalFormatting sqref="P167:AA167 P169:AA169 P171:AA171">
    <cfRule type="expression" dxfId="1502" priority="1503">
      <formula>P$1=""</formula>
    </cfRule>
  </conditionalFormatting>
  <conditionalFormatting sqref="P167:AA167 P169:AA169 P171:AA171">
    <cfRule type="expression" dxfId="1501" priority="1502">
      <formula>P$1=""</formula>
    </cfRule>
  </conditionalFormatting>
  <conditionalFormatting sqref="P167:AA167 P169:AA169 P171:AA171">
    <cfRule type="expression" dxfId="1500" priority="1501">
      <formula>P$1=""</formula>
    </cfRule>
  </conditionalFormatting>
  <conditionalFormatting sqref="P167:AA167 P169:AA169 P171:AA171">
    <cfRule type="expression" dxfId="1499" priority="1500">
      <formula>P$1=""</formula>
    </cfRule>
  </conditionalFormatting>
  <conditionalFormatting sqref="P167:AA167 P169:AA169 P171:AA171">
    <cfRule type="expression" dxfId="1498" priority="1499">
      <formula>P$1=""</formula>
    </cfRule>
  </conditionalFormatting>
  <conditionalFormatting sqref="P169:AA169 P171:AA171">
    <cfRule type="expression" dxfId="1497" priority="1498">
      <formula>P$1=""</formula>
    </cfRule>
  </conditionalFormatting>
  <conditionalFormatting sqref="P167:AA167">
    <cfRule type="expression" dxfId="1496" priority="1497">
      <formula>P$1=""</formula>
    </cfRule>
  </conditionalFormatting>
  <conditionalFormatting sqref="P169:AA169 P171:AA171">
    <cfRule type="expression" dxfId="1495" priority="1496">
      <formula>P$1=""</formula>
    </cfRule>
  </conditionalFormatting>
  <conditionalFormatting sqref="P169:AA169 P171:AA171">
    <cfRule type="expression" dxfId="1494" priority="1495">
      <formula>P$1=""</formula>
    </cfRule>
  </conditionalFormatting>
  <conditionalFormatting sqref="P171:AA171">
    <cfRule type="expression" dxfId="1493" priority="1494">
      <formula>P$1=""</formula>
    </cfRule>
  </conditionalFormatting>
  <conditionalFormatting sqref="P171:AA171">
    <cfRule type="expression" dxfId="1492" priority="1493">
      <formula>P$1=""</formula>
    </cfRule>
  </conditionalFormatting>
  <conditionalFormatting sqref="P171:AA171">
    <cfRule type="expression" dxfId="1491" priority="1492">
      <formula>P$1=""</formula>
    </cfRule>
  </conditionalFormatting>
  <conditionalFormatting sqref="P171:AA171">
    <cfRule type="expression" dxfId="1490" priority="1491">
      <formula>P$1=""</formula>
    </cfRule>
  </conditionalFormatting>
  <conditionalFormatting sqref="P165:AA165">
    <cfRule type="expression" dxfId="1489" priority="1490">
      <formula>P$1=""</formula>
    </cfRule>
  </conditionalFormatting>
  <conditionalFormatting sqref="P165:AA165">
    <cfRule type="expression" dxfId="1488" priority="1489">
      <formula>P$1=""</formula>
    </cfRule>
  </conditionalFormatting>
  <conditionalFormatting sqref="P165:AA165">
    <cfRule type="expression" dxfId="1487" priority="1488">
      <formula>P$1=""</formula>
    </cfRule>
  </conditionalFormatting>
  <conditionalFormatting sqref="P165:AA165">
    <cfRule type="expression" dxfId="1486" priority="1487">
      <formula>P$1=""</formula>
    </cfRule>
  </conditionalFormatting>
  <conditionalFormatting sqref="P165:AA165">
    <cfRule type="expression" dxfId="1485" priority="1486">
      <formula>P$1=""</formula>
    </cfRule>
  </conditionalFormatting>
  <conditionalFormatting sqref="P165:AA165">
    <cfRule type="expression" dxfId="1484" priority="1485">
      <formula>P$1=""</formula>
    </cfRule>
  </conditionalFormatting>
  <conditionalFormatting sqref="P165:AA165">
    <cfRule type="expression" dxfId="1483" priority="1484">
      <formula>P$1=""</formula>
    </cfRule>
  </conditionalFormatting>
  <conditionalFormatting sqref="P169:AA169 P171:AA171">
    <cfRule type="expression" dxfId="1482" priority="1483">
      <formula>P$1=""</formula>
    </cfRule>
  </conditionalFormatting>
  <conditionalFormatting sqref="P169:AA169 P171:AA171">
    <cfRule type="expression" dxfId="1481" priority="1482">
      <formula>P$1=""</formula>
    </cfRule>
  </conditionalFormatting>
  <conditionalFormatting sqref="P169:AA169 P171:AA171">
    <cfRule type="expression" dxfId="1480" priority="1481">
      <formula>P$1=""</formula>
    </cfRule>
  </conditionalFormatting>
  <conditionalFormatting sqref="P169:AA169 P171:AA171">
    <cfRule type="expression" dxfId="1479" priority="1480">
      <formula>P$1=""</formula>
    </cfRule>
  </conditionalFormatting>
  <conditionalFormatting sqref="P171 P169 P167">
    <cfRule type="expression" dxfId="1478" priority="1479">
      <formula>P$1=""</formula>
    </cfRule>
  </conditionalFormatting>
  <conditionalFormatting sqref="P171 P169 P167">
    <cfRule type="expression" dxfId="1477" priority="1478">
      <formula>P$1=""</formula>
    </cfRule>
  </conditionalFormatting>
  <conditionalFormatting sqref="P171 P169 P167">
    <cfRule type="expression" dxfId="1476" priority="1477">
      <formula>P$1=""</formula>
    </cfRule>
  </conditionalFormatting>
  <conditionalFormatting sqref="P171 P169 P167">
    <cfRule type="expression" dxfId="1475" priority="1476">
      <formula>P$1=""</formula>
    </cfRule>
  </conditionalFormatting>
  <conditionalFormatting sqref="P171 P169 P167">
    <cfRule type="expression" dxfId="1474" priority="1475">
      <formula>P$1=""</formula>
    </cfRule>
  </conditionalFormatting>
  <conditionalFormatting sqref="P171 P169 P167">
    <cfRule type="expression" dxfId="1473" priority="1474">
      <formula>P$1=""</formula>
    </cfRule>
  </conditionalFormatting>
  <conditionalFormatting sqref="P171 P169 P167">
    <cfRule type="expression" dxfId="1472" priority="1473">
      <formula>P$1=""</formula>
    </cfRule>
  </conditionalFormatting>
  <conditionalFormatting sqref="P171 P169 P167">
    <cfRule type="expression" dxfId="1471" priority="1472">
      <formula>P$1=""</formula>
    </cfRule>
  </conditionalFormatting>
  <conditionalFormatting sqref="Q167:AA167">
    <cfRule type="expression" dxfId="1470" priority="1471">
      <formula>Q$1=""</formula>
    </cfRule>
  </conditionalFormatting>
  <conditionalFormatting sqref="Q167:AA167">
    <cfRule type="expression" dxfId="1469" priority="1470">
      <formula>Q$1=""</formula>
    </cfRule>
  </conditionalFormatting>
  <conditionalFormatting sqref="Q167:AA167">
    <cfRule type="expression" dxfId="1468" priority="1469">
      <formula>Q$1=""</formula>
    </cfRule>
  </conditionalFormatting>
  <conditionalFormatting sqref="Q167:AA167">
    <cfRule type="expression" dxfId="1467" priority="1468">
      <formula>Q$1=""</formula>
    </cfRule>
  </conditionalFormatting>
  <conditionalFormatting sqref="Q167:AA167">
    <cfRule type="expression" dxfId="1466" priority="1467">
      <formula>Q$1=""</formula>
    </cfRule>
  </conditionalFormatting>
  <conditionalFormatting sqref="Q167:AA167">
    <cfRule type="expression" dxfId="1465" priority="1466">
      <formula>Q$1=""</formula>
    </cfRule>
  </conditionalFormatting>
  <conditionalFormatting sqref="Q167:AA167">
    <cfRule type="expression" dxfId="1464" priority="1465">
      <formula>Q$1=""</formula>
    </cfRule>
  </conditionalFormatting>
  <conditionalFormatting sqref="Q167:AA167">
    <cfRule type="expression" dxfId="1463" priority="1464">
      <formula>Q$1=""</formula>
    </cfRule>
  </conditionalFormatting>
  <conditionalFormatting sqref="Q169:AA169 Q171:AA171">
    <cfRule type="expression" dxfId="1462" priority="1463">
      <formula>Q$1=""</formula>
    </cfRule>
  </conditionalFormatting>
  <conditionalFormatting sqref="Q169:AA169 Q171:AA171">
    <cfRule type="expression" dxfId="1461" priority="1462">
      <formula>Q$1=""</formula>
    </cfRule>
  </conditionalFormatting>
  <conditionalFormatting sqref="Q169:AA169 Q171:AA171">
    <cfRule type="expression" dxfId="1460" priority="1461">
      <formula>Q$1=""</formula>
    </cfRule>
  </conditionalFormatting>
  <conditionalFormatting sqref="Q169:AA169 Q171:AA171">
    <cfRule type="expression" dxfId="1459" priority="1460">
      <formula>Q$1=""</formula>
    </cfRule>
  </conditionalFormatting>
  <conditionalFormatting sqref="Q169:AA169 Q171:AA171">
    <cfRule type="expression" dxfId="1458" priority="1459">
      <formula>Q$1=""</formula>
    </cfRule>
  </conditionalFormatting>
  <conditionalFormatting sqref="Q169:AA169 Q171:AA171">
    <cfRule type="expression" dxfId="1457" priority="1458">
      <formula>Q$1=""</formula>
    </cfRule>
  </conditionalFormatting>
  <conditionalFormatting sqref="Q169:AA169 Q171:AA171">
    <cfRule type="expression" dxfId="1456" priority="1457">
      <formula>Q$1=""</formula>
    </cfRule>
  </conditionalFormatting>
  <conditionalFormatting sqref="Q169:AA169 Q171:AA171">
    <cfRule type="expression" dxfId="1455" priority="1456">
      <formula>Q$1=""</formula>
    </cfRule>
  </conditionalFormatting>
  <conditionalFormatting sqref="Q169:AA169 Q171:AA171">
    <cfRule type="expression" dxfId="1454" priority="1455">
      <formula>Q$1=""</formula>
    </cfRule>
  </conditionalFormatting>
  <conditionalFormatting sqref="Q169:AA169 Q171:AA171">
    <cfRule type="expression" dxfId="1453" priority="1454">
      <formula>Q$1=""</formula>
    </cfRule>
  </conditionalFormatting>
  <conditionalFormatting sqref="P175:AA175">
    <cfRule type="expression" dxfId="1452" priority="1453">
      <formula>P$1=""</formula>
    </cfRule>
  </conditionalFormatting>
  <conditionalFormatting sqref="P177:AA177">
    <cfRule type="expression" dxfId="1451" priority="1452">
      <formula>P$1=""</formula>
    </cfRule>
  </conditionalFormatting>
  <conditionalFormatting sqref="P179:AA179">
    <cfRule type="expression" dxfId="1450" priority="1451">
      <formula>P$1=""</formula>
    </cfRule>
  </conditionalFormatting>
  <conditionalFormatting sqref="P181:AA181">
    <cfRule type="expression" dxfId="1449" priority="1450">
      <formula>P$1=""</formula>
    </cfRule>
  </conditionalFormatting>
  <conditionalFormatting sqref="P177:AA177 P179:AA179 P181:AA181">
    <cfRule type="expression" dxfId="1448" priority="1449">
      <formula>P$1=""</formula>
    </cfRule>
  </conditionalFormatting>
  <conditionalFormatting sqref="P177:AA177 P179:AA179 P181:AA181">
    <cfRule type="expression" dxfId="1447" priority="1448">
      <formula>P$1=""</formula>
    </cfRule>
  </conditionalFormatting>
  <conditionalFormatting sqref="P177:AA177 P179:AA179 P181:AA181">
    <cfRule type="expression" dxfId="1446" priority="1447">
      <formula>P$1=""</formula>
    </cfRule>
  </conditionalFormatting>
  <conditionalFormatting sqref="P177:AA177 P179:AA179 P181:AA181">
    <cfRule type="expression" dxfId="1445" priority="1446">
      <formula>P$1=""</formula>
    </cfRule>
  </conditionalFormatting>
  <conditionalFormatting sqref="P177:AA177 P179:AA179 P181:AA181">
    <cfRule type="expression" dxfId="1444" priority="1445">
      <formula>P$1=""</formula>
    </cfRule>
  </conditionalFormatting>
  <conditionalFormatting sqref="P179:AA179 P181:AA181">
    <cfRule type="expression" dxfId="1443" priority="1444">
      <formula>P$1=""</formula>
    </cfRule>
  </conditionalFormatting>
  <conditionalFormatting sqref="P177:AA177">
    <cfRule type="expression" dxfId="1442" priority="1443">
      <formula>P$1=""</formula>
    </cfRule>
  </conditionalFormatting>
  <conditionalFormatting sqref="P179:AA179 P181:AA181">
    <cfRule type="expression" dxfId="1441" priority="1442">
      <formula>P$1=""</formula>
    </cfRule>
  </conditionalFormatting>
  <conditionalFormatting sqref="P179:AA179 P181:AA181">
    <cfRule type="expression" dxfId="1440" priority="1441">
      <formula>P$1=""</formula>
    </cfRule>
  </conditionalFormatting>
  <conditionalFormatting sqref="P181:AA181">
    <cfRule type="expression" dxfId="1439" priority="1440">
      <formula>P$1=""</formula>
    </cfRule>
  </conditionalFormatting>
  <conditionalFormatting sqref="P181:AA181">
    <cfRule type="expression" dxfId="1438" priority="1439">
      <formula>P$1=""</formula>
    </cfRule>
  </conditionalFormatting>
  <conditionalFormatting sqref="P181:AA181">
    <cfRule type="expression" dxfId="1437" priority="1438">
      <formula>P$1=""</formula>
    </cfRule>
  </conditionalFormatting>
  <conditionalFormatting sqref="P181:AA181">
    <cfRule type="expression" dxfId="1436" priority="1437">
      <formula>P$1=""</formula>
    </cfRule>
  </conditionalFormatting>
  <conditionalFormatting sqref="P175:AA175">
    <cfRule type="expression" dxfId="1435" priority="1436">
      <formula>P$1=""</formula>
    </cfRule>
  </conditionalFormatting>
  <conditionalFormatting sqref="P175:AA175">
    <cfRule type="expression" dxfId="1434" priority="1435">
      <formula>P$1=""</formula>
    </cfRule>
  </conditionalFormatting>
  <conditionalFormatting sqref="P175:AA175">
    <cfRule type="expression" dxfId="1433" priority="1434">
      <formula>P$1=""</formula>
    </cfRule>
  </conditionalFormatting>
  <conditionalFormatting sqref="P175:AA175">
    <cfRule type="expression" dxfId="1432" priority="1433">
      <formula>P$1=""</formula>
    </cfRule>
  </conditionalFormatting>
  <conditionalFormatting sqref="P175:AA175">
    <cfRule type="expression" dxfId="1431" priority="1432">
      <formula>P$1=""</formula>
    </cfRule>
  </conditionalFormatting>
  <conditionalFormatting sqref="P175:AA175">
    <cfRule type="expression" dxfId="1430" priority="1431">
      <formula>P$1=""</formula>
    </cfRule>
  </conditionalFormatting>
  <conditionalFormatting sqref="P175:AA175">
    <cfRule type="expression" dxfId="1429" priority="1430">
      <formula>P$1=""</formula>
    </cfRule>
  </conditionalFormatting>
  <conditionalFormatting sqref="P179:AA179 P181:AA181">
    <cfRule type="expression" dxfId="1428" priority="1429">
      <formula>P$1=""</formula>
    </cfRule>
  </conditionalFormatting>
  <conditionalFormatting sqref="P179:AA179 P181:AA181">
    <cfRule type="expression" dxfId="1427" priority="1428">
      <formula>P$1=""</formula>
    </cfRule>
  </conditionalFormatting>
  <conditionalFormatting sqref="P179:AA179 P181:AA181">
    <cfRule type="expression" dxfId="1426" priority="1427">
      <formula>P$1=""</formula>
    </cfRule>
  </conditionalFormatting>
  <conditionalFormatting sqref="P179:AA179 P181:AA181">
    <cfRule type="expression" dxfId="1425" priority="1426">
      <formula>P$1=""</formula>
    </cfRule>
  </conditionalFormatting>
  <conditionalFormatting sqref="P177:AA177 P179:AA179 P181:AA181">
    <cfRule type="expression" dxfId="1424" priority="1425">
      <formula>P$1=""</formula>
    </cfRule>
  </conditionalFormatting>
  <conditionalFormatting sqref="P177:AA177 P179:AA179 P181:AA181">
    <cfRule type="expression" dxfId="1423" priority="1424">
      <formula>P$1=""</formula>
    </cfRule>
  </conditionalFormatting>
  <conditionalFormatting sqref="P177:AA177 P179:AA179 P181:AA181">
    <cfRule type="expression" dxfId="1422" priority="1423">
      <formula>P$1=""</formula>
    </cfRule>
  </conditionalFormatting>
  <conditionalFormatting sqref="P177:AA177 P179:AA179 P181:AA181">
    <cfRule type="expression" dxfId="1421" priority="1422">
      <formula>P$1=""</formula>
    </cfRule>
  </conditionalFormatting>
  <conditionalFormatting sqref="P177:AA177 P179:AA179 P181:AA181">
    <cfRule type="expression" dxfId="1420" priority="1421">
      <formula>P$1=""</formula>
    </cfRule>
  </conditionalFormatting>
  <conditionalFormatting sqref="P177:AA177 P179:AA179 P181:AA181">
    <cfRule type="expression" dxfId="1419" priority="1420">
      <formula>P$1=""</formula>
    </cfRule>
  </conditionalFormatting>
  <conditionalFormatting sqref="P177:AA177 P179:AA179 P181:AA181">
    <cfRule type="expression" dxfId="1418" priority="1419">
      <formula>P$1=""</formula>
    </cfRule>
  </conditionalFormatting>
  <conditionalFormatting sqref="P177:AA177 P179:AA179 P181:AA181">
    <cfRule type="expression" dxfId="1417" priority="1418">
      <formula>P$1=""</formula>
    </cfRule>
  </conditionalFormatting>
  <conditionalFormatting sqref="Q177:AA177">
    <cfRule type="expression" dxfId="1416" priority="1417">
      <formula>Q$1=""</formula>
    </cfRule>
  </conditionalFormatting>
  <conditionalFormatting sqref="Q177:AA177">
    <cfRule type="expression" dxfId="1415" priority="1416">
      <formula>Q$1=""</formula>
    </cfRule>
  </conditionalFormatting>
  <conditionalFormatting sqref="Q177:AA177">
    <cfRule type="expression" dxfId="1414" priority="1415">
      <formula>Q$1=""</formula>
    </cfRule>
  </conditionalFormatting>
  <conditionalFormatting sqref="Q177:AA177">
    <cfRule type="expression" dxfId="1413" priority="1414">
      <formula>Q$1=""</formula>
    </cfRule>
  </conditionalFormatting>
  <conditionalFormatting sqref="Q177:AA177">
    <cfRule type="expression" dxfId="1412" priority="1413">
      <formula>Q$1=""</formula>
    </cfRule>
  </conditionalFormatting>
  <conditionalFormatting sqref="Q177:AA177">
    <cfRule type="expression" dxfId="1411" priority="1412">
      <formula>Q$1=""</formula>
    </cfRule>
  </conditionalFormatting>
  <conditionalFormatting sqref="Q177:AA177">
    <cfRule type="expression" dxfId="1410" priority="1411">
      <formula>Q$1=""</formula>
    </cfRule>
  </conditionalFormatting>
  <conditionalFormatting sqref="Q177:AA177">
    <cfRule type="expression" dxfId="1409" priority="1410">
      <formula>Q$1=""</formula>
    </cfRule>
  </conditionalFormatting>
  <conditionalFormatting sqref="Q179:AA179 Q181:AA181">
    <cfRule type="expression" dxfId="1408" priority="1409">
      <formula>Q$1=""</formula>
    </cfRule>
  </conditionalFormatting>
  <conditionalFormatting sqref="Q179:AA179 Q181:AA181">
    <cfRule type="expression" dxfId="1407" priority="1408">
      <formula>Q$1=""</formula>
    </cfRule>
  </conditionalFormatting>
  <conditionalFormatting sqref="Q179:AA179 Q181:AA181">
    <cfRule type="expression" dxfId="1406" priority="1407">
      <formula>Q$1=""</formula>
    </cfRule>
  </conditionalFormatting>
  <conditionalFormatting sqref="Q179:AA179 Q181:AA181">
    <cfRule type="expression" dxfId="1405" priority="1406">
      <formula>Q$1=""</formula>
    </cfRule>
  </conditionalFormatting>
  <conditionalFormatting sqref="Q179:AA179 Q181:AA181">
    <cfRule type="expression" dxfId="1404" priority="1405">
      <formula>Q$1=""</formula>
    </cfRule>
  </conditionalFormatting>
  <conditionalFormatting sqref="Q179:AA179 Q181:AA181">
    <cfRule type="expression" dxfId="1403" priority="1404">
      <formula>Q$1=""</formula>
    </cfRule>
  </conditionalFormatting>
  <conditionalFormatting sqref="Q179:AA179 Q181:AA181">
    <cfRule type="expression" dxfId="1402" priority="1403">
      <formula>Q$1=""</formula>
    </cfRule>
  </conditionalFormatting>
  <conditionalFormatting sqref="Q179:AA179 Q181:AA181">
    <cfRule type="expression" dxfId="1401" priority="1402">
      <formula>Q$1=""</formula>
    </cfRule>
  </conditionalFormatting>
  <conditionalFormatting sqref="Q179:AA179 Q181:AA181">
    <cfRule type="expression" dxfId="1400" priority="1401">
      <formula>Q$1=""</formula>
    </cfRule>
  </conditionalFormatting>
  <conditionalFormatting sqref="Q179:AA179 Q181:AA181">
    <cfRule type="expression" dxfId="1399" priority="1400">
      <formula>Q$1=""</formula>
    </cfRule>
  </conditionalFormatting>
  <conditionalFormatting sqref="P175:AA175 P179:AA179 P181:AA181">
    <cfRule type="expression" dxfId="1398" priority="1399">
      <formula>P$1=""</formula>
    </cfRule>
  </conditionalFormatting>
  <conditionalFormatting sqref="P175:AA175">
    <cfRule type="expression" dxfId="1397" priority="1398">
      <formula>P$1=""</formula>
    </cfRule>
  </conditionalFormatting>
  <conditionalFormatting sqref="P175:AA175">
    <cfRule type="expression" dxfId="1396" priority="1397">
      <formula>P$1=""</formula>
    </cfRule>
  </conditionalFormatting>
  <conditionalFormatting sqref="P175:AA175">
    <cfRule type="expression" dxfId="1395" priority="1396">
      <formula>P$1=""</formula>
    </cfRule>
  </conditionalFormatting>
  <conditionalFormatting sqref="P175:AA175">
    <cfRule type="expression" dxfId="1394" priority="1395">
      <formula>P$1=""</formula>
    </cfRule>
  </conditionalFormatting>
  <conditionalFormatting sqref="P175:AA175">
    <cfRule type="expression" dxfId="1393" priority="1394">
      <formula>P$1=""</formula>
    </cfRule>
  </conditionalFormatting>
  <conditionalFormatting sqref="P175:AA175 P179:AA179 P181:AA181">
    <cfRule type="expression" dxfId="1392" priority="1393">
      <formula>P$1=""</formula>
    </cfRule>
  </conditionalFormatting>
  <conditionalFormatting sqref="P175:AA175">
    <cfRule type="expression" dxfId="1391" priority="1392">
      <formula>P$1=""</formula>
    </cfRule>
  </conditionalFormatting>
  <conditionalFormatting sqref="P175:AA175">
    <cfRule type="expression" dxfId="1390" priority="1391">
      <formula>P$1=""</formula>
    </cfRule>
  </conditionalFormatting>
  <conditionalFormatting sqref="P175:AA175">
    <cfRule type="expression" dxfId="1389" priority="1390">
      <formula>P$1=""</formula>
    </cfRule>
  </conditionalFormatting>
  <conditionalFormatting sqref="P175:AA175">
    <cfRule type="expression" dxfId="1388" priority="1389">
      <formula>P$1=""</formula>
    </cfRule>
  </conditionalFormatting>
  <conditionalFormatting sqref="P175:AA175">
    <cfRule type="expression" dxfId="1387" priority="1388">
      <formula>P$1=""</formula>
    </cfRule>
  </conditionalFormatting>
  <conditionalFormatting sqref="P175:AA175">
    <cfRule type="expression" dxfId="1386" priority="1387">
      <formula>P$1=""</formula>
    </cfRule>
  </conditionalFormatting>
  <conditionalFormatting sqref="P175:AA175">
    <cfRule type="expression" dxfId="1385" priority="1386">
      <formula>P$1=""</formula>
    </cfRule>
  </conditionalFormatting>
  <conditionalFormatting sqref="P175:AA175">
    <cfRule type="expression" dxfId="1384" priority="1385">
      <formula>P$1=""</formula>
    </cfRule>
  </conditionalFormatting>
  <conditionalFormatting sqref="P271:AA271">
    <cfRule type="expression" dxfId="1383" priority="1384">
      <formula>P$1=""</formula>
    </cfRule>
  </conditionalFormatting>
  <conditionalFormatting sqref="P273:AA273">
    <cfRule type="expression" dxfId="1382" priority="1383">
      <formula>P$1=""</formula>
    </cfRule>
  </conditionalFormatting>
  <conditionalFormatting sqref="P275:AA275">
    <cfRule type="expression" dxfId="1381" priority="1382">
      <formula>P$1=""</formula>
    </cfRule>
  </conditionalFormatting>
  <conditionalFormatting sqref="P277:AA277">
    <cfRule type="expression" dxfId="1380" priority="1381">
      <formula>P$1=""</formula>
    </cfRule>
  </conditionalFormatting>
  <conditionalFormatting sqref="P273:AA273 P275:AA275 P277:AA277">
    <cfRule type="expression" dxfId="1379" priority="1380">
      <formula>P$1=""</formula>
    </cfRule>
  </conditionalFormatting>
  <conditionalFormatting sqref="P273:AA273 P275:AA275 P277:AA277">
    <cfRule type="expression" dxfId="1378" priority="1379">
      <formula>P$1=""</formula>
    </cfRule>
  </conditionalFormatting>
  <conditionalFormatting sqref="P273:AA273 P275:AA275 P277:AA277">
    <cfRule type="expression" dxfId="1377" priority="1378">
      <formula>P$1=""</formula>
    </cfRule>
  </conditionalFormatting>
  <conditionalFormatting sqref="P273:AA273 P275:AA275 P277:AA277">
    <cfRule type="expression" dxfId="1376" priority="1377">
      <formula>P$1=""</formula>
    </cfRule>
  </conditionalFormatting>
  <conditionalFormatting sqref="P273:AA273 P275:AA275 P277:AA277">
    <cfRule type="expression" dxfId="1375" priority="1376">
      <formula>P$1=""</formula>
    </cfRule>
  </conditionalFormatting>
  <conditionalFormatting sqref="P275:AA275 P277:AA277">
    <cfRule type="expression" dxfId="1374" priority="1375">
      <formula>P$1=""</formula>
    </cfRule>
  </conditionalFormatting>
  <conditionalFormatting sqref="P273:AA273">
    <cfRule type="expression" dxfId="1373" priority="1374">
      <formula>P$1=""</formula>
    </cfRule>
  </conditionalFormatting>
  <conditionalFormatting sqref="P275:AA275 P277:AA277">
    <cfRule type="expression" dxfId="1372" priority="1373">
      <formula>P$1=""</formula>
    </cfRule>
  </conditionalFormatting>
  <conditionalFormatting sqref="P275:AA275 P277:AA277">
    <cfRule type="expression" dxfId="1371" priority="1372">
      <formula>P$1=""</formula>
    </cfRule>
  </conditionalFormatting>
  <conditionalFormatting sqref="P277:AA277">
    <cfRule type="expression" dxfId="1370" priority="1371">
      <formula>P$1=""</formula>
    </cfRule>
  </conditionalFormatting>
  <conditionalFormatting sqref="P277:AA277">
    <cfRule type="expression" dxfId="1369" priority="1370">
      <formula>P$1=""</formula>
    </cfRule>
  </conditionalFormatting>
  <conditionalFormatting sqref="P277:AA277">
    <cfRule type="expression" dxfId="1368" priority="1369">
      <formula>P$1=""</formula>
    </cfRule>
  </conditionalFormatting>
  <conditionalFormatting sqref="P277:AA277">
    <cfRule type="expression" dxfId="1367" priority="1368">
      <formula>P$1=""</formula>
    </cfRule>
  </conditionalFormatting>
  <conditionalFormatting sqref="P271:AA271">
    <cfRule type="expression" dxfId="1366" priority="1367">
      <formula>P$1=""</formula>
    </cfRule>
  </conditionalFormatting>
  <conditionalFormatting sqref="P271:AA271">
    <cfRule type="expression" dxfId="1365" priority="1366">
      <formula>P$1=""</formula>
    </cfRule>
  </conditionalFormatting>
  <conditionalFormatting sqref="P271:AA271">
    <cfRule type="expression" dxfId="1364" priority="1365">
      <formula>P$1=""</formula>
    </cfRule>
  </conditionalFormatting>
  <conditionalFormatting sqref="P271:AA271">
    <cfRule type="expression" dxfId="1363" priority="1364">
      <formula>P$1=""</formula>
    </cfRule>
  </conditionalFormatting>
  <conditionalFormatting sqref="P271:AA271">
    <cfRule type="expression" dxfId="1362" priority="1363">
      <formula>P$1=""</formula>
    </cfRule>
  </conditionalFormatting>
  <conditionalFormatting sqref="P271:AA271">
    <cfRule type="expression" dxfId="1361" priority="1362">
      <formula>P$1=""</formula>
    </cfRule>
  </conditionalFormatting>
  <conditionalFormatting sqref="P271:AA271">
    <cfRule type="expression" dxfId="1360" priority="1361">
      <formula>P$1=""</formula>
    </cfRule>
  </conditionalFormatting>
  <conditionalFormatting sqref="P277:AA277 P275:AA275">
    <cfRule type="expression" dxfId="1359" priority="1360">
      <formula>P$1=""</formula>
    </cfRule>
  </conditionalFormatting>
  <conditionalFormatting sqref="P277:AA277 P275:AA275">
    <cfRule type="expression" dxfId="1358" priority="1359">
      <formula>P$1=""</formula>
    </cfRule>
  </conditionalFormatting>
  <conditionalFormatting sqref="P277:AA277 P275:AA275">
    <cfRule type="expression" dxfId="1357" priority="1358">
      <formula>P$1=""</formula>
    </cfRule>
  </conditionalFormatting>
  <conditionalFormatting sqref="P277:AA277 P275:AA275">
    <cfRule type="expression" dxfId="1356" priority="1357">
      <formula>P$1=""</formula>
    </cfRule>
  </conditionalFormatting>
  <conditionalFormatting sqref="P281:AA281">
    <cfRule type="expression" dxfId="1355" priority="1356">
      <formula>P$1=""</formula>
    </cfRule>
  </conditionalFormatting>
  <conditionalFormatting sqref="P283:AA283">
    <cfRule type="expression" dxfId="1354" priority="1355">
      <formula>P$1=""</formula>
    </cfRule>
  </conditionalFormatting>
  <conditionalFormatting sqref="P285:AA285">
    <cfRule type="expression" dxfId="1353" priority="1354">
      <formula>P$1=""</formula>
    </cfRule>
  </conditionalFormatting>
  <conditionalFormatting sqref="P287:AA287">
    <cfRule type="expression" dxfId="1352" priority="1353">
      <formula>P$1=""</formula>
    </cfRule>
  </conditionalFormatting>
  <conditionalFormatting sqref="P283:AA283 P285:AA285 P287:AA287">
    <cfRule type="expression" dxfId="1351" priority="1352">
      <formula>P$1=""</formula>
    </cfRule>
  </conditionalFormatting>
  <conditionalFormatting sqref="P283:AA283 P285:AA285 P287:AA287">
    <cfRule type="expression" dxfId="1350" priority="1351">
      <formula>P$1=""</formula>
    </cfRule>
  </conditionalFormatting>
  <conditionalFormatting sqref="P283:AA283 P285:AA285 P287:AA287">
    <cfRule type="expression" dxfId="1349" priority="1350">
      <formula>P$1=""</formula>
    </cfRule>
  </conditionalFormatting>
  <conditionalFormatting sqref="P283:AA283 P285:AA285 P287:AA287">
    <cfRule type="expression" dxfId="1348" priority="1349">
      <formula>P$1=""</formula>
    </cfRule>
  </conditionalFormatting>
  <conditionalFormatting sqref="P283:AA283 P285:AA285 P287:AA287">
    <cfRule type="expression" dxfId="1347" priority="1348">
      <formula>P$1=""</formula>
    </cfRule>
  </conditionalFormatting>
  <conditionalFormatting sqref="P285:AA285 P287:AA287">
    <cfRule type="expression" dxfId="1346" priority="1347">
      <formula>P$1=""</formula>
    </cfRule>
  </conditionalFormatting>
  <conditionalFormatting sqref="P283:AA283">
    <cfRule type="expression" dxfId="1345" priority="1346">
      <formula>P$1=""</formula>
    </cfRule>
  </conditionalFormatting>
  <conditionalFormatting sqref="P285:AA285 P287:AA287">
    <cfRule type="expression" dxfId="1344" priority="1345">
      <formula>P$1=""</formula>
    </cfRule>
  </conditionalFormatting>
  <conditionalFormatting sqref="P285:AA285 P287:AA287">
    <cfRule type="expression" dxfId="1343" priority="1344">
      <formula>P$1=""</formula>
    </cfRule>
  </conditionalFormatting>
  <conditionalFormatting sqref="P287:AA287">
    <cfRule type="expression" dxfId="1342" priority="1343">
      <formula>P$1=""</formula>
    </cfRule>
  </conditionalFormatting>
  <conditionalFormatting sqref="P287:AA287">
    <cfRule type="expression" dxfId="1341" priority="1342">
      <formula>P$1=""</formula>
    </cfRule>
  </conditionalFormatting>
  <conditionalFormatting sqref="P287:AA287">
    <cfRule type="expression" dxfId="1340" priority="1341">
      <formula>P$1=""</formula>
    </cfRule>
  </conditionalFormatting>
  <conditionalFormatting sqref="P287:AA287">
    <cfRule type="expression" dxfId="1339" priority="1340">
      <formula>P$1=""</formula>
    </cfRule>
  </conditionalFormatting>
  <conditionalFormatting sqref="P281:AA281">
    <cfRule type="expression" dxfId="1338" priority="1339">
      <formula>P$1=""</formula>
    </cfRule>
  </conditionalFormatting>
  <conditionalFormatting sqref="P281:AA281">
    <cfRule type="expression" dxfId="1337" priority="1338">
      <formula>P$1=""</formula>
    </cfRule>
  </conditionalFormatting>
  <conditionalFormatting sqref="P281:AA281">
    <cfRule type="expression" dxfId="1336" priority="1337">
      <formula>P$1=""</formula>
    </cfRule>
  </conditionalFormatting>
  <conditionalFormatting sqref="P281:AA281">
    <cfRule type="expression" dxfId="1335" priority="1336">
      <formula>P$1=""</formula>
    </cfRule>
  </conditionalFormatting>
  <conditionalFormatting sqref="P281:AA281">
    <cfRule type="expression" dxfId="1334" priority="1335">
      <formula>P$1=""</formula>
    </cfRule>
  </conditionalFormatting>
  <conditionalFormatting sqref="P281:AA281">
    <cfRule type="expression" dxfId="1333" priority="1334">
      <formula>P$1=""</formula>
    </cfRule>
  </conditionalFormatting>
  <conditionalFormatting sqref="P281:AA281">
    <cfRule type="expression" dxfId="1332" priority="1333">
      <formula>P$1=""</formula>
    </cfRule>
  </conditionalFormatting>
  <conditionalFormatting sqref="P285:AA285 P287:AA287">
    <cfRule type="expression" dxfId="1331" priority="1332">
      <formula>P$1=""</formula>
    </cfRule>
  </conditionalFormatting>
  <conditionalFormatting sqref="P285:AA285 P287:AA287">
    <cfRule type="expression" dxfId="1330" priority="1331">
      <formula>P$1=""</formula>
    </cfRule>
  </conditionalFormatting>
  <conditionalFormatting sqref="P285:AA285 P287:AA287">
    <cfRule type="expression" dxfId="1329" priority="1330">
      <formula>P$1=""</formula>
    </cfRule>
  </conditionalFormatting>
  <conditionalFormatting sqref="P285:AA285 P287:AA287">
    <cfRule type="expression" dxfId="1328" priority="1329">
      <formula>P$1=""</formula>
    </cfRule>
  </conditionalFormatting>
  <conditionalFormatting sqref="P285 P287 P283:AA283">
    <cfRule type="expression" dxfId="1327" priority="1328">
      <formula>P$1=""</formula>
    </cfRule>
  </conditionalFormatting>
  <conditionalFormatting sqref="P285 P287 P283:AA283">
    <cfRule type="expression" dxfId="1326" priority="1327">
      <formula>P$1=""</formula>
    </cfRule>
  </conditionalFormatting>
  <conditionalFormatting sqref="P285 P287 P283:AA283">
    <cfRule type="expression" dxfId="1325" priority="1326">
      <formula>P$1=""</formula>
    </cfRule>
  </conditionalFormatting>
  <conditionalFormatting sqref="P285 P287 P283:AA283">
    <cfRule type="expression" dxfId="1324" priority="1325">
      <formula>P$1=""</formula>
    </cfRule>
  </conditionalFormatting>
  <conditionalFormatting sqref="P285 P287 P283:AA283">
    <cfRule type="expression" dxfId="1323" priority="1324">
      <formula>P$1=""</formula>
    </cfRule>
  </conditionalFormatting>
  <conditionalFormatting sqref="P285 P287 P283:AA283">
    <cfRule type="expression" dxfId="1322" priority="1323">
      <formula>P$1=""</formula>
    </cfRule>
  </conditionalFormatting>
  <conditionalFormatting sqref="P285 P287 P283:AA283">
    <cfRule type="expression" dxfId="1321" priority="1322">
      <formula>P$1=""</formula>
    </cfRule>
  </conditionalFormatting>
  <conditionalFormatting sqref="P285 P287 P283:AA283">
    <cfRule type="expression" dxfId="1320" priority="1321">
      <formula>P$1=""</formula>
    </cfRule>
  </conditionalFormatting>
  <conditionalFormatting sqref="Q283:AA283">
    <cfRule type="expression" dxfId="1319" priority="1320">
      <formula>Q$1=""</formula>
    </cfRule>
  </conditionalFormatting>
  <conditionalFormatting sqref="Q283:AA283">
    <cfRule type="expression" dxfId="1318" priority="1319">
      <formula>Q$1=""</formula>
    </cfRule>
  </conditionalFormatting>
  <conditionalFormatting sqref="Q283:AA283">
    <cfRule type="expression" dxfId="1317" priority="1318">
      <formula>Q$1=""</formula>
    </cfRule>
  </conditionalFormatting>
  <conditionalFormatting sqref="Q283:AA283">
    <cfRule type="expression" dxfId="1316" priority="1317">
      <formula>Q$1=""</formula>
    </cfRule>
  </conditionalFormatting>
  <conditionalFormatting sqref="Q283:AA283">
    <cfRule type="expression" dxfId="1315" priority="1316">
      <formula>Q$1=""</formula>
    </cfRule>
  </conditionalFormatting>
  <conditionalFormatting sqref="Q283:AA283">
    <cfRule type="expression" dxfId="1314" priority="1315">
      <formula>Q$1=""</formula>
    </cfRule>
  </conditionalFormatting>
  <conditionalFormatting sqref="Q283:AA283">
    <cfRule type="expression" dxfId="1313" priority="1314">
      <formula>Q$1=""</formula>
    </cfRule>
  </conditionalFormatting>
  <conditionalFormatting sqref="Q283:AA283">
    <cfRule type="expression" dxfId="1312" priority="1313">
      <formula>Q$1=""</formula>
    </cfRule>
  </conditionalFormatting>
  <conditionalFormatting sqref="Q285:AA285 Q287:AA287">
    <cfRule type="expression" dxfId="1311" priority="1312">
      <formula>Q$1=""</formula>
    </cfRule>
  </conditionalFormatting>
  <conditionalFormatting sqref="Q285:AA285 Q287:AA287">
    <cfRule type="expression" dxfId="1310" priority="1311">
      <formula>Q$1=""</formula>
    </cfRule>
  </conditionalFormatting>
  <conditionalFormatting sqref="Q285:AA285 Q287:AA287">
    <cfRule type="expression" dxfId="1309" priority="1310">
      <formula>Q$1=""</formula>
    </cfRule>
  </conditionalFormatting>
  <conditionalFormatting sqref="Q285:AA285 Q287:AA287">
    <cfRule type="expression" dxfId="1308" priority="1309">
      <formula>Q$1=""</formula>
    </cfRule>
  </conditionalFormatting>
  <conditionalFormatting sqref="Q285:AA285 Q287:AA287">
    <cfRule type="expression" dxfId="1307" priority="1308">
      <formula>Q$1=""</formula>
    </cfRule>
  </conditionalFormatting>
  <conditionalFormatting sqref="Q285:AA285 Q287:AA287">
    <cfRule type="expression" dxfId="1306" priority="1307">
      <formula>Q$1=""</formula>
    </cfRule>
  </conditionalFormatting>
  <conditionalFormatting sqref="Q285:AA285 Q287:AA287">
    <cfRule type="expression" dxfId="1305" priority="1306">
      <formula>Q$1=""</formula>
    </cfRule>
  </conditionalFormatting>
  <conditionalFormatting sqref="Q285:AA285 Q287:AA287">
    <cfRule type="expression" dxfId="1304" priority="1305">
      <formula>Q$1=""</formula>
    </cfRule>
  </conditionalFormatting>
  <conditionalFormatting sqref="Q285:AA285 Q287:AA287">
    <cfRule type="expression" dxfId="1303" priority="1304">
      <formula>Q$1=""</formula>
    </cfRule>
  </conditionalFormatting>
  <conditionalFormatting sqref="Q285:AA285 Q287:AA287">
    <cfRule type="expression" dxfId="1302" priority="1303">
      <formula>Q$1=""</formula>
    </cfRule>
  </conditionalFormatting>
  <conditionalFormatting sqref="P291:AA291">
    <cfRule type="expression" dxfId="1301" priority="1302">
      <formula>P$1=""</formula>
    </cfRule>
  </conditionalFormatting>
  <conditionalFormatting sqref="P293:AA293">
    <cfRule type="expression" dxfId="1300" priority="1301">
      <formula>P$1=""</formula>
    </cfRule>
  </conditionalFormatting>
  <conditionalFormatting sqref="P295:AA295">
    <cfRule type="expression" dxfId="1299" priority="1300">
      <formula>P$1=""</formula>
    </cfRule>
  </conditionalFormatting>
  <conditionalFormatting sqref="P297:AA297">
    <cfRule type="expression" dxfId="1298" priority="1299">
      <formula>P$1=""</formula>
    </cfRule>
  </conditionalFormatting>
  <conditionalFormatting sqref="P293:AA293 P295:AA295 P297:AA297">
    <cfRule type="expression" dxfId="1297" priority="1298">
      <formula>P$1=""</formula>
    </cfRule>
  </conditionalFormatting>
  <conditionalFormatting sqref="P293:AA293 P295:AA295 P297:AA297">
    <cfRule type="expression" dxfId="1296" priority="1297">
      <formula>P$1=""</formula>
    </cfRule>
  </conditionalFormatting>
  <conditionalFormatting sqref="P293:AA293 P295:AA295 P297:AA297">
    <cfRule type="expression" dxfId="1295" priority="1296">
      <formula>P$1=""</formula>
    </cfRule>
  </conditionalFormatting>
  <conditionalFormatting sqref="P293:AA293 P295:AA295 P297:AA297">
    <cfRule type="expression" dxfId="1294" priority="1295">
      <formula>P$1=""</formula>
    </cfRule>
  </conditionalFormatting>
  <conditionalFormatting sqref="P293:AA293 P295:AA295 P297:AA297">
    <cfRule type="expression" dxfId="1293" priority="1294">
      <formula>P$1=""</formula>
    </cfRule>
  </conditionalFormatting>
  <conditionalFormatting sqref="P295:AA295 P297:AA297">
    <cfRule type="expression" dxfId="1292" priority="1293">
      <formula>P$1=""</formula>
    </cfRule>
  </conditionalFormatting>
  <conditionalFormatting sqref="P293:AA293">
    <cfRule type="expression" dxfId="1291" priority="1292">
      <formula>P$1=""</formula>
    </cfRule>
  </conditionalFormatting>
  <conditionalFormatting sqref="P295:AA295 P297:AA297">
    <cfRule type="expression" dxfId="1290" priority="1291">
      <formula>P$1=""</formula>
    </cfRule>
  </conditionalFormatting>
  <conditionalFormatting sqref="P295:AA295 P297:AA297">
    <cfRule type="expression" dxfId="1289" priority="1290">
      <formula>P$1=""</formula>
    </cfRule>
  </conditionalFormatting>
  <conditionalFormatting sqref="P297:AA297">
    <cfRule type="expression" dxfId="1288" priority="1289">
      <formula>P$1=""</formula>
    </cfRule>
  </conditionalFormatting>
  <conditionalFormatting sqref="P297:AA297">
    <cfRule type="expression" dxfId="1287" priority="1288">
      <formula>P$1=""</formula>
    </cfRule>
  </conditionalFormatting>
  <conditionalFormatting sqref="P297:AA297">
    <cfRule type="expression" dxfId="1286" priority="1287">
      <formula>P$1=""</formula>
    </cfRule>
  </conditionalFormatting>
  <conditionalFormatting sqref="P297:AA297">
    <cfRule type="expression" dxfId="1285" priority="1286">
      <formula>P$1=""</formula>
    </cfRule>
  </conditionalFormatting>
  <conditionalFormatting sqref="P291:AA291">
    <cfRule type="expression" dxfId="1284" priority="1285">
      <formula>P$1=""</formula>
    </cfRule>
  </conditionalFormatting>
  <conditionalFormatting sqref="P291:AA291">
    <cfRule type="expression" dxfId="1283" priority="1284">
      <formula>P$1=""</formula>
    </cfRule>
  </conditionalFormatting>
  <conditionalFormatting sqref="P291:AA291">
    <cfRule type="expression" dxfId="1282" priority="1283">
      <formula>P$1=""</formula>
    </cfRule>
  </conditionalFormatting>
  <conditionalFormatting sqref="P291:AA291">
    <cfRule type="expression" dxfId="1281" priority="1282">
      <formula>P$1=""</formula>
    </cfRule>
  </conditionalFormatting>
  <conditionalFormatting sqref="P291:AA291">
    <cfRule type="expression" dxfId="1280" priority="1281">
      <formula>P$1=""</formula>
    </cfRule>
  </conditionalFormatting>
  <conditionalFormatting sqref="P291:AA291">
    <cfRule type="expression" dxfId="1279" priority="1280">
      <formula>P$1=""</formula>
    </cfRule>
  </conditionalFormatting>
  <conditionalFormatting sqref="P291:AA291">
    <cfRule type="expression" dxfId="1278" priority="1279">
      <formula>P$1=""</formula>
    </cfRule>
  </conditionalFormatting>
  <conditionalFormatting sqref="P295:AA295 P297:AA297">
    <cfRule type="expression" dxfId="1277" priority="1278">
      <formula>P$1=""</formula>
    </cfRule>
  </conditionalFormatting>
  <conditionalFormatting sqref="P295:AA295 P297:AA297">
    <cfRule type="expression" dxfId="1276" priority="1277">
      <formula>P$1=""</formula>
    </cfRule>
  </conditionalFormatting>
  <conditionalFormatting sqref="P295:AA295 P297:AA297">
    <cfRule type="expression" dxfId="1275" priority="1276">
      <formula>P$1=""</formula>
    </cfRule>
  </conditionalFormatting>
  <conditionalFormatting sqref="P295:AA295 P297:AA297">
    <cfRule type="expression" dxfId="1274" priority="1275">
      <formula>P$1=""</formula>
    </cfRule>
  </conditionalFormatting>
  <conditionalFormatting sqref="P293:AA293 P295:AA295 P297:AA297">
    <cfRule type="expression" dxfId="1273" priority="1274">
      <formula>P$1=""</formula>
    </cfRule>
  </conditionalFormatting>
  <conditionalFormatting sqref="P293:AA293 P295:AA295 P297:AA297">
    <cfRule type="expression" dxfId="1272" priority="1273">
      <formula>P$1=""</formula>
    </cfRule>
  </conditionalFormatting>
  <conditionalFormatting sqref="P293:AA293 P295:AA295 P297:AA297">
    <cfRule type="expression" dxfId="1271" priority="1272">
      <formula>P$1=""</formula>
    </cfRule>
  </conditionalFormatting>
  <conditionalFormatting sqref="P293:AA293 P295:AA295 P297:AA297">
    <cfRule type="expression" dxfId="1270" priority="1271">
      <formula>P$1=""</formula>
    </cfRule>
  </conditionalFormatting>
  <conditionalFormatting sqref="P293:AA293 P295:AA295 P297:AA297">
    <cfRule type="expression" dxfId="1269" priority="1270">
      <formula>P$1=""</formula>
    </cfRule>
  </conditionalFormatting>
  <conditionalFormatting sqref="P293:AA293 P295:AA295 P297:AA297">
    <cfRule type="expression" dxfId="1268" priority="1269">
      <formula>P$1=""</formula>
    </cfRule>
  </conditionalFormatting>
  <conditionalFormatting sqref="P293:AA293 P295:AA295 P297:AA297">
    <cfRule type="expression" dxfId="1267" priority="1268">
      <formula>P$1=""</formula>
    </cfRule>
  </conditionalFormatting>
  <conditionalFormatting sqref="P293:AA293 P295:AA295 P297:AA297">
    <cfRule type="expression" dxfId="1266" priority="1267">
      <formula>P$1=""</formula>
    </cfRule>
  </conditionalFormatting>
  <conditionalFormatting sqref="Q293:AA293">
    <cfRule type="expression" dxfId="1265" priority="1266">
      <formula>Q$1=""</formula>
    </cfRule>
  </conditionalFormatting>
  <conditionalFormatting sqref="Q293:AA293">
    <cfRule type="expression" dxfId="1264" priority="1265">
      <formula>Q$1=""</formula>
    </cfRule>
  </conditionalFormatting>
  <conditionalFormatting sqref="Q293:AA293">
    <cfRule type="expression" dxfId="1263" priority="1264">
      <formula>Q$1=""</formula>
    </cfRule>
  </conditionalFormatting>
  <conditionalFormatting sqref="Q293:AA293">
    <cfRule type="expression" dxfId="1262" priority="1263">
      <formula>Q$1=""</formula>
    </cfRule>
  </conditionalFormatting>
  <conditionalFormatting sqref="Q293:AA293">
    <cfRule type="expression" dxfId="1261" priority="1262">
      <formula>Q$1=""</formula>
    </cfRule>
  </conditionalFormatting>
  <conditionalFormatting sqref="Q293:AA293">
    <cfRule type="expression" dxfId="1260" priority="1261">
      <formula>Q$1=""</formula>
    </cfRule>
  </conditionalFormatting>
  <conditionalFormatting sqref="Q293:AA293">
    <cfRule type="expression" dxfId="1259" priority="1260">
      <formula>Q$1=""</formula>
    </cfRule>
  </conditionalFormatting>
  <conditionalFormatting sqref="Q293:AA293">
    <cfRule type="expression" dxfId="1258" priority="1259">
      <formula>Q$1=""</formula>
    </cfRule>
  </conditionalFormatting>
  <conditionalFormatting sqref="Q295:AA295 Q297:AA297">
    <cfRule type="expression" dxfId="1257" priority="1258">
      <formula>Q$1=""</formula>
    </cfRule>
  </conditionalFormatting>
  <conditionalFormatting sqref="Q295:AA295 Q297:AA297">
    <cfRule type="expression" dxfId="1256" priority="1257">
      <formula>Q$1=""</formula>
    </cfRule>
  </conditionalFormatting>
  <conditionalFormatting sqref="Q295:AA295 Q297:AA297">
    <cfRule type="expression" dxfId="1255" priority="1256">
      <formula>Q$1=""</formula>
    </cfRule>
  </conditionalFormatting>
  <conditionalFormatting sqref="Q295:AA295 Q297:AA297">
    <cfRule type="expression" dxfId="1254" priority="1255">
      <formula>Q$1=""</formula>
    </cfRule>
  </conditionalFormatting>
  <conditionalFormatting sqref="Q295:AA295 Q297:AA297">
    <cfRule type="expression" dxfId="1253" priority="1254">
      <formula>Q$1=""</formula>
    </cfRule>
  </conditionalFormatting>
  <conditionalFormatting sqref="Q295:AA295 Q297:AA297">
    <cfRule type="expression" dxfId="1252" priority="1253">
      <formula>Q$1=""</formula>
    </cfRule>
  </conditionalFormatting>
  <conditionalFormatting sqref="Q295:AA295 Q297:AA297">
    <cfRule type="expression" dxfId="1251" priority="1252">
      <formula>Q$1=""</formula>
    </cfRule>
  </conditionalFormatting>
  <conditionalFormatting sqref="Q295:AA295 Q297:AA297">
    <cfRule type="expression" dxfId="1250" priority="1251">
      <formula>Q$1=""</formula>
    </cfRule>
  </conditionalFormatting>
  <conditionalFormatting sqref="Q295:AA295 Q297:AA297">
    <cfRule type="expression" dxfId="1249" priority="1250">
      <formula>Q$1=""</formula>
    </cfRule>
  </conditionalFormatting>
  <conditionalFormatting sqref="Q295:AA295 Q297:AA297">
    <cfRule type="expression" dxfId="1248" priority="1249">
      <formula>Q$1=""</formula>
    </cfRule>
  </conditionalFormatting>
  <conditionalFormatting sqref="P295:AA295 P297:AA297 P291:AA291">
    <cfRule type="expression" dxfId="1247" priority="1248">
      <formula>P$1=""</formula>
    </cfRule>
  </conditionalFormatting>
  <conditionalFormatting sqref="P291:AA291">
    <cfRule type="expression" dxfId="1246" priority="1247">
      <formula>P$1=""</formula>
    </cfRule>
  </conditionalFormatting>
  <conditionalFormatting sqref="P291:AA291">
    <cfRule type="expression" dxfId="1245" priority="1246">
      <formula>P$1=""</formula>
    </cfRule>
  </conditionalFormatting>
  <conditionalFormatting sqref="P291:AA291">
    <cfRule type="expression" dxfId="1244" priority="1245">
      <formula>P$1=""</formula>
    </cfRule>
  </conditionalFormatting>
  <conditionalFormatting sqref="P291:AA291">
    <cfRule type="expression" dxfId="1243" priority="1244">
      <formula>P$1=""</formula>
    </cfRule>
  </conditionalFormatting>
  <conditionalFormatting sqref="P291:AA291">
    <cfRule type="expression" dxfId="1242" priority="1243">
      <formula>P$1=""</formula>
    </cfRule>
  </conditionalFormatting>
  <conditionalFormatting sqref="P295:AA295 P297:AA297 P291:AA291">
    <cfRule type="expression" dxfId="1241" priority="1242">
      <formula>P$1=""</formula>
    </cfRule>
  </conditionalFormatting>
  <conditionalFormatting sqref="P291:AA291">
    <cfRule type="expression" dxfId="1240" priority="1241">
      <formula>P$1=""</formula>
    </cfRule>
  </conditionalFormatting>
  <conditionalFormatting sqref="P291:AA291">
    <cfRule type="expression" dxfId="1239" priority="1240">
      <formula>P$1=""</formula>
    </cfRule>
  </conditionalFormatting>
  <conditionalFormatting sqref="P291:AA291">
    <cfRule type="expression" dxfId="1238" priority="1239">
      <formula>P$1=""</formula>
    </cfRule>
  </conditionalFormatting>
  <conditionalFormatting sqref="P291:AA291">
    <cfRule type="expression" dxfId="1237" priority="1238">
      <formula>P$1=""</formula>
    </cfRule>
  </conditionalFormatting>
  <conditionalFormatting sqref="P291:AA291">
    <cfRule type="expression" dxfId="1236" priority="1237">
      <formula>P$1=""</formula>
    </cfRule>
  </conditionalFormatting>
  <conditionalFormatting sqref="P291:AA291">
    <cfRule type="expression" dxfId="1235" priority="1236">
      <formula>P$1=""</formula>
    </cfRule>
  </conditionalFormatting>
  <conditionalFormatting sqref="P291:AA291">
    <cfRule type="expression" dxfId="1234" priority="1235">
      <formula>P$1=""</formula>
    </cfRule>
  </conditionalFormatting>
  <conditionalFormatting sqref="P291:AA291">
    <cfRule type="expression" dxfId="1233" priority="1234">
      <formula>P$1=""</formula>
    </cfRule>
  </conditionalFormatting>
  <conditionalFormatting sqref="P152:AA152">
    <cfRule type="expression" dxfId="1232" priority="1233">
      <formula>P$1=""</formula>
    </cfRule>
  </conditionalFormatting>
  <conditionalFormatting sqref="P152:AA152">
    <cfRule type="expression" dxfId="1231" priority="1232">
      <formula>P$1=""</formula>
    </cfRule>
  </conditionalFormatting>
  <conditionalFormatting sqref="P152:AA152">
    <cfRule type="expression" dxfId="1230" priority="1231">
      <formula>P$1=""</formula>
    </cfRule>
  </conditionalFormatting>
  <conditionalFormatting sqref="P152:AA152">
    <cfRule type="expression" dxfId="1229" priority="1230">
      <formula>P$1=""</formula>
    </cfRule>
  </conditionalFormatting>
  <conditionalFormatting sqref="P152:AA152">
    <cfRule type="expression" dxfId="1228" priority="1229">
      <formula>P$1=""</formula>
    </cfRule>
  </conditionalFormatting>
  <conditionalFormatting sqref="P152:AA152">
    <cfRule type="expression" dxfId="1227" priority="1228">
      <formula>P$1=""</formula>
    </cfRule>
  </conditionalFormatting>
  <conditionalFormatting sqref="P152:AA152">
    <cfRule type="expression" dxfId="1226" priority="1227">
      <formula>P$1=""</formula>
    </cfRule>
  </conditionalFormatting>
  <conditionalFormatting sqref="P152:AA152">
    <cfRule type="expression" dxfId="1225" priority="1226">
      <formula>P$1=""</formula>
    </cfRule>
  </conditionalFormatting>
  <conditionalFormatting sqref="P281:AA281">
    <cfRule type="expression" dxfId="1224" priority="1225">
      <formula>P$1=""</formula>
    </cfRule>
  </conditionalFormatting>
  <conditionalFormatting sqref="P281:AA281">
    <cfRule type="expression" dxfId="1223" priority="1224">
      <formula>P$1=""</formula>
    </cfRule>
  </conditionalFormatting>
  <conditionalFormatting sqref="P281:AA281">
    <cfRule type="expression" dxfId="1222" priority="1223">
      <formula>P$1=""</formula>
    </cfRule>
  </conditionalFormatting>
  <conditionalFormatting sqref="P281:AA281">
    <cfRule type="expression" dxfId="1221" priority="1222">
      <formula>P$1=""</formula>
    </cfRule>
  </conditionalFormatting>
  <conditionalFormatting sqref="P281:AA281">
    <cfRule type="expression" dxfId="1220" priority="1221">
      <formula>P$1=""</formula>
    </cfRule>
  </conditionalFormatting>
  <conditionalFormatting sqref="P281:AA281">
    <cfRule type="expression" dxfId="1219" priority="1220">
      <formula>P$1=""</formula>
    </cfRule>
  </conditionalFormatting>
  <conditionalFormatting sqref="P281:AA281">
    <cfRule type="expression" dxfId="1218" priority="1219">
      <formula>P$1=""</formula>
    </cfRule>
  </conditionalFormatting>
  <conditionalFormatting sqref="P281:AA281">
    <cfRule type="expression" dxfId="1217" priority="1218">
      <formula>P$1=""</formula>
    </cfRule>
  </conditionalFormatting>
  <conditionalFormatting sqref="P283:AA283">
    <cfRule type="expression" dxfId="1216" priority="1217">
      <formula>P$1=""</formula>
    </cfRule>
  </conditionalFormatting>
  <conditionalFormatting sqref="P283:AA283">
    <cfRule type="expression" dxfId="1215" priority="1216">
      <formula>P$1=""</formula>
    </cfRule>
  </conditionalFormatting>
  <conditionalFormatting sqref="P283:AA283">
    <cfRule type="expression" dxfId="1214" priority="1215">
      <formula>P$1=""</formula>
    </cfRule>
  </conditionalFormatting>
  <conditionalFormatting sqref="P283:AA283">
    <cfRule type="expression" dxfId="1213" priority="1214">
      <formula>P$1=""</formula>
    </cfRule>
  </conditionalFormatting>
  <conditionalFormatting sqref="P283:AA283">
    <cfRule type="expression" dxfId="1212" priority="1213">
      <formula>P$1=""</formula>
    </cfRule>
  </conditionalFormatting>
  <conditionalFormatting sqref="P283:AA283">
    <cfRule type="expression" dxfId="1211" priority="1212">
      <formula>P$1=""</formula>
    </cfRule>
  </conditionalFormatting>
  <conditionalFormatting sqref="P283:AA283">
    <cfRule type="expression" dxfId="1210" priority="1211">
      <formula>P$1=""</formula>
    </cfRule>
  </conditionalFormatting>
  <conditionalFormatting sqref="P283:AA283">
    <cfRule type="expression" dxfId="1209" priority="1210">
      <formula>P$1=""</formula>
    </cfRule>
  </conditionalFormatting>
  <conditionalFormatting sqref="P283:AA283">
    <cfRule type="expression" dxfId="1208" priority="1209">
      <formula>P$1=""</formula>
    </cfRule>
  </conditionalFormatting>
  <conditionalFormatting sqref="P283:AA283">
    <cfRule type="expression" dxfId="1207" priority="1208">
      <formula>P$1=""</formula>
    </cfRule>
  </conditionalFormatting>
  <conditionalFormatting sqref="P283:AA283">
    <cfRule type="expression" dxfId="1206" priority="1207">
      <formula>P$1=""</formula>
    </cfRule>
  </conditionalFormatting>
  <conditionalFormatting sqref="P283:AA283">
    <cfRule type="expression" dxfId="1205" priority="1206">
      <formula>P$1=""</formula>
    </cfRule>
  </conditionalFormatting>
  <conditionalFormatting sqref="P283:AA283">
    <cfRule type="expression" dxfId="1204" priority="1205">
      <formula>P$1=""</formula>
    </cfRule>
  </conditionalFormatting>
  <conditionalFormatting sqref="P283:AA283">
    <cfRule type="expression" dxfId="1203" priority="1204">
      <formula>P$1=""</formula>
    </cfRule>
  </conditionalFormatting>
  <conditionalFormatting sqref="P283:AA283">
    <cfRule type="expression" dxfId="1202" priority="1203">
      <formula>P$1=""</formula>
    </cfRule>
  </conditionalFormatting>
  <conditionalFormatting sqref="P283:AA283">
    <cfRule type="expression" dxfId="1201" priority="1202">
      <formula>P$1=""</formula>
    </cfRule>
  </conditionalFormatting>
  <conditionalFormatting sqref="P287 P285">
    <cfRule type="expression" dxfId="1200" priority="1201">
      <formula>P$1=""</formula>
    </cfRule>
  </conditionalFormatting>
  <conditionalFormatting sqref="P287 P285">
    <cfRule type="expression" dxfId="1199" priority="1200">
      <formula>P$1=""</formula>
    </cfRule>
  </conditionalFormatting>
  <conditionalFormatting sqref="P287 P285">
    <cfRule type="expression" dxfId="1198" priority="1199">
      <formula>P$1=""</formula>
    </cfRule>
  </conditionalFormatting>
  <conditionalFormatting sqref="P287 P285">
    <cfRule type="expression" dxfId="1197" priority="1198">
      <formula>P$1=""</formula>
    </cfRule>
  </conditionalFormatting>
  <conditionalFormatting sqref="P287 P285">
    <cfRule type="expression" dxfId="1196" priority="1197">
      <formula>P$1=""</formula>
    </cfRule>
  </conditionalFormatting>
  <conditionalFormatting sqref="P287 P285">
    <cfRule type="expression" dxfId="1195" priority="1196">
      <formula>P$1=""</formula>
    </cfRule>
  </conditionalFormatting>
  <conditionalFormatting sqref="P287 P285">
    <cfRule type="expression" dxfId="1194" priority="1195">
      <formula>P$1=""</formula>
    </cfRule>
  </conditionalFormatting>
  <conditionalFormatting sqref="P287 P285">
    <cfRule type="expression" dxfId="1193" priority="1194">
      <formula>P$1=""</formula>
    </cfRule>
  </conditionalFormatting>
  <conditionalFormatting sqref="P287 P285">
    <cfRule type="expression" dxfId="1192" priority="1193">
      <formula>P$1=""</formula>
    </cfRule>
  </conditionalFormatting>
  <conditionalFormatting sqref="P287 P285">
    <cfRule type="expression" dxfId="1191" priority="1192">
      <formula>P$1=""</formula>
    </cfRule>
  </conditionalFormatting>
  <conditionalFormatting sqref="P287 P285">
    <cfRule type="expression" dxfId="1190" priority="1191">
      <formula>P$1=""</formula>
    </cfRule>
  </conditionalFormatting>
  <conditionalFormatting sqref="P287 P285">
    <cfRule type="expression" dxfId="1189" priority="1190">
      <formula>P$1=""</formula>
    </cfRule>
  </conditionalFormatting>
  <conditionalFormatting sqref="P287 P285">
    <cfRule type="expression" dxfId="1188" priority="1189">
      <formula>P$1=""</formula>
    </cfRule>
  </conditionalFormatting>
  <conditionalFormatting sqref="P287 P285">
    <cfRule type="expression" dxfId="1187" priority="1188">
      <formula>P$1=""</formula>
    </cfRule>
  </conditionalFormatting>
  <conditionalFormatting sqref="P287 P285">
    <cfRule type="expression" dxfId="1186" priority="1187">
      <formula>P$1=""</formula>
    </cfRule>
  </conditionalFormatting>
  <conditionalFormatting sqref="P287 P285">
    <cfRule type="expression" dxfId="1185" priority="1186">
      <formula>P$1=""</formula>
    </cfRule>
  </conditionalFormatting>
  <conditionalFormatting sqref="P287 P285">
    <cfRule type="expression" dxfId="1184" priority="1185">
      <formula>P$1=""</formula>
    </cfRule>
  </conditionalFormatting>
  <conditionalFormatting sqref="P287 P285">
    <cfRule type="expression" dxfId="1183" priority="1184">
      <formula>P$1=""</formula>
    </cfRule>
  </conditionalFormatting>
  <conditionalFormatting sqref="Q287:AA287 Q285:AA285">
    <cfRule type="expression" dxfId="1182" priority="1183">
      <formula>Q$1=""</formula>
    </cfRule>
  </conditionalFormatting>
  <conditionalFormatting sqref="Q287:AA287 Q285:AA285">
    <cfRule type="expression" dxfId="1181" priority="1182">
      <formula>Q$1=""</formula>
    </cfRule>
  </conditionalFormatting>
  <conditionalFormatting sqref="Q287:AA287 Q285:AA285">
    <cfRule type="expression" dxfId="1180" priority="1181">
      <formula>Q$1=""</formula>
    </cfRule>
  </conditionalFormatting>
  <conditionalFormatting sqref="Q287:AA287 Q285:AA285">
    <cfRule type="expression" dxfId="1179" priority="1180">
      <formula>Q$1=""</formula>
    </cfRule>
  </conditionalFormatting>
  <conditionalFormatting sqref="Q287:AA287 Q285:AA285">
    <cfRule type="expression" dxfId="1178" priority="1179">
      <formula>Q$1=""</formula>
    </cfRule>
  </conditionalFormatting>
  <conditionalFormatting sqref="Q287:AA287 Q285:AA285">
    <cfRule type="expression" dxfId="1177" priority="1178">
      <formula>Q$1=""</formula>
    </cfRule>
  </conditionalFormatting>
  <conditionalFormatting sqref="Q287:AA287 Q285:AA285">
    <cfRule type="expression" dxfId="1176" priority="1177">
      <formula>Q$1=""</formula>
    </cfRule>
  </conditionalFormatting>
  <conditionalFormatting sqref="Q287:AA287 Q285:AA285">
    <cfRule type="expression" dxfId="1175" priority="1176">
      <formula>Q$1=""</formula>
    </cfRule>
  </conditionalFormatting>
  <conditionalFormatting sqref="Q287:AA287 Q285:AA285">
    <cfRule type="expression" dxfId="1174" priority="1175">
      <formula>Q$1=""</formula>
    </cfRule>
  </conditionalFormatting>
  <conditionalFormatting sqref="Q287:AA287 Q285:AA285">
    <cfRule type="expression" dxfId="1173" priority="1174">
      <formula>Q$1=""</formula>
    </cfRule>
  </conditionalFormatting>
  <conditionalFormatting sqref="Q287:AA287 Q285:AA285">
    <cfRule type="expression" dxfId="1172" priority="1173">
      <formula>Q$1=""</formula>
    </cfRule>
  </conditionalFormatting>
  <conditionalFormatting sqref="Q287:AA287 Q285:AA285">
    <cfRule type="expression" dxfId="1171" priority="1172">
      <formula>Q$1=""</formula>
    </cfRule>
  </conditionalFormatting>
  <conditionalFormatting sqref="Q287:AA287 Q285:AA285">
    <cfRule type="expression" dxfId="1170" priority="1171">
      <formula>Q$1=""</formula>
    </cfRule>
  </conditionalFormatting>
  <conditionalFormatting sqref="Q287:AA287 Q285:AA285">
    <cfRule type="expression" dxfId="1169" priority="1170">
      <formula>Q$1=""</formula>
    </cfRule>
  </conditionalFormatting>
  <conditionalFormatting sqref="Q287:AA287 Q285:AA285">
    <cfRule type="expression" dxfId="1168" priority="1169">
      <formula>Q$1=""</formula>
    </cfRule>
  </conditionalFormatting>
  <conditionalFormatting sqref="Q287:AA287 Q285:AA285">
    <cfRule type="expression" dxfId="1167" priority="1168">
      <formula>Q$1=""</formula>
    </cfRule>
  </conditionalFormatting>
  <conditionalFormatting sqref="Q287:AA287 Q285:AA285">
    <cfRule type="expression" dxfId="1166" priority="1167">
      <formula>Q$1=""</formula>
    </cfRule>
  </conditionalFormatting>
  <conditionalFormatting sqref="Q287:AA287 Q285:AA285">
    <cfRule type="expression" dxfId="1165" priority="1166">
      <formula>Q$1=""</formula>
    </cfRule>
  </conditionalFormatting>
  <conditionalFormatting sqref="Q287:AA287 Q285:AA285">
    <cfRule type="expression" dxfId="1164" priority="1165">
      <formula>Q$1=""</formula>
    </cfRule>
  </conditionalFormatting>
  <conditionalFormatting sqref="Q287:AA287 Q285:AA285">
    <cfRule type="expression" dxfId="1163" priority="1164">
      <formula>Q$1=""</formula>
    </cfRule>
  </conditionalFormatting>
  <conditionalFormatting sqref="Q287:AA287 Q285:AA285">
    <cfRule type="expression" dxfId="1162" priority="1163">
      <formula>Q$1=""</formula>
    </cfRule>
  </conditionalFormatting>
  <conditionalFormatting sqref="Q287:AA287 Q285:AA285">
    <cfRule type="expression" dxfId="1161" priority="1162">
      <formula>Q$1=""</formula>
    </cfRule>
  </conditionalFormatting>
  <conditionalFormatting sqref="Q287:AA287 Q285:AA285">
    <cfRule type="expression" dxfId="1160" priority="1161">
      <formula>Q$1=""</formula>
    </cfRule>
  </conditionalFormatting>
  <conditionalFormatting sqref="Q287:AA287 Q285:AA285">
    <cfRule type="expression" dxfId="1159" priority="1160">
      <formula>Q$1=""</formula>
    </cfRule>
  </conditionalFormatting>
  <conditionalFormatting sqref="Q287:AA287 Q285:AA285">
    <cfRule type="expression" dxfId="1158" priority="1159">
      <formula>Q$1=""</formula>
    </cfRule>
  </conditionalFormatting>
  <conditionalFormatting sqref="Q287:AA287 Q285:AA285">
    <cfRule type="expression" dxfId="1157" priority="1158">
      <formula>Q$1=""</formula>
    </cfRule>
  </conditionalFormatting>
  <conditionalFormatting sqref="Q287:AA287 Q285:AA285">
    <cfRule type="expression" dxfId="1156" priority="1157">
      <formula>Q$1=""</formula>
    </cfRule>
  </conditionalFormatting>
  <conditionalFormatting sqref="Q287:AA287 Q285:AA285">
    <cfRule type="expression" dxfId="1155" priority="1156">
      <formula>Q$1=""</formula>
    </cfRule>
  </conditionalFormatting>
  <conditionalFormatting sqref="Q287:AA287 Q285:AA285">
    <cfRule type="expression" dxfId="1154" priority="1155">
      <formula>Q$1=""</formula>
    </cfRule>
  </conditionalFormatting>
  <conditionalFormatting sqref="Q287:AA287 Q285:AA285">
    <cfRule type="expression" dxfId="1153" priority="1154">
      <formula>Q$1=""</formula>
    </cfRule>
  </conditionalFormatting>
  <conditionalFormatting sqref="Q287:AA287 Q285:AA285">
    <cfRule type="expression" dxfId="1152" priority="1153">
      <formula>Q$1=""</formula>
    </cfRule>
  </conditionalFormatting>
  <conditionalFormatting sqref="Q287:AA287 Q285:AA285">
    <cfRule type="expression" dxfId="1151" priority="1152">
      <formula>Q$1=""</formula>
    </cfRule>
  </conditionalFormatting>
  <conditionalFormatting sqref="Q287:AA287 Q285:AA285">
    <cfRule type="expression" dxfId="1150" priority="1151">
      <formula>Q$1=""</formula>
    </cfRule>
  </conditionalFormatting>
  <conditionalFormatting sqref="Q287:AA287 Q285:AA285">
    <cfRule type="expression" dxfId="1149" priority="1150">
      <formula>Q$1=""</formula>
    </cfRule>
  </conditionalFormatting>
  <conditionalFormatting sqref="P297 P295 P293">
    <cfRule type="expression" dxfId="1148" priority="1149">
      <formula>P$1=""</formula>
    </cfRule>
  </conditionalFormatting>
  <conditionalFormatting sqref="P297 P295 P293">
    <cfRule type="expression" dxfId="1147" priority="1148">
      <formula>P$1=""</formula>
    </cfRule>
  </conditionalFormatting>
  <conditionalFormatting sqref="P297 P295 P293">
    <cfRule type="expression" dxfId="1146" priority="1147">
      <formula>P$1=""</formula>
    </cfRule>
  </conditionalFormatting>
  <conditionalFormatting sqref="P297 P295 P293">
    <cfRule type="expression" dxfId="1145" priority="1146">
      <formula>P$1=""</formula>
    </cfRule>
  </conditionalFormatting>
  <conditionalFormatting sqref="P297 P295 P293">
    <cfRule type="expression" dxfId="1144" priority="1145">
      <formula>P$1=""</formula>
    </cfRule>
  </conditionalFormatting>
  <conditionalFormatting sqref="P297 P295 P293">
    <cfRule type="expression" dxfId="1143" priority="1144">
      <formula>P$1=""</formula>
    </cfRule>
  </conditionalFormatting>
  <conditionalFormatting sqref="P297 P295 P293">
    <cfRule type="expression" dxfId="1142" priority="1143">
      <formula>P$1=""</formula>
    </cfRule>
  </conditionalFormatting>
  <conditionalFormatting sqref="P297 P295 P293">
    <cfRule type="expression" dxfId="1141" priority="1142">
      <formula>P$1=""</formula>
    </cfRule>
  </conditionalFormatting>
  <conditionalFormatting sqref="P293">
    <cfRule type="expression" dxfId="1140" priority="1141">
      <formula>P$1=""</formula>
    </cfRule>
  </conditionalFormatting>
  <conditionalFormatting sqref="P297 P295 P293">
    <cfRule type="expression" dxfId="1139" priority="1140">
      <formula>P$1=""</formula>
    </cfRule>
  </conditionalFormatting>
  <conditionalFormatting sqref="P297 P295 P293">
    <cfRule type="expression" dxfId="1138" priority="1139">
      <formula>P$1=""</formula>
    </cfRule>
  </conditionalFormatting>
  <conditionalFormatting sqref="P297 P295 P293">
    <cfRule type="expression" dxfId="1137" priority="1138">
      <formula>P$1=""</formula>
    </cfRule>
  </conditionalFormatting>
  <conditionalFormatting sqref="P297 P295 P293">
    <cfRule type="expression" dxfId="1136" priority="1137">
      <formula>P$1=""</formula>
    </cfRule>
  </conditionalFormatting>
  <conditionalFormatting sqref="P297 P295 P293">
    <cfRule type="expression" dxfId="1135" priority="1136">
      <formula>P$1=""</formula>
    </cfRule>
  </conditionalFormatting>
  <conditionalFormatting sqref="P293">
    <cfRule type="expression" dxfId="1134" priority="1135">
      <formula>P$1=""</formula>
    </cfRule>
  </conditionalFormatting>
  <conditionalFormatting sqref="P297 P295 P293">
    <cfRule type="expression" dxfId="1133" priority="1134">
      <formula>P$1=""</formula>
    </cfRule>
  </conditionalFormatting>
  <conditionalFormatting sqref="P297 P295 P293">
    <cfRule type="expression" dxfId="1132" priority="1133">
      <formula>P$1=""</formula>
    </cfRule>
  </conditionalFormatting>
  <conditionalFormatting sqref="P297 P295 P293">
    <cfRule type="expression" dxfId="1131" priority="1132">
      <formula>P$1=""</formula>
    </cfRule>
  </conditionalFormatting>
  <conditionalFormatting sqref="P297 P295 P293">
    <cfRule type="expression" dxfId="1130" priority="1131">
      <formula>P$1=""</formula>
    </cfRule>
  </conditionalFormatting>
  <conditionalFormatting sqref="P297 P295 P293">
    <cfRule type="expression" dxfId="1129" priority="1130">
      <formula>P$1=""</formula>
    </cfRule>
  </conditionalFormatting>
  <conditionalFormatting sqref="P297 P295 P293">
    <cfRule type="expression" dxfId="1128" priority="1129">
      <formula>P$1=""</formula>
    </cfRule>
  </conditionalFormatting>
  <conditionalFormatting sqref="P297 P295 P293">
    <cfRule type="expression" dxfId="1127" priority="1128">
      <formula>P$1=""</formula>
    </cfRule>
  </conditionalFormatting>
  <conditionalFormatting sqref="P297 P295 P293">
    <cfRule type="expression" dxfId="1126" priority="1127">
      <formula>P$1=""</formula>
    </cfRule>
  </conditionalFormatting>
  <conditionalFormatting sqref="Q297:AA297 Q295:AA295 Q293:AA293">
    <cfRule type="expression" dxfId="1125" priority="1126">
      <formula>Q$1=""</formula>
    </cfRule>
  </conditionalFormatting>
  <conditionalFormatting sqref="Q297:AA297 Q295:AA295 Q293:AA293">
    <cfRule type="expression" dxfId="1124" priority="1125">
      <formula>Q$1=""</formula>
    </cfRule>
  </conditionalFormatting>
  <conditionalFormatting sqref="Q297:AA297 Q295:AA295 Q293:AA293">
    <cfRule type="expression" dxfId="1123" priority="1124">
      <formula>Q$1=""</formula>
    </cfRule>
  </conditionalFormatting>
  <conditionalFormatting sqref="Q297:AA297 Q295:AA295 Q293:AA293">
    <cfRule type="expression" dxfId="1122" priority="1123">
      <formula>Q$1=""</formula>
    </cfRule>
  </conditionalFormatting>
  <conditionalFormatting sqref="Q297:AA297 Q295:AA295 Q293:AA293">
    <cfRule type="expression" dxfId="1121" priority="1122">
      <formula>Q$1=""</formula>
    </cfRule>
  </conditionalFormatting>
  <conditionalFormatting sqref="Q297:AA297 Q295:AA295 Q293:AA293">
    <cfRule type="expression" dxfId="1120" priority="1121">
      <formula>Q$1=""</formula>
    </cfRule>
  </conditionalFormatting>
  <conditionalFormatting sqref="Q297:AA297 Q295:AA295 Q293:AA293">
    <cfRule type="expression" dxfId="1119" priority="1120">
      <formula>Q$1=""</formula>
    </cfRule>
  </conditionalFormatting>
  <conditionalFormatting sqref="Q297:AA297 Q295:AA295 Q293:AA293">
    <cfRule type="expression" dxfId="1118" priority="1119">
      <formula>Q$1=""</formula>
    </cfRule>
  </conditionalFormatting>
  <conditionalFormatting sqref="Q293:AA293">
    <cfRule type="expression" dxfId="1117" priority="1118">
      <formula>Q$1=""</formula>
    </cfRule>
  </conditionalFormatting>
  <conditionalFormatting sqref="Q297:AA297 Q295:AA295 Q293:AA293">
    <cfRule type="expression" dxfId="1116" priority="1117">
      <formula>Q$1=""</formula>
    </cfRule>
  </conditionalFormatting>
  <conditionalFormatting sqref="Q297:AA297 Q295:AA295 Q293:AA293">
    <cfRule type="expression" dxfId="1115" priority="1116">
      <formula>Q$1=""</formula>
    </cfRule>
  </conditionalFormatting>
  <conditionalFormatting sqref="Q297:AA297 Q295:AA295 Q293:AA293">
    <cfRule type="expression" dxfId="1114" priority="1115">
      <formula>Q$1=""</formula>
    </cfRule>
  </conditionalFormatting>
  <conditionalFormatting sqref="Q297:AA297 Q295:AA295 Q293:AA293">
    <cfRule type="expression" dxfId="1113" priority="1114">
      <formula>Q$1=""</formula>
    </cfRule>
  </conditionalFormatting>
  <conditionalFormatting sqref="Q297:AA297 Q295:AA295 Q293:AA293">
    <cfRule type="expression" dxfId="1112" priority="1113">
      <formula>Q$1=""</formula>
    </cfRule>
  </conditionalFormatting>
  <conditionalFormatting sqref="Q293:AA293">
    <cfRule type="expression" dxfId="1111" priority="1112">
      <formula>Q$1=""</formula>
    </cfRule>
  </conditionalFormatting>
  <conditionalFormatting sqref="Q297:AA297 Q295:AA295 Q293:AA293">
    <cfRule type="expression" dxfId="1110" priority="1111">
      <formula>Q$1=""</formula>
    </cfRule>
  </conditionalFormatting>
  <conditionalFormatting sqref="Q297:AA297 Q295:AA295 Q293:AA293">
    <cfRule type="expression" dxfId="1109" priority="1110">
      <formula>Q$1=""</formula>
    </cfRule>
  </conditionalFormatting>
  <conditionalFormatting sqref="Q297:AA297 Q295:AA295 Q293:AA293">
    <cfRule type="expression" dxfId="1108" priority="1109">
      <formula>Q$1=""</formula>
    </cfRule>
  </conditionalFormatting>
  <conditionalFormatting sqref="Q297:AA297 Q295:AA295 Q293:AA293">
    <cfRule type="expression" dxfId="1107" priority="1108">
      <formula>Q$1=""</formula>
    </cfRule>
  </conditionalFormatting>
  <conditionalFormatting sqref="Q297:AA297 Q295:AA295 Q293:AA293">
    <cfRule type="expression" dxfId="1106" priority="1107">
      <formula>Q$1=""</formula>
    </cfRule>
  </conditionalFormatting>
  <conditionalFormatting sqref="Q297:AA297 Q295:AA295 Q293:AA293">
    <cfRule type="expression" dxfId="1105" priority="1106">
      <formula>Q$1=""</formula>
    </cfRule>
  </conditionalFormatting>
  <conditionalFormatting sqref="Q297:AA297 Q295:AA295 Q293:AA293">
    <cfRule type="expression" dxfId="1104" priority="1105">
      <formula>Q$1=""</formula>
    </cfRule>
  </conditionalFormatting>
  <conditionalFormatting sqref="Q297:AA297 Q295:AA295 Q293:AA293">
    <cfRule type="expression" dxfId="1103" priority="1104">
      <formula>Q$1=""</formula>
    </cfRule>
  </conditionalFormatting>
  <conditionalFormatting sqref="Q297:AA297 Q295:AA295 Q293:AA293">
    <cfRule type="expression" dxfId="1102" priority="1103">
      <formula>Q$1=""</formula>
    </cfRule>
  </conditionalFormatting>
  <conditionalFormatting sqref="Q297:AA297 Q295:AA295 Q293:AA293">
    <cfRule type="expression" dxfId="1101" priority="1102">
      <formula>Q$1=""</formula>
    </cfRule>
  </conditionalFormatting>
  <conditionalFormatting sqref="Q297:AA297 Q295:AA295 Q293:AA293">
    <cfRule type="expression" dxfId="1100" priority="1101">
      <formula>Q$1=""</formula>
    </cfRule>
  </conditionalFormatting>
  <conditionalFormatting sqref="Q297:AA297 Q295:AA295 Q293:AA293">
    <cfRule type="expression" dxfId="1099" priority="1100">
      <formula>Q$1=""</formula>
    </cfRule>
  </conditionalFormatting>
  <conditionalFormatting sqref="Q297:AA297 Q295:AA295 Q293:AA293">
    <cfRule type="expression" dxfId="1098" priority="1099">
      <formula>Q$1=""</formula>
    </cfRule>
  </conditionalFormatting>
  <conditionalFormatting sqref="Q297:AA297 Q295:AA295 Q293:AA293">
    <cfRule type="expression" dxfId="1097" priority="1098">
      <formula>Q$1=""</formula>
    </cfRule>
  </conditionalFormatting>
  <conditionalFormatting sqref="Q297:AA297 Q295:AA295 Q293:AA293">
    <cfRule type="expression" dxfId="1096" priority="1097">
      <formula>Q$1=""</formula>
    </cfRule>
  </conditionalFormatting>
  <conditionalFormatting sqref="Q297:AA297 Q295:AA295 Q293:AA293">
    <cfRule type="expression" dxfId="1095" priority="1096">
      <formula>Q$1=""</formula>
    </cfRule>
  </conditionalFormatting>
  <conditionalFormatting sqref="Q293:AA293">
    <cfRule type="expression" dxfId="1094" priority="1095">
      <formula>Q$1=""</formula>
    </cfRule>
  </conditionalFormatting>
  <conditionalFormatting sqref="Q297:AA297 Q295:AA295 Q293:AA293">
    <cfRule type="expression" dxfId="1093" priority="1094">
      <formula>Q$1=""</formula>
    </cfRule>
  </conditionalFormatting>
  <conditionalFormatting sqref="Q297:AA297 Q295:AA295 Q293:AA293">
    <cfRule type="expression" dxfId="1092" priority="1093">
      <formula>Q$1=""</formula>
    </cfRule>
  </conditionalFormatting>
  <conditionalFormatting sqref="Q297:AA297 Q295:AA295 Q293:AA293">
    <cfRule type="expression" dxfId="1091" priority="1092">
      <formula>Q$1=""</formula>
    </cfRule>
  </conditionalFormatting>
  <conditionalFormatting sqref="Q297:AA297 Q295:AA295 Q293:AA293">
    <cfRule type="expression" dxfId="1090" priority="1091">
      <formula>Q$1=""</formula>
    </cfRule>
  </conditionalFormatting>
  <conditionalFormatting sqref="Q297:AA297 Q295:AA295 Q293:AA293">
    <cfRule type="expression" dxfId="1089" priority="1090">
      <formula>Q$1=""</formula>
    </cfRule>
  </conditionalFormatting>
  <conditionalFormatting sqref="Q293:AA293">
    <cfRule type="expression" dxfId="1088" priority="1089">
      <formula>Q$1=""</formula>
    </cfRule>
  </conditionalFormatting>
  <conditionalFormatting sqref="Q297:AA297 Q295:AA295 Q293:AA293">
    <cfRule type="expression" dxfId="1087" priority="1088">
      <formula>Q$1=""</formula>
    </cfRule>
  </conditionalFormatting>
  <conditionalFormatting sqref="Q297:AA297 Q295:AA295 Q293:AA293">
    <cfRule type="expression" dxfId="1086" priority="1087">
      <formula>Q$1=""</formula>
    </cfRule>
  </conditionalFormatting>
  <conditionalFormatting sqref="Q297:AA297 Q295:AA295 Q293:AA293">
    <cfRule type="expression" dxfId="1085" priority="1086">
      <formula>Q$1=""</formula>
    </cfRule>
  </conditionalFormatting>
  <conditionalFormatting sqref="Q297:AA297 Q295:AA295 Q293:AA293">
    <cfRule type="expression" dxfId="1084" priority="1085">
      <formula>Q$1=""</formula>
    </cfRule>
  </conditionalFormatting>
  <conditionalFormatting sqref="Q297:AA297 Q295:AA295 Q293:AA293">
    <cfRule type="expression" dxfId="1083" priority="1084">
      <formula>Q$1=""</formula>
    </cfRule>
  </conditionalFormatting>
  <conditionalFormatting sqref="Q297:AA297 Q295:AA295 Q293:AA293">
    <cfRule type="expression" dxfId="1082" priority="1083">
      <formula>Q$1=""</formula>
    </cfRule>
  </conditionalFormatting>
  <conditionalFormatting sqref="Q297:AA297 Q295:AA295 Q293:AA293">
    <cfRule type="expression" dxfId="1081" priority="1082">
      <formula>Q$1=""</formula>
    </cfRule>
  </conditionalFormatting>
  <conditionalFormatting sqref="Q297:AA297 Q295:AA295 Q293:AA293">
    <cfRule type="expression" dxfId="1080" priority="1081">
      <formula>Q$1=""</formula>
    </cfRule>
  </conditionalFormatting>
  <conditionalFormatting sqref="P297 P295 P293">
    <cfRule type="expression" dxfId="1079" priority="1080">
      <formula>P$1=""</formula>
    </cfRule>
  </conditionalFormatting>
  <conditionalFormatting sqref="P297 P295 P293">
    <cfRule type="expression" dxfId="1078" priority="1079">
      <formula>P$1=""</formula>
    </cfRule>
  </conditionalFormatting>
  <conditionalFormatting sqref="P297 P295 P293">
    <cfRule type="expression" dxfId="1077" priority="1078">
      <formula>P$1=""</formula>
    </cfRule>
  </conditionalFormatting>
  <conditionalFormatting sqref="P297 P295 P293">
    <cfRule type="expression" dxfId="1076" priority="1077">
      <formula>P$1=""</formula>
    </cfRule>
  </conditionalFormatting>
  <conditionalFormatting sqref="P297 P295 P293">
    <cfRule type="expression" dxfId="1075" priority="1076">
      <formula>P$1=""</formula>
    </cfRule>
  </conditionalFormatting>
  <conditionalFormatting sqref="P297 P295 P293">
    <cfRule type="expression" dxfId="1074" priority="1075">
      <formula>P$1=""</formula>
    </cfRule>
  </conditionalFormatting>
  <conditionalFormatting sqref="P297 P295 P293">
    <cfRule type="expression" dxfId="1073" priority="1074">
      <formula>P$1=""</formula>
    </cfRule>
  </conditionalFormatting>
  <conditionalFormatting sqref="P297 P295 P293">
    <cfRule type="expression" dxfId="1072" priority="1073">
      <formula>P$1=""</formula>
    </cfRule>
  </conditionalFormatting>
  <conditionalFormatting sqref="P293">
    <cfRule type="expression" dxfId="1071" priority="1072">
      <formula>P$1=""</formula>
    </cfRule>
  </conditionalFormatting>
  <conditionalFormatting sqref="P297 P295 P293">
    <cfRule type="expression" dxfId="1070" priority="1071">
      <formula>P$1=""</formula>
    </cfRule>
  </conditionalFormatting>
  <conditionalFormatting sqref="P297 P295 P293">
    <cfRule type="expression" dxfId="1069" priority="1070">
      <formula>P$1=""</formula>
    </cfRule>
  </conditionalFormatting>
  <conditionalFormatting sqref="P297 P295 P293">
    <cfRule type="expression" dxfId="1068" priority="1069">
      <formula>P$1=""</formula>
    </cfRule>
  </conditionalFormatting>
  <conditionalFormatting sqref="P297 P295 P293">
    <cfRule type="expression" dxfId="1067" priority="1068">
      <formula>P$1=""</formula>
    </cfRule>
  </conditionalFormatting>
  <conditionalFormatting sqref="P297 P295 P293">
    <cfRule type="expression" dxfId="1066" priority="1067">
      <formula>P$1=""</formula>
    </cfRule>
  </conditionalFormatting>
  <conditionalFormatting sqref="P293">
    <cfRule type="expression" dxfId="1065" priority="1066">
      <formula>P$1=""</formula>
    </cfRule>
  </conditionalFormatting>
  <conditionalFormatting sqref="P297 P295 P293">
    <cfRule type="expression" dxfId="1064" priority="1065">
      <formula>P$1=""</formula>
    </cfRule>
  </conditionalFormatting>
  <conditionalFormatting sqref="P297 P295 P293">
    <cfRule type="expression" dxfId="1063" priority="1064">
      <formula>P$1=""</formula>
    </cfRule>
  </conditionalFormatting>
  <conditionalFormatting sqref="P297 P295 P293">
    <cfRule type="expression" dxfId="1062" priority="1063">
      <formula>P$1=""</formula>
    </cfRule>
  </conditionalFormatting>
  <conditionalFormatting sqref="P297 P295 P293">
    <cfRule type="expression" dxfId="1061" priority="1062">
      <formula>P$1=""</formula>
    </cfRule>
  </conditionalFormatting>
  <conditionalFormatting sqref="P297 P295 P293">
    <cfRule type="expression" dxfId="1060" priority="1061">
      <formula>P$1=""</formula>
    </cfRule>
  </conditionalFormatting>
  <conditionalFormatting sqref="P297 P295 P293">
    <cfRule type="expression" dxfId="1059" priority="1060">
      <formula>P$1=""</formula>
    </cfRule>
  </conditionalFormatting>
  <conditionalFormatting sqref="P297 P295 P293">
    <cfRule type="expression" dxfId="1058" priority="1059">
      <formula>P$1=""</formula>
    </cfRule>
  </conditionalFormatting>
  <conditionalFormatting sqref="P297 P295 P293">
    <cfRule type="expression" dxfId="1057" priority="1058">
      <formula>P$1=""</formula>
    </cfRule>
  </conditionalFormatting>
  <conditionalFormatting sqref="Q297:AA297 Q295:AA295 Q293:AA293">
    <cfRule type="expression" dxfId="1056" priority="1057">
      <formula>Q$1=""</formula>
    </cfRule>
  </conditionalFormatting>
  <conditionalFormatting sqref="Q297:AA297 Q295:AA295 Q293:AA293">
    <cfRule type="expression" dxfId="1055" priority="1056">
      <formula>Q$1=""</formula>
    </cfRule>
  </conditionalFormatting>
  <conditionalFormatting sqref="Q297:AA297 Q295:AA295 Q293:AA293">
    <cfRule type="expression" dxfId="1054" priority="1055">
      <formula>Q$1=""</formula>
    </cfRule>
  </conditionalFormatting>
  <conditionalFormatting sqref="Q297:AA297 Q295:AA295 Q293:AA293">
    <cfRule type="expression" dxfId="1053" priority="1054">
      <formula>Q$1=""</formula>
    </cfRule>
  </conditionalFormatting>
  <conditionalFormatting sqref="Q297:AA297 Q295:AA295 Q293:AA293">
    <cfRule type="expression" dxfId="1052" priority="1053">
      <formula>Q$1=""</formula>
    </cfRule>
  </conditionalFormatting>
  <conditionalFormatting sqref="Q297:AA297 Q295:AA295 Q293:AA293">
    <cfRule type="expression" dxfId="1051" priority="1052">
      <formula>Q$1=""</formula>
    </cfRule>
  </conditionalFormatting>
  <conditionalFormatting sqref="Q297:AA297 Q295:AA295 Q293:AA293">
    <cfRule type="expression" dxfId="1050" priority="1051">
      <formula>Q$1=""</formula>
    </cfRule>
  </conditionalFormatting>
  <conditionalFormatting sqref="Q297:AA297 Q295:AA295 Q293:AA293">
    <cfRule type="expression" dxfId="1049" priority="1050">
      <formula>Q$1=""</formula>
    </cfRule>
  </conditionalFormatting>
  <conditionalFormatting sqref="Q293:AA293">
    <cfRule type="expression" dxfId="1048" priority="1049">
      <formula>Q$1=""</formula>
    </cfRule>
  </conditionalFormatting>
  <conditionalFormatting sqref="Q297:AA297 Q295:AA295 Q293:AA293">
    <cfRule type="expression" dxfId="1047" priority="1048">
      <formula>Q$1=""</formula>
    </cfRule>
  </conditionalFormatting>
  <conditionalFormatting sqref="Q297:AA297 Q295:AA295 Q293:AA293">
    <cfRule type="expression" dxfId="1046" priority="1047">
      <formula>Q$1=""</formula>
    </cfRule>
  </conditionalFormatting>
  <conditionalFormatting sqref="Q297:AA297 Q295:AA295 Q293:AA293">
    <cfRule type="expression" dxfId="1045" priority="1046">
      <formula>Q$1=""</formula>
    </cfRule>
  </conditionalFormatting>
  <conditionalFormatting sqref="Q297:AA297 Q295:AA295 Q293:AA293">
    <cfRule type="expression" dxfId="1044" priority="1045">
      <formula>Q$1=""</formula>
    </cfRule>
  </conditionalFormatting>
  <conditionalFormatting sqref="Q297:AA297 Q295:AA295 Q293:AA293">
    <cfRule type="expression" dxfId="1043" priority="1044">
      <formula>Q$1=""</formula>
    </cfRule>
  </conditionalFormatting>
  <conditionalFormatting sqref="Q293:AA293">
    <cfRule type="expression" dxfId="1042" priority="1043">
      <formula>Q$1=""</formula>
    </cfRule>
  </conditionalFormatting>
  <conditionalFormatting sqref="Q297:AA297 Q295:AA295 Q293:AA293">
    <cfRule type="expression" dxfId="1041" priority="1042">
      <formula>Q$1=""</formula>
    </cfRule>
  </conditionalFormatting>
  <conditionalFormatting sqref="Q297:AA297 Q295:AA295 Q293:AA293">
    <cfRule type="expression" dxfId="1040" priority="1041">
      <formula>Q$1=""</formula>
    </cfRule>
  </conditionalFormatting>
  <conditionalFormatting sqref="Q297:AA297 Q295:AA295 Q293:AA293">
    <cfRule type="expression" dxfId="1039" priority="1040">
      <formula>Q$1=""</formula>
    </cfRule>
  </conditionalFormatting>
  <conditionalFormatting sqref="Q297:AA297 Q295:AA295 Q293:AA293">
    <cfRule type="expression" dxfId="1038" priority="1039">
      <formula>Q$1=""</formula>
    </cfRule>
  </conditionalFormatting>
  <conditionalFormatting sqref="Q297:AA297 Q295:AA295 Q293:AA293">
    <cfRule type="expression" dxfId="1037" priority="1038">
      <formula>Q$1=""</formula>
    </cfRule>
  </conditionalFormatting>
  <conditionalFormatting sqref="Q297:AA297 Q295:AA295 Q293:AA293">
    <cfRule type="expression" dxfId="1036" priority="1037">
      <formula>Q$1=""</formula>
    </cfRule>
  </conditionalFormatting>
  <conditionalFormatting sqref="Q297:AA297 Q295:AA295 Q293:AA293">
    <cfRule type="expression" dxfId="1035" priority="1036">
      <formula>Q$1=""</formula>
    </cfRule>
  </conditionalFormatting>
  <conditionalFormatting sqref="Q297:AA297 Q295:AA295 Q293:AA293">
    <cfRule type="expression" dxfId="1034" priority="1035">
      <formula>Q$1=""</formula>
    </cfRule>
  </conditionalFormatting>
  <conditionalFormatting sqref="Q297:AA297 Q295:AA295 Q293:AA293">
    <cfRule type="expression" dxfId="1033" priority="1034">
      <formula>Q$1=""</formula>
    </cfRule>
  </conditionalFormatting>
  <conditionalFormatting sqref="Q297:AA297 Q295:AA295 Q293:AA293">
    <cfRule type="expression" dxfId="1032" priority="1033">
      <formula>Q$1=""</formula>
    </cfRule>
  </conditionalFormatting>
  <conditionalFormatting sqref="Q297:AA297 Q295:AA295 Q293:AA293">
    <cfRule type="expression" dxfId="1031" priority="1032">
      <formula>Q$1=""</formula>
    </cfRule>
  </conditionalFormatting>
  <conditionalFormatting sqref="Q297:AA297 Q295:AA295 Q293:AA293">
    <cfRule type="expression" dxfId="1030" priority="1031">
      <formula>Q$1=""</formula>
    </cfRule>
  </conditionalFormatting>
  <conditionalFormatting sqref="Q297:AA297 Q295:AA295 Q293:AA293">
    <cfRule type="expression" dxfId="1029" priority="1030">
      <formula>Q$1=""</formula>
    </cfRule>
  </conditionalFormatting>
  <conditionalFormatting sqref="Q297:AA297 Q295:AA295 Q293:AA293">
    <cfRule type="expression" dxfId="1028" priority="1029">
      <formula>Q$1=""</formula>
    </cfRule>
  </conditionalFormatting>
  <conditionalFormatting sqref="Q297:AA297 Q295:AA295 Q293:AA293">
    <cfRule type="expression" dxfId="1027" priority="1028">
      <formula>Q$1=""</formula>
    </cfRule>
  </conditionalFormatting>
  <conditionalFormatting sqref="Q297:AA297 Q295:AA295 Q293:AA293">
    <cfRule type="expression" dxfId="1026" priority="1027">
      <formula>Q$1=""</formula>
    </cfRule>
  </conditionalFormatting>
  <conditionalFormatting sqref="Q293:AA293">
    <cfRule type="expression" dxfId="1025" priority="1026">
      <formula>Q$1=""</formula>
    </cfRule>
  </conditionalFormatting>
  <conditionalFormatting sqref="Q297:AA297 Q295:AA295 Q293:AA293">
    <cfRule type="expression" dxfId="1024" priority="1025">
      <formula>Q$1=""</formula>
    </cfRule>
  </conditionalFormatting>
  <conditionalFormatting sqref="Q297:AA297 Q295:AA295 Q293:AA293">
    <cfRule type="expression" dxfId="1023" priority="1024">
      <formula>Q$1=""</formula>
    </cfRule>
  </conditionalFormatting>
  <conditionalFormatting sqref="Q297:AA297 Q295:AA295 Q293:AA293">
    <cfRule type="expression" dxfId="1022" priority="1023">
      <formula>Q$1=""</formula>
    </cfRule>
  </conditionalFormatting>
  <conditionalFormatting sqref="Q297:AA297 Q295:AA295 Q293:AA293">
    <cfRule type="expression" dxfId="1021" priority="1022">
      <formula>Q$1=""</formula>
    </cfRule>
  </conditionalFormatting>
  <conditionalFormatting sqref="Q297:AA297 Q295:AA295 Q293:AA293">
    <cfRule type="expression" dxfId="1020" priority="1021">
      <formula>Q$1=""</formula>
    </cfRule>
  </conditionalFormatting>
  <conditionalFormatting sqref="Q293:AA293">
    <cfRule type="expression" dxfId="1019" priority="1020">
      <formula>Q$1=""</formula>
    </cfRule>
  </conditionalFormatting>
  <conditionalFormatting sqref="Q297:AA297 Q295:AA295 Q293:AA293">
    <cfRule type="expression" dxfId="1018" priority="1019">
      <formula>Q$1=""</formula>
    </cfRule>
  </conditionalFormatting>
  <conditionalFormatting sqref="Q297:AA297 Q295:AA295 Q293:AA293">
    <cfRule type="expression" dxfId="1017" priority="1018">
      <formula>Q$1=""</formula>
    </cfRule>
  </conditionalFormatting>
  <conditionalFormatting sqref="Q297:AA297 Q295:AA295 Q293:AA293">
    <cfRule type="expression" dxfId="1016" priority="1017">
      <formula>Q$1=""</formula>
    </cfRule>
  </conditionalFormatting>
  <conditionalFormatting sqref="Q297:AA297 Q295:AA295 Q293:AA293">
    <cfRule type="expression" dxfId="1015" priority="1016">
      <formula>Q$1=""</formula>
    </cfRule>
  </conditionalFormatting>
  <conditionalFormatting sqref="Q297:AA297 Q295:AA295 Q293:AA293">
    <cfRule type="expression" dxfId="1014" priority="1015">
      <formula>Q$1=""</formula>
    </cfRule>
  </conditionalFormatting>
  <conditionalFormatting sqref="Q297:AA297 Q295:AA295 Q293:AA293">
    <cfRule type="expression" dxfId="1013" priority="1014">
      <formula>Q$1=""</formula>
    </cfRule>
  </conditionalFormatting>
  <conditionalFormatting sqref="Q297:AA297 Q295:AA295 Q293:AA293">
    <cfRule type="expression" dxfId="1012" priority="1013">
      <formula>Q$1=""</formula>
    </cfRule>
  </conditionalFormatting>
  <conditionalFormatting sqref="Q297:AA297 Q295:AA295 Q293:AA293">
    <cfRule type="expression" dxfId="1011" priority="1012">
      <formula>Q$1=""</formula>
    </cfRule>
  </conditionalFormatting>
  <conditionalFormatting sqref="P301:AA301">
    <cfRule type="expression" dxfId="1010" priority="1011">
      <formula>P$1=""</formula>
    </cfRule>
  </conditionalFormatting>
  <conditionalFormatting sqref="P303:AA303">
    <cfRule type="expression" dxfId="1009" priority="1010">
      <formula>P$1=""</formula>
    </cfRule>
  </conditionalFormatting>
  <conditionalFormatting sqref="P305:AA305">
    <cfRule type="expression" dxfId="1008" priority="1009">
      <formula>P$1=""</formula>
    </cfRule>
  </conditionalFormatting>
  <conditionalFormatting sqref="P307:AA307">
    <cfRule type="expression" dxfId="1007" priority="1008">
      <formula>P$1=""</formula>
    </cfRule>
  </conditionalFormatting>
  <conditionalFormatting sqref="P303:AA303 P305:AA305 P307:AA307">
    <cfRule type="expression" dxfId="1006" priority="1007">
      <formula>P$1=""</formula>
    </cfRule>
  </conditionalFormatting>
  <conditionalFormatting sqref="P303:AA303 P305:AA305 P307:AA307">
    <cfRule type="expression" dxfId="1005" priority="1006">
      <formula>P$1=""</formula>
    </cfRule>
  </conditionalFormatting>
  <conditionalFormatting sqref="P303:AA303 P305:AA305 P307:AA307">
    <cfRule type="expression" dxfId="1004" priority="1005">
      <formula>P$1=""</formula>
    </cfRule>
  </conditionalFormatting>
  <conditionalFormatting sqref="P303:AA303 P305:AA305 P307:AA307">
    <cfRule type="expression" dxfId="1003" priority="1004">
      <formula>P$1=""</formula>
    </cfRule>
  </conditionalFormatting>
  <conditionalFormatting sqref="P303:AA303 P305:AA305 P307:AA307">
    <cfRule type="expression" dxfId="1002" priority="1003">
      <formula>P$1=""</formula>
    </cfRule>
  </conditionalFormatting>
  <conditionalFormatting sqref="P305:AA305 P307:AA307">
    <cfRule type="expression" dxfId="1001" priority="1002">
      <formula>P$1=""</formula>
    </cfRule>
  </conditionalFormatting>
  <conditionalFormatting sqref="P303:AA303">
    <cfRule type="expression" dxfId="1000" priority="1001">
      <formula>P$1=""</formula>
    </cfRule>
  </conditionalFormatting>
  <conditionalFormatting sqref="P305:AA305 P307:AA307">
    <cfRule type="expression" dxfId="999" priority="1000">
      <formula>P$1=""</formula>
    </cfRule>
  </conditionalFormatting>
  <conditionalFormatting sqref="P305:AA305 P307:AA307">
    <cfRule type="expression" dxfId="998" priority="999">
      <formula>P$1=""</formula>
    </cfRule>
  </conditionalFormatting>
  <conditionalFormatting sqref="P307:AA307">
    <cfRule type="expression" dxfId="997" priority="998">
      <formula>P$1=""</formula>
    </cfRule>
  </conditionalFormatting>
  <conditionalFormatting sqref="P307:AA307">
    <cfRule type="expression" dxfId="996" priority="997">
      <formula>P$1=""</formula>
    </cfRule>
  </conditionalFormatting>
  <conditionalFormatting sqref="P307:AA307">
    <cfRule type="expression" dxfId="995" priority="996">
      <formula>P$1=""</formula>
    </cfRule>
  </conditionalFormatting>
  <conditionalFormatting sqref="P307:AA307">
    <cfRule type="expression" dxfId="994" priority="995">
      <formula>P$1=""</formula>
    </cfRule>
  </conditionalFormatting>
  <conditionalFormatting sqref="P301:AA301">
    <cfRule type="expression" dxfId="993" priority="994">
      <formula>P$1=""</formula>
    </cfRule>
  </conditionalFormatting>
  <conditionalFormatting sqref="P301:AA301">
    <cfRule type="expression" dxfId="992" priority="993">
      <formula>P$1=""</formula>
    </cfRule>
  </conditionalFormatting>
  <conditionalFormatting sqref="P301:AA301">
    <cfRule type="expression" dxfId="991" priority="992">
      <formula>P$1=""</formula>
    </cfRule>
  </conditionalFormatting>
  <conditionalFormatting sqref="P301:AA301">
    <cfRule type="expression" dxfId="990" priority="991">
      <formula>P$1=""</formula>
    </cfRule>
  </conditionalFormatting>
  <conditionalFormatting sqref="P301:AA301">
    <cfRule type="expression" dxfId="989" priority="990">
      <formula>P$1=""</formula>
    </cfRule>
  </conditionalFormatting>
  <conditionalFormatting sqref="P301:AA301">
    <cfRule type="expression" dxfId="988" priority="989">
      <formula>P$1=""</formula>
    </cfRule>
  </conditionalFormatting>
  <conditionalFormatting sqref="P301:AA301">
    <cfRule type="expression" dxfId="987" priority="988">
      <formula>P$1=""</formula>
    </cfRule>
  </conditionalFormatting>
  <conditionalFormatting sqref="P305:AA305 P307:AA307">
    <cfRule type="expression" dxfId="986" priority="987">
      <formula>P$1=""</formula>
    </cfRule>
  </conditionalFormatting>
  <conditionalFormatting sqref="P305:AA305 P307:AA307">
    <cfRule type="expression" dxfId="985" priority="986">
      <formula>P$1=""</formula>
    </cfRule>
  </conditionalFormatting>
  <conditionalFormatting sqref="P305:AA305 P307:AA307">
    <cfRule type="expression" dxfId="984" priority="985">
      <formula>P$1=""</formula>
    </cfRule>
  </conditionalFormatting>
  <conditionalFormatting sqref="P305:AA305 P307:AA307">
    <cfRule type="expression" dxfId="983" priority="984">
      <formula>P$1=""</formula>
    </cfRule>
  </conditionalFormatting>
  <conditionalFormatting sqref="P303:AA303 P305 P307">
    <cfRule type="expression" dxfId="982" priority="983">
      <formula>P$1=""</formula>
    </cfRule>
  </conditionalFormatting>
  <conditionalFormatting sqref="P303:AA303 P305 P307">
    <cfRule type="expression" dxfId="981" priority="982">
      <formula>P$1=""</formula>
    </cfRule>
  </conditionalFormatting>
  <conditionalFormatting sqref="P303:AA303 P305 P307">
    <cfRule type="expression" dxfId="980" priority="981">
      <formula>P$1=""</formula>
    </cfRule>
  </conditionalFormatting>
  <conditionalFormatting sqref="P303:AA303 P305 P307">
    <cfRule type="expression" dxfId="979" priority="980">
      <formula>P$1=""</formula>
    </cfRule>
  </conditionalFormatting>
  <conditionalFormatting sqref="P303:AA303 P305 P307">
    <cfRule type="expression" dxfId="978" priority="979">
      <formula>P$1=""</formula>
    </cfRule>
  </conditionalFormatting>
  <conditionalFormatting sqref="P303:AA303 P305 P307">
    <cfRule type="expression" dxfId="977" priority="978">
      <formula>P$1=""</formula>
    </cfRule>
  </conditionalFormatting>
  <conditionalFormatting sqref="P303:AA303 P305 P307">
    <cfRule type="expression" dxfId="976" priority="977">
      <formula>P$1=""</formula>
    </cfRule>
  </conditionalFormatting>
  <conditionalFormatting sqref="P303:AA303 P305 P307">
    <cfRule type="expression" dxfId="975" priority="976">
      <formula>P$1=""</formula>
    </cfRule>
  </conditionalFormatting>
  <conditionalFormatting sqref="Q303:AA303">
    <cfRule type="expression" dxfId="974" priority="975">
      <formula>Q$1=""</formula>
    </cfRule>
  </conditionalFormatting>
  <conditionalFormatting sqref="Q303:AA303">
    <cfRule type="expression" dxfId="973" priority="974">
      <formula>Q$1=""</formula>
    </cfRule>
  </conditionalFormatting>
  <conditionalFormatting sqref="Q303:AA303">
    <cfRule type="expression" dxfId="972" priority="973">
      <formula>Q$1=""</formula>
    </cfRule>
  </conditionalFormatting>
  <conditionalFormatting sqref="Q303:AA303">
    <cfRule type="expression" dxfId="971" priority="972">
      <formula>Q$1=""</formula>
    </cfRule>
  </conditionalFormatting>
  <conditionalFormatting sqref="Q303:AA303">
    <cfRule type="expression" dxfId="970" priority="971">
      <formula>Q$1=""</formula>
    </cfRule>
  </conditionalFormatting>
  <conditionalFormatting sqref="Q303:AA303">
    <cfRule type="expression" dxfId="969" priority="970">
      <formula>Q$1=""</formula>
    </cfRule>
  </conditionalFormatting>
  <conditionalFormatting sqref="Q303:AA303">
    <cfRule type="expression" dxfId="968" priority="969">
      <formula>Q$1=""</formula>
    </cfRule>
  </conditionalFormatting>
  <conditionalFormatting sqref="Q303:AA303">
    <cfRule type="expression" dxfId="967" priority="968">
      <formula>Q$1=""</formula>
    </cfRule>
  </conditionalFormatting>
  <conditionalFormatting sqref="Q305:AA305 Q307:AA307">
    <cfRule type="expression" dxfId="966" priority="967">
      <formula>Q$1=""</formula>
    </cfRule>
  </conditionalFormatting>
  <conditionalFormatting sqref="Q305:AA305 Q307:AA307">
    <cfRule type="expression" dxfId="965" priority="966">
      <formula>Q$1=""</formula>
    </cfRule>
  </conditionalFormatting>
  <conditionalFormatting sqref="Q305:AA305 Q307:AA307">
    <cfRule type="expression" dxfId="964" priority="965">
      <formula>Q$1=""</formula>
    </cfRule>
  </conditionalFormatting>
  <conditionalFormatting sqref="Q305:AA305 Q307:AA307">
    <cfRule type="expression" dxfId="963" priority="964">
      <formula>Q$1=""</formula>
    </cfRule>
  </conditionalFormatting>
  <conditionalFormatting sqref="Q305:AA305 Q307:AA307">
    <cfRule type="expression" dxfId="962" priority="963">
      <formula>Q$1=""</formula>
    </cfRule>
  </conditionalFormatting>
  <conditionalFormatting sqref="Q305:AA305 Q307:AA307">
    <cfRule type="expression" dxfId="961" priority="962">
      <formula>Q$1=""</formula>
    </cfRule>
  </conditionalFormatting>
  <conditionalFormatting sqref="Q305:AA305 Q307:AA307">
    <cfRule type="expression" dxfId="960" priority="961">
      <formula>Q$1=""</formula>
    </cfRule>
  </conditionalFormatting>
  <conditionalFormatting sqref="Q305:AA305 Q307:AA307">
    <cfRule type="expression" dxfId="959" priority="960">
      <formula>Q$1=""</formula>
    </cfRule>
  </conditionalFormatting>
  <conditionalFormatting sqref="Q305:AA305 Q307:AA307">
    <cfRule type="expression" dxfId="958" priority="959">
      <formula>Q$1=""</formula>
    </cfRule>
  </conditionalFormatting>
  <conditionalFormatting sqref="Q305:AA305 Q307:AA307">
    <cfRule type="expression" dxfId="957" priority="958">
      <formula>Q$1=""</formula>
    </cfRule>
  </conditionalFormatting>
  <conditionalFormatting sqref="P301:AA301">
    <cfRule type="expression" dxfId="956" priority="957">
      <formula>P$1=""</formula>
    </cfRule>
  </conditionalFormatting>
  <conditionalFormatting sqref="P301:AA301">
    <cfRule type="expression" dxfId="955" priority="956">
      <formula>P$1=""</formula>
    </cfRule>
  </conditionalFormatting>
  <conditionalFormatting sqref="P301:AA301">
    <cfRule type="expression" dxfId="954" priority="955">
      <formula>P$1=""</formula>
    </cfRule>
  </conditionalFormatting>
  <conditionalFormatting sqref="P301:AA301">
    <cfRule type="expression" dxfId="953" priority="954">
      <formula>P$1=""</formula>
    </cfRule>
  </conditionalFormatting>
  <conditionalFormatting sqref="P301:AA301">
    <cfRule type="expression" dxfId="952" priority="953">
      <formula>P$1=""</formula>
    </cfRule>
  </conditionalFormatting>
  <conditionalFormatting sqref="P301:AA301">
    <cfRule type="expression" dxfId="951" priority="952">
      <formula>P$1=""</formula>
    </cfRule>
  </conditionalFormatting>
  <conditionalFormatting sqref="P301:AA301">
    <cfRule type="expression" dxfId="950" priority="951">
      <formula>P$1=""</formula>
    </cfRule>
  </conditionalFormatting>
  <conditionalFormatting sqref="P301:AA301">
    <cfRule type="expression" dxfId="949" priority="950">
      <formula>P$1=""</formula>
    </cfRule>
  </conditionalFormatting>
  <conditionalFormatting sqref="P303:AA303">
    <cfRule type="expression" dxfId="948" priority="949">
      <formula>P$1=""</formula>
    </cfRule>
  </conditionalFormatting>
  <conditionalFormatting sqref="P303:AA303">
    <cfRule type="expression" dxfId="947" priority="948">
      <formula>P$1=""</formula>
    </cfRule>
  </conditionalFormatting>
  <conditionalFormatting sqref="P303:AA303">
    <cfRule type="expression" dxfId="946" priority="947">
      <formula>P$1=""</formula>
    </cfRule>
  </conditionalFormatting>
  <conditionalFormatting sqref="P303:AA303">
    <cfRule type="expression" dxfId="945" priority="946">
      <formula>P$1=""</formula>
    </cfRule>
  </conditionalFormatting>
  <conditionalFormatting sqref="P303:AA303">
    <cfRule type="expression" dxfId="944" priority="945">
      <formula>P$1=""</formula>
    </cfRule>
  </conditionalFormatting>
  <conditionalFormatting sqref="P303:AA303">
    <cfRule type="expression" dxfId="943" priority="944">
      <formula>P$1=""</formula>
    </cfRule>
  </conditionalFormatting>
  <conditionalFormatting sqref="P303:AA303">
    <cfRule type="expression" dxfId="942" priority="943">
      <formula>P$1=""</formula>
    </cfRule>
  </conditionalFormatting>
  <conditionalFormatting sqref="P303:AA303">
    <cfRule type="expression" dxfId="941" priority="942">
      <formula>P$1=""</formula>
    </cfRule>
  </conditionalFormatting>
  <conditionalFormatting sqref="P303:AA303">
    <cfRule type="expression" dxfId="940" priority="941">
      <formula>P$1=""</formula>
    </cfRule>
  </conditionalFormatting>
  <conditionalFormatting sqref="P303:AA303">
    <cfRule type="expression" dxfId="939" priority="940">
      <formula>P$1=""</formula>
    </cfRule>
  </conditionalFormatting>
  <conditionalFormatting sqref="P303:AA303">
    <cfRule type="expression" dxfId="938" priority="939">
      <formula>P$1=""</formula>
    </cfRule>
  </conditionalFormatting>
  <conditionalFormatting sqref="P303:AA303">
    <cfRule type="expression" dxfId="937" priority="938">
      <formula>P$1=""</formula>
    </cfRule>
  </conditionalFormatting>
  <conditionalFormatting sqref="P303:AA303">
    <cfRule type="expression" dxfId="936" priority="937">
      <formula>P$1=""</formula>
    </cfRule>
  </conditionalFormatting>
  <conditionalFormatting sqref="P303:AA303">
    <cfRule type="expression" dxfId="935" priority="936">
      <formula>P$1=""</formula>
    </cfRule>
  </conditionalFormatting>
  <conditionalFormatting sqref="P303:AA303">
    <cfRule type="expression" dxfId="934" priority="935">
      <formula>P$1=""</formula>
    </cfRule>
  </conditionalFormatting>
  <conditionalFormatting sqref="P303:AA303">
    <cfRule type="expression" dxfId="933" priority="934">
      <formula>P$1=""</formula>
    </cfRule>
  </conditionalFormatting>
  <conditionalFormatting sqref="P307 P305">
    <cfRule type="expression" dxfId="932" priority="933">
      <formula>P$1=""</formula>
    </cfRule>
  </conditionalFormatting>
  <conditionalFormatting sqref="P307 P305">
    <cfRule type="expression" dxfId="931" priority="932">
      <formula>P$1=""</formula>
    </cfRule>
  </conditionalFormatting>
  <conditionalFormatting sqref="P307 P305">
    <cfRule type="expression" dxfId="930" priority="931">
      <formula>P$1=""</formula>
    </cfRule>
  </conditionalFormatting>
  <conditionalFormatting sqref="P307 P305">
    <cfRule type="expression" dxfId="929" priority="930">
      <formula>P$1=""</formula>
    </cfRule>
  </conditionalFormatting>
  <conditionalFormatting sqref="P307 P305">
    <cfRule type="expression" dxfId="928" priority="929">
      <formula>P$1=""</formula>
    </cfRule>
  </conditionalFormatting>
  <conditionalFormatting sqref="P307 P305">
    <cfRule type="expression" dxfId="927" priority="928">
      <formula>P$1=""</formula>
    </cfRule>
  </conditionalFormatting>
  <conditionalFormatting sqref="P307 P305">
    <cfRule type="expression" dxfId="926" priority="927">
      <formula>P$1=""</formula>
    </cfRule>
  </conditionalFormatting>
  <conditionalFormatting sqref="P307 P305">
    <cfRule type="expression" dxfId="925" priority="926">
      <formula>P$1=""</formula>
    </cfRule>
  </conditionalFormatting>
  <conditionalFormatting sqref="P307 P305">
    <cfRule type="expression" dxfId="924" priority="925">
      <formula>P$1=""</formula>
    </cfRule>
  </conditionalFormatting>
  <conditionalFormatting sqref="P307 P305">
    <cfRule type="expression" dxfId="923" priority="924">
      <formula>P$1=""</formula>
    </cfRule>
  </conditionalFormatting>
  <conditionalFormatting sqref="P307 P305">
    <cfRule type="expression" dxfId="922" priority="923">
      <formula>P$1=""</formula>
    </cfRule>
  </conditionalFormatting>
  <conditionalFormatting sqref="P307 P305">
    <cfRule type="expression" dxfId="921" priority="922">
      <formula>P$1=""</formula>
    </cfRule>
  </conditionalFormatting>
  <conditionalFormatting sqref="P307 P305">
    <cfRule type="expression" dxfId="920" priority="921">
      <formula>P$1=""</formula>
    </cfRule>
  </conditionalFormatting>
  <conditionalFormatting sqref="P307 P305">
    <cfRule type="expression" dxfId="919" priority="920">
      <formula>P$1=""</formula>
    </cfRule>
  </conditionalFormatting>
  <conditionalFormatting sqref="P307 P305">
    <cfRule type="expression" dxfId="918" priority="919">
      <formula>P$1=""</formula>
    </cfRule>
  </conditionalFormatting>
  <conditionalFormatting sqref="P307 P305">
    <cfRule type="expression" dxfId="917" priority="918">
      <formula>P$1=""</formula>
    </cfRule>
  </conditionalFormatting>
  <conditionalFormatting sqref="P307 P305">
    <cfRule type="expression" dxfId="916" priority="917">
      <formula>P$1=""</formula>
    </cfRule>
  </conditionalFormatting>
  <conditionalFormatting sqref="P307 P305">
    <cfRule type="expression" dxfId="915" priority="916">
      <formula>P$1=""</formula>
    </cfRule>
  </conditionalFormatting>
  <conditionalFormatting sqref="Q307:AA307 Q305:AA305">
    <cfRule type="expression" dxfId="914" priority="915">
      <formula>Q$1=""</formula>
    </cfRule>
  </conditionalFormatting>
  <conditionalFormatting sqref="Q307:AA307 Q305:AA305">
    <cfRule type="expression" dxfId="913" priority="914">
      <formula>Q$1=""</formula>
    </cfRule>
  </conditionalFormatting>
  <conditionalFormatting sqref="Q307:AA307 Q305:AA305">
    <cfRule type="expression" dxfId="912" priority="913">
      <formula>Q$1=""</formula>
    </cfRule>
  </conditionalFormatting>
  <conditionalFormatting sqref="Q307:AA307 Q305:AA305">
    <cfRule type="expression" dxfId="911" priority="912">
      <formula>Q$1=""</formula>
    </cfRule>
  </conditionalFormatting>
  <conditionalFormatting sqref="Q307:AA307 Q305:AA305">
    <cfRule type="expression" dxfId="910" priority="911">
      <formula>Q$1=""</formula>
    </cfRule>
  </conditionalFormatting>
  <conditionalFormatting sqref="Q307:AA307 Q305:AA305">
    <cfRule type="expression" dxfId="909" priority="910">
      <formula>Q$1=""</formula>
    </cfRule>
  </conditionalFormatting>
  <conditionalFormatting sqref="Q307:AA307 Q305:AA305">
    <cfRule type="expression" dxfId="908" priority="909">
      <formula>Q$1=""</formula>
    </cfRule>
  </conditionalFormatting>
  <conditionalFormatting sqref="Q307:AA307 Q305:AA305">
    <cfRule type="expression" dxfId="907" priority="908">
      <formula>Q$1=""</formula>
    </cfRule>
  </conditionalFormatting>
  <conditionalFormatting sqref="Q307:AA307 Q305:AA305">
    <cfRule type="expression" dxfId="906" priority="907">
      <formula>Q$1=""</formula>
    </cfRule>
  </conditionalFormatting>
  <conditionalFormatting sqref="Q307:AA307 Q305:AA305">
    <cfRule type="expression" dxfId="905" priority="906">
      <formula>Q$1=""</formula>
    </cfRule>
  </conditionalFormatting>
  <conditionalFormatting sqref="Q307:AA307 Q305:AA305">
    <cfRule type="expression" dxfId="904" priority="905">
      <formula>Q$1=""</formula>
    </cfRule>
  </conditionalFormatting>
  <conditionalFormatting sqref="Q307:AA307 Q305:AA305">
    <cfRule type="expression" dxfId="903" priority="904">
      <formula>Q$1=""</formula>
    </cfRule>
  </conditionalFormatting>
  <conditionalFormatting sqref="Q307:AA307 Q305:AA305">
    <cfRule type="expression" dxfId="902" priority="903">
      <formula>Q$1=""</formula>
    </cfRule>
  </conditionalFormatting>
  <conditionalFormatting sqref="Q307:AA307 Q305:AA305">
    <cfRule type="expression" dxfId="901" priority="902">
      <formula>Q$1=""</formula>
    </cfRule>
  </conditionalFormatting>
  <conditionalFormatting sqref="Q307:AA307 Q305:AA305">
    <cfRule type="expression" dxfId="900" priority="901">
      <formula>Q$1=""</formula>
    </cfRule>
  </conditionalFormatting>
  <conditionalFormatting sqref="Q307:AA307 Q305:AA305">
    <cfRule type="expression" dxfId="899" priority="900">
      <formula>Q$1=""</formula>
    </cfRule>
  </conditionalFormatting>
  <conditionalFormatting sqref="Q307:AA307 Q305:AA305">
    <cfRule type="expression" dxfId="898" priority="899">
      <formula>Q$1=""</formula>
    </cfRule>
  </conditionalFormatting>
  <conditionalFormatting sqref="Q307:AA307 Q305:AA305">
    <cfRule type="expression" dxfId="897" priority="898">
      <formula>Q$1=""</formula>
    </cfRule>
  </conditionalFormatting>
  <conditionalFormatting sqref="Q307:AA307 Q305:AA305">
    <cfRule type="expression" dxfId="896" priority="897">
      <formula>Q$1=""</formula>
    </cfRule>
  </conditionalFormatting>
  <conditionalFormatting sqref="Q307:AA307 Q305:AA305">
    <cfRule type="expression" dxfId="895" priority="896">
      <formula>Q$1=""</formula>
    </cfRule>
  </conditionalFormatting>
  <conditionalFormatting sqref="Q307:AA307 Q305:AA305">
    <cfRule type="expression" dxfId="894" priority="895">
      <formula>Q$1=""</formula>
    </cfRule>
  </conditionalFormatting>
  <conditionalFormatting sqref="Q307:AA307 Q305:AA305">
    <cfRule type="expression" dxfId="893" priority="894">
      <formula>Q$1=""</formula>
    </cfRule>
  </conditionalFormatting>
  <conditionalFormatting sqref="Q307:AA307 Q305:AA305">
    <cfRule type="expression" dxfId="892" priority="893">
      <formula>Q$1=""</formula>
    </cfRule>
  </conditionalFormatting>
  <conditionalFormatting sqref="Q307:AA307 Q305:AA305">
    <cfRule type="expression" dxfId="891" priority="892">
      <formula>Q$1=""</formula>
    </cfRule>
  </conditionalFormatting>
  <conditionalFormatting sqref="Q307:AA307 Q305:AA305">
    <cfRule type="expression" dxfId="890" priority="891">
      <formula>Q$1=""</formula>
    </cfRule>
  </conditionalFormatting>
  <conditionalFormatting sqref="Q307:AA307 Q305:AA305">
    <cfRule type="expression" dxfId="889" priority="890">
      <formula>Q$1=""</formula>
    </cfRule>
  </conditionalFormatting>
  <conditionalFormatting sqref="Q307:AA307 Q305:AA305">
    <cfRule type="expression" dxfId="888" priority="889">
      <formula>Q$1=""</formula>
    </cfRule>
  </conditionalFormatting>
  <conditionalFormatting sqref="Q307:AA307 Q305:AA305">
    <cfRule type="expression" dxfId="887" priority="888">
      <formula>Q$1=""</formula>
    </cfRule>
  </conditionalFormatting>
  <conditionalFormatting sqref="Q307:AA307 Q305:AA305">
    <cfRule type="expression" dxfId="886" priority="887">
      <formula>Q$1=""</formula>
    </cfRule>
  </conditionalFormatting>
  <conditionalFormatting sqref="Q307:AA307 Q305:AA305">
    <cfRule type="expression" dxfId="885" priority="886">
      <formula>Q$1=""</formula>
    </cfRule>
  </conditionalFormatting>
  <conditionalFormatting sqref="Q307:AA307 Q305:AA305">
    <cfRule type="expression" dxfId="884" priority="885">
      <formula>Q$1=""</formula>
    </cfRule>
  </conditionalFormatting>
  <conditionalFormatting sqref="Q307:AA307 Q305:AA305">
    <cfRule type="expression" dxfId="883" priority="884">
      <formula>Q$1=""</formula>
    </cfRule>
  </conditionalFormatting>
  <conditionalFormatting sqref="Q307:AA307 Q305:AA305">
    <cfRule type="expression" dxfId="882" priority="883">
      <formula>Q$1=""</formula>
    </cfRule>
  </conditionalFormatting>
  <conditionalFormatting sqref="Q307:AA307 Q305:AA305">
    <cfRule type="expression" dxfId="881" priority="882">
      <formula>Q$1=""</formula>
    </cfRule>
  </conditionalFormatting>
  <conditionalFormatting sqref="P301:AA301">
    <cfRule type="expression" dxfId="880" priority="881">
      <formula>P$1=""</formula>
    </cfRule>
  </conditionalFormatting>
  <conditionalFormatting sqref="P301:AA301">
    <cfRule type="expression" dxfId="879" priority="880">
      <formula>P$1=""</formula>
    </cfRule>
  </conditionalFormatting>
  <conditionalFormatting sqref="P301:AA301">
    <cfRule type="expression" dxfId="878" priority="879">
      <formula>P$1=""</formula>
    </cfRule>
  </conditionalFormatting>
  <conditionalFormatting sqref="P301:AA301">
    <cfRule type="expression" dxfId="877" priority="878">
      <formula>P$1=""</formula>
    </cfRule>
  </conditionalFormatting>
  <conditionalFormatting sqref="P301:AA301">
    <cfRule type="expression" dxfId="876" priority="877">
      <formula>P$1=""</formula>
    </cfRule>
  </conditionalFormatting>
  <conditionalFormatting sqref="P301:AA301">
    <cfRule type="expression" dxfId="875" priority="876">
      <formula>P$1=""</formula>
    </cfRule>
  </conditionalFormatting>
  <conditionalFormatting sqref="P301:AA301">
    <cfRule type="expression" dxfId="874" priority="875">
      <formula>P$1=""</formula>
    </cfRule>
  </conditionalFormatting>
  <conditionalFormatting sqref="P301:AA301">
    <cfRule type="expression" dxfId="873" priority="874">
      <formula>P$1=""</formula>
    </cfRule>
  </conditionalFormatting>
  <conditionalFormatting sqref="P301:AA301">
    <cfRule type="expression" dxfId="872" priority="873">
      <formula>P$1=""</formula>
    </cfRule>
  </conditionalFormatting>
  <conditionalFormatting sqref="P301:AA301">
    <cfRule type="expression" dxfId="871" priority="872">
      <formula>P$1=""</formula>
    </cfRule>
  </conditionalFormatting>
  <conditionalFormatting sqref="P301:AA301">
    <cfRule type="expression" dxfId="870" priority="871">
      <formula>P$1=""</formula>
    </cfRule>
  </conditionalFormatting>
  <conditionalFormatting sqref="P301:AA301">
    <cfRule type="expression" dxfId="869" priority="870">
      <formula>P$1=""</formula>
    </cfRule>
  </conditionalFormatting>
  <conditionalFormatting sqref="P301:AA301">
    <cfRule type="expression" dxfId="868" priority="869">
      <formula>P$1=""</formula>
    </cfRule>
  </conditionalFormatting>
  <conditionalFormatting sqref="P301:AA301">
    <cfRule type="expression" dxfId="867" priority="868">
      <formula>P$1=""</formula>
    </cfRule>
  </conditionalFormatting>
  <conditionalFormatting sqref="P301:AA301">
    <cfRule type="expression" dxfId="866" priority="867">
      <formula>P$1=""</formula>
    </cfRule>
  </conditionalFormatting>
  <conditionalFormatting sqref="P301:AA301">
    <cfRule type="expression" dxfId="865" priority="866">
      <formula>P$1=""</formula>
    </cfRule>
  </conditionalFormatting>
  <conditionalFormatting sqref="P311:AA311">
    <cfRule type="expression" dxfId="864" priority="865">
      <formula>P$1=""</formula>
    </cfRule>
  </conditionalFormatting>
  <conditionalFormatting sqref="P313:AA313">
    <cfRule type="expression" dxfId="863" priority="864">
      <formula>P$1=""</formula>
    </cfRule>
  </conditionalFormatting>
  <conditionalFormatting sqref="P315:AA315">
    <cfRule type="expression" dxfId="862" priority="863">
      <formula>P$1=""</formula>
    </cfRule>
  </conditionalFormatting>
  <conditionalFormatting sqref="P317:AA317">
    <cfRule type="expression" dxfId="861" priority="862">
      <formula>P$1=""</formula>
    </cfRule>
  </conditionalFormatting>
  <conditionalFormatting sqref="P313:AA313 P315:AA315 P317:AA317">
    <cfRule type="expression" dxfId="860" priority="861">
      <formula>P$1=""</formula>
    </cfRule>
  </conditionalFormatting>
  <conditionalFormatting sqref="P313:AA313 P315:AA315 P317:AA317">
    <cfRule type="expression" dxfId="859" priority="860">
      <formula>P$1=""</formula>
    </cfRule>
  </conditionalFormatting>
  <conditionalFormatting sqref="P313:AA313 P315:AA315 P317:AA317">
    <cfRule type="expression" dxfId="858" priority="859">
      <formula>P$1=""</formula>
    </cfRule>
  </conditionalFormatting>
  <conditionalFormatting sqref="P313:AA313 P315:AA315 P317:AA317">
    <cfRule type="expression" dxfId="857" priority="858">
      <formula>P$1=""</formula>
    </cfRule>
  </conditionalFormatting>
  <conditionalFormatting sqref="P313:AA313 P315:AA315 P317:AA317">
    <cfRule type="expression" dxfId="856" priority="857">
      <formula>P$1=""</formula>
    </cfRule>
  </conditionalFormatting>
  <conditionalFormatting sqref="P315:AA315 P317:AA317">
    <cfRule type="expression" dxfId="855" priority="856">
      <formula>P$1=""</formula>
    </cfRule>
  </conditionalFormatting>
  <conditionalFormatting sqref="P313:AA313">
    <cfRule type="expression" dxfId="854" priority="855">
      <formula>P$1=""</formula>
    </cfRule>
  </conditionalFormatting>
  <conditionalFormatting sqref="P315:AA315 P317:AA317">
    <cfRule type="expression" dxfId="853" priority="854">
      <formula>P$1=""</formula>
    </cfRule>
  </conditionalFormatting>
  <conditionalFormatting sqref="P315:AA315 P317:AA317">
    <cfRule type="expression" dxfId="852" priority="853">
      <formula>P$1=""</formula>
    </cfRule>
  </conditionalFormatting>
  <conditionalFormatting sqref="P317:AA317">
    <cfRule type="expression" dxfId="851" priority="852">
      <formula>P$1=""</formula>
    </cfRule>
  </conditionalFormatting>
  <conditionalFormatting sqref="P317:AA317">
    <cfRule type="expression" dxfId="850" priority="851">
      <formula>P$1=""</formula>
    </cfRule>
  </conditionalFormatting>
  <conditionalFormatting sqref="P317:AA317">
    <cfRule type="expression" dxfId="849" priority="850">
      <formula>P$1=""</formula>
    </cfRule>
  </conditionalFormatting>
  <conditionalFormatting sqref="P317:AA317">
    <cfRule type="expression" dxfId="848" priority="849">
      <formula>P$1=""</formula>
    </cfRule>
  </conditionalFormatting>
  <conditionalFormatting sqref="P311:AA311">
    <cfRule type="expression" dxfId="847" priority="848">
      <formula>P$1=""</formula>
    </cfRule>
  </conditionalFormatting>
  <conditionalFormatting sqref="P311:AA311">
    <cfRule type="expression" dxfId="846" priority="847">
      <formula>P$1=""</formula>
    </cfRule>
  </conditionalFormatting>
  <conditionalFormatting sqref="P311:AA311">
    <cfRule type="expression" dxfId="845" priority="846">
      <formula>P$1=""</formula>
    </cfRule>
  </conditionalFormatting>
  <conditionalFormatting sqref="P311:AA311">
    <cfRule type="expression" dxfId="844" priority="845">
      <formula>P$1=""</formula>
    </cfRule>
  </conditionalFormatting>
  <conditionalFormatting sqref="P311:AA311">
    <cfRule type="expression" dxfId="843" priority="844">
      <formula>P$1=""</formula>
    </cfRule>
  </conditionalFormatting>
  <conditionalFormatting sqref="P311:AA311">
    <cfRule type="expression" dxfId="842" priority="843">
      <formula>P$1=""</formula>
    </cfRule>
  </conditionalFormatting>
  <conditionalFormatting sqref="P311:AA311">
    <cfRule type="expression" dxfId="841" priority="842">
      <formula>P$1=""</formula>
    </cfRule>
  </conditionalFormatting>
  <conditionalFormatting sqref="P315:AA315 P317:AA317">
    <cfRule type="expression" dxfId="840" priority="841">
      <formula>P$1=""</formula>
    </cfRule>
  </conditionalFormatting>
  <conditionalFormatting sqref="P315:AA315 P317:AA317">
    <cfRule type="expression" dxfId="839" priority="840">
      <formula>P$1=""</formula>
    </cfRule>
  </conditionalFormatting>
  <conditionalFormatting sqref="P315:AA315 P317:AA317">
    <cfRule type="expression" dxfId="838" priority="839">
      <formula>P$1=""</formula>
    </cfRule>
  </conditionalFormatting>
  <conditionalFormatting sqref="P315:AA315 P317:AA317">
    <cfRule type="expression" dxfId="837" priority="838">
      <formula>P$1=""</formula>
    </cfRule>
  </conditionalFormatting>
  <conditionalFormatting sqref="P313:AA313 P315:AA315 P317:AA317">
    <cfRule type="expression" dxfId="836" priority="837">
      <formula>P$1=""</formula>
    </cfRule>
  </conditionalFormatting>
  <conditionalFormatting sqref="P313:AA313 P315:AA315 P317:AA317">
    <cfRule type="expression" dxfId="835" priority="836">
      <formula>P$1=""</formula>
    </cfRule>
  </conditionalFormatting>
  <conditionalFormatting sqref="P313:AA313 P315:AA315 P317:AA317">
    <cfRule type="expression" dxfId="834" priority="835">
      <formula>P$1=""</formula>
    </cfRule>
  </conditionalFormatting>
  <conditionalFormatting sqref="P313:AA313 P315:AA315 P317:AA317">
    <cfRule type="expression" dxfId="833" priority="834">
      <formula>P$1=""</formula>
    </cfRule>
  </conditionalFormatting>
  <conditionalFormatting sqref="P313:AA313 P315:AA315 P317:AA317">
    <cfRule type="expression" dxfId="832" priority="833">
      <formula>P$1=""</formula>
    </cfRule>
  </conditionalFormatting>
  <conditionalFormatting sqref="P313:AA313 P315:AA315 P317:AA317">
    <cfRule type="expression" dxfId="831" priority="832">
      <formula>P$1=""</formula>
    </cfRule>
  </conditionalFormatting>
  <conditionalFormatting sqref="P313:AA313 P315:AA315 P317:AA317">
    <cfRule type="expression" dxfId="830" priority="831">
      <formula>P$1=""</formula>
    </cfRule>
  </conditionalFormatting>
  <conditionalFormatting sqref="P313:AA313 P315:AA315 P317:AA317">
    <cfRule type="expression" dxfId="829" priority="830">
      <formula>P$1=""</formula>
    </cfRule>
  </conditionalFormatting>
  <conditionalFormatting sqref="Q313:AA313">
    <cfRule type="expression" dxfId="828" priority="829">
      <formula>Q$1=""</formula>
    </cfRule>
  </conditionalFormatting>
  <conditionalFormatting sqref="Q313:AA313">
    <cfRule type="expression" dxfId="827" priority="828">
      <formula>Q$1=""</formula>
    </cfRule>
  </conditionalFormatting>
  <conditionalFormatting sqref="Q313:AA313">
    <cfRule type="expression" dxfId="826" priority="827">
      <formula>Q$1=""</formula>
    </cfRule>
  </conditionalFormatting>
  <conditionalFormatting sqref="Q313:AA313">
    <cfRule type="expression" dxfId="825" priority="826">
      <formula>Q$1=""</formula>
    </cfRule>
  </conditionalFormatting>
  <conditionalFormatting sqref="Q313:AA313">
    <cfRule type="expression" dxfId="824" priority="825">
      <formula>Q$1=""</formula>
    </cfRule>
  </conditionalFormatting>
  <conditionalFormatting sqref="Q313:AA313">
    <cfRule type="expression" dxfId="823" priority="824">
      <formula>Q$1=""</formula>
    </cfRule>
  </conditionalFormatting>
  <conditionalFormatting sqref="Q313:AA313">
    <cfRule type="expression" dxfId="822" priority="823">
      <formula>Q$1=""</formula>
    </cfRule>
  </conditionalFormatting>
  <conditionalFormatting sqref="Q313:AA313">
    <cfRule type="expression" dxfId="821" priority="822">
      <formula>Q$1=""</formula>
    </cfRule>
  </conditionalFormatting>
  <conditionalFormatting sqref="Q315:AA315 Q317:AA317">
    <cfRule type="expression" dxfId="820" priority="821">
      <formula>Q$1=""</formula>
    </cfRule>
  </conditionalFormatting>
  <conditionalFormatting sqref="Q315:AA315 Q317:AA317">
    <cfRule type="expression" dxfId="819" priority="820">
      <formula>Q$1=""</formula>
    </cfRule>
  </conditionalFormatting>
  <conditionalFormatting sqref="Q315:AA315 Q317:AA317">
    <cfRule type="expression" dxfId="818" priority="819">
      <formula>Q$1=""</formula>
    </cfRule>
  </conditionalFormatting>
  <conditionalFormatting sqref="Q315:AA315 Q317:AA317">
    <cfRule type="expression" dxfId="817" priority="818">
      <formula>Q$1=""</formula>
    </cfRule>
  </conditionalFormatting>
  <conditionalFormatting sqref="Q315:AA315 Q317:AA317">
    <cfRule type="expression" dxfId="816" priority="817">
      <formula>Q$1=""</formula>
    </cfRule>
  </conditionalFormatting>
  <conditionalFormatting sqref="Q315:AA315 Q317:AA317">
    <cfRule type="expression" dxfId="815" priority="816">
      <formula>Q$1=""</formula>
    </cfRule>
  </conditionalFormatting>
  <conditionalFormatting sqref="Q315:AA315 Q317:AA317">
    <cfRule type="expression" dxfId="814" priority="815">
      <formula>Q$1=""</formula>
    </cfRule>
  </conditionalFormatting>
  <conditionalFormatting sqref="Q315:AA315 Q317:AA317">
    <cfRule type="expression" dxfId="813" priority="814">
      <formula>Q$1=""</formula>
    </cfRule>
  </conditionalFormatting>
  <conditionalFormatting sqref="Q315:AA315 Q317:AA317">
    <cfRule type="expression" dxfId="812" priority="813">
      <formula>Q$1=""</formula>
    </cfRule>
  </conditionalFormatting>
  <conditionalFormatting sqref="Q315:AA315 Q317:AA317">
    <cfRule type="expression" dxfId="811" priority="812">
      <formula>Q$1=""</formula>
    </cfRule>
  </conditionalFormatting>
  <conditionalFormatting sqref="P311:AA311">
    <cfRule type="expression" dxfId="810" priority="811">
      <formula>P$1=""</formula>
    </cfRule>
  </conditionalFormatting>
  <conditionalFormatting sqref="P311:AA311">
    <cfRule type="expression" dxfId="809" priority="810">
      <formula>P$1=""</formula>
    </cfRule>
  </conditionalFormatting>
  <conditionalFormatting sqref="P311:AA311">
    <cfRule type="expression" dxfId="808" priority="809">
      <formula>P$1=""</formula>
    </cfRule>
  </conditionalFormatting>
  <conditionalFormatting sqref="P311:AA311">
    <cfRule type="expression" dxfId="807" priority="808">
      <formula>P$1=""</formula>
    </cfRule>
  </conditionalFormatting>
  <conditionalFormatting sqref="P311:AA311">
    <cfRule type="expression" dxfId="806" priority="807">
      <formula>P$1=""</formula>
    </cfRule>
  </conditionalFormatting>
  <conditionalFormatting sqref="P311:AA311">
    <cfRule type="expression" dxfId="805" priority="806">
      <formula>P$1=""</formula>
    </cfRule>
  </conditionalFormatting>
  <conditionalFormatting sqref="P311:AA311">
    <cfRule type="expression" dxfId="804" priority="805">
      <formula>P$1=""</formula>
    </cfRule>
  </conditionalFormatting>
  <conditionalFormatting sqref="P311:AA311">
    <cfRule type="expression" dxfId="803" priority="804">
      <formula>P$1=""</formula>
    </cfRule>
  </conditionalFormatting>
  <conditionalFormatting sqref="P313:AA313">
    <cfRule type="expression" dxfId="802" priority="803">
      <formula>P$1=""</formula>
    </cfRule>
  </conditionalFormatting>
  <conditionalFormatting sqref="P313:AA313">
    <cfRule type="expression" dxfId="801" priority="802">
      <formula>P$1=""</formula>
    </cfRule>
  </conditionalFormatting>
  <conditionalFormatting sqref="P313:AA313">
    <cfRule type="expression" dxfId="800" priority="801">
      <formula>P$1=""</formula>
    </cfRule>
  </conditionalFormatting>
  <conditionalFormatting sqref="P313:AA313">
    <cfRule type="expression" dxfId="799" priority="800">
      <formula>P$1=""</formula>
    </cfRule>
  </conditionalFormatting>
  <conditionalFormatting sqref="P313:AA313">
    <cfRule type="expression" dxfId="798" priority="799">
      <formula>P$1=""</formula>
    </cfRule>
  </conditionalFormatting>
  <conditionalFormatting sqref="P313:AA313">
    <cfRule type="expression" dxfId="797" priority="798">
      <formula>P$1=""</formula>
    </cfRule>
  </conditionalFormatting>
  <conditionalFormatting sqref="P313:AA313">
    <cfRule type="expression" dxfId="796" priority="797">
      <formula>P$1=""</formula>
    </cfRule>
  </conditionalFormatting>
  <conditionalFormatting sqref="P313:AA313">
    <cfRule type="expression" dxfId="795" priority="796">
      <formula>P$1=""</formula>
    </cfRule>
  </conditionalFormatting>
  <conditionalFormatting sqref="P313:AA313">
    <cfRule type="expression" dxfId="794" priority="795">
      <formula>P$1=""</formula>
    </cfRule>
  </conditionalFormatting>
  <conditionalFormatting sqref="P313:AA313">
    <cfRule type="expression" dxfId="793" priority="794">
      <formula>P$1=""</formula>
    </cfRule>
  </conditionalFormatting>
  <conditionalFormatting sqref="P313:AA313">
    <cfRule type="expression" dxfId="792" priority="793">
      <formula>P$1=""</formula>
    </cfRule>
  </conditionalFormatting>
  <conditionalFormatting sqref="P313:AA313">
    <cfRule type="expression" dxfId="791" priority="792">
      <formula>P$1=""</formula>
    </cfRule>
  </conditionalFormatting>
  <conditionalFormatting sqref="P313:AA313">
    <cfRule type="expression" dxfId="790" priority="791">
      <formula>P$1=""</formula>
    </cfRule>
  </conditionalFormatting>
  <conditionalFormatting sqref="P313:AA313">
    <cfRule type="expression" dxfId="789" priority="790">
      <formula>P$1=""</formula>
    </cfRule>
  </conditionalFormatting>
  <conditionalFormatting sqref="P313:AA313">
    <cfRule type="expression" dxfId="788" priority="789">
      <formula>P$1=""</formula>
    </cfRule>
  </conditionalFormatting>
  <conditionalFormatting sqref="P313:AA313">
    <cfRule type="expression" dxfId="787" priority="788">
      <formula>P$1=""</formula>
    </cfRule>
  </conditionalFormatting>
  <conditionalFormatting sqref="P317 P315">
    <cfRule type="expression" dxfId="786" priority="787">
      <formula>P$1=""</formula>
    </cfRule>
  </conditionalFormatting>
  <conditionalFormatting sqref="P317 P315">
    <cfRule type="expression" dxfId="785" priority="786">
      <formula>P$1=""</formula>
    </cfRule>
  </conditionalFormatting>
  <conditionalFormatting sqref="P317 P315">
    <cfRule type="expression" dxfId="784" priority="785">
      <formula>P$1=""</formula>
    </cfRule>
  </conditionalFormatting>
  <conditionalFormatting sqref="P317 P315">
    <cfRule type="expression" dxfId="783" priority="784">
      <formula>P$1=""</formula>
    </cfRule>
  </conditionalFormatting>
  <conditionalFormatting sqref="P317 P315">
    <cfRule type="expression" dxfId="782" priority="783">
      <formula>P$1=""</formula>
    </cfRule>
  </conditionalFormatting>
  <conditionalFormatting sqref="P317 P315">
    <cfRule type="expression" dxfId="781" priority="782">
      <formula>P$1=""</formula>
    </cfRule>
  </conditionalFormatting>
  <conditionalFormatting sqref="P317 P315">
    <cfRule type="expression" dxfId="780" priority="781">
      <formula>P$1=""</formula>
    </cfRule>
  </conditionalFormatting>
  <conditionalFormatting sqref="P317 P315">
    <cfRule type="expression" dxfId="779" priority="780">
      <formula>P$1=""</formula>
    </cfRule>
  </conditionalFormatting>
  <conditionalFormatting sqref="P317 P315">
    <cfRule type="expression" dxfId="778" priority="779">
      <formula>P$1=""</formula>
    </cfRule>
  </conditionalFormatting>
  <conditionalFormatting sqref="P317 P315">
    <cfRule type="expression" dxfId="777" priority="778">
      <formula>P$1=""</formula>
    </cfRule>
  </conditionalFormatting>
  <conditionalFormatting sqref="P317 P315">
    <cfRule type="expression" dxfId="776" priority="777">
      <formula>P$1=""</formula>
    </cfRule>
  </conditionalFormatting>
  <conditionalFormatting sqref="P317 P315">
    <cfRule type="expression" dxfId="775" priority="776">
      <formula>P$1=""</formula>
    </cfRule>
  </conditionalFormatting>
  <conditionalFormatting sqref="P317 P315">
    <cfRule type="expression" dxfId="774" priority="775">
      <formula>P$1=""</formula>
    </cfRule>
  </conditionalFormatting>
  <conditionalFormatting sqref="P317 P315">
    <cfRule type="expression" dxfId="773" priority="774">
      <formula>P$1=""</formula>
    </cfRule>
  </conditionalFormatting>
  <conditionalFormatting sqref="P317 P315">
    <cfRule type="expression" dxfId="772" priority="773">
      <formula>P$1=""</formula>
    </cfRule>
  </conditionalFormatting>
  <conditionalFormatting sqref="P317 P315">
    <cfRule type="expression" dxfId="771" priority="772">
      <formula>P$1=""</formula>
    </cfRule>
  </conditionalFormatting>
  <conditionalFormatting sqref="P317 P315">
    <cfRule type="expression" dxfId="770" priority="771">
      <formula>P$1=""</formula>
    </cfRule>
  </conditionalFormatting>
  <conditionalFormatting sqref="P317 P315">
    <cfRule type="expression" dxfId="769" priority="770">
      <formula>P$1=""</formula>
    </cfRule>
  </conditionalFormatting>
  <conditionalFormatting sqref="Q317:AA317 Q315:AA315">
    <cfRule type="expression" dxfId="768" priority="769">
      <formula>Q$1=""</formula>
    </cfRule>
  </conditionalFormatting>
  <conditionalFormatting sqref="Q317:AA317 Q315:AA315">
    <cfRule type="expression" dxfId="767" priority="768">
      <formula>Q$1=""</formula>
    </cfRule>
  </conditionalFormatting>
  <conditionalFormatting sqref="Q317:AA317 Q315:AA315">
    <cfRule type="expression" dxfId="766" priority="767">
      <formula>Q$1=""</formula>
    </cfRule>
  </conditionalFormatting>
  <conditionalFormatting sqref="Q317:AA317 Q315:AA315">
    <cfRule type="expression" dxfId="765" priority="766">
      <formula>Q$1=""</formula>
    </cfRule>
  </conditionalFormatting>
  <conditionalFormatting sqref="Q317:AA317 Q315:AA315">
    <cfRule type="expression" dxfId="764" priority="765">
      <formula>Q$1=""</formula>
    </cfRule>
  </conditionalFormatting>
  <conditionalFormatting sqref="Q317:AA317 Q315:AA315">
    <cfRule type="expression" dxfId="763" priority="764">
      <formula>Q$1=""</formula>
    </cfRule>
  </conditionalFormatting>
  <conditionalFormatting sqref="Q317:AA317 Q315:AA315">
    <cfRule type="expression" dxfId="762" priority="763">
      <formula>Q$1=""</formula>
    </cfRule>
  </conditionalFormatting>
  <conditionalFormatting sqref="Q317:AA317 Q315:AA315">
    <cfRule type="expression" dxfId="761" priority="762">
      <formula>Q$1=""</formula>
    </cfRule>
  </conditionalFormatting>
  <conditionalFormatting sqref="Q317:AA317 Q315:AA315">
    <cfRule type="expression" dxfId="760" priority="761">
      <formula>Q$1=""</formula>
    </cfRule>
  </conditionalFormatting>
  <conditionalFormatting sqref="Q317:AA317 Q315:AA315">
    <cfRule type="expression" dxfId="759" priority="760">
      <formula>Q$1=""</formula>
    </cfRule>
  </conditionalFormatting>
  <conditionalFormatting sqref="Q317:AA317 Q315:AA315">
    <cfRule type="expression" dxfId="758" priority="759">
      <formula>Q$1=""</formula>
    </cfRule>
  </conditionalFormatting>
  <conditionalFormatting sqref="Q317:AA317 Q315:AA315">
    <cfRule type="expression" dxfId="757" priority="758">
      <formula>Q$1=""</formula>
    </cfRule>
  </conditionalFormatting>
  <conditionalFormatting sqref="Q317:AA317 Q315:AA315">
    <cfRule type="expression" dxfId="756" priority="757">
      <formula>Q$1=""</formula>
    </cfRule>
  </conditionalFormatting>
  <conditionalFormatting sqref="Q317:AA317 Q315:AA315">
    <cfRule type="expression" dxfId="755" priority="756">
      <formula>Q$1=""</formula>
    </cfRule>
  </conditionalFormatting>
  <conditionalFormatting sqref="Q317:AA317 Q315:AA315">
    <cfRule type="expression" dxfId="754" priority="755">
      <formula>Q$1=""</formula>
    </cfRule>
  </conditionalFormatting>
  <conditionalFormatting sqref="Q317:AA317 Q315:AA315">
    <cfRule type="expression" dxfId="753" priority="754">
      <formula>Q$1=""</formula>
    </cfRule>
  </conditionalFormatting>
  <conditionalFormatting sqref="Q317:AA317 Q315:AA315">
    <cfRule type="expression" dxfId="752" priority="753">
      <formula>Q$1=""</formula>
    </cfRule>
  </conditionalFormatting>
  <conditionalFormatting sqref="Q317:AA317 Q315:AA315">
    <cfRule type="expression" dxfId="751" priority="752">
      <formula>Q$1=""</formula>
    </cfRule>
  </conditionalFormatting>
  <conditionalFormatting sqref="Q317:AA317 Q315:AA315">
    <cfRule type="expression" dxfId="750" priority="751">
      <formula>Q$1=""</formula>
    </cfRule>
  </conditionalFormatting>
  <conditionalFormatting sqref="Q317:AA317 Q315:AA315">
    <cfRule type="expression" dxfId="749" priority="750">
      <formula>Q$1=""</formula>
    </cfRule>
  </conditionalFormatting>
  <conditionalFormatting sqref="Q317:AA317 Q315:AA315">
    <cfRule type="expression" dxfId="748" priority="749">
      <formula>Q$1=""</formula>
    </cfRule>
  </conditionalFormatting>
  <conditionalFormatting sqref="Q317:AA317 Q315:AA315">
    <cfRule type="expression" dxfId="747" priority="748">
      <formula>Q$1=""</formula>
    </cfRule>
  </conditionalFormatting>
  <conditionalFormatting sqref="Q317:AA317 Q315:AA315">
    <cfRule type="expression" dxfId="746" priority="747">
      <formula>Q$1=""</formula>
    </cfRule>
  </conditionalFormatting>
  <conditionalFormatting sqref="Q317:AA317 Q315:AA315">
    <cfRule type="expression" dxfId="745" priority="746">
      <formula>Q$1=""</formula>
    </cfRule>
  </conditionalFormatting>
  <conditionalFormatting sqref="Q317:AA317 Q315:AA315">
    <cfRule type="expression" dxfId="744" priority="745">
      <formula>Q$1=""</formula>
    </cfRule>
  </conditionalFormatting>
  <conditionalFormatting sqref="Q317:AA317 Q315:AA315">
    <cfRule type="expression" dxfId="743" priority="744">
      <formula>Q$1=""</formula>
    </cfRule>
  </conditionalFormatting>
  <conditionalFormatting sqref="Q317:AA317 Q315:AA315">
    <cfRule type="expression" dxfId="742" priority="743">
      <formula>Q$1=""</formula>
    </cfRule>
  </conditionalFormatting>
  <conditionalFormatting sqref="Q317:AA317 Q315:AA315">
    <cfRule type="expression" dxfId="741" priority="742">
      <formula>Q$1=""</formula>
    </cfRule>
  </conditionalFormatting>
  <conditionalFormatting sqref="Q317:AA317 Q315:AA315">
    <cfRule type="expression" dxfId="740" priority="741">
      <formula>Q$1=""</formula>
    </cfRule>
  </conditionalFormatting>
  <conditionalFormatting sqref="Q317:AA317 Q315:AA315">
    <cfRule type="expression" dxfId="739" priority="740">
      <formula>Q$1=""</formula>
    </cfRule>
  </conditionalFormatting>
  <conditionalFormatting sqref="Q317:AA317 Q315:AA315">
    <cfRule type="expression" dxfId="738" priority="739">
      <formula>Q$1=""</formula>
    </cfRule>
  </conditionalFormatting>
  <conditionalFormatting sqref="Q317:AA317 Q315:AA315">
    <cfRule type="expression" dxfId="737" priority="738">
      <formula>Q$1=""</formula>
    </cfRule>
  </conditionalFormatting>
  <conditionalFormatting sqref="Q317:AA317 Q315:AA315">
    <cfRule type="expression" dxfId="736" priority="737">
      <formula>Q$1=""</formula>
    </cfRule>
  </conditionalFormatting>
  <conditionalFormatting sqref="Q317:AA317 Q315:AA315">
    <cfRule type="expression" dxfId="735" priority="736">
      <formula>Q$1=""</formula>
    </cfRule>
  </conditionalFormatting>
  <conditionalFormatting sqref="P311:AA311">
    <cfRule type="expression" dxfId="734" priority="735">
      <formula>P$1=""</formula>
    </cfRule>
  </conditionalFormatting>
  <conditionalFormatting sqref="P311:AA311">
    <cfRule type="expression" dxfId="733" priority="734">
      <formula>P$1=""</formula>
    </cfRule>
  </conditionalFormatting>
  <conditionalFormatting sqref="P311:AA311">
    <cfRule type="expression" dxfId="732" priority="733">
      <formula>P$1=""</formula>
    </cfRule>
  </conditionalFormatting>
  <conditionalFormatting sqref="P311:AA311">
    <cfRule type="expression" dxfId="731" priority="732">
      <formula>P$1=""</formula>
    </cfRule>
  </conditionalFormatting>
  <conditionalFormatting sqref="P311:AA311">
    <cfRule type="expression" dxfId="730" priority="731">
      <formula>P$1=""</formula>
    </cfRule>
  </conditionalFormatting>
  <conditionalFormatting sqref="P311:AA311">
    <cfRule type="expression" dxfId="729" priority="730">
      <formula>P$1=""</formula>
    </cfRule>
  </conditionalFormatting>
  <conditionalFormatting sqref="P311:AA311">
    <cfRule type="expression" dxfId="728" priority="729">
      <formula>P$1=""</formula>
    </cfRule>
  </conditionalFormatting>
  <conditionalFormatting sqref="P311:AA311">
    <cfRule type="expression" dxfId="727" priority="728">
      <formula>P$1=""</formula>
    </cfRule>
  </conditionalFormatting>
  <conditionalFormatting sqref="P311:AA311">
    <cfRule type="expression" dxfId="726" priority="727">
      <formula>P$1=""</formula>
    </cfRule>
  </conditionalFormatting>
  <conditionalFormatting sqref="P311:AA311">
    <cfRule type="expression" dxfId="725" priority="726">
      <formula>P$1=""</formula>
    </cfRule>
  </conditionalFormatting>
  <conditionalFormatting sqref="P311:AA311">
    <cfRule type="expression" dxfId="724" priority="725">
      <formula>P$1=""</formula>
    </cfRule>
  </conditionalFormatting>
  <conditionalFormatting sqref="P311:AA311">
    <cfRule type="expression" dxfId="723" priority="724">
      <formula>P$1=""</formula>
    </cfRule>
  </conditionalFormatting>
  <conditionalFormatting sqref="P311:AA311">
    <cfRule type="expression" dxfId="722" priority="723">
      <formula>P$1=""</formula>
    </cfRule>
  </conditionalFormatting>
  <conditionalFormatting sqref="P311:AA311">
    <cfRule type="expression" dxfId="721" priority="722">
      <formula>P$1=""</formula>
    </cfRule>
  </conditionalFormatting>
  <conditionalFormatting sqref="P311:AA311">
    <cfRule type="expression" dxfId="720" priority="721">
      <formula>P$1=""</formula>
    </cfRule>
  </conditionalFormatting>
  <conditionalFormatting sqref="P311:AA311">
    <cfRule type="expression" dxfId="719" priority="720">
      <formula>P$1=""</formula>
    </cfRule>
  </conditionalFormatting>
  <conditionalFormatting sqref="P277:AA277 P275:AA275 P273:AA273">
    <cfRule type="expression" dxfId="718" priority="719">
      <formula>P$1=""</formula>
    </cfRule>
  </conditionalFormatting>
  <conditionalFormatting sqref="P277:AA277 P275:AA275 P273:AA273">
    <cfRule type="expression" dxfId="717" priority="718">
      <formula>P$1=""</formula>
    </cfRule>
  </conditionalFormatting>
  <conditionalFormatting sqref="P277:AA277 P275:AA275 P273:AA273">
    <cfRule type="expression" dxfId="716" priority="717">
      <formula>P$1=""</formula>
    </cfRule>
  </conditionalFormatting>
  <conditionalFormatting sqref="P277:AA277 P275:AA275 P273:AA273">
    <cfRule type="expression" dxfId="715" priority="716">
      <formula>P$1=""</formula>
    </cfRule>
  </conditionalFormatting>
  <conditionalFormatting sqref="P277:AA277 P275:AA275 P273:AA273">
    <cfRule type="expression" dxfId="714" priority="715">
      <formula>P$1=""</formula>
    </cfRule>
  </conditionalFormatting>
  <conditionalFormatting sqref="P277:AA277 P275:AA275 P273:AA273">
    <cfRule type="expression" dxfId="713" priority="714">
      <formula>P$1=""</formula>
    </cfRule>
  </conditionalFormatting>
  <conditionalFormatting sqref="P277:AA277 P275:AA275 P273:AA273">
    <cfRule type="expression" dxfId="712" priority="713">
      <formula>P$1=""</formula>
    </cfRule>
  </conditionalFormatting>
  <conditionalFormatting sqref="P277:AA277 P275:AA275 P273:AA273">
    <cfRule type="expression" dxfId="711" priority="712">
      <formula>P$1=""</formula>
    </cfRule>
  </conditionalFormatting>
  <conditionalFormatting sqref="Q307:AA307 Q305:AA305 Q303:AA303">
    <cfRule type="expression" dxfId="710" priority="711">
      <formula>Q$1=""</formula>
    </cfRule>
  </conditionalFormatting>
  <conditionalFormatting sqref="Q307:AA307 Q305:AA305 Q303:AA303">
    <cfRule type="expression" dxfId="709" priority="710">
      <formula>Q$1=""</formula>
    </cfRule>
  </conditionalFormatting>
  <conditionalFormatting sqref="Q307:AA307 Q305:AA305 Q303:AA303">
    <cfRule type="expression" dxfId="708" priority="709">
      <formula>Q$1=""</formula>
    </cfRule>
  </conditionalFormatting>
  <conditionalFormatting sqref="Q307:AA307 Q305:AA305 Q303:AA303">
    <cfRule type="expression" dxfId="707" priority="708">
      <formula>Q$1=""</formula>
    </cfRule>
  </conditionalFormatting>
  <conditionalFormatting sqref="Q307:AA307 Q305:AA305 Q303:AA303">
    <cfRule type="expression" dxfId="706" priority="707">
      <formula>Q$1=""</formula>
    </cfRule>
  </conditionalFormatting>
  <conditionalFormatting sqref="Q307:AA307 Q305:AA305 Q303:AA303">
    <cfRule type="expression" dxfId="705" priority="706">
      <formula>Q$1=""</formula>
    </cfRule>
  </conditionalFormatting>
  <conditionalFormatting sqref="Q307:AA307 Q305:AA305 Q303:AA303">
    <cfRule type="expression" dxfId="704" priority="705">
      <formula>Q$1=""</formula>
    </cfRule>
  </conditionalFormatting>
  <conditionalFormatting sqref="Q307:AA307 Q305:AA305 Q303:AA303">
    <cfRule type="expression" dxfId="703" priority="704">
      <formula>Q$1=""</formula>
    </cfRule>
  </conditionalFormatting>
  <conditionalFormatting sqref="Q307:AA307 Q305:AA305 Q303:AA303">
    <cfRule type="expression" dxfId="702" priority="703">
      <formula>Q$1=""</formula>
    </cfRule>
  </conditionalFormatting>
  <conditionalFormatting sqref="Q307:AA307 Q305:AA305 Q303:AA303">
    <cfRule type="expression" dxfId="701" priority="702">
      <formula>Q$1=""</formula>
    </cfRule>
  </conditionalFormatting>
  <conditionalFormatting sqref="Q307:AA307 Q305:AA305 Q303:AA303">
    <cfRule type="expression" dxfId="700" priority="701">
      <formula>Q$1=""</formula>
    </cfRule>
  </conditionalFormatting>
  <conditionalFormatting sqref="Q307:AA307 Q305:AA305 Q303:AA303">
    <cfRule type="expression" dxfId="699" priority="700">
      <formula>Q$1=""</formula>
    </cfRule>
  </conditionalFormatting>
  <conditionalFormatting sqref="Q307:AA307 Q305:AA305 Q303:AA303">
    <cfRule type="expression" dxfId="698" priority="699">
      <formula>Q$1=""</formula>
    </cfRule>
  </conditionalFormatting>
  <conditionalFormatting sqref="Q307:AA307 Q305:AA305 Q303:AA303">
    <cfRule type="expression" dxfId="697" priority="698">
      <formula>Q$1=""</formula>
    </cfRule>
  </conditionalFormatting>
  <conditionalFormatting sqref="Q307:AA307 Q305:AA305 Q303:AA303">
    <cfRule type="expression" dxfId="696" priority="697">
      <formula>Q$1=""</formula>
    </cfRule>
  </conditionalFormatting>
  <conditionalFormatting sqref="Q307:AA307 Q305:AA305 Q303:AA303">
    <cfRule type="expression" dxfId="695" priority="696">
      <formula>Q$1=""</formula>
    </cfRule>
  </conditionalFormatting>
  <conditionalFormatting sqref="Q307:AA307 Q305:AA305 Q303:AA303">
    <cfRule type="expression" dxfId="694" priority="695">
      <formula>Q$1=""</formula>
    </cfRule>
  </conditionalFormatting>
  <conditionalFormatting sqref="Q307:AA307 Q305:AA305 Q303:AA303">
    <cfRule type="expression" dxfId="693" priority="694">
      <formula>Q$1=""</formula>
    </cfRule>
  </conditionalFormatting>
  <conditionalFormatting sqref="Q307:AA307 Q305:AA305 Q303:AA303">
    <cfRule type="expression" dxfId="692" priority="693">
      <formula>Q$1=""</formula>
    </cfRule>
  </conditionalFormatting>
  <conditionalFormatting sqref="Q307:AA307 Q305:AA305 Q303:AA303">
    <cfRule type="expression" dxfId="691" priority="692">
      <formula>Q$1=""</formula>
    </cfRule>
  </conditionalFormatting>
  <conditionalFormatting sqref="Q307:AA307 Q305:AA305 Q303:AA303">
    <cfRule type="expression" dxfId="690" priority="691">
      <formula>Q$1=""</formula>
    </cfRule>
  </conditionalFormatting>
  <conditionalFormatting sqref="Q307:AA307 Q305:AA305 Q303:AA303">
    <cfRule type="expression" dxfId="689" priority="690">
      <formula>Q$1=""</formula>
    </cfRule>
  </conditionalFormatting>
  <conditionalFormatting sqref="Q307:AA307 Q305:AA305 Q303:AA303">
    <cfRule type="expression" dxfId="688" priority="689">
      <formula>Q$1=""</formula>
    </cfRule>
  </conditionalFormatting>
  <conditionalFormatting sqref="Q307:AA307 Q305:AA305 Q303:AA303">
    <cfRule type="expression" dxfId="687" priority="688">
      <formula>Q$1=""</formula>
    </cfRule>
  </conditionalFormatting>
  <conditionalFormatting sqref="Q307:AA307 Q305:AA305 Q303:AA303">
    <cfRule type="expression" dxfId="686" priority="687">
      <formula>Q$1=""</formula>
    </cfRule>
  </conditionalFormatting>
  <conditionalFormatting sqref="Q307:AA307 Q305:AA305 Q303:AA303">
    <cfRule type="expression" dxfId="685" priority="686">
      <formula>Q$1=""</formula>
    </cfRule>
  </conditionalFormatting>
  <conditionalFormatting sqref="Q307:AA307 Q305:AA305 Q303:AA303">
    <cfRule type="expression" dxfId="684" priority="685">
      <formula>Q$1=""</formula>
    </cfRule>
  </conditionalFormatting>
  <conditionalFormatting sqref="Q307:AA307 Q305:AA305 Q303:AA303">
    <cfRule type="expression" dxfId="683" priority="684">
      <formula>Q$1=""</formula>
    </cfRule>
  </conditionalFormatting>
  <conditionalFormatting sqref="Q307:AA307 Q305:AA305 Q303:AA303">
    <cfRule type="expression" dxfId="682" priority="683">
      <formula>Q$1=""</formula>
    </cfRule>
  </conditionalFormatting>
  <conditionalFormatting sqref="Q307:AA307 Q305:AA305 Q303:AA303">
    <cfRule type="expression" dxfId="681" priority="682">
      <formula>Q$1=""</formula>
    </cfRule>
  </conditionalFormatting>
  <conditionalFormatting sqref="Q307:AA307 Q305:AA305 Q303:AA303">
    <cfRule type="expression" dxfId="680" priority="681">
      <formula>Q$1=""</formula>
    </cfRule>
  </conditionalFormatting>
  <conditionalFormatting sqref="Q307:AA307 Q305:AA305 Q303:AA303">
    <cfRule type="expression" dxfId="679" priority="680">
      <formula>Q$1=""</formula>
    </cfRule>
  </conditionalFormatting>
  <conditionalFormatting sqref="P307 P305">
    <cfRule type="expression" dxfId="678" priority="679">
      <formula>P$1=""</formula>
    </cfRule>
  </conditionalFormatting>
  <conditionalFormatting sqref="P307 P305">
    <cfRule type="expression" dxfId="677" priority="678">
      <formula>P$1=""</formula>
    </cfRule>
  </conditionalFormatting>
  <conditionalFormatting sqref="P307 P305">
    <cfRule type="expression" dxfId="676" priority="677">
      <formula>P$1=""</formula>
    </cfRule>
  </conditionalFormatting>
  <conditionalFormatting sqref="P307 P305">
    <cfRule type="expression" dxfId="675" priority="676">
      <formula>P$1=""</formula>
    </cfRule>
  </conditionalFormatting>
  <conditionalFormatting sqref="P307 P305">
    <cfRule type="expression" dxfId="674" priority="675">
      <formula>P$1=""</formula>
    </cfRule>
  </conditionalFormatting>
  <conditionalFormatting sqref="P307 P305">
    <cfRule type="expression" dxfId="673" priority="674">
      <formula>P$1=""</formula>
    </cfRule>
  </conditionalFormatting>
  <conditionalFormatting sqref="P307 P305">
    <cfRule type="expression" dxfId="672" priority="673">
      <formula>P$1=""</formula>
    </cfRule>
  </conditionalFormatting>
  <conditionalFormatting sqref="P307 P305">
    <cfRule type="expression" dxfId="671" priority="672">
      <formula>P$1=""</formula>
    </cfRule>
  </conditionalFormatting>
  <conditionalFormatting sqref="P307 P305">
    <cfRule type="expression" dxfId="670" priority="671">
      <formula>P$1=""</formula>
    </cfRule>
  </conditionalFormatting>
  <conditionalFormatting sqref="P307 P305">
    <cfRule type="expression" dxfId="669" priority="670">
      <formula>P$1=""</formula>
    </cfRule>
  </conditionalFormatting>
  <conditionalFormatting sqref="P307 P305">
    <cfRule type="expression" dxfId="668" priority="669">
      <formula>P$1=""</formula>
    </cfRule>
  </conditionalFormatting>
  <conditionalFormatting sqref="P307 P305">
    <cfRule type="expression" dxfId="667" priority="668">
      <formula>P$1=""</formula>
    </cfRule>
  </conditionalFormatting>
  <conditionalFormatting sqref="P307 P305">
    <cfRule type="expression" dxfId="666" priority="667">
      <formula>P$1=""</formula>
    </cfRule>
  </conditionalFormatting>
  <conditionalFormatting sqref="P307 P305">
    <cfRule type="expression" dxfId="665" priority="666">
      <formula>P$1=""</formula>
    </cfRule>
  </conditionalFormatting>
  <conditionalFormatting sqref="P307 P305">
    <cfRule type="expression" dxfId="664" priority="665">
      <formula>P$1=""</formula>
    </cfRule>
  </conditionalFormatting>
  <conditionalFormatting sqref="P307 P305">
    <cfRule type="expression" dxfId="663" priority="664">
      <formula>P$1=""</formula>
    </cfRule>
  </conditionalFormatting>
  <conditionalFormatting sqref="P307 P305">
    <cfRule type="expression" dxfId="662" priority="663">
      <formula>P$1=""</formula>
    </cfRule>
  </conditionalFormatting>
  <conditionalFormatting sqref="P307 P305">
    <cfRule type="expression" dxfId="661" priority="662">
      <formula>P$1=""</formula>
    </cfRule>
  </conditionalFormatting>
  <conditionalFormatting sqref="P313:AA313">
    <cfRule type="expression" dxfId="660" priority="661">
      <formula>P$1=""</formula>
    </cfRule>
  </conditionalFormatting>
  <conditionalFormatting sqref="P313:AA313">
    <cfRule type="expression" dxfId="659" priority="660">
      <formula>P$1=""</formula>
    </cfRule>
  </conditionalFormatting>
  <conditionalFormatting sqref="P313:AA313">
    <cfRule type="expression" dxfId="658" priority="659">
      <formula>P$1=""</formula>
    </cfRule>
  </conditionalFormatting>
  <conditionalFormatting sqref="P313:AA313">
    <cfRule type="expression" dxfId="657" priority="658">
      <formula>P$1=""</formula>
    </cfRule>
  </conditionalFormatting>
  <conditionalFormatting sqref="P313:AA313">
    <cfRule type="expression" dxfId="656" priority="657">
      <formula>P$1=""</formula>
    </cfRule>
  </conditionalFormatting>
  <conditionalFormatting sqref="P313:AA313">
    <cfRule type="expression" dxfId="655" priority="656">
      <formula>P$1=""</formula>
    </cfRule>
  </conditionalFormatting>
  <conditionalFormatting sqref="P313:AA313">
    <cfRule type="expression" dxfId="654" priority="655">
      <formula>P$1=""</formula>
    </cfRule>
  </conditionalFormatting>
  <conditionalFormatting sqref="P313:AA313">
    <cfRule type="expression" dxfId="653" priority="654">
      <formula>P$1=""</formula>
    </cfRule>
  </conditionalFormatting>
  <conditionalFormatting sqref="P313:AA313">
    <cfRule type="expression" dxfId="652" priority="653">
      <formula>P$1=""</formula>
    </cfRule>
  </conditionalFormatting>
  <conditionalFormatting sqref="P313:AA313">
    <cfRule type="expression" dxfId="651" priority="652">
      <formula>P$1=""</formula>
    </cfRule>
  </conditionalFormatting>
  <conditionalFormatting sqref="P313:AA313">
    <cfRule type="expression" dxfId="650" priority="651">
      <formula>P$1=""</formula>
    </cfRule>
  </conditionalFormatting>
  <conditionalFormatting sqref="P313:AA313">
    <cfRule type="expression" dxfId="649" priority="650">
      <formula>P$1=""</formula>
    </cfRule>
  </conditionalFormatting>
  <conditionalFormatting sqref="P313:AA313">
    <cfRule type="expression" dxfId="648" priority="649">
      <formula>P$1=""</formula>
    </cfRule>
  </conditionalFormatting>
  <conditionalFormatting sqref="P313:AA313">
    <cfRule type="expression" dxfId="647" priority="648">
      <formula>P$1=""</formula>
    </cfRule>
  </conditionalFormatting>
  <conditionalFormatting sqref="P313:AA313">
    <cfRule type="expression" dxfId="646" priority="647">
      <formula>P$1=""</formula>
    </cfRule>
  </conditionalFormatting>
  <conditionalFormatting sqref="P313:AA313">
    <cfRule type="expression" dxfId="645" priority="646">
      <formula>P$1=""</formula>
    </cfRule>
  </conditionalFormatting>
  <conditionalFormatting sqref="P313:AA313">
    <cfRule type="expression" dxfId="644" priority="645">
      <formula>P$1=""</formula>
    </cfRule>
  </conditionalFormatting>
  <conditionalFormatting sqref="P313:AA313">
    <cfRule type="expression" dxfId="643" priority="644">
      <formula>P$1=""</formula>
    </cfRule>
  </conditionalFormatting>
  <conditionalFormatting sqref="P313:AA313">
    <cfRule type="expression" dxfId="642" priority="643">
      <formula>P$1=""</formula>
    </cfRule>
  </conditionalFormatting>
  <conditionalFormatting sqref="P313:AA313">
    <cfRule type="expression" dxfId="641" priority="642">
      <formula>P$1=""</formula>
    </cfRule>
  </conditionalFormatting>
  <conditionalFormatting sqref="P313:AA313">
    <cfRule type="expression" dxfId="640" priority="641">
      <formula>P$1=""</formula>
    </cfRule>
  </conditionalFormatting>
  <conditionalFormatting sqref="P313:AA313">
    <cfRule type="expression" dxfId="639" priority="640">
      <formula>P$1=""</formula>
    </cfRule>
  </conditionalFormatting>
  <conditionalFormatting sqref="P313:AA313">
    <cfRule type="expression" dxfId="638" priority="639">
      <formula>P$1=""</formula>
    </cfRule>
  </conditionalFormatting>
  <conditionalFormatting sqref="P313:AA313">
    <cfRule type="expression" dxfId="637" priority="638">
      <formula>P$1=""</formula>
    </cfRule>
  </conditionalFormatting>
  <conditionalFormatting sqref="P313:AA313">
    <cfRule type="expression" dxfId="636" priority="637">
      <formula>P$1=""</formula>
    </cfRule>
  </conditionalFormatting>
  <conditionalFormatting sqref="P313:AA313">
    <cfRule type="expression" dxfId="635" priority="636">
      <formula>P$1=""</formula>
    </cfRule>
  </conditionalFormatting>
  <conditionalFormatting sqref="P313:AA313">
    <cfRule type="expression" dxfId="634" priority="635">
      <formula>P$1=""</formula>
    </cfRule>
  </conditionalFormatting>
  <conditionalFormatting sqref="P313:AA313">
    <cfRule type="expression" dxfId="633" priority="634">
      <formula>P$1=""</formula>
    </cfRule>
  </conditionalFormatting>
  <conditionalFormatting sqref="P313:AA313">
    <cfRule type="expression" dxfId="632" priority="633">
      <formula>P$1=""</formula>
    </cfRule>
  </conditionalFormatting>
  <conditionalFormatting sqref="P313:AA313">
    <cfRule type="expression" dxfId="631" priority="632">
      <formula>P$1=""</formula>
    </cfRule>
  </conditionalFormatting>
  <conditionalFormatting sqref="P313:AA313">
    <cfRule type="expression" dxfId="630" priority="631">
      <formula>P$1=""</formula>
    </cfRule>
  </conditionalFormatting>
  <conditionalFormatting sqref="P313:AA313">
    <cfRule type="expression" dxfId="629" priority="630">
      <formula>P$1=""</formula>
    </cfRule>
  </conditionalFormatting>
  <conditionalFormatting sqref="P313:AA313">
    <cfRule type="expression" dxfId="628" priority="629">
      <formula>P$1=""</formula>
    </cfRule>
  </conditionalFormatting>
  <conditionalFormatting sqref="P313:AA313">
    <cfRule type="expression" dxfId="627" priority="628">
      <formula>P$1=""</formula>
    </cfRule>
  </conditionalFormatting>
  <conditionalFormatting sqref="P313:AA313">
    <cfRule type="expression" dxfId="626" priority="627">
      <formula>P$1=""</formula>
    </cfRule>
  </conditionalFormatting>
  <conditionalFormatting sqref="P313:AA313">
    <cfRule type="expression" dxfId="625" priority="626">
      <formula>P$1=""</formula>
    </cfRule>
  </conditionalFormatting>
  <conditionalFormatting sqref="P313:AA313">
    <cfRule type="expression" dxfId="624" priority="625">
      <formula>P$1=""</formula>
    </cfRule>
  </conditionalFormatting>
  <conditionalFormatting sqref="P313:AA313">
    <cfRule type="expression" dxfId="623" priority="624">
      <formula>P$1=""</formula>
    </cfRule>
  </conditionalFormatting>
  <conditionalFormatting sqref="P313:AA313">
    <cfRule type="expression" dxfId="622" priority="623">
      <formula>P$1=""</formula>
    </cfRule>
  </conditionalFormatting>
  <conditionalFormatting sqref="P313:AA313">
    <cfRule type="expression" dxfId="621" priority="622">
      <formula>P$1=""</formula>
    </cfRule>
  </conditionalFormatting>
  <conditionalFormatting sqref="P313:AA313">
    <cfRule type="expression" dxfId="620" priority="621">
      <formula>P$1=""</formula>
    </cfRule>
  </conditionalFormatting>
  <conditionalFormatting sqref="P313:AA313">
    <cfRule type="expression" dxfId="619" priority="620">
      <formula>P$1=""</formula>
    </cfRule>
  </conditionalFormatting>
  <conditionalFormatting sqref="P313:AA313">
    <cfRule type="expression" dxfId="618" priority="619">
      <formula>P$1=""</formula>
    </cfRule>
  </conditionalFormatting>
  <conditionalFormatting sqref="P313:AA313">
    <cfRule type="expression" dxfId="617" priority="618">
      <formula>P$1=""</formula>
    </cfRule>
  </conditionalFormatting>
  <conditionalFormatting sqref="P313:AA313">
    <cfRule type="expression" dxfId="616" priority="617">
      <formula>P$1=""</formula>
    </cfRule>
  </conditionalFormatting>
  <conditionalFormatting sqref="P313:AA313">
    <cfRule type="expression" dxfId="615" priority="616">
      <formula>P$1=""</formula>
    </cfRule>
  </conditionalFormatting>
  <conditionalFormatting sqref="P313:AA313">
    <cfRule type="expression" dxfId="614" priority="615">
      <formula>P$1=""</formula>
    </cfRule>
  </conditionalFormatting>
  <conditionalFormatting sqref="P313:AA313">
    <cfRule type="expression" dxfId="613" priority="614">
      <formula>P$1=""</formula>
    </cfRule>
  </conditionalFormatting>
  <conditionalFormatting sqref="P313:AA313">
    <cfRule type="expression" dxfId="612" priority="613">
      <formula>P$1=""</formula>
    </cfRule>
  </conditionalFormatting>
  <conditionalFormatting sqref="P313:AA313">
    <cfRule type="expression" dxfId="611" priority="612">
      <formula>P$1=""</formula>
    </cfRule>
  </conditionalFormatting>
  <conditionalFormatting sqref="P313:AA313">
    <cfRule type="expression" dxfId="610" priority="611">
      <formula>P$1=""</formula>
    </cfRule>
  </conditionalFormatting>
  <conditionalFormatting sqref="P313:AA313">
    <cfRule type="expression" dxfId="609" priority="610">
      <formula>P$1=""</formula>
    </cfRule>
  </conditionalFormatting>
  <conditionalFormatting sqref="P313:AA313">
    <cfRule type="expression" dxfId="608" priority="609">
      <formula>P$1=""</formula>
    </cfRule>
  </conditionalFormatting>
  <conditionalFormatting sqref="P313:AA313">
    <cfRule type="expression" dxfId="607" priority="608">
      <formula>P$1=""</formula>
    </cfRule>
  </conditionalFormatting>
  <conditionalFormatting sqref="P313:AA313">
    <cfRule type="expression" dxfId="606" priority="607">
      <formula>P$1=""</formula>
    </cfRule>
  </conditionalFormatting>
  <conditionalFormatting sqref="P313:AA313">
    <cfRule type="expression" dxfId="605" priority="606">
      <formula>P$1=""</formula>
    </cfRule>
  </conditionalFormatting>
  <conditionalFormatting sqref="P313:AA313">
    <cfRule type="expression" dxfId="604" priority="605">
      <formula>P$1=""</formula>
    </cfRule>
  </conditionalFormatting>
  <conditionalFormatting sqref="P313:AA313">
    <cfRule type="expression" dxfId="603" priority="604">
      <formula>P$1=""</formula>
    </cfRule>
  </conditionalFormatting>
  <conditionalFormatting sqref="P313:AA313">
    <cfRule type="expression" dxfId="602" priority="603">
      <formula>P$1=""</formula>
    </cfRule>
  </conditionalFormatting>
  <conditionalFormatting sqref="P313:AA313">
    <cfRule type="expression" dxfId="601" priority="602">
      <formula>P$1=""</formula>
    </cfRule>
  </conditionalFormatting>
  <conditionalFormatting sqref="P313:AA313">
    <cfRule type="expression" dxfId="600" priority="601">
      <formula>P$1=""</formula>
    </cfRule>
  </conditionalFormatting>
  <conditionalFormatting sqref="P313:AA313">
    <cfRule type="expression" dxfId="599" priority="600">
      <formula>P$1=""</formula>
    </cfRule>
  </conditionalFormatting>
  <conditionalFormatting sqref="P313:AA313">
    <cfRule type="expression" dxfId="598" priority="599">
      <formula>P$1=""</formula>
    </cfRule>
  </conditionalFormatting>
  <conditionalFormatting sqref="P313:AA313">
    <cfRule type="expression" dxfId="597" priority="598">
      <formula>P$1=""</formula>
    </cfRule>
  </conditionalFormatting>
  <conditionalFormatting sqref="P317:AA317 P315:AA315">
    <cfRule type="expression" dxfId="596" priority="597">
      <formula>P$1=""</formula>
    </cfRule>
  </conditionalFormatting>
  <conditionalFormatting sqref="P317:AA317 P315:AA315">
    <cfRule type="expression" dxfId="595" priority="596">
      <formula>P$1=""</formula>
    </cfRule>
  </conditionalFormatting>
  <conditionalFormatting sqref="Q317:AA317 Q315:AA315">
    <cfRule type="expression" dxfId="594" priority="595">
      <formula>Q$1=""</formula>
    </cfRule>
  </conditionalFormatting>
  <conditionalFormatting sqref="Q317:AA317 Q315:AA315">
    <cfRule type="expression" dxfId="593" priority="594">
      <formula>Q$1=""</formula>
    </cfRule>
  </conditionalFormatting>
  <conditionalFormatting sqref="Q317:AA317 Q315:AA315">
    <cfRule type="expression" dxfId="592" priority="593">
      <formula>Q$1=""</formula>
    </cfRule>
  </conditionalFormatting>
  <conditionalFormatting sqref="Q317:AA317 Q315:AA315">
    <cfRule type="expression" dxfId="591" priority="592">
      <formula>Q$1=""</formula>
    </cfRule>
  </conditionalFormatting>
  <conditionalFormatting sqref="Q317:AA317 Q315:AA315">
    <cfRule type="expression" dxfId="590" priority="591">
      <formula>Q$1=""</formula>
    </cfRule>
  </conditionalFormatting>
  <conditionalFormatting sqref="Q317:AA317 Q315:AA315">
    <cfRule type="expression" dxfId="589" priority="590">
      <formula>Q$1=""</formula>
    </cfRule>
  </conditionalFormatting>
  <conditionalFormatting sqref="Q317:AA317 Q315:AA315">
    <cfRule type="expression" dxfId="588" priority="589">
      <formula>Q$1=""</formula>
    </cfRule>
  </conditionalFormatting>
  <conditionalFormatting sqref="Q317:AA317 Q315:AA315">
    <cfRule type="expression" dxfId="587" priority="588">
      <formula>Q$1=""</formula>
    </cfRule>
  </conditionalFormatting>
  <conditionalFormatting sqref="P317:AA317 P315:AA315">
    <cfRule type="expression" dxfId="586" priority="587">
      <formula>P$1=""</formula>
    </cfRule>
  </conditionalFormatting>
  <conditionalFormatting sqref="P317:AA317 P315:AA315">
    <cfRule type="expression" dxfId="585" priority="586">
      <formula>P$1=""</formula>
    </cfRule>
  </conditionalFormatting>
  <conditionalFormatting sqref="P317:AA317 P315:AA315">
    <cfRule type="expression" dxfId="584" priority="585">
      <formula>P$1=""</formula>
    </cfRule>
  </conditionalFormatting>
  <conditionalFormatting sqref="P317:AA317 P315:AA315">
    <cfRule type="expression" dxfId="583" priority="584">
      <formula>P$1=""</formula>
    </cfRule>
  </conditionalFormatting>
  <conditionalFormatting sqref="P317:AA317 P315:AA315">
    <cfRule type="expression" dxfId="582" priority="583">
      <formula>P$1=""</formula>
    </cfRule>
  </conditionalFormatting>
  <conditionalFormatting sqref="P317:AA317 P315:AA315">
    <cfRule type="expression" dxfId="581" priority="582">
      <formula>P$1=""</formula>
    </cfRule>
  </conditionalFormatting>
  <conditionalFormatting sqref="P317:AA317 P315:AA315">
    <cfRule type="expression" dxfId="580" priority="581">
      <formula>P$1=""</formula>
    </cfRule>
  </conditionalFormatting>
  <conditionalFormatting sqref="P317:AA317 P315:AA315">
    <cfRule type="expression" dxfId="579" priority="580">
      <formula>P$1=""</formula>
    </cfRule>
  </conditionalFormatting>
  <conditionalFormatting sqref="P317:AA317 P315:AA315">
    <cfRule type="expression" dxfId="578" priority="579">
      <formula>P$1=""</formula>
    </cfRule>
  </conditionalFormatting>
  <conditionalFormatting sqref="P317:AA317 P315:AA315">
    <cfRule type="expression" dxfId="577" priority="578">
      <formula>P$1=""</formula>
    </cfRule>
  </conditionalFormatting>
  <conditionalFormatting sqref="P317:AA317 P315:AA315">
    <cfRule type="expression" dxfId="576" priority="577">
      <formula>P$1=""</formula>
    </cfRule>
  </conditionalFormatting>
  <conditionalFormatting sqref="P317:AA317 P315:AA315">
    <cfRule type="expression" dxfId="575" priority="576">
      <formula>P$1=""</formula>
    </cfRule>
  </conditionalFormatting>
  <conditionalFormatting sqref="P317:AA317 P315:AA315">
    <cfRule type="expression" dxfId="574" priority="575">
      <formula>P$1=""</formula>
    </cfRule>
  </conditionalFormatting>
  <conditionalFormatting sqref="P317:AA317 P315:AA315">
    <cfRule type="expression" dxfId="573" priority="574">
      <formula>P$1=""</formula>
    </cfRule>
  </conditionalFormatting>
  <conditionalFormatting sqref="P317:AA317 P315:AA315">
    <cfRule type="expression" dxfId="572" priority="573">
      <formula>P$1=""</formula>
    </cfRule>
  </conditionalFormatting>
  <conditionalFormatting sqref="P317:AA317 P315:AA315">
    <cfRule type="expression" dxfId="571" priority="572">
      <formula>P$1=""</formula>
    </cfRule>
  </conditionalFormatting>
  <conditionalFormatting sqref="P317:AA317 P315:AA315">
    <cfRule type="expression" dxfId="570" priority="571">
      <formula>P$1=""</formula>
    </cfRule>
  </conditionalFormatting>
  <conditionalFormatting sqref="P317:AA317 P315:AA315">
    <cfRule type="expression" dxfId="569" priority="570">
      <formula>P$1=""</formula>
    </cfRule>
  </conditionalFormatting>
  <conditionalFormatting sqref="P317:AA317 P315:AA315">
    <cfRule type="expression" dxfId="568" priority="569">
      <formula>P$1=""</formula>
    </cfRule>
  </conditionalFormatting>
  <conditionalFormatting sqref="P317:AA317 P315:AA315">
    <cfRule type="expression" dxfId="567" priority="568">
      <formula>P$1=""</formula>
    </cfRule>
  </conditionalFormatting>
  <conditionalFormatting sqref="P317:AA317 P315:AA315">
    <cfRule type="expression" dxfId="566" priority="567">
      <formula>P$1=""</formula>
    </cfRule>
  </conditionalFormatting>
  <conditionalFormatting sqref="P317:AA317 P315:AA315">
    <cfRule type="expression" dxfId="565" priority="566">
      <formula>P$1=""</formula>
    </cfRule>
  </conditionalFormatting>
  <conditionalFormatting sqref="P317:AA317 P315:AA315">
    <cfRule type="expression" dxfId="564" priority="565">
      <formula>P$1=""</formula>
    </cfRule>
  </conditionalFormatting>
  <conditionalFormatting sqref="P317:AA317 P315:AA315">
    <cfRule type="expression" dxfId="563" priority="564">
      <formula>P$1=""</formula>
    </cfRule>
  </conditionalFormatting>
  <conditionalFormatting sqref="P317:AA317 P315:AA315">
    <cfRule type="expression" dxfId="562" priority="563">
      <formula>P$1=""</formula>
    </cfRule>
  </conditionalFormatting>
  <conditionalFormatting sqref="P317:AA317 P315:AA315">
    <cfRule type="expression" dxfId="561" priority="562">
      <formula>P$1=""</formula>
    </cfRule>
  </conditionalFormatting>
  <conditionalFormatting sqref="P317:AA317 P315:AA315">
    <cfRule type="expression" dxfId="560" priority="561">
      <formula>P$1=""</formula>
    </cfRule>
  </conditionalFormatting>
  <conditionalFormatting sqref="P317:AA317 P315:AA315">
    <cfRule type="expression" dxfId="559" priority="560">
      <formula>P$1=""</formula>
    </cfRule>
  </conditionalFormatting>
  <conditionalFormatting sqref="P317:AA317 P315:AA315">
    <cfRule type="expression" dxfId="558" priority="559">
      <formula>P$1=""</formula>
    </cfRule>
  </conditionalFormatting>
  <conditionalFormatting sqref="P317:AA317 P315:AA315">
    <cfRule type="expression" dxfId="557" priority="558">
      <formula>P$1=""</formula>
    </cfRule>
  </conditionalFormatting>
  <conditionalFormatting sqref="P317:AA317 P315:AA315">
    <cfRule type="expression" dxfId="556" priority="557">
      <formula>P$1=""</formula>
    </cfRule>
  </conditionalFormatting>
  <conditionalFormatting sqref="P317:AA317 P315:AA315">
    <cfRule type="expression" dxfId="555" priority="556">
      <formula>P$1=""</formula>
    </cfRule>
  </conditionalFormatting>
  <conditionalFormatting sqref="P317:AA317 P315:AA315">
    <cfRule type="expression" dxfId="554" priority="555">
      <formula>P$1=""</formula>
    </cfRule>
  </conditionalFormatting>
  <conditionalFormatting sqref="P317:AA317 P315:AA315">
    <cfRule type="expression" dxfId="553" priority="554">
      <formula>P$1=""</formula>
    </cfRule>
  </conditionalFormatting>
  <conditionalFormatting sqref="P317:AA317 P315:AA315">
    <cfRule type="expression" dxfId="552" priority="553">
      <formula>P$1=""</formula>
    </cfRule>
  </conditionalFormatting>
  <conditionalFormatting sqref="P317:AA317 P315:AA315">
    <cfRule type="expression" dxfId="551" priority="552">
      <formula>P$1=""</formula>
    </cfRule>
  </conditionalFormatting>
  <conditionalFormatting sqref="P317:AA317 P315:AA315">
    <cfRule type="expression" dxfId="550" priority="551">
      <formula>P$1=""</formula>
    </cfRule>
  </conditionalFormatting>
  <conditionalFormatting sqref="P317:AA317 P315:AA315">
    <cfRule type="expression" dxfId="549" priority="550">
      <formula>P$1=""</formula>
    </cfRule>
  </conditionalFormatting>
  <conditionalFormatting sqref="P317:AA317 P315:AA315">
    <cfRule type="expression" dxfId="548" priority="549">
      <formula>P$1=""</formula>
    </cfRule>
  </conditionalFormatting>
  <conditionalFormatting sqref="P317:AA317 P315:AA315">
    <cfRule type="expression" dxfId="547" priority="548">
      <formula>P$1=""</formula>
    </cfRule>
  </conditionalFormatting>
  <conditionalFormatting sqref="P317:AA317 P315:AA315">
    <cfRule type="expression" dxfId="546" priority="547">
      <formula>P$1=""</formula>
    </cfRule>
  </conditionalFormatting>
  <conditionalFormatting sqref="P317:AA317 P315:AA315">
    <cfRule type="expression" dxfId="545" priority="546">
      <formula>P$1=""</formula>
    </cfRule>
  </conditionalFormatting>
  <conditionalFormatting sqref="P317:AA317 P315:AA315">
    <cfRule type="expression" dxfId="544" priority="545">
      <formula>P$1=""</formula>
    </cfRule>
  </conditionalFormatting>
  <conditionalFormatting sqref="P317:AA317 P315:AA315">
    <cfRule type="expression" dxfId="543" priority="544">
      <formula>P$1=""</formula>
    </cfRule>
  </conditionalFormatting>
  <conditionalFormatting sqref="P317:AA317 P315:AA315">
    <cfRule type="expression" dxfId="542" priority="543">
      <formula>P$1=""</formula>
    </cfRule>
  </conditionalFormatting>
  <conditionalFormatting sqref="P317:AA317 P315:AA315">
    <cfRule type="expression" dxfId="541" priority="542">
      <formula>P$1=""</formula>
    </cfRule>
  </conditionalFormatting>
  <conditionalFormatting sqref="P317:AA317 P315:AA315">
    <cfRule type="expression" dxfId="540" priority="541">
      <formula>P$1=""</formula>
    </cfRule>
  </conditionalFormatting>
  <conditionalFormatting sqref="P317:AA317 P315:AA315">
    <cfRule type="expression" dxfId="539" priority="540">
      <formula>P$1=""</formula>
    </cfRule>
  </conditionalFormatting>
  <conditionalFormatting sqref="P317:AA317 P315:AA315">
    <cfRule type="expression" dxfId="538" priority="539">
      <formula>P$1=""</formula>
    </cfRule>
  </conditionalFormatting>
  <conditionalFormatting sqref="P317:AA317 P315:AA315">
    <cfRule type="expression" dxfId="537" priority="538">
      <formula>P$1=""</formula>
    </cfRule>
  </conditionalFormatting>
  <conditionalFormatting sqref="P317:AA317 P315:AA315">
    <cfRule type="expression" dxfId="536" priority="537">
      <formula>P$1=""</formula>
    </cfRule>
  </conditionalFormatting>
  <conditionalFormatting sqref="P317:AA317 P315:AA315">
    <cfRule type="expression" dxfId="535" priority="536">
      <formula>P$1=""</formula>
    </cfRule>
  </conditionalFormatting>
  <conditionalFormatting sqref="P317:AA317 P315:AA315">
    <cfRule type="expression" dxfId="534" priority="535">
      <formula>P$1=""</formula>
    </cfRule>
  </conditionalFormatting>
  <conditionalFormatting sqref="P317:AA317 P315:AA315">
    <cfRule type="expression" dxfId="533" priority="534">
      <formula>P$1=""</formula>
    </cfRule>
  </conditionalFormatting>
  <conditionalFormatting sqref="P317:AA317 P315:AA315">
    <cfRule type="expression" dxfId="532" priority="533">
      <formula>P$1=""</formula>
    </cfRule>
  </conditionalFormatting>
  <conditionalFormatting sqref="P317:AA317 P315:AA315">
    <cfRule type="expression" dxfId="531" priority="532">
      <formula>P$1=""</formula>
    </cfRule>
  </conditionalFormatting>
  <conditionalFormatting sqref="P317:AA317 P315:AA315">
    <cfRule type="expression" dxfId="530" priority="531">
      <formula>P$1=""</formula>
    </cfRule>
  </conditionalFormatting>
  <conditionalFormatting sqref="P317:AA317 P315:AA315">
    <cfRule type="expression" dxfId="529" priority="530">
      <formula>P$1=""</formula>
    </cfRule>
  </conditionalFormatting>
  <conditionalFormatting sqref="P317:AA317 P315:AA315">
    <cfRule type="expression" dxfId="528" priority="529">
      <formula>P$1=""</formula>
    </cfRule>
  </conditionalFormatting>
  <conditionalFormatting sqref="P317:AA317 P315:AA315">
    <cfRule type="expression" dxfId="527" priority="528">
      <formula>P$1=""</formula>
    </cfRule>
  </conditionalFormatting>
  <conditionalFormatting sqref="P317:AA317 P315:AA315">
    <cfRule type="expression" dxfId="526" priority="527">
      <formula>P$1=""</formula>
    </cfRule>
  </conditionalFormatting>
  <conditionalFormatting sqref="P317:AA317 P315:AA315">
    <cfRule type="expression" dxfId="525" priority="526">
      <formula>P$1=""</formula>
    </cfRule>
  </conditionalFormatting>
  <conditionalFormatting sqref="P317:AA317 P315:AA315">
    <cfRule type="expression" dxfId="524" priority="525">
      <formula>P$1=""</formula>
    </cfRule>
  </conditionalFormatting>
  <conditionalFormatting sqref="P317:AA317 P315:AA315">
    <cfRule type="expression" dxfId="523" priority="524">
      <formula>P$1=""</formula>
    </cfRule>
  </conditionalFormatting>
  <conditionalFormatting sqref="P317:AA317 P315:AA315">
    <cfRule type="expression" dxfId="522" priority="523">
      <formula>P$1=""</formula>
    </cfRule>
  </conditionalFormatting>
  <conditionalFormatting sqref="P317:AA317 P315:AA315">
    <cfRule type="expression" dxfId="521" priority="522">
      <formula>P$1=""</formula>
    </cfRule>
  </conditionalFormatting>
  <conditionalFormatting sqref="P317:AA317 P315:AA315">
    <cfRule type="expression" dxfId="520" priority="521">
      <formula>P$1=""</formula>
    </cfRule>
  </conditionalFormatting>
  <conditionalFormatting sqref="P317:AA317 P315:AA315">
    <cfRule type="expression" dxfId="519" priority="520">
      <formula>P$1=""</formula>
    </cfRule>
  </conditionalFormatting>
  <conditionalFormatting sqref="P317:AA317 P315:AA315">
    <cfRule type="expression" dxfId="518" priority="519">
      <formula>P$1=""</formula>
    </cfRule>
  </conditionalFormatting>
  <conditionalFormatting sqref="P317:AA317 P315:AA315">
    <cfRule type="expression" dxfId="517" priority="518">
      <formula>P$1=""</formula>
    </cfRule>
  </conditionalFormatting>
  <conditionalFormatting sqref="P317:AA317 P315:AA315">
    <cfRule type="expression" dxfId="516" priority="517">
      <formula>P$1=""</formula>
    </cfRule>
  </conditionalFormatting>
  <conditionalFormatting sqref="P317:AA317 P315:AA315">
    <cfRule type="expression" dxfId="515" priority="516">
      <formula>P$1=""</formula>
    </cfRule>
  </conditionalFormatting>
  <conditionalFormatting sqref="P317:AA317 P315:AA315">
    <cfRule type="expression" dxfId="514" priority="515">
      <formula>P$1=""</formula>
    </cfRule>
  </conditionalFormatting>
  <conditionalFormatting sqref="P317:AA317 P315:AA315">
    <cfRule type="expression" dxfId="513" priority="514">
      <formula>P$1=""</formula>
    </cfRule>
  </conditionalFormatting>
  <conditionalFormatting sqref="P317:AA317 P315:AA315">
    <cfRule type="expression" dxfId="512" priority="513">
      <formula>P$1=""</formula>
    </cfRule>
  </conditionalFormatting>
  <conditionalFormatting sqref="P317:AA317 P315:AA315">
    <cfRule type="expression" dxfId="511" priority="512">
      <formula>P$1=""</formula>
    </cfRule>
  </conditionalFormatting>
  <conditionalFormatting sqref="P317:AA317 P315:AA315">
    <cfRule type="expression" dxfId="510" priority="511">
      <formula>P$1=""</formula>
    </cfRule>
  </conditionalFormatting>
  <conditionalFormatting sqref="P317:AA317 P315:AA315">
    <cfRule type="expression" dxfId="509" priority="510">
      <formula>P$1=""</formula>
    </cfRule>
  </conditionalFormatting>
  <conditionalFormatting sqref="P317:AA317 P315:AA315">
    <cfRule type="expression" dxfId="508" priority="509">
      <formula>P$1=""</formula>
    </cfRule>
  </conditionalFormatting>
  <conditionalFormatting sqref="P317:AA317 P315:AA315">
    <cfRule type="expression" dxfId="507" priority="508">
      <formula>P$1=""</formula>
    </cfRule>
  </conditionalFormatting>
  <conditionalFormatting sqref="P161:AA161 P159:AA159 P157:AA157">
    <cfRule type="expression" dxfId="506" priority="507">
      <formula>P$1=""</formula>
    </cfRule>
  </conditionalFormatting>
  <conditionalFormatting sqref="P161:AA161 P159:AA159 P157:AA157">
    <cfRule type="expression" dxfId="505" priority="506">
      <formula>P$1=""</formula>
    </cfRule>
  </conditionalFormatting>
  <conditionalFormatting sqref="P161:AA161 P159:AA159 P157:AA157">
    <cfRule type="expression" dxfId="504" priority="505">
      <formula>P$1=""</formula>
    </cfRule>
  </conditionalFormatting>
  <conditionalFormatting sqref="P161:AA161 P159:AA159 P157:AA157">
    <cfRule type="expression" dxfId="503" priority="504">
      <formula>P$1=""</formula>
    </cfRule>
  </conditionalFormatting>
  <conditionalFormatting sqref="P161:AA161 P159:AA159 P157:AA157">
    <cfRule type="expression" dxfId="502" priority="503">
      <formula>P$1=""</formula>
    </cfRule>
  </conditionalFormatting>
  <conditionalFormatting sqref="P161:AA161 P159:AA159 P157:AA157">
    <cfRule type="expression" dxfId="501" priority="502">
      <formula>P$1=""</formula>
    </cfRule>
  </conditionalFormatting>
  <conditionalFormatting sqref="P161:AA161 P159:AA159 P157:AA157">
    <cfRule type="expression" dxfId="500" priority="501">
      <formula>P$1=""</formula>
    </cfRule>
  </conditionalFormatting>
  <conditionalFormatting sqref="P161:AA161 P159:AA159 P157:AA157">
    <cfRule type="expression" dxfId="499" priority="500">
      <formula>P$1=""</formula>
    </cfRule>
  </conditionalFormatting>
  <conditionalFormatting sqref="P171:AA171 P169:AA169 P167:AA167">
    <cfRule type="expression" dxfId="498" priority="499">
      <formula>P$1=""</formula>
    </cfRule>
  </conditionalFormatting>
  <conditionalFormatting sqref="P171:AA171 P169:AA169 P167:AA167">
    <cfRule type="expression" dxfId="497" priority="498">
      <formula>P$1=""</formula>
    </cfRule>
  </conditionalFormatting>
  <conditionalFormatting sqref="P171:AA171 P169:AA169 P167:AA167">
    <cfRule type="expression" dxfId="496" priority="497">
      <formula>P$1=""</formula>
    </cfRule>
  </conditionalFormatting>
  <conditionalFormatting sqref="P171:AA171 P169:AA169 P167:AA167">
    <cfRule type="expression" dxfId="495" priority="496">
      <formula>P$1=""</formula>
    </cfRule>
  </conditionalFormatting>
  <conditionalFormatting sqref="P171:AA171 P169:AA169 P167:AA167">
    <cfRule type="expression" dxfId="494" priority="495">
      <formula>P$1=""</formula>
    </cfRule>
  </conditionalFormatting>
  <conditionalFormatting sqref="P171:AA171 P169:AA169 P167:AA167">
    <cfRule type="expression" dxfId="493" priority="494">
      <formula>P$1=""</formula>
    </cfRule>
  </conditionalFormatting>
  <conditionalFormatting sqref="P171:AA171 P169:AA169 P167:AA167">
    <cfRule type="expression" dxfId="492" priority="493">
      <formula>P$1=""</formula>
    </cfRule>
  </conditionalFormatting>
  <conditionalFormatting sqref="P171:AA171 P169:AA169 P167:AA167">
    <cfRule type="expression" dxfId="491" priority="492">
      <formula>P$1=""</formula>
    </cfRule>
  </conditionalFormatting>
  <conditionalFormatting sqref="P177:AA177 P179:AA179 P181:AA181">
    <cfRule type="expression" dxfId="490" priority="491">
      <formula>P$1=""</formula>
    </cfRule>
  </conditionalFormatting>
  <conditionalFormatting sqref="P177:AA177 P179:AA179 P181:AA181">
    <cfRule type="expression" dxfId="489" priority="490">
      <formula>P$1=""</formula>
    </cfRule>
  </conditionalFormatting>
  <conditionalFormatting sqref="P177:AA177 P179:AA179 P181:AA181">
    <cfRule type="expression" dxfId="488" priority="489">
      <formula>P$1=""</formula>
    </cfRule>
  </conditionalFormatting>
  <conditionalFormatting sqref="P177:AA177 P179:AA179 P181:AA181">
    <cfRule type="expression" dxfId="487" priority="488">
      <formula>P$1=""</formula>
    </cfRule>
  </conditionalFormatting>
  <conditionalFormatting sqref="P177:AA177 P179:AA179 P181:AA181">
    <cfRule type="expression" dxfId="486" priority="487">
      <formula>P$1=""</formula>
    </cfRule>
  </conditionalFormatting>
  <conditionalFormatting sqref="P177:AA177 P179:AA179 P181:AA181">
    <cfRule type="expression" dxfId="485" priority="486">
      <formula>P$1=""</formula>
    </cfRule>
  </conditionalFormatting>
  <conditionalFormatting sqref="P177:AA177 P179:AA179 P181:AA181">
    <cfRule type="expression" dxfId="484" priority="485">
      <formula>P$1=""</formula>
    </cfRule>
  </conditionalFormatting>
  <conditionalFormatting sqref="P177:AA177 P179:AA179 P181:AA181">
    <cfRule type="expression" dxfId="483" priority="484">
      <formula>P$1=""</formula>
    </cfRule>
  </conditionalFormatting>
  <conditionalFormatting sqref="P177:AA177">
    <cfRule type="expression" dxfId="482" priority="483">
      <formula>P$1=""</formula>
    </cfRule>
  </conditionalFormatting>
  <conditionalFormatting sqref="P177:AA177 P179:AA179 P181:AA181">
    <cfRule type="expression" dxfId="481" priority="482">
      <formula>P$1=""</formula>
    </cfRule>
  </conditionalFormatting>
  <conditionalFormatting sqref="P177:AA177 P179:AA179 P181:AA181">
    <cfRule type="expression" dxfId="480" priority="481">
      <formula>P$1=""</formula>
    </cfRule>
  </conditionalFormatting>
  <conditionalFormatting sqref="P177:AA177 P179:AA179 P181:AA181">
    <cfRule type="expression" dxfId="479" priority="480">
      <formula>P$1=""</formula>
    </cfRule>
  </conditionalFormatting>
  <conditionalFormatting sqref="P177:AA177 P179:AA179 P181:AA181">
    <cfRule type="expression" dxfId="478" priority="479">
      <formula>P$1=""</formula>
    </cfRule>
  </conditionalFormatting>
  <conditionalFormatting sqref="P177:AA177 P179:AA179 P181:AA181">
    <cfRule type="expression" dxfId="477" priority="478">
      <formula>P$1=""</formula>
    </cfRule>
  </conditionalFormatting>
  <conditionalFormatting sqref="P177:AA177">
    <cfRule type="expression" dxfId="476" priority="477">
      <formula>P$1=""</formula>
    </cfRule>
  </conditionalFormatting>
  <conditionalFormatting sqref="P177:AA177 P179:AA179 P181:AA181">
    <cfRule type="expression" dxfId="475" priority="476">
      <formula>P$1=""</formula>
    </cfRule>
  </conditionalFormatting>
  <conditionalFormatting sqref="P177:AA177 P179:AA179 P181:AA181">
    <cfRule type="expression" dxfId="474" priority="475">
      <formula>P$1=""</formula>
    </cfRule>
  </conditionalFormatting>
  <conditionalFormatting sqref="P177:AA177 P179:AA179 P181:AA181">
    <cfRule type="expression" dxfId="473" priority="474">
      <formula>P$1=""</formula>
    </cfRule>
  </conditionalFormatting>
  <conditionalFormatting sqref="P177:AA177 P179:AA179 P181:AA181">
    <cfRule type="expression" dxfId="472" priority="473">
      <formula>P$1=""</formula>
    </cfRule>
  </conditionalFormatting>
  <conditionalFormatting sqref="P177:AA177 P179:AA179 P181:AA181">
    <cfRule type="expression" dxfId="471" priority="472">
      <formula>P$1=""</formula>
    </cfRule>
  </conditionalFormatting>
  <conditionalFormatting sqref="P177:AA177 P179:AA179 P181:AA181">
    <cfRule type="expression" dxfId="470" priority="471">
      <formula>P$1=""</formula>
    </cfRule>
  </conditionalFormatting>
  <conditionalFormatting sqref="P177:AA177 P179:AA179 P181:AA181">
    <cfRule type="expression" dxfId="469" priority="470">
      <formula>P$1=""</formula>
    </cfRule>
  </conditionalFormatting>
  <conditionalFormatting sqref="P177:AA177 P179:AA179 P181:AA181">
    <cfRule type="expression" dxfId="468" priority="469">
      <formula>P$1=""</formula>
    </cfRule>
  </conditionalFormatting>
  <conditionalFormatting sqref="P181:AA181 P179:AA179">
    <cfRule type="expression" dxfId="467" priority="468">
      <formula>P$1=""</formula>
    </cfRule>
  </conditionalFormatting>
  <conditionalFormatting sqref="P181:AA181 P179:AA179">
    <cfRule type="expression" dxfId="466" priority="467">
      <formula>P$1=""</formula>
    </cfRule>
  </conditionalFormatting>
  <conditionalFormatting sqref="Q181:AA181 Q179:AA179">
    <cfRule type="expression" dxfId="465" priority="466">
      <formula>Q$1=""</formula>
    </cfRule>
  </conditionalFormatting>
  <conditionalFormatting sqref="Q181:AA181 Q179:AA179">
    <cfRule type="expression" dxfId="464" priority="465">
      <formula>Q$1=""</formula>
    </cfRule>
  </conditionalFormatting>
  <conditionalFormatting sqref="Q181:AA181 Q179:AA179">
    <cfRule type="expression" dxfId="463" priority="464">
      <formula>Q$1=""</formula>
    </cfRule>
  </conditionalFormatting>
  <conditionalFormatting sqref="Q181:AA181 Q179:AA179">
    <cfRule type="expression" dxfId="462" priority="463">
      <formula>Q$1=""</formula>
    </cfRule>
  </conditionalFormatting>
  <conditionalFormatting sqref="Q181:AA181 Q179:AA179">
    <cfRule type="expression" dxfId="461" priority="462">
      <formula>Q$1=""</formula>
    </cfRule>
  </conditionalFormatting>
  <conditionalFormatting sqref="Q181:AA181 Q179:AA179">
    <cfRule type="expression" dxfId="460" priority="461">
      <formula>Q$1=""</formula>
    </cfRule>
  </conditionalFormatting>
  <conditionalFormatting sqref="Q181:AA181 Q179:AA179">
    <cfRule type="expression" dxfId="459" priority="460">
      <formula>Q$1=""</formula>
    </cfRule>
  </conditionalFormatting>
  <conditionalFormatting sqref="Q181:AA181 Q179:AA179">
    <cfRule type="expression" dxfId="458" priority="459">
      <formula>Q$1=""</formula>
    </cfRule>
  </conditionalFormatting>
  <conditionalFormatting sqref="P181:AA181 P179:AA179">
    <cfRule type="expression" dxfId="457" priority="458">
      <formula>P$1=""</formula>
    </cfRule>
  </conditionalFormatting>
  <conditionalFormatting sqref="P181:AA181 P179:AA179">
    <cfRule type="expression" dxfId="456" priority="457">
      <formula>P$1=""</formula>
    </cfRule>
  </conditionalFormatting>
  <conditionalFormatting sqref="P297:AA297 P295:AA295 P293:AA293 P291:AA291">
    <cfRule type="expression" dxfId="455" priority="456">
      <formula>P$1=""</formula>
    </cfRule>
  </conditionalFormatting>
  <conditionalFormatting sqref="P297:AA297 P295:AA295 P293:AA293 P291:AA291">
    <cfRule type="expression" dxfId="454" priority="455">
      <formula>P$1=""</formula>
    </cfRule>
  </conditionalFormatting>
  <conditionalFormatting sqref="P297:AA297 P295:AA295 P293:AA293 P291:AA291">
    <cfRule type="expression" dxfId="453" priority="454">
      <formula>P$1=""</formula>
    </cfRule>
  </conditionalFormatting>
  <conditionalFormatting sqref="P297:AA297 P295:AA295 P293:AA293 P291:AA291">
    <cfRule type="expression" dxfId="452" priority="453">
      <formula>P$1=""</formula>
    </cfRule>
  </conditionalFormatting>
  <conditionalFormatting sqref="P297:AA297 P295:AA295 P293:AA293 P291:AA291">
    <cfRule type="expression" dxfId="451" priority="452">
      <formula>P$1=""</formula>
    </cfRule>
  </conditionalFormatting>
  <conditionalFormatting sqref="P297:AA297 P295:AA295 P293:AA293 P291:AA291">
    <cfRule type="expression" dxfId="450" priority="451">
      <formula>P$1=""</formula>
    </cfRule>
  </conditionalFormatting>
  <conditionalFormatting sqref="P297:AA297 P295:AA295 P293:AA293 P291:AA291">
    <cfRule type="expression" dxfId="449" priority="450">
      <formula>P$1=""</formula>
    </cfRule>
  </conditionalFormatting>
  <conditionalFormatting sqref="P297:AA297 P295:AA295 P293:AA293 P291:AA291">
    <cfRule type="expression" dxfId="448" priority="449">
      <formula>P$1=""</formula>
    </cfRule>
  </conditionalFormatting>
  <conditionalFormatting sqref="P297:AA297 P295:AA295 P293:AA293 P291:AA291">
    <cfRule type="expression" dxfId="447" priority="448">
      <formula>P$1=""</formula>
    </cfRule>
  </conditionalFormatting>
  <conditionalFormatting sqref="P297:AA297 P295:AA295 P293:AA293 P291:AA291">
    <cfRule type="expression" dxfId="446" priority="447">
      <formula>P$1=""</formula>
    </cfRule>
  </conditionalFormatting>
  <conditionalFormatting sqref="P297:AA297 P295:AA295 P293:AA293 P291:AA291">
    <cfRule type="expression" dxfId="445" priority="446">
      <formula>P$1=""</formula>
    </cfRule>
  </conditionalFormatting>
  <conditionalFormatting sqref="P297:AA297 P295:AA295 P293:AA293 P291:AA291">
    <cfRule type="expression" dxfId="444" priority="445">
      <formula>P$1=""</formula>
    </cfRule>
  </conditionalFormatting>
  <conditionalFormatting sqref="P297:AA297 P295:AA295 P293:AA293 P291:AA291">
    <cfRule type="expression" dxfId="443" priority="444">
      <formula>P$1=""</formula>
    </cfRule>
  </conditionalFormatting>
  <conditionalFormatting sqref="P297:AA297 P295:AA295 P293:AA293 P291:AA291">
    <cfRule type="expression" dxfId="442" priority="443">
      <formula>P$1=""</formula>
    </cfRule>
  </conditionalFormatting>
  <conditionalFormatting sqref="P297:AA297 P295:AA295 P293:AA293 P291:AA291">
    <cfRule type="expression" dxfId="441" priority="442">
      <formula>P$1=""</formula>
    </cfRule>
  </conditionalFormatting>
  <conditionalFormatting sqref="P297:AA297 P295:AA295 P293:AA293 P291:AA291">
    <cfRule type="expression" dxfId="440" priority="441">
      <formula>P$1=""</formula>
    </cfRule>
  </conditionalFormatting>
  <conditionalFormatting sqref="P297:AA297 P295:AA295 P293:AA293 P291:AA291">
    <cfRule type="expression" dxfId="439" priority="440">
      <formula>P$1=""</formula>
    </cfRule>
  </conditionalFormatting>
  <conditionalFormatting sqref="P297:AA297 P295:AA295 P293:AA293 P291:AA291">
    <cfRule type="expression" dxfId="438" priority="439">
      <formula>P$1=""</formula>
    </cfRule>
  </conditionalFormatting>
  <conditionalFormatting sqref="P297:AA297 P295:AA295 P293:AA293 P291:AA291">
    <cfRule type="expression" dxfId="437" priority="438">
      <formula>P$1=""</formula>
    </cfRule>
  </conditionalFormatting>
  <conditionalFormatting sqref="P297:AA297 P295:AA295 P293:AA293 P291:AA291">
    <cfRule type="expression" dxfId="436" priority="437">
      <formula>P$1=""</formula>
    </cfRule>
  </conditionalFormatting>
  <conditionalFormatting sqref="P297:AA297 P295:AA295 P293:AA293 P291:AA291">
    <cfRule type="expression" dxfId="435" priority="436">
      <formula>P$1=""</formula>
    </cfRule>
  </conditionalFormatting>
  <conditionalFormatting sqref="P297:AA297 P295:AA295 P293:AA293 P291:AA291">
    <cfRule type="expression" dxfId="434" priority="435">
      <formula>P$1=""</formula>
    </cfRule>
  </conditionalFormatting>
  <conditionalFormatting sqref="P297:AA297 P295:AA295 P293:AA293 P291:AA291">
    <cfRule type="expression" dxfId="433" priority="434">
      <formula>P$1=""</formula>
    </cfRule>
  </conditionalFormatting>
  <conditionalFormatting sqref="P193:AA193">
    <cfRule type="expression" dxfId="432" priority="433">
      <formula>P$1=""</formula>
    </cfRule>
  </conditionalFormatting>
  <conditionalFormatting sqref="P193:AA193">
    <cfRule type="expression" dxfId="431" priority="432">
      <formula>P$1=""</formula>
    </cfRule>
  </conditionalFormatting>
  <conditionalFormatting sqref="P193:AA193">
    <cfRule type="expression" dxfId="430" priority="431">
      <formula>P$1=""</formula>
    </cfRule>
  </conditionalFormatting>
  <conditionalFormatting sqref="P193:AA193">
    <cfRule type="expression" dxfId="429" priority="430">
      <formula>P$1=""</formula>
    </cfRule>
  </conditionalFormatting>
  <conditionalFormatting sqref="P193:AA193">
    <cfRule type="expression" dxfId="428" priority="429">
      <formula>P$1=""</formula>
    </cfRule>
  </conditionalFormatting>
  <conditionalFormatting sqref="P193:AA193">
    <cfRule type="expression" dxfId="427" priority="428">
      <formula>P$1=""</formula>
    </cfRule>
  </conditionalFormatting>
  <conditionalFormatting sqref="P193:AA193">
    <cfRule type="expression" dxfId="426" priority="427">
      <formula>P$1=""</formula>
    </cfRule>
  </conditionalFormatting>
  <conditionalFormatting sqref="P193:AA193">
    <cfRule type="expression" dxfId="425" priority="426">
      <formula>P$1=""</formula>
    </cfRule>
  </conditionalFormatting>
  <conditionalFormatting sqref="P206:AA206">
    <cfRule type="expression" dxfId="424" priority="425">
      <formula>P$1=""</formula>
    </cfRule>
  </conditionalFormatting>
  <conditionalFormatting sqref="P208:AA208">
    <cfRule type="expression" dxfId="423" priority="424">
      <formula>P$1=""</formula>
    </cfRule>
  </conditionalFormatting>
  <conditionalFormatting sqref="P210:AA210">
    <cfRule type="expression" dxfId="422" priority="423">
      <formula>P$1=""</formula>
    </cfRule>
  </conditionalFormatting>
  <conditionalFormatting sqref="P212:AA212">
    <cfRule type="expression" dxfId="421" priority="422">
      <formula>P$1=""</formula>
    </cfRule>
  </conditionalFormatting>
  <conditionalFormatting sqref="P208:AA208 P210:AA210 P212:AA212">
    <cfRule type="expression" dxfId="420" priority="421">
      <formula>P$1=""</formula>
    </cfRule>
  </conditionalFormatting>
  <conditionalFormatting sqref="P208:AA208 P210:AA210 P212:AA212">
    <cfRule type="expression" dxfId="419" priority="420">
      <formula>P$1=""</formula>
    </cfRule>
  </conditionalFormatting>
  <conditionalFormatting sqref="P208:AA208 P210:AA210 P212:AA212">
    <cfRule type="expression" dxfId="418" priority="419">
      <formula>P$1=""</formula>
    </cfRule>
  </conditionalFormatting>
  <conditionalFormatting sqref="P208:AA208 P210:AA210 P212:AA212">
    <cfRule type="expression" dxfId="417" priority="418">
      <formula>P$1=""</formula>
    </cfRule>
  </conditionalFormatting>
  <conditionalFormatting sqref="P208:AA208 P210:AA210 P212:AA212">
    <cfRule type="expression" dxfId="416" priority="417">
      <formula>P$1=""</formula>
    </cfRule>
  </conditionalFormatting>
  <conditionalFormatting sqref="P210:AA210 P212:AA212">
    <cfRule type="expression" dxfId="415" priority="416">
      <formula>P$1=""</formula>
    </cfRule>
  </conditionalFormatting>
  <conditionalFormatting sqref="P208:AA208">
    <cfRule type="expression" dxfId="414" priority="415">
      <formula>P$1=""</formula>
    </cfRule>
  </conditionalFormatting>
  <conditionalFormatting sqref="P210:AA210 P212:AA212">
    <cfRule type="expression" dxfId="413" priority="414">
      <formula>P$1=""</formula>
    </cfRule>
  </conditionalFormatting>
  <conditionalFormatting sqref="P210:AA210 P212:AA212">
    <cfRule type="expression" dxfId="412" priority="413">
      <formula>P$1=""</formula>
    </cfRule>
  </conditionalFormatting>
  <conditionalFormatting sqref="P212:AA212">
    <cfRule type="expression" dxfId="411" priority="412">
      <formula>P$1=""</formula>
    </cfRule>
  </conditionalFormatting>
  <conditionalFormatting sqref="P212:AA212">
    <cfRule type="expression" dxfId="410" priority="411">
      <formula>P$1=""</formula>
    </cfRule>
  </conditionalFormatting>
  <conditionalFormatting sqref="P212:AA212">
    <cfRule type="expression" dxfId="409" priority="410">
      <formula>P$1=""</formula>
    </cfRule>
  </conditionalFormatting>
  <conditionalFormatting sqref="P212:AA212">
    <cfRule type="expression" dxfId="408" priority="409">
      <formula>P$1=""</formula>
    </cfRule>
  </conditionalFormatting>
  <conditionalFormatting sqref="P206:AA206">
    <cfRule type="expression" dxfId="407" priority="408">
      <formula>P$1=""</formula>
    </cfRule>
  </conditionalFormatting>
  <conditionalFormatting sqref="P206:AA206">
    <cfRule type="expression" dxfId="406" priority="407">
      <formula>P$1=""</formula>
    </cfRule>
  </conditionalFormatting>
  <conditionalFormatting sqref="P206:AA206">
    <cfRule type="expression" dxfId="405" priority="406">
      <formula>P$1=""</formula>
    </cfRule>
  </conditionalFormatting>
  <conditionalFormatting sqref="P206:AA206">
    <cfRule type="expression" dxfId="404" priority="405">
      <formula>P$1=""</formula>
    </cfRule>
  </conditionalFormatting>
  <conditionalFormatting sqref="P206:AA206">
    <cfRule type="expression" dxfId="403" priority="404">
      <formula>P$1=""</formula>
    </cfRule>
  </conditionalFormatting>
  <conditionalFormatting sqref="P206:AA206">
    <cfRule type="expression" dxfId="402" priority="403">
      <formula>P$1=""</formula>
    </cfRule>
  </conditionalFormatting>
  <conditionalFormatting sqref="P206:AA206">
    <cfRule type="expression" dxfId="401" priority="402">
      <formula>P$1=""</formula>
    </cfRule>
  </conditionalFormatting>
  <conditionalFormatting sqref="P210:AA210 P212:AA212">
    <cfRule type="expression" dxfId="400" priority="401">
      <formula>P$1=""</formula>
    </cfRule>
  </conditionalFormatting>
  <conditionalFormatting sqref="P210:AA210 P212:AA212">
    <cfRule type="expression" dxfId="399" priority="400">
      <formula>P$1=""</formula>
    </cfRule>
  </conditionalFormatting>
  <conditionalFormatting sqref="P210:AA210 P212:AA212">
    <cfRule type="expression" dxfId="398" priority="399">
      <formula>P$1=""</formula>
    </cfRule>
  </conditionalFormatting>
  <conditionalFormatting sqref="P210:AA210 P212:AA212">
    <cfRule type="expression" dxfId="397" priority="398">
      <formula>P$1=""</formula>
    </cfRule>
  </conditionalFormatting>
  <conditionalFormatting sqref="P212 P210 P208">
    <cfRule type="expression" dxfId="396" priority="397">
      <formula>P$1=""</formula>
    </cfRule>
  </conditionalFormatting>
  <conditionalFormatting sqref="P212 P210 P208">
    <cfRule type="expression" dxfId="395" priority="396">
      <formula>P$1=""</formula>
    </cfRule>
  </conditionalFormatting>
  <conditionalFormatting sqref="P212 P210 P208">
    <cfRule type="expression" dxfId="394" priority="395">
      <formula>P$1=""</formula>
    </cfRule>
  </conditionalFormatting>
  <conditionalFormatting sqref="P236:AA236">
    <cfRule type="expression" dxfId="393" priority="394">
      <formula>P$1=""</formula>
    </cfRule>
  </conditionalFormatting>
  <conditionalFormatting sqref="P238:AA238">
    <cfRule type="expression" dxfId="392" priority="393">
      <formula>P$1=""</formula>
    </cfRule>
  </conditionalFormatting>
  <conditionalFormatting sqref="P240:AA240">
    <cfRule type="expression" dxfId="391" priority="392">
      <formula>P$1=""</formula>
    </cfRule>
  </conditionalFormatting>
  <conditionalFormatting sqref="P242:AA242">
    <cfRule type="expression" dxfId="390" priority="391">
      <formula>P$1=""</formula>
    </cfRule>
  </conditionalFormatting>
  <conditionalFormatting sqref="P238:AA238 P240:AA240 P242:AA242">
    <cfRule type="expression" dxfId="389" priority="390">
      <formula>P$1=""</formula>
    </cfRule>
  </conditionalFormatting>
  <conditionalFormatting sqref="P238:AA238 P240:AA240 P242:AA242">
    <cfRule type="expression" dxfId="388" priority="389">
      <formula>P$1=""</formula>
    </cfRule>
  </conditionalFormatting>
  <conditionalFormatting sqref="P238:AA238 P240:AA240 P242:AA242">
    <cfRule type="expression" dxfId="387" priority="388">
      <formula>P$1=""</formula>
    </cfRule>
  </conditionalFormatting>
  <conditionalFormatting sqref="P238:AA238 P240:AA240 P242:AA242">
    <cfRule type="expression" dxfId="386" priority="387">
      <formula>P$1=""</formula>
    </cfRule>
  </conditionalFormatting>
  <conditionalFormatting sqref="P238:AA238 P240:AA240 P242:AA242">
    <cfRule type="expression" dxfId="385" priority="386">
      <formula>P$1=""</formula>
    </cfRule>
  </conditionalFormatting>
  <conditionalFormatting sqref="P240:AA240 P242:AA242">
    <cfRule type="expression" dxfId="384" priority="385">
      <formula>P$1=""</formula>
    </cfRule>
  </conditionalFormatting>
  <conditionalFormatting sqref="P238:AA238">
    <cfRule type="expression" dxfId="383" priority="384">
      <formula>P$1=""</formula>
    </cfRule>
  </conditionalFormatting>
  <conditionalFormatting sqref="P240:AA240 P242:AA242">
    <cfRule type="expression" dxfId="382" priority="383">
      <formula>P$1=""</formula>
    </cfRule>
  </conditionalFormatting>
  <conditionalFormatting sqref="P240:AA240 P242:AA242">
    <cfRule type="expression" dxfId="381" priority="382">
      <formula>P$1=""</formula>
    </cfRule>
  </conditionalFormatting>
  <conditionalFormatting sqref="P242:AA242">
    <cfRule type="expression" dxfId="380" priority="381">
      <formula>P$1=""</formula>
    </cfRule>
  </conditionalFormatting>
  <conditionalFormatting sqref="P242:AA242">
    <cfRule type="expression" dxfId="379" priority="380">
      <formula>P$1=""</formula>
    </cfRule>
  </conditionalFormatting>
  <conditionalFormatting sqref="P242:AA242">
    <cfRule type="expression" dxfId="378" priority="379">
      <formula>P$1=""</formula>
    </cfRule>
  </conditionalFormatting>
  <conditionalFormatting sqref="P242:AA242">
    <cfRule type="expression" dxfId="377" priority="378">
      <formula>P$1=""</formula>
    </cfRule>
  </conditionalFormatting>
  <conditionalFormatting sqref="P236:AA236">
    <cfRule type="expression" dxfId="376" priority="377">
      <formula>P$1=""</formula>
    </cfRule>
  </conditionalFormatting>
  <conditionalFormatting sqref="P236:AA236">
    <cfRule type="expression" dxfId="375" priority="376">
      <formula>P$1=""</formula>
    </cfRule>
  </conditionalFormatting>
  <conditionalFormatting sqref="P236:AA236">
    <cfRule type="expression" dxfId="374" priority="375">
      <formula>P$1=""</formula>
    </cfRule>
  </conditionalFormatting>
  <conditionalFormatting sqref="P236:AA236">
    <cfRule type="expression" dxfId="373" priority="374">
      <formula>P$1=""</formula>
    </cfRule>
  </conditionalFormatting>
  <conditionalFormatting sqref="P236:AA236">
    <cfRule type="expression" dxfId="372" priority="373">
      <formula>P$1=""</formula>
    </cfRule>
  </conditionalFormatting>
  <conditionalFormatting sqref="P236:AA236">
    <cfRule type="expression" dxfId="371" priority="372">
      <formula>P$1=""</formula>
    </cfRule>
  </conditionalFormatting>
  <conditionalFormatting sqref="P236:AA236">
    <cfRule type="expression" dxfId="370" priority="371">
      <formula>P$1=""</formula>
    </cfRule>
  </conditionalFormatting>
  <conditionalFormatting sqref="P240:AA240 P242:AA242">
    <cfRule type="expression" dxfId="369" priority="370">
      <formula>P$1=""</formula>
    </cfRule>
  </conditionalFormatting>
  <conditionalFormatting sqref="P240:AA240 P242:AA242">
    <cfRule type="expression" dxfId="368" priority="369">
      <formula>P$1=""</formula>
    </cfRule>
  </conditionalFormatting>
  <conditionalFormatting sqref="P240:AA240 P242:AA242">
    <cfRule type="expression" dxfId="367" priority="368">
      <formula>P$1=""</formula>
    </cfRule>
  </conditionalFormatting>
  <conditionalFormatting sqref="P240:AA240 P242:AA242">
    <cfRule type="expression" dxfId="366" priority="367">
      <formula>P$1=""</formula>
    </cfRule>
  </conditionalFormatting>
  <conditionalFormatting sqref="P238:AA238 P240:AA240 P242:AA242">
    <cfRule type="expression" dxfId="365" priority="366">
      <formula>P$1=""</formula>
    </cfRule>
  </conditionalFormatting>
  <conditionalFormatting sqref="P238:AA238 P240:AA240 P242:AA242">
    <cfRule type="expression" dxfId="364" priority="365">
      <formula>P$1=""</formula>
    </cfRule>
  </conditionalFormatting>
  <conditionalFormatting sqref="P238:AA238 P240:AA240 P242:AA242">
    <cfRule type="expression" dxfId="363" priority="364">
      <formula>P$1=""</formula>
    </cfRule>
  </conditionalFormatting>
  <conditionalFormatting sqref="P238:AA238 P240:AA240 P242:AA242">
    <cfRule type="expression" dxfId="362" priority="363">
      <formula>P$1=""</formula>
    </cfRule>
  </conditionalFormatting>
  <conditionalFormatting sqref="P238:AA238 P240:AA240 P242:AA242">
    <cfRule type="expression" dxfId="361" priority="362">
      <formula>P$1=""</formula>
    </cfRule>
  </conditionalFormatting>
  <conditionalFormatting sqref="P238:AA238 P240:AA240 P242:AA242">
    <cfRule type="expression" dxfId="360" priority="361">
      <formula>P$1=""</formula>
    </cfRule>
  </conditionalFormatting>
  <conditionalFormatting sqref="P238:AA238 P240:AA240 P242:AA242">
    <cfRule type="expression" dxfId="359" priority="360">
      <formula>P$1=""</formula>
    </cfRule>
  </conditionalFormatting>
  <conditionalFormatting sqref="P238:AA238 P240:AA240 P242:AA242">
    <cfRule type="expression" dxfId="358" priority="359">
      <formula>P$1=""</formula>
    </cfRule>
  </conditionalFormatting>
  <conditionalFormatting sqref="Q238:AA238">
    <cfRule type="expression" dxfId="357" priority="358">
      <formula>Q$1=""</formula>
    </cfRule>
  </conditionalFormatting>
  <conditionalFormatting sqref="Q238:AA238">
    <cfRule type="expression" dxfId="356" priority="357">
      <formula>Q$1=""</formula>
    </cfRule>
  </conditionalFormatting>
  <conditionalFormatting sqref="Q238:AA238">
    <cfRule type="expression" dxfId="355" priority="356">
      <formula>Q$1=""</formula>
    </cfRule>
  </conditionalFormatting>
  <conditionalFormatting sqref="Q238:AA238">
    <cfRule type="expression" dxfId="354" priority="355">
      <formula>Q$1=""</formula>
    </cfRule>
  </conditionalFormatting>
  <conditionalFormatting sqref="Q238:AA238">
    <cfRule type="expression" dxfId="353" priority="354">
      <formula>Q$1=""</formula>
    </cfRule>
  </conditionalFormatting>
  <conditionalFormatting sqref="Q238:AA238">
    <cfRule type="expression" dxfId="352" priority="353">
      <formula>Q$1=""</formula>
    </cfRule>
  </conditionalFormatting>
  <conditionalFormatting sqref="Q238:AA238">
    <cfRule type="expression" dxfId="351" priority="352">
      <formula>Q$1=""</formula>
    </cfRule>
  </conditionalFormatting>
  <conditionalFormatting sqref="Q238:AA238">
    <cfRule type="expression" dxfId="350" priority="351">
      <formula>Q$1=""</formula>
    </cfRule>
  </conditionalFormatting>
  <conditionalFormatting sqref="Q240:AA240 Q242:AA242">
    <cfRule type="expression" dxfId="349" priority="350">
      <formula>Q$1=""</formula>
    </cfRule>
  </conditionalFormatting>
  <conditionalFormatting sqref="Q240:AA240 Q242:AA242">
    <cfRule type="expression" dxfId="348" priority="349">
      <formula>Q$1=""</formula>
    </cfRule>
  </conditionalFormatting>
  <conditionalFormatting sqref="Q240:AA240 Q242:AA242">
    <cfRule type="expression" dxfId="347" priority="348">
      <formula>Q$1=""</formula>
    </cfRule>
  </conditionalFormatting>
  <conditionalFormatting sqref="Q240:AA240 Q242:AA242">
    <cfRule type="expression" dxfId="346" priority="347">
      <formula>Q$1=""</formula>
    </cfRule>
  </conditionalFormatting>
  <conditionalFormatting sqref="Q240:AA240 Q242:AA242">
    <cfRule type="expression" dxfId="345" priority="346">
      <formula>Q$1=""</formula>
    </cfRule>
  </conditionalFormatting>
  <conditionalFormatting sqref="Q240:AA240 Q242:AA242">
    <cfRule type="expression" dxfId="344" priority="345">
      <formula>Q$1=""</formula>
    </cfRule>
  </conditionalFormatting>
  <conditionalFormatting sqref="Q240:AA240 Q242:AA242">
    <cfRule type="expression" dxfId="343" priority="344">
      <formula>Q$1=""</formula>
    </cfRule>
  </conditionalFormatting>
  <conditionalFormatting sqref="Q240:AA240 Q242:AA242">
    <cfRule type="expression" dxfId="342" priority="343">
      <formula>Q$1=""</formula>
    </cfRule>
  </conditionalFormatting>
  <conditionalFormatting sqref="Q240:AA240 Q242:AA242">
    <cfRule type="expression" dxfId="341" priority="342">
      <formula>Q$1=""</formula>
    </cfRule>
  </conditionalFormatting>
  <conditionalFormatting sqref="Q240:AA240 Q242:AA242">
    <cfRule type="expression" dxfId="340" priority="341">
      <formula>Q$1=""</formula>
    </cfRule>
  </conditionalFormatting>
  <conditionalFormatting sqref="P236:AA236 P240:AA240 P242:AA242">
    <cfRule type="expression" dxfId="339" priority="340">
      <formula>P$1=""</formula>
    </cfRule>
  </conditionalFormatting>
  <conditionalFormatting sqref="P236:AA236">
    <cfRule type="expression" dxfId="338" priority="339">
      <formula>P$1=""</formula>
    </cfRule>
  </conditionalFormatting>
  <conditionalFormatting sqref="P236:AA236">
    <cfRule type="expression" dxfId="337" priority="338">
      <formula>P$1=""</formula>
    </cfRule>
  </conditionalFormatting>
  <conditionalFormatting sqref="P236:AA236">
    <cfRule type="expression" dxfId="336" priority="337">
      <formula>P$1=""</formula>
    </cfRule>
  </conditionalFormatting>
  <conditionalFormatting sqref="P236:AA236">
    <cfRule type="expression" dxfId="335" priority="336">
      <formula>P$1=""</formula>
    </cfRule>
  </conditionalFormatting>
  <conditionalFormatting sqref="P236:AA236">
    <cfRule type="expression" dxfId="334" priority="335">
      <formula>P$1=""</formula>
    </cfRule>
  </conditionalFormatting>
  <conditionalFormatting sqref="P236:AA236 P240:AA240 P242:AA242">
    <cfRule type="expression" dxfId="333" priority="334">
      <formula>P$1=""</formula>
    </cfRule>
  </conditionalFormatting>
  <conditionalFormatting sqref="P236:AA236">
    <cfRule type="expression" dxfId="332" priority="333">
      <formula>P$1=""</formula>
    </cfRule>
  </conditionalFormatting>
  <conditionalFormatting sqref="P236:AA236">
    <cfRule type="expression" dxfId="331" priority="332">
      <formula>P$1=""</formula>
    </cfRule>
  </conditionalFormatting>
  <conditionalFormatting sqref="P236:AA236">
    <cfRule type="expression" dxfId="330" priority="331">
      <formula>P$1=""</formula>
    </cfRule>
  </conditionalFormatting>
  <conditionalFormatting sqref="P236:AA236">
    <cfRule type="expression" dxfId="329" priority="330">
      <formula>P$1=""</formula>
    </cfRule>
  </conditionalFormatting>
  <conditionalFormatting sqref="P236:AA236">
    <cfRule type="expression" dxfId="328" priority="329">
      <formula>P$1=""</formula>
    </cfRule>
  </conditionalFormatting>
  <conditionalFormatting sqref="P236:AA236">
    <cfRule type="expression" dxfId="327" priority="328">
      <formula>P$1=""</formula>
    </cfRule>
  </conditionalFormatting>
  <conditionalFormatting sqref="P236:AA236">
    <cfRule type="expression" dxfId="326" priority="327">
      <formula>P$1=""</formula>
    </cfRule>
  </conditionalFormatting>
  <conditionalFormatting sqref="P236:AA236">
    <cfRule type="expression" dxfId="325" priority="326">
      <formula>P$1=""</formula>
    </cfRule>
  </conditionalFormatting>
  <conditionalFormatting sqref="P238:AA238 P240:AA240 P242:AA242">
    <cfRule type="expression" dxfId="324" priority="325">
      <formula>P$1=""</formula>
    </cfRule>
  </conditionalFormatting>
  <conditionalFormatting sqref="P238:AA238 P240:AA240 P242:AA242">
    <cfRule type="expression" dxfId="323" priority="324">
      <formula>P$1=""</formula>
    </cfRule>
  </conditionalFormatting>
  <conditionalFormatting sqref="P238:AA238 P240:AA240 P242:AA242">
    <cfRule type="expression" dxfId="322" priority="323">
      <formula>P$1=""</formula>
    </cfRule>
  </conditionalFormatting>
  <conditionalFormatting sqref="P238:AA238 P240:AA240 P242:AA242">
    <cfRule type="expression" dxfId="321" priority="322">
      <formula>P$1=""</formula>
    </cfRule>
  </conditionalFormatting>
  <conditionalFormatting sqref="P238:AA238 P240:AA240 P242:AA242">
    <cfRule type="expression" dxfId="320" priority="321">
      <formula>P$1=""</formula>
    </cfRule>
  </conditionalFormatting>
  <conditionalFormatting sqref="P238:AA238 P240:AA240 P242:AA242">
    <cfRule type="expression" dxfId="319" priority="320">
      <formula>P$1=""</formula>
    </cfRule>
  </conditionalFormatting>
  <conditionalFormatting sqref="P238:AA238 P240:AA240 P242:AA242">
    <cfRule type="expression" dxfId="318" priority="319">
      <formula>P$1=""</formula>
    </cfRule>
  </conditionalFormatting>
  <conditionalFormatting sqref="P238:AA238 P240:AA240 P242:AA242">
    <cfRule type="expression" dxfId="317" priority="318">
      <formula>P$1=""</formula>
    </cfRule>
  </conditionalFormatting>
  <conditionalFormatting sqref="P238:AA238">
    <cfRule type="expression" dxfId="316" priority="317">
      <formula>P$1=""</formula>
    </cfRule>
  </conditionalFormatting>
  <conditionalFormatting sqref="P238:AA238 P240:AA240 P242:AA242">
    <cfRule type="expression" dxfId="315" priority="316">
      <formula>P$1=""</formula>
    </cfRule>
  </conditionalFormatting>
  <conditionalFormatting sqref="P238:AA238 P240:AA240 P242:AA242">
    <cfRule type="expression" dxfId="314" priority="315">
      <formula>P$1=""</formula>
    </cfRule>
  </conditionalFormatting>
  <conditionalFormatting sqref="P238:AA238 P240:AA240 P242:AA242">
    <cfRule type="expression" dxfId="313" priority="314">
      <formula>P$1=""</formula>
    </cfRule>
  </conditionalFormatting>
  <conditionalFormatting sqref="P238:AA238 P240:AA240 P242:AA242">
    <cfRule type="expression" dxfId="312" priority="313">
      <formula>P$1=""</formula>
    </cfRule>
  </conditionalFormatting>
  <conditionalFormatting sqref="P238:AA238 P240:AA240 P242:AA242">
    <cfRule type="expression" dxfId="311" priority="312">
      <formula>P$1=""</formula>
    </cfRule>
  </conditionalFormatting>
  <conditionalFormatting sqref="P238:AA238">
    <cfRule type="expression" dxfId="310" priority="311">
      <formula>P$1=""</formula>
    </cfRule>
  </conditionalFormatting>
  <conditionalFormatting sqref="P238:AA238 P240:AA240 P242:AA242">
    <cfRule type="expression" dxfId="309" priority="310">
      <formula>P$1=""</formula>
    </cfRule>
  </conditionalFormatting>
  <conditionalFormatting sqref="P238:AA238 P240:AA240 P242:AA242">
    <cfRule type="expression" dxfId="308" priority="309">
      <formula>P$1=""</formula>
    </cfRule>
  </conditionalFormatting>
  <conditionalFormatting sqref="P238:AA238 P240:AA240 P242:AA242">
    <cfRule type="expression" dxfId="307" priority="308">
      <formula>P$1=""</formula>
    </cfRule>
  </conditionalFormatting>
  <conditionalFormatting sqref="P238:AA238 P240:AA240 P242:AA242">
    <cfRule type="expression" dxfId="306" priority="307">
      <formula>P$1=""</formula>
    </cfRule>
  </conditionalFormatting>
  <conditionalFormatting sqref="P238:AA238 P240:AA240 P242:AA242">
    <cfRule type="expression" dxfId="305" priority="306">
      <formula>P$1=""</formula>
    </cfRule>
  </conditionalFormatting>
  <conditionalFormatting sqref="P238:AA238 P240:AA240 P242:AA242">
    <cfRule type="expression" dxfId="304" priority="305">
      <formula>P$1=""</formula>
    </cfRule>
  </conditionalFormatting>
  <conditionalFormatting sqref="P238:AA238 P240:AA240 P242:AA242">
    <cfRule type="expression" dxfId="303" priority="304">
      <formula>P$1=""</formula>
    </cfRule>
  </conditionalFormatting>
  <conditionalFormatting sqref="P238:AA238 P240:AA240 P242:AA242">
    <cfRule type="expression" dxfId="302" priority="303">
      <formula>P$1=""</formula>
    </cfRule>
  </conditionalFormatting>
  <conditionalFormatting sqref="P242:AA242 P240:AA240">
    <cfRule type="expression" dxfId="301" priority="302">
      <formula>P$1=""</formula>
    </cfRule>
  </conditionalFormatting>
  <conditionalFormatting sqref="P242:AA242 P240:AA240">
    <cfRule type="expression" dxfId="300" priority="301">
      <formula>P$1=""</formula>
    </cfRule>
  </conditionalFormatting>
  <conditionalFormatting sqref="Q242:AA242 Q240:AA240">
    <cfRule type="expression" dxfId="299" priority="300">
      <formula>Q$1=""</formula>
    </cfRule>
  </conditionalFormatting>
  <conditionalFormatting sqref="Q242:AA242 Q240:AA240">
    <cfRule type="expression" dxfId="298" priority="299">
      <formula>Q$1=""</formula>
    </cfRule>
  </conditionalFormatting>
  <conditionalFormatting sqref="Q242:AA242 Q240:AA240">
    <cfRule type="expression" dxfId="297" priority="298">
      <formula>Q$1=""</formula>
    </cfRule>
  </conditionalFormatting>
  <conditionalFormatting sqref="Q242:AA242 Q240:AA240">
    <cfRule type="expression" dxfId="296" priority="297">
      <formula>Q$1=""</formula>
    </cfRule>
  </conditionalFormatting>
  <conditionalFormatting sqref="Q242:AA242 Q240:AA240">
    <cfRule type="expression" dxfId="295" priority="296">
      <formula>Q$1=""</formula>
    </cfRule>
  </conditionalFormatting>
  <conditionalFormatting sqref="Q242:AA242 Q240:AA240">
    <cfRule type="expression" dxfId="294" priority="295">
      <formula>Q$1=""</formula>
    </cfRule>
  </conditionalFormatting>
  <conditionalFormatting sqref="Q242:AA242 Q240:AA240">
    <cfRule type="expression" dxfId="293" priority="294">
      <formula>Q$1=""</formula>
    </cfRule>
  </conditionalFormatting>
  <conditionalFormatting sqref="Q242:AA242 Q240:AA240">
    <cfRule type="expression" dxfId="292" priority="293">
      <formula>Q$1=""</formula>
    </cfRule>
  </conditionalFormatting>
  <conditionalFormatting sqref="P242:AA242 P240:AA240">
    <cfRule type="expression" dxfId="291" priority="292">
      <formula>P$1=""</formula>
    </cfRule>
  </conditionalFormatting>
  <conditionalFormatting sqref="P242:AA242 P240:AA240">
    <cfRule type="expression" dxfId="290" priority="291">
      <formula>P$1=""</formula>
    </cfRule>
  </conditionalFormatting>
  <conditionalFormatting sqref="P196:AA196">
    <cfRule type="expression" dxfId="289" priority="290">
      <formula>P$1=""</formula>
    </cfRule>
  </conditionalFormatting>
  <conditionalFormatting sqref="P198:AA198">
    <cfRule type="expression" dxfId="288" priority="289">
      <formula>P$1=""</formula>
    </cfRule>
  </conditionalFormatting>
  <conditionalFormatting sqref="P200:AA200">
    <cfRule type="expression" dxfId="287" priority="288">
      <formula>P$1=""</formula>
    </cfRule>
  </conditionalFormatting>
  <conditionalFormatting sqref="P202:AA202">
    <cfRule type="expression" dxfId="286" priority="287">
      <formula>P$1=""</formula>
    </cfRule>
  </conditionalFormatting>
  <conditionalFormatting sqref="P198:AA198 P200:AA200 P202:AA202">
    <cfRule type="expression" dxfId="285" priority="286">
      <formula>P$1=""</formula>
    </cfRule>
  </conditionalFormatting>
  <conditionalFormatting sqref="P198:AA198 P200:AA200 P202:AA202">
    <cfRule type="expression" dxfId="284" priority="285">
      <formula>P$1=""</formula>
    </cfRule>
  </conditionalFormatting>
  <conditionalFormatting sqref="P198:AA198 P200:AA200 P202:AA202">
    <cfRule type="expression" dxfId="283" priority="284">
      <formula>P$1=""</formula>
    </cfRule>
  </conditionalFormatting>
  <conditionalFormatting sqref="P198:AA198 P200:AA200 P202:AA202">
    <cfRule type="expression" dxfId="282" priority="283">
      <formula>P$1=""</formula>
    </cfRule>
  </conditionalFormatting>
  <conditionalFormatting sqref="P198:AA198 P200:AA200 P202:AA202">
    <cfRule type="expression" dxfId="281" priority="282">
      <formula>P$1=""</formula>
    </cfRule>
  </conditionalFormatting>
  <conditionalFormatting sqref="P200:AA200 P202:AA202">
    <cfRule type="expression" dxfId="280" priority="281">
      <formula>P$1=""</formula>
    </cfRule>
  </conditionalFormatting>
  <conditionalFormatting sqref="P198:AA198">
    <cfRule type="expression" dxfId="279" priority="280">
      <formula>P$1=""</formula>
    </cfRule>
  </conditionalFormatting>
  <conditionalFormatting sqref="P200:AA200 P202:AA202">
    <cfRule type="expression" dxfId="278" priority="279">
      <formula>P$1=""</formula>
    </cfRule>
  </conditionalFormatting>
  <conditionalFormatting sqref="P200:AA200 P202:AA202">
    <cfRule type="expression" dxfId="277" priority="278">
      <formula>P$1=""</formula>
    </cfRule>
  </conditionalFormatting>
  <conditionalFormatting sqref="P202:AA202">
    <cfRule type="expression" dxfId="276" priority="277">
      <formula>P$1=""</formula>
    </cfRule>
  </conditionalFormatting>
  <conditionalFormatting sqref="P202:AA202">
    <cfRule type="expression" dxfId="275" priority="276">
      <formula>P$1=""</formula>
    </cfRule>
  </conditionalFormatting>
  <conditionalFormatting sqref="P202:AA202">
    <cfRule type="expression" dxfId="274" priority="275">
      <formula>P$1=""</formula>
    </cfRule>
  </conditionalFormatting>
  <conditionalFormatting sqref="P202:AA202">
    <cfRule type="expression" dxfId="273" priority="274">
      <formula>P$1=""</formula>
    </cfRule>
  </conditionalFormatting>
  <conditionalFormatting sqref="P196:AA196">
    <cfRule type="expression" dxfId="272" priority="273">
      <formula>P$1=""</formula>
    </cfRule>
  </conditionalFormatting>
  <conditionalFormatting sqref="P196:AA196">
    <cfRule type="expression" dxfId="271" priority="272">
      <formula>P$1=""</formula>
    </cfRule>
  </conditionalFormatting>
  <conditionalFormatting sqref="P196:AA196">
    <cfRule type="expression" dxfId="270" priority="271">
      <formula>P$1=""</formula>
    </cfRule>
  </conditionalFormatting>
  <conditionalFormatting sqref="P196:AA196">
    <cfRule type="expression" dxfId="269" priority="270">
      <formula>P$1=""</formula>
    </cfRule>
  </conditionalFormatting>
  <conditionalFormatting sqref="P196:AA196">
    <cfRule type="expression" dxfId="268" priority="269">
      <formula>P$1=""</formula>
    </cfRule>
  </conditionalFormatting>
  <conditionalFormatting sqref="P196:AA196">
    <cfRule type="expression" dxfId="267" priority="268">
      <formula>P$1=""</formula>
    </cfRule>
  </conditionalFormatting>
  <conditionalFormatting sqref="P196:AA196">
    <cfRule type="expression" dxfId="266" priority="267">
      <formula>P$1=""</formula>
    </cfRule>
  </conditionalFormatting>
  <conditionalFormatting sqref="P200:AA200 P202:AA202">
    <cfRule type="expression" dxfId="265" priority="266">
      <formula>P$1=""</formula>
    </cfRule>
  </conditionalFormatting>
  <conditionalFormatting sqref="P200:AA200 P202:AA202">
    <cfRule type="expression" dxfId="264" priority="265">
      <formula>P$1=""</formula>
    </cfRule>
  </conditionalFormatting>
  <conditionalFormatting sqref="P200:AA200 P202:AA202">
    <cfRule type="expression" dxfId="263" priority="264">
      <formula>P$1=""</formula>
    </cfRule>
  </conditionalFormatting>
  <conditionalFormatting sqref="P200:AA200 P202:AA202">
    <cfRule type="expression" dxfId="262" priority="263">
      <formula>P$1=""</formula>
    </cfRule>
  </conditionalFormatting>
  <conditionalFormatting sqref="P198:AA198 P200:AA200 P202:AA202">
    <cfRule type="expression" dxfId="261" priority="262">
      <formula>P$1=""</formula>
    </cfRule>
  </conditionalFormatting>
  <conditionalFormatting sqref="P198:AA198 P200:AA200 P202:AA202">
    <cfRule type="expression" dxfId="260" priority="261">
      <formula>P$1=""</formula>
    </cfRule>
  </conditionalFormatting>
  <conditionalFormatting sqref="P198:AA198 P200:AA200 P202:AA202">
    <cfRule type="expression" dxfId="259" priority="260">
      <formula>P$1=""</formula>
    </cfRule>
  </conditionalFormatting>
  <conditionalFormatting sqref="P198:AA198 P200:AA200 P202:AA202">
    <cfRule type="expression" dxfId="258" priority="259">
      <formula>P$1=""</formula>
    </cfRule>
  </conditionalFormatting>
  <conditionalFormatting sqref="P198:AA198 P200:AA200 P202:AA202">
    <cfRule type="expression" dxfId="257" priority="258">
      <formula>P$1=""</formula>
    </cfRule>
  </conditionalFormatting>
  <conditionalFormatting sqref="P198:AA198 P200:AA200 P202:AA202">
    <cfRule type="expression" dxfId="256" priority="257">
      <formula>P$1=""</formula>
    </cfRule>
  </conditionalFormatting>
  <conditionalFormatting sqref="P198:AA198 P200:AA200 P202:AA202">
    <cfRule type="expression" dxfId="255" priority="256">
      <formula>P$1=""</formula>
    </cfRule>
  </conditionalFormatting>
  <conditionalFormatting sqref="P198:AA198 P200:AA200 P202:AA202">
    <cfRule type="expression" dxfId="254" priority="255">
      <formula>P$1=""</formula>
    </cfRule>
  </conditionalFormatting>
  <conditionalFormatting sqref="Q198:AA198">
    <cfRule type="expression" dxfId="253" priority="254">
      <formula>Q$1=""</formula>
    </cfRule>
  </conditionalFormatting>
  <conditionalFormatting sqref="Q198:AA198">
    <cfRule type="expression" dxfId="252" priority="253">
      <formula>Q$1=""</formula>
    </cfRule>
  </conditionalFormatting>
  <conditionalFormatting sqref="Q198:AA198">
    <cfRule type="expression" dxfId="251" priority="252">
      <formula>Q$1=""</formula>
    </cfRule>
  </conditionalFormatting>
  <conditionalFormatting sqref="Q198:AA198">
    <cfRule type="expression" dxfId="250" priority="251">
      <formula>Q$1=""</formula>
    </cfRule>
  </conditionalFormatting>
  <conditionalFormatting sqref="Q198:AA198">
    <cfRule type="expression" dxfId="249" priority="250">
      <formula>Q$1=""</formula>
    </cfRule>
  </conditionalFormatting>
  <conditionalFormatting sqref="Q198:AA198">
    <cfRule type="expression" dxfId="248" priority="249">
      <formula>Q$1=""</formula>
    </cfRule>
  </conditionalFormatting>
  <conditionalFormatting sqref="Q198:AA198">
    <cfRule type="expression" dxfId="247" priority="248">
      <formula>Q$1=""</formula>
    </cfRule>
  </conditionalFormatting>
  <conditionalFormatting sqref="Q198:AA198">
    <cfRule type="expression" dxfId="246" priority="247">
      <formula>Q$1=""</formula>
    </cfRule>
  </conditionalFormatting>
  <conditionalFormatting sqref="Q200:AA200 Q202:AA202">
    <cfRule type="expression" dxfId="245" priority="246">
      <formula>Q$1=""</formula>
    </cfRule>
  </conditionalFormatting>
  <conditionalFormatting sqref="Q200:AA200 Q202:AA202">
    <cfRule type="expression" dxfId="244" priority="245">
      <formula>Q$1=""</formula>
    </cfRule>
  </conditionalFormatting>
  <conditionalFormatting sqref="Q200:AA200 Q202:AA202">
    <cfRule type="expression" dxfId="243" priority="244">
      <formula>Q$1=""</formula>
    </cfRule>
  </conditionalFormatting>
  <conditionalFormatting sqref="Q200:AA200 Q202:AA202">
    <cfRule type="expression" dxfId="242" priority="243">
      <formula>Q$1=""</formula>
    </cfRule>
  </conditionalFormatting>
  <conditionalFormatting sqref="Q200:AA200 Q202:AA202">
    <cfRule type="expression" dxfId="241" priority="242">
      <formula>Q$1=""</formula>
    </cfRule>
  </conditionalFormatting>
  <conditionalFormatting sqref="Q200:AA200 Q202:AA202">
    <cfRule type="expression" dxfId="240" priority="241">
      <formula>Q$1=""</formula>
    </cfRule>
  </conditionalFormatting>
  <conditionalFormatting sqref="Q200:AA200 Q202:AA202">
    <cfRule type="expression" dxfId="239" priority="240">
      <formula>Q$1=""</formula>
    </cfRule>
  </conditionalFormatting>
  <conditionalFormatting sqref="Q200:AA200 Q202:AA202">
    <cfRule type="expression" dxfId="238" priority="239">
      <formula>Q$1=""</formula>
    </cfRule>
  </conditionalFormatting>
  <conditionalFormatting sqref="Q200:AA200 Q202:AA202">
    <cfRule type="expression" dxfId="237" priority="238">
      <formula>Q$1=""</formula>
    </cfRule>
  </conditionalFormatting>
  <conditionalFormatting sqref="Q200:AA200 Q202:AA202">
    <cfRule type="expression" dxfId="236" priority="237">
      <formula>Q$1=""</formula>
    </cfRule>
  </conditionalFormatting>
  <conditionalFormatting sqref="P196:AA196 P200:AA200 P202:AA202">
    <cfRule type="expression" dxfId="235" priority="236">
      <formula>P$1=""</formula>
    </cfRule>
  </conditionalFormatting>
  <conditionalFormatting sqref="P196:AA196">
    <cfRule type="expression" dxfId="234" priority="235">
      <formula>P$1=""</formula>
    </cfRule>
  </conditionalFormatting>
  <conditionalFormatting sqref="P196:AA196">
    <cfRule type="expression" dxfId="233" priority="234">
      <formula>P$1=""</formula>
    </cfRule>
  </conditionalFormatting>
  <conditionalFormatting sqref="P196:AA196">
    <cfRule type="expression" dxfId="232" priority="233">
      <formula>P$1=""</formula>
    </cfRule>
  </conditionalFormatting>
  <conditionalFormatting sqref="P196:AA196">
    <cfRule type="expression" dxfId="231" priority="232">
      <formula>P$1=""</formula>
    </cfRule>
  </conditionalFormatting>
  <conditionalFormatting sqref="P196:AA196">
    <cfRule type="expression" dxfId="230" priority="231">
      <formula>P$1=""</formula>
    </cfRule>
  </conditionalFormatting>
  <conditionalFormatting sqref="P196:AA196 P200:AA200 P202:AA202">
    <cfRule type="expression" dxfId="229" priority="230">
      <formula>P$1=""</formula>
    </cfRule>
  </conditionalFormatting>
  <conditionalFormatting sqref="P196:AA196">
    <cfRule type="expression" dxfId="228" priority="229">
      <formula>P$1=""</formula>
    </cfRule>
  </conditionalFormatting>
  <conditionalFormatting sqref="P196:AA196">
    <cfRule type="expression" dxfId="227" priority="228">
      <formula>P$1=""</formula>
    </cfRule>
  </conditionalFormatting>
  <conditionalFormatting sqref="P196:AA196">
    <cfRule type="expression" dxfId="226" priority="227">
      <formula>P$1=""</formula>
    </cfRule>
  </conditionalFormatting>
  <conditionalFormatting sqref="P196:AA196">
    <cfRule type="expression" dxfId="225" priority="226">
      <formula>P$1=""</formula>
    </cfRule>
  </conditionalFormatting>
  <conditionalFormatting sqref="P196:AA196">
    <cfRule type="expression" dxfId="224" priority="225">
      <formula>P$1=""</formula>
    </cfRule>
  </conditionalFormatting>
  <conditionalFormatting sqref="P196:AA196">
    <cfRule type="expression" dxfId="223" priority="224">
      <formula>P$1=""</formula>
    </cfRule>
  </conditionalFormatting>
  <conditionalFormatting sqref="P196:AA196">
    <cfRule type="expression" dxfId="222" priority="223">
      <formula>P$1=""</formula>
    </cfRule>
  </conditionalFormatting>
  <conditionalFormatting sqref="P196:AA196">
    <cfRule type="expression" dxfId="221" priority="222">
      <formula>P$1=""</formula>
    </cfRule>
  </conditionalFormatting>
  <conditionalFormatting sqref="P198:AA198 P200:AA200 P202:AA202">
    <cfRule type="expression" dxfId="220" priority="221">
      <formula>P$1=""</formula>
    </cfRule>
  </conditionalFormatting>
  <conditionalFormatting sqref="P198:AA198 P200:AA200 P202:AA202">
    <cfRule type="expression" dxfId="219" priority="220">
      <formula>P$1=""</formula>
    </cfRule>
  </conditionalFormatting>
  <conditionalFormatting sqref="P198:AA198 P200:AA200 P202:AA202">
    <cfRule type="expression" dxfId="218" priority="219">
      <formula>P$1=""</formula>
    </cfRule>
  </conditionalFormatting>
  <conditionalFormatting sqref="P198:AA198 P200:AA200 P202:AA202">
    <cfRule type="expression" dxfId="217" priority="218">
      <formula>P$1=""</formula>
    </cfRule>
  </conditionalFormatting>
  <conditionalFormatting sqref="P198:AA198 P200:AA200 P202:AA202">
    <cfRule type="expression" dxfId="216" priority="217">
      <formula>P$1=""</formula>
    </cfRule>
  </conditionalFormatting>
  <conditionalFormatting sqref="P198:AA198 P200:AA200 P202:AA202">
    <cfRule type="expression" dxfId="215" priority="216">
      <formula>P$1=""</formula>
    </cfRule>
  </conditionalFormatting>
  <conditionalFormatting sqref="P198:AA198 P200:AA200 P202:AA202">
    <cfRule type="expression" dxfId="214" priority="215">
      <formula>P$1=""</formula>
    </cfRule>
  </conditionalFormatting>
  <conditionalFormatting sqref="P198:AA198 P200:AA200 P202:AA202">
    <cfRule type="expression" dxfId="213" priority="214">
      <formula>P$1=""</formula>
    </cfRule>
  </conditionalFormatting>
  <conditionalFormatting sqref="P198:AA198">
    <cfRule type="expression" dxfId="212" priority="213">
      <formula>P$1=""</formula>
    </cfRule>
  </conditionalFormatting>
  <conditionalFormatting sqref="P198:AA198 P200:AA200 P202:AA202">
    <cfRule type="expression" dxfId="211" priority="212">
      <formula>P$1=""</formula>
    </cfRule>
  </conditionalFormatting>
  <conditionalFormatting sqref="P198:AA198 P200:AA200 P202:AA202">
    <cfRule type="expression" dxfId="210" priority="211">
      <formula>P$1=""</formula>
    </cfRule>
  </conditionalFormatting>
  <conditionalFormatting sqref="P198:AA198 P200:AA200 P202:AA202">
    <cfRule type="expression" dxfId="209" priority="210">
      <formula>P$1=""</formula>
    </cfRule>
  </conditionalFormatting>
  <conditionalFormatting sqref="P198:AA198 P200:AA200 P202:AA202">
    <cfRule type="expression" dxfId="208" priority="209">
      <formula>P$1=""</formula>
    </cfRule>
  </conditionalFormatting>
  <conditionalFormatting sqref="P198:AA198 P200:AA200 P202:AA202">
    <cfRule type="expression" dxfId="207" priority="208">
      <formula>P$1=""</formula>
    </cfRule>
  </conditionalFormatting>
  <conditionalFormatting sqref="P198:AA198">
    <cfRule type="expression" dxfId="206" priority="207">
      <formula>P$1=""</formula>
    </cfRule>
  </conditionalFormatting>
  <conditionalFormatting sqref="P198:AA198 P200:AA200 P202:AA202">
    <cfRule type="expression" dxfId="205" priority="206">
      <formula>P$1=""</formula>
    </cfRule>
  </conditionalFormatting>
  <conditionalFormatting sqref="P198:AA198 P200:AA200 P202:AA202">
    <cfRule type="expression" dxfId="204" priority="205">
      <formula>P$1=""</formula>
    </cfRule>
  </conditionalFormatting>
  <conditionalFormatting sqref="P198:AA198 P200:AA200 P202:AA202">
    <cfRule type="expression" dxfId="203" priority="204">
      <formula>P$1=""</formula>
    </cfRule>
  </conditionalFormatting>
  <conditionalFormatting sqref="P198:AA198 P200:AA200 P202:AA202">
    <cfRule type="expression" dxfId="202" priority="203">
      <formula>P$1=""</formula>
    </cfRule>
  </conditionalFormatting>
  <conditionalFormatting sqref="P198:AA198 P200:AA200 P202:AA202">
    <cfRule type="expression" dxfId="201" priority="202">
      <formula>P$1=""</formula>
    </cfRule>
  </conditionalFormatting>
  <conditionalFormatting sqref="P198:AA198 P200:AA200 P202:AA202">
    <cfRule type="expression" dxfId="200" priority="201">
      <formula>P$1=""</formula>
    </cfRule>
  </conditionalFormatting>
  <conditionalFormatting sqref="P198:AA198 P200:AA200 P202:AA202">
    <cfRule type="expression" dxfId="199" priority="200">
      <formula>P$1=""</formula>
    </cfRule>
  </conditionalFormatting>
  <conditionalFormatting sqref="P198:AA198 P200:AA200 P202:AA202">
    <cfRule type="expression" dxfId="198" priority="199">
      <formula>P$1=""</formula>
    </cfRule>
  </conditionalFormatting>
  <conditionalFormatting sqref="P202:AA202 P200:AA200">
    <cfRule type="expression" dxfId="197" priority="198">
      <formula>P$1=""</formula>
    </cfRule>
  </conditionalFormatting>
  <conditionalFormatting sqref="P202:AA202 P200:AA200">
    <cfRule type="expression" dxfId="196" priority="197">
      <formula>P$1=""</formula>
    </cfRule>
  </conditionalFormatting>
  <conditionalFormatting sqref="Q202:AA202 Q200:AA200">
    <cfRule type="expression" dxfId="195" priority="196">
      <formula>Q$1=""</formula>
    </cfRule>
  </conditionalFormatting>
  <conditionalFormatting sqref="Q202:AA202 Q200:AA200">
    <cfRule type="expression" dxfId="194" priority="195">
      <formula>Q$1=""</formula>
    </cfRule>
  </conditionalFormatting>
  <conditionalFormatting sqref="Q202:AA202 Q200:AA200">
    <cfRule type="expression" dxfId="193" priority="194">
      <formula>Q$1=""</formula>
    </cfRule>
  </conditionalFormatting>
  <conditionalFormatting sqref="Q202:AA202 Q200:AA200">
    <cfRule type="expression" dxfId="192" priority="193">
      <formula>Q$1=""</formula>
    </cfRule>
  </conditionalFormatting>
  <conditionalFormatting sqref="Q202:AA202 Q200:AA200">
    <cfRule type="expression" dxfId="191" priority="192">
      <formula>Q$1=""</formula>
    </cfRule>
  </conditionalFormatting>
  <conditionalFormatting sqref="Q202:AA202 Q200:AA200">
    <cfRule type="expression" dxfId="190" priority="191">
      <formula>Q$1=""</formula>
    </cfRule>
  </conditionalFormatting>
  <conditionalFormatting sqref="Q202:AA202 Q200:AA200">
    <cfRule type="expression" dxfId="189" priority="190">
      <formula>Q$1=""</formula>
    </cfRule>
  </conditionalFormatting>
  <conditionalFormatting sqref="Q202:AA202 Q200:AA200">
    <cfRule type="expression" dxfId="188" priority="189">
      <formula>Q$1=""</formula>
    </cfRule>
  </conditionalFormatting>
  <conditionalFormatting sqref="P202:AA202 P200:AA200">
    <cfRule type="expression" dxfId="187" priority="188">
      <formula>P$1=""</formula>
    </cfRule>
  </conditionalFormatting>
  <conditionalFormatting sqref="P202:AA202 P200:AA200">
    <cfRule type="expression" dxfId="186" priority="187">
      <formula>P$1=""</formula>
    </cfRule>
  </conditionalFormatting>
  <conditionalFormatting sqref="P202:AA202 P200:AA200 P198:AA198">
    <cfRule type="expression" dxfId="185" priority="186">
      <formula>P$1=""</formula>
    </cfRule>
  </conditionalFormatting>
  <conditionalFormatting sqref="P202:AA202 P200:AA200 P198:AA198">
    <cfRule type="expression" dxfId="184" priority="185">
      <formula>P$1=""</formula>
    </cfRule>
  </conditionalFormatting>
  <conditionalFormatting sqref="P202:AA202 P200:AA200 P198:AA198">
    <cfRule type="expression" dxfId="183" priority="184">
      <formula>P$1=""</formula>
    </cfRule>
  </conditionalFormatting>
  <conditionalFormatting sqref="P202:AA202 P200:AA200 P198:AA198">
    <cfRule type="expression" dxfId="182" priority="183">
      <formula>P$1=""</formula>
    </cfRule>
  </conditionalFormatting>
  <conditionalFormatting sqref="P202:AA202 P200:AA200 P198:AA198">
    <cfRule type="expression" dxfId="181" priority="182">
      <formula>P$1=""</formula>
    </cfRule>
  </conditionalFormatting>
  <conditionalFormatting sqref="P202:AA202 P200:AA200 P198:AA198">
    <cfRule type="expression" dxfId="180" priority="181">
      <formula>P$1=""</formula>
    </cfRule>
  </conditionalFormatting>
  <conditionalFormatting sqref="P202:AA202 P200:AA200 P198:AA198">
    <cfRule type="expression" dxfId="179" priority="180">
      <formula>P$1=""</formula>
    </cfRule>
  </conditionalFormatting>
  <conditionalFormatting sqref="P202:AA202 P200:AA200 P198:AA198">
    <cfRule type="expression" dxfId="178" priority="179">
      <formula>P$1=""</formula>
    </cfRule>
  </conditionalFormatting>
  <conditionalFormatting sqref="P198:AA198">
    <cfRule type="expression" dxfId="177" priority="178">
      <formula>P$1=""</formula>
    </cfRule>
  </conditionalFormatting>
  <conditionalFormatting sqref="P202:AA202 P200:AA200 P198:AA198">
    <cfRule type="expression" dxfId="176" priority="177">
      <formula>P$1=""</formula>
    </cfRule>
  </conditionalFormatting>
  <conditionalFormatting sqref="P202:AA202 P200:AA200 P198:AA198">
    <cfRule type="expression" dxfId="175" priority="176">
      <formula>P$1=""</formula>
    </cfRule>
  </conditionalFormatting>
  <conditionalFormatting sqref="P202:AA202 P200:AA200 P198:AA198">
    <cfRule type="expression" dxfId="174" priority="175">
      <formula>P$1=""</formula>
    </cfRule>
  </conditionalFormatting>
  <conditionalFormatting sqref="P202:AA202 P200:AA200 P198:AA198">
    <cfRule type="expression" dxfId="173" priority="174">
      <formula>P$1=""</formula>
    </cfRule>
  </conditionalFormatting>
  <conditionalFormatting sqref="P202:AA202 P200:AA200 P198:AA198">
    <cfRule type="expression" dxfId="172" priority="173">
      <formula>P$1=""</formula>
    </cfRule>
  </conditionalFormatting>
  <conditionalFormatting sqref="P198:AA198">
    <cfRule type="expression" dxfId="171" priority="172">
      <formula>P$1=""</formula>
    </cfRule>
  </conditionalFormatting>
  <conditionalFormatting sqref="P202:AA202 P200:AA200 P198:AA198">
    <cfRule type="expression" dxfId="170" priority="171">
      <formula>P$1=""</formula>
    </cfRule>
  </conditionalFormatting>
  <conditionalFormatting sqref="P202:AA202 P200:AA200 P198:AA198">
    <cfRule type="expression" dxfId="169" priority="170">
      <formula>P$1=""</formula>
    </cfRule>
  </conditionalFormatting>
  <conditionalFormatting sqref="P202:AA202 P200:AA200 P198:AA198">
    <cfRule type="expression" dxfId="168" priority="169">
      <formula>P$1=""</formula>
    </cfRule>
  </conditionalFormatting>
  <conditionalFormatting sqref="P202:AA202 P200:AA200 P198:AA198">
    <cfRule type="expression" dxfId="167" priority="168">
      <formula>P$1=""</formula>
    </cfRule>
  </conditionalFormatting>
  <conditionalFormatting sqref="P202:AA202 P200:AA200 P198:AA198">
    <cfRule type="expression" dxfId="166" priority="167">
      <formula>P$1=""</formula>
    </cfRule>
  </conditionalFormatting>
  <conditionalFormatting sqref="P202:AA202 P200:AA200 P198:AA198">
    <cfRule type="expression" dxfId="165" priority="166">
      <formula>P$1=""</formula>
    </cfRule>
  </conditionalFormatting>
  <conditionalFormatting sqref="P202:AA202 P200:AA200 P198:AA198">
    <cfRule type="expression" dxfId="164" priority="165">
      <formula>P$1=""</formula>
    </cfRule>
  </conditionalFormatting>
  <conditionalFormatting sqref="P202:AA202 P200:AA200 P198:AA198">
    <cfRule type="expression" dxfId="163" priority="164">
      <formula>P$1=""</formula>
    </cfRule>
  </conditionalFormatting>
  <conditionalFormatting sqref="P216:AA216">
    <cfRule type="expression" dxfId="162" priority="163">
      <formula>P$1=""</formula>
    </cfRule>
  </conditionalFormatting>
  <conditionalFormatting sqref="P218:AA218">
    <cfRule type="expression" dxfId="161" priority="162">
      <formula>P$1=""</formula>
    </cfRule>
  </conditionalFormatting>
  <conditionalFormatting sqref="P220:AA220">
    <cfRule type="expression" dxfId="160" priority="161">
      <formula>P$1=""</formula>
    </cfRule>
  </conditionalFormatting>
  <conditionalFormatting sqref="P222:AA222">
    <cfRule type="expression" dxfId="159" priority="160">
      <formula>P$1=""</formula>
    </cfRule>
  </conditionalFormatting>
  <conditionalFormatting sqref="P218:AA218 P220:AA220 P222:AA222">
    <cfRule type="expression" dxfId="158" priority="159">
      <formula>P$1=""</formula>
    </cfRule>
  </conditionalFormatting>
  <conditionalFormatting sqref="P218:AA218 P220:AA220 P222:AA222">
    <cfRule type="expression" dxfId="157" priority="158">
      <formula>P$1=""</formula>
    </cfRule>
  </conditionalFormatting>
  <conditionalFormatting sqref="P218:AA218 P220:AA220 P222:AA222">
    <cfRule type="expression" dxfId="156" priority="157">
      <formula>P$1=""</formula>
    </cfRule>
  </conditionalFormatting>
  <conditionalFormatting sqref="P218:AA218 P220:AA220 P222:AA222">
    <cfRule type="expression" dxfId="155" priority="156">
      <formula>P$1=""</formula>
    </cfRule>
  </conditionalFormatting>
  <conditionalFormatting sqref="P218:AA218 P220:AA220 P222:AA222">
    <cfRule type="expression" dxfId="154" priority="155">
      <formula>P$1=""</formula>
    </cfRule>
  </conditionalFormatting>
  <conditionalFormatting sqref="P220:AA220 P222:AA222">
    <cfRule type="expression" dxfId="153" priority="154">
      <formula>P$1=""</formula>
    </cfRule>
  </conditionalFormatting>
  <conditionalFormatting sqref="P218:AA218">
    <cfRule type="expression" dxfId="152" priority="153">
      <formula>P$1=""</formula>
    </cfRule>
  </conditionalFormatting>
  <conditionalFormatting sqref="P220:AA220 P222:AA222">
    <cfRule type="expression" dxfId="151" priority="152">
      <formula>P$1=""</formula>
    </cfRule>
  </conditionalFormatting>
  <conditionalFormatting sqref="P220:AA220 P222:AA222">
    <cfRule type="expression" dxfId="150" priority="151">
      <formula>P$1=""</formula>
    </cfRule>
  </conditionalFormatting>
  <conditionalFormatting sqref="P222:AA222">
    <cfRule type="expression" dxfId="149" priority="150">
      <formula>P$1=""</formula>
    </cfRule>
  </conditionalFormatting>
  <conditionalFormatting sqref="P222:AA222">
    <cfRule type="expression" dxfId="148" priority="149">
      <formula>P$1=""</formula>
    </cfRule>
  </conditionalFormatting>
  <conditionalFormatting sqref="P222:AA222">
    <cfRule type="expression" dxfId="147" priority="148">
      <formula>P$1=""</formula>
    </cfRule>
  </conditionalFormatting>
  <conditionalFormatting sqref="P222:AA222">
    <cfRule type="expression" dxfId="146" priority="147">
      <formula>P$1=""</formula>
    </cfRule>
  </conditionalFormatting>
  <conditionalFormatting sqref="P216:AA216">
    <cfRule type="expression" dxfId="145" priority="146">
      <formula>P$1=""</formula>
    </cfRule>
  </conditionalFormatting>
  <conditionalFormatting sqref="P216:AA216">
    <cfRule type="expression" dxfId="144" priority="145">
      <formula>P$1=""</formula>
    </cfRule>
  </conditionalFormatting>
  <conditionalFormatting sqref="P216:AA216">
    <cfRule type="expression" dxfId="143" priority="144">
      <formula>P$1=""</formula>
    </cfRule>
  </conditionalFormatting>
  <conditionalFormatting sqref="P216:AA216">
    <cfRule type="expression" dxfId="142" priority="143">
      <formula>P$1=""</formula>
    </cfRule>
  </conditionalFormatting>
  <conditionalFormatting sqref="P216:AA216">
    <cfRule type="expression" dxfId="141" priority="142">
      <formula>P$1=""</formula>
    </cfRule>
  </conditionalFormatting>
  <conditionalFormatting sqref="P216:AA216">
    <cfRule type="expression" dxfId="140" priority="141">
      <formula>P$1=""</formula>
    </cfRule>
  </conditionalFormatting>
  <conditionalFormatting sqref="P216:AA216">
    <cfRule type="expression" dxfId="139" priority="140">
      <formula>P$1=""</formula>
    </cfRule>
  </conditionalFormatting>
  <conditionalFormatting sqref="P220:AA220 P222:AA222">
    <cfRule type="expression" dxfId="138" priority="139">
      <formula>P$1=""</formula>
    </cfRule>
  </conditionalFormatting>
  <conditionalFormatting sqref="P220:AA220 P222:AA222">
    <cfRule type="expression" dxfId="137" priority="138">
      <formula>P$1=""</formula>
    </cfRule>
  </conditionalFormatting>
  <conditionalFormatting sqref="P220:AA220 P222:AA222">
    <cfRule type="expression" dxfId="136" priority="137">
      <formula>P$1=""</formula>
    </cfRule>
  </conditionalFormatting>
  <conditionalFormatting sqref="P220:AA220 P222:AA222">
    <cfRule type="expression" dxfId="135" priority="136">
      <formula>P$1=""</formula>
    </cfRule>
  </conditionalFormatting>
  <conditionalFormatting sqref="P222 P220 P218">
    <cfRule type="expression" dxfId="134" priority="135">
      <formula>P$1=""</formula>
    </cfRule>
  </conditionalFormatting>
  <conditionalFormatting sqref="P222 P220 P218">
    <cfRule type="expression" dxfId="133" priority="134">
      <formula>P$1=""</formula>
    </cfRule>
  </conditionalFormatting>
  <conditionalFormatting sqref="P222 P220 P218">
    <cfRule type="expression" dxfId="132" priority="133">
      <formula>P$1=""</formula>
    </cfRule>
  </conditionalFormatting>
  <conditionalFormatting sqref="P226:AA226">
    <cfRule type="expression" dxfId="131" priority="132">
      <formula>P$1=""</formula>
    </cfRule>
  </conditionalFormatting>
  <conditionalFormatting sqref="P228:AA228">
    <cfRule type="expression" dxfId="130" priority="131">
      <formula>P$1=""</formula>
    </cfRule>
  </conditionalFormatting>
  <conditionalFormatting sqref="P230:AA230">
    <cfRule type="expression" dxfId="129" priority="130">
      <formula>P$1=""</formula>
    </cfRule>
  </conditionalFormatting>
  <conditionalFormatting sqref="P232:AA232">
    <cfRule type="expression" dxfId="128" priority="129">
      <formula>P$1=""</formula>
    </cfRule>
  </conditionalFormatting>
  <conditionalFormatting sqref="P228:AA228 P230:AA230 P232:AA232">
    <cfRule type="expression" dxfId="127" priority="128">
      <formula>P$1=""</formula>
    </cfRule>
  </conditionalFormatting>
  <conditionalFormatting sqref="P228:AA228 P230:AA230 P232:AA232">
    <cfRule type="expression" dxfId="126" priority="127">
      <formula>P$1=""</formula>
    </cfRule>
  </conditionalFormatting>
  <conditionalFormatting sqref="P228:AA228 P230:AA230 P232:AA232">
    <cfRule type="expression" dxfId="125" priority="126">
      <formula>P$1=""</formula>
    </cfRule>
  </conditionalFormatting>
  <conditionalFormatting sqref="P228:AA228 P230:AA230 P232:AA232">
    <cfRule type="expression" dxfId="124" priority="125">
      <formula>P$1=""</formula>
    </cfRule>
  </conditionalFormatting>
  <conditionalFormatting sqref="P228:AA228 P230:AA230 P232:AA232">
    <cfRule type="expression" dxfId="123" priority="124">
      <formula>P$1=""</formula>
    </cfRule>
  </conditionalFormatting>
  <conditionalFormatting sqref="P230:AA230 P232:AA232">
    <cfRule type="expression" dxfId="122" priority="123">
      <formula>P$1=""</formula>
    </cfRule>
  </conditionalFormatting>
  <conditionalFormatting sqref="P228:AA228">
    <cfRule type="expression" dxfId="121" priority="122">
      <formula>P$1=""</formula>
    </cfRule>
  </conditionalFormatting>
  <conditionalFormatting sqref="P230:AA230 P232:AA232">
    <cfRule type="expression" dxfId="120" priority="121">
      <formula>P$1=""</formula>
    </cfRule>
  </conditionalFormatting>
  <conditionalFormatting sqref="P230:AA230 P232:AA232">
    <cfRule type="expression" dxfId="119" priority="120">
      <formula>P$1=""</formula>
    </cfRule>
  </conditionalFormatting>
  <conditionalFormatting sqref="P232:AA232">
    <cfRule type="expression" dxfId="118" priority="119">
      <formula>P$1=""</formula>
    </cfRule>
  </conditionalFormatting>
  <conditionalFormatting sqref="P232:AA232">
    <cfRule type="expression" dxfId="117" priority="118">
      <formula>P$1=""</formula>
    </cfRule>
  </conditionalFormatting>
  <conditionalFormatting sqref="P232:AA232">
    <cfRule type="expression" dxfId="116" priority="117">
      <formula>P$1=""</formula>
    </cfRule>
  </conditionalFormatting>
  <conditionalFormatting sqref="P232:AA232">
    <cfRule type="expression" dxfId="115" priority="116">
      <formula>P$1=""</formula>
    </cfRule>
  </conditionalFormatting>
  <conditionalFormatting sqref="P226:AA226">
    <cfRule type="expression" dxfId="114" priority="115">
      <formula>P$1=""</formula>
    </cfRule>
  </conditionalFormatting>
  <conditionalFormatting sqref="P226:AA226">
    <cfRule type="expression" dxfId="113" priority="114">
      <formula>P$1=""</formula>
    </cfRule>
  </conditionalFormatting>
  <conditionalFormatting sqref="P226:AA226">
    <cfRule type="expression" dxfId="112" priority="113">
      <formula>P$1=""</formula>
    </cfRule>
  </conditionalFormatting>
  <conditionalFormatting sqref="P226:AA226">
    <cfRule type="expression" dxfId="111" priority="112">
      <formula>P$1=""</formula>
    </cfRule>
  </conditionalFormatting>
  <conditionalFormatting sqref="P226:AA226">
    <cfRule type="expression" dxfId="110" priority="111">
      <formula>P$1=""</formula>
    </cfRule>
  </conditionalFormatting>
  <conditionalFormatting sqref="P226:AA226">
    <cfRule type="expression" dxfId="109" priority="110">
      <formula>P$1=""</formula>
    </cfRule>
  </conditionalFormatting>
  <conditionalFormatting sqref="P226:AA226">
    <cfRule type="expression" dxfId="108" priority="109">
      <formula>P$1=""</formula>
    </cfRule>
  </conditionalFormatting>
  <conditionalFormatting sqref="P230:AA230 P232:AA232">
    <cfRule type="expression" dxfId="107" priority="108">
      <formula>P$1=""</formula>
    </cfRule>
  </conditionalFormatting>
  <conditionalFormatting sqref="P230:AA230 P232:AA232">
    <cfRule type="expression" dxfId="106" priority="107">
      <formula>P$1=""</formula>
    </cfRule>
  </conditionalFormatting>
  <conditionalFormatting sqref="P230:AA230 P232:AA232">
    <cfRule type="expression" dxfId="105" priority="106">
      <formula>P$1=""</formula>
    </cfRule>
  </conditionalFormatting>
  <conditionalFormatting sqref="P230:AA230 P232:AA232">
    <cfRule type="expression" dxfId="104" priority="105">
      <formula>P$1=""</formula>
    </cfRule>
  </conditionalFormatting>
  <conditionalFormatting sqref="P232 P230 P228">
    <cfRule type="expression" dxfId="103" priority="104">
      <formula>P$1=""</formula>
    </cfRule>
  </conditionalFormatting>
  <conditionalFormatting sqref="P232 P230 P228">
    <cfRule type="expression" dxfId="102" priority="103">
      <formula>P$1=""</formula>
    </cfRule>
  </conditionalFormatting>
  <conditionalFormatting sqref="P232 P230 P228">
    <cfRule type="expression" dxfId="101" priority="102">
      <formula>P$1=""</formula>
    </cfRule>
  </conditionalFormatting>
  <conditionalFormatting sqref="P238:AA238">
    <cfRule type="expression" dxfId="100" priority="101">
      <formula>P$1=""</formula>
    </cfRule>
  </conditionalFormatting>
  <conditionalFormatting sqref="P238:AA238">
    <cfRule type="expression" dxfId="99" priority="100">
      <formula>P$1=""</formula>
    </cfRule>
  </conditionalFormatting>
  <conditionalFormatting sqref="P238:AA238">
    <cfRule type="expression" dxfId="98" priority="99">
      <formula>P$1=""</formula>
    </cfRule>
  </conditionalFormatting>
  <conditionalFormatting sqref="P238:AA238">
    <cfRule type="expression" dxfId="97" priority="98">
      <formula>P$1=""</formula>
    </cfRule>
  </conditionalFormatting>
  <conditionalFormatting sqref="P238:AA238">
    <cfRule type="expression" dxfId="96" priority="97">
      <formula>P$1=""</formula>
    </cfRule>
  </conditionalFormatting>
  <conditionalFormatting sqref="P238:AA238">
    <cfRule type="expression" dxfId="95" priority="96">
      <formula>P$1=""</formula>
    </cfRule>
  </conditionalFormatting>
  <conditionalFormatting sqref="P238:AA238">
    <cfRule type="expression" dxfId="94" priority="95">
      <formula>P$1=""</formula>
    </cfRule>
  </conditionalFormatting>
  <conditionalFormatting sqref="P238:AA238">
    <cfRule type="expression" dxfId="93" priority="94">
      <formula>P$1=""</formula>
    </cfRule>
  </conditionalFormatting>
  <conditionalFormatting sqref="P238:AA238">
    <cfRule type="expression" dxfId="92" priority="93">
      <formula>P$1=""</formula>
    </cfRule>
  </conditionalFormatting>
  <conditionalFormatting sqref="P238:AA238">
    <cfRule type="expression" dxfId="91" priority="92">
      <formula>P$1=""</formula>
    </cfRule>
  </conditionalFormatting>
  <conditionalFormatting sqref="P238:AA238">
    <cfRule type="expression" dxfId="90" priority="91">
      <formula>P$1=""</formula>
    </cfRule>
  </conditionalFormatting>
  <conditionalFormatting sqref="P238:AA238">
    <cfRule type="expression" dxfId="89" priority="90">
      <formula>P$1=""</formula>
    </cfRule>
  </conditionalFormatting>
  <conditionalFormatting sqref="P238:AA238">
    <cfRule type="expression" dxfId="88" priority="89">
      <formula>P$1=""</formula>
    </cfRule>
  </conditionalFormatting>
  <conditionalFormatting sqref="P238:AA238">
    <cfRule type="expression" dxfId="87" priority="88">
      <formula>P$1=""</formula>
    </cfRule>
  </conditionalFormatting>
  <conditionalFormatting sqref="P238:AA238">
    <cfRule type="expression" dxfId="86" priority="87">
      <formula>P$1=""</formula>
    </cfRule>
  </conditionalFormatting>
  <conditionalFormatting sqref="P238:AA238">
    <cfRule type="expression" dxfId="85" priority="86">
      <formula>P$1=""</formula>
    </cfRule>
  </conditionalFormatting>
  <conditionalFormatting sqref="P238:AA238">
    <cfRule type="expression" dxfId="84" priority="85">
      <formula>P$1=""</formula>
    </cfRule>
  </conditionalFormatting>
  <conditionalFormatting sqref="P238:AA238">
    <cfRule type="expression" dxfId="83" priority="84">
      <formula>P$1=""</formula>
    </cfRule>
  </conditionalFormatting>
  <conditionalFormatting sqref="P238:AA238">
    <cfRule type="expression" dxfId="82" priority="83">
      <formula>P$1=""</formula>
    </cfRule>
  </conditionalFormatting>
  <conditionalFormatting sqref="P238:AA238">
    <cfRule type="expression" dxfId="81" priority="82">
      <formula>P$1=""</formula>
    </cfRule>
  </conditionalFormatting>
  <conditionalFormatting sqref="P238:AA238">
    <cfRule type="expression" dxfId="80" priority="81">
      <formula>P$1=""</formula>
    </cfRule>
  </conditionalFormatting>
  <conditionalFormatting sqref="P238:AA238">
    <cfRule type="expression" dxfId="79" priority="80">
      <formula>P$1=""</formula>
    </cfRule>
  </conditionalFormatting>
  <conditionalFormatting sqref="P238:AA238">
    <cfRule type="expression" dxfId="78" priority="79">
      <formula>P$1=""</formula>
    </cfRule>
  </conditionalFormatting>
  <conditionalFormatting sqref="P240:AA240">
    <cfRule type="expression" dxfId="77" priority="78">
      <formula>P$1=""</formula>
    </cfRule>
  </conditionalFormatting>
  <conditionalFormatting sqref="P240:AA240">
    <cfRule type="expression" dxfId="76" priority="77">
      <formula>P$1=""</formula>
    </cfRule>
  </conditionalFormatting>
  <conditionalFormatting sqref="P240:AA240">
    <cfRule type="expression" dxfId="75" priority="76">
      <formula>P$1=""</formula>
    </cfRule>
  </conditionalFormatting>
  <conditionalFormatting sqref="P240:AA240">
    <cfRule type="expression" dxfId="74" priority="75">
      <formula>P$1=""</formula>
    </cfRule>
  </conditionalFormatting>
  <conditionalFormatting sqref="P240:AA240">
    <cfRule type="expression" dxfId="73" priority="74">
      <formula>P$1=""</formula>
    </cfRule>
  </conditionalFormatting>
  <conditionalFormatting sqref="P240:AA240">
    <cfRule type="expression" dxfId="72" priority="73">
      <formula>P$1=""</formula>
    </cfRule>
  </conditionalFormatting>
  <conditionalFormatting sqref="P240:AA240">
    <cfRule type="expression" dxfId="71" priority="72">
      <formula>P$1=""</formula>
    </cfRule>
  </conditionalFormatting>
  <conditionalFormatting sqref="P240:AA240">
    <cfRule type="expression" dxfId="70" priority="71">
      <formula>P$1=""</formula>
    </cfRule>
  </conditionalFormatting>
  <conditionalFormatting sqref="P240:AA240">
    <cfRule type="expression" dxfId="69" priority="70">
      <formula>P$1=""</formula>
    </cfRule>
  </conditionalFormatting>
  <conditionalFormatting sqref="P240:AA240">
    <cfRule type="expression" dxfId="68" priority="69">
      <formula>P$1=""</formula>
    </cfRule>
  </conditionalFormatting>
  <conditionalFormatting sqref="P240:AA240">
    <cfRule type="expression" dxfId="67" priority="68">
      <formula>P$1=""</formula>
    </cfRule>
  </conditionalFormatting>
  <conditionalFormatting sqref="P240:AA240">
    <cfRule type="expression" dxfId="66" priority="67">
      <formula>P$1=""</formula>
    </cfRule>
  </conditionalFormatting>
  <conditionalFormatting sqref="P240:AA240">
    <cfRule type="expression" dxfId="65" priority="66">
      <formula>P$1=""</formula>
    </cfRule>
  </conditionalFormatting>
  <conditionalFormatting sqref="P240:AA240">
    <cfRule type="expression" dxfId="64" priority="65">
      <formula>P$1=""</formula>
    </cfRule>
  </conditionalFormatting>
  <conditionalFormatting sqref="P240:AA240">
    <cfRule type="expression" dxfId="63" priority="64">
      <formula>P$1=""</formula>
    </cfRule>
  </conditionalFormatting>
  <conditionalFormatting sqref="P240:AA240">
    <cfRule type="expression" dxfId="62" priority="63">
      <formula>P$1=""</formula>
    </cfRule>
  </conditionalFormatting>
  <conditionalFormatting sqref="P240:AA240">
    <cfRule type="expression" dxfId="61" priority="62">
      <formula>P$1=""</formula>
    </cfRule>
  </conditionalFormatting>
  <conditionalFormatting sqref="P240:AA240">
    <cfRule type="expression" dxfId="60" priority="61">
      <formula>P$1=""</formula>
    </cfRule>
  </conditionalFormatting>
  <conditionalFormatting sqref="P240:AA240">
    <cfRule type="expression" dxfId="59" priority="60">
      <formula>P$1=""</formula>
    </cfRule>
  </conditionalFormatting>
  <conditionalFormatting sqref="P240:AA240">
    <cfRule type="expression" dxfId="58" priority="59">
      <formula>P$1=""</formula>
    </cfRule>
  </conditionalFormatting>
  <conditionalFormatting sqref="P240:AA240">
    <cfRule type="expression" dxfId="57" priority="58">
      <formula>P$1=""</formula>
    </cfRule>
  </conditionalFormatting>
  <conditionalFormatting sqref="P242:AA242">
    <cfRule type="expression" dxfId="56" priority="57">
      <formula>P$1=""</formula>
    </cfRule>
  </conditionalFormatting>
  <conditionalFormatting sqref="P242:AA242">
    <cfRule type="expression" dxfId="55" priority="56">
      <formula>P$1=""</formula>
    </cfRule>
  </conditionalFormatting>
  <conditionalFormatting sqref="P242:AA242">
    <cfRule type="expression" dxfId="54" priority="55">
      <formula>P$1=""</formula>
    </cfRule>
  </conditionalFormatting>
  <conditionalFormatting sqref="P242:AA242">
    <cfRule type="expression" dxfId="53" priority="54">
      <formula>P$1=""</formula>
    </cfRule>
  </conditionalFormatting>
  <conditionalFormatting sqref="P242:AA242">
    <cfRule type="expression" dxfId="52" priority="53">
      <formula>P$1=""</formula>
    </cfRule>
  </conditionalFormatting>
  <conditionalFormatting sqref="P242:AA242">
    <cfRule type="expression" dxfId="51" priority="52">
      <formula>P$1=""</formula>
    </cfRule>
  </conditionalFormatting>
  <conditionalFormatting sqref="P242:AA242">
    <cfRule type="expression" dxfId="50" priority="51">
      <formula>P$1=""</formula>
    </cfRule>
  </conditionalFormatting>
  <conditionalFormatting sqref="P242:AA242">
    <cfRule type="expression" dxfId="49" priority="50">
      <formula>P$1=""</formula>
    </cfRule>
  </conditionalFormatting>
  <conditionalFormatting sqref="P242:AA242">
    <cfRule type="expression" dxfId="48" priority="49">
      <formula>P$1=""</formula>
    </cfRule>
  </conditionalFormatting>
  <conditionalFormatting sqref="P242:AA242">
    <cfRule type="expression" dxfId="47" priority="48">
      <formula>P$1=""</formula>
    </cfRule>
  </conditionalFormatting>
  <conditionalFormatting sqref="P242:AA242">
    <cfRule type="expression" dxfId="46" priority="47">
      <formula>P$1=""</formula>
    </cfRule>
  </conditionalFormatting>
  <conditionalFormatting sqref="P242:AA242">
    <cfRule type="expression" dxfId="45" priority="46">
      <formula>P$1=""</formula>
    </cfRule>
  </conditionalFormatting>
  <conditionalFormatting sqref="P242:AA242">
    <cfRule type="expression" dxfId="44" priority="45">
      <formula>P$1=""</formula>
    </cfRule>
  </conditionalFormatting>
  <conditionalFormatting sqref="P242:AA242">
    <cfRule type="expression" dxfId="43" priority="44">
      <formula>P$1=""</formula>
    </cfRule>
  </conditionalFormatting>
  <conditionalFormatting sqref="P242:AA242">
    <cfRule type="expression" dxfId="42" priority="43">
      <formula>P$1=""</formula>
    </cfRule>
  </conditionalFormatting>
  <conditionalFormatting sqref="P242:AA242">
    <cfRule type="expression" dxfId="41" priority="42">
      <formula>P$1=""</formula>
    </cfRule>
  </conditionalFormatting>
  <conditionalFormatting sqref="P242:AA242">
    <cfRule type="expression" dxfId="40" priority="41">
      <formula>P$1=""</formula>
    </cfRule>
  </conditionalFormatting>
  <conditionalFormatting sqref="P242:AA242">
    <cfRule type="expression" dxfId="39" priority="40">
      <formula>P$1=""</formula>
    </cfRule>
  </conditionalFormatting>
  <conditionalFormatting sqref="P242:AA242">
    <cfRule type="expression" dxfId="38" priority="39">
      <formula>P$1=""</formula>
    </cfRule>
  </conditionalFormatting>
  <conditionalFormatting sqref="P242:AA242">
    <cfRule type="expression" dxfId="37" priority="38">
      <formula>P$1=""</formula>
    </cfRule>
  </conditionalFormatting>
  <conditionalFormatting sqref="P242:AA242">
    <cfRule type="expression" dxfId="36" priority="37">
      <formula>P$1=""</formula>
    </cfRule>
  </conditionalFormatting>
  <conditionalFormatting sqref="P246:AA246">
    <cfRule type="expression" dxfId="35" priority="36">
      <formula>P$1=""</formula>
    </cfRule>
  </conditionalFormatting>
  <conditionalFormatting sqref="P248:AA248">
    <cfRule type="expression" dxfId="34" priority="35">
      <formula>P$1=""</formula>
    </cfRule>
  </conditionalFormatting>
  <conditionalFormatting sqref="P250:AA250">
    <cfRule type="expression" dxfId="33" priority="34">
      <formula>P$1=""</formula>
    </cfRule>
  </conditionalFormatting>
  <conditionalFormatting sqref="P252:AA252">
    <cfRule type="expression" dxfId="32" priority="33">
      <formula>P$1=""</formula>
    </cfRule>
  </conditionalFormatting>
  <conditionalFormatting sqref="P248:AA248 P250:AA250 P252:AA252">
    <cfRule type="expression" dxfId="31" priority="32">
      <formula>P$1=""</formula>
    </cfRule>
  </conditionalFormatting>
  <conditionalFormatting sqref="P248:AA248 P250:AA250 P252:AA252">
    <cfRule type="expression" dxfId="30" priority="31">
      <formula>P$1=""</formula>
    </cfRule>
  </conditionalFormatting>
  <conditionalFormatting sqref="P248:AA248 P250:AA250 P252:AA252">
    <cfRule type="expression" dxfId="29" priority="30">
      <formula>P$1=""</formula>
    </cfRule>
  </conditionalFormatting>
  <conditionalFormatting sqref="P248:AA248 P250:AA250 P252:AA252">
    <cfRule type="expression" dxfId="28" priority="29">
      <formula>P$1=""</formula>
    </cfRule>
  </conditionalFormatting>
  <conditionalFormatting sqref="P248:AA248 P250:AA250 P252:AA252">
    <cfRule type="expression" dxfId="27" priority="28">
      <formula>P$1=""</formula>
    </cfRule>
  </conditionalFormatting>
  <conditionalFormatting sqref="P250:AA250 P252:AA252">
    <cfRule type="expression" dxfId="26" priority="27">
      <formula>P$1=""</formula>
    </cfRule>
  </conditionalFormatting>
  <conditionalFormatting sqref="P248:AA248">
    <cfRule type="expression" dxfId="25" priority="26">
      <formula>P$1=""</formula>
    </cfRule>
  </conditionalFormatting>
  <conditionalFormatting sqref="P250:AA250 P252:AA252">
    <cfRule type="expression" dxfId="24" priority="25">
      <formula>P$1=""</formula>
    </cfRule>
  </conditionalFormatting>
  <conditionalFormatting sqref="P250:AA250 P252:AA252">
    <cfRule type="expression" dxfId="23" priority="24">
      <formula>P$1=""</formula>
    </cfRule>
  </conditionalFormatting>
  <conditionalFormatting sqref="P252:AA252">
    <cfRule type="expression" dxfId="22" priority="23">
      <formula>P$1=""</formula>
    </cfRule>
  </conditionalFormatting>
  <conditionalFormatting sqref="P252:AA252">
    <cfRule type="expression" dxfId="21" priority="22">
      <formula>P$1=""</formula>
    </cfRule>
  </conditionalFormatting>
  <conditionalFormatting sqref="P252:AA252">
    <cfRule type="expression" dxfId="20" priority="21">
      <formula>P$1=""</formula>
    </cfRule>
  </conditionalFormatting>
  <conditionalFormatting sqref="P252:AA252">
    <cfRule type="expression" dxfId="19" priority="20">
      <formula>P$1=""</formula>
    </cfRule>
  </conditionalFormatting>
  <conditionalFormatting sqref="P246:AA246">
    <cfRule type="expression" dxfId="18" priority="19">
      <formula>P$1=""</formula>
    </cfRule>
  </conditionalFormatting>
  <conditionalFormatting sqref="P246:AA246">
    <cfRule type="expression" dxfId="17" priority="18">
      <formula>P$1=""</formula>
    </cfRule>
  </conditionalFormatting>
  <conditionalFormatting sqref="P246:AA246">
    <cfRule type="expression" dxfId="16" priority="17">
      <formula>P$1=""</formula>
    </cfRule>
  </conditionalFormatting>
  <conditionalFormatting sqref="P246:AA246">
    <cfRule type="expression" dxfId="15" priority="16">
      <formula>P$1=""</formula>
    </cfRule>
  </conditionalFormatting>
  <conditionalFormatting sqref="P246:AA246">
    <cfRule type="expression" dxfId="14" priority="15">
      <formula>P$1=""</formula>
    </cfRule>
  </conditionalFormatting>
  <conditionalFormatting sqref="P246:AA246">
    <cfRule type="expression" dxfId="13" priority="14">
      <formula>P$1=""</formula>
    </cfRule>
  </conditionalFormatting>
  <conditionalFormatting sqref="P246:AA246">
    <cfRule type="expression" dxfId="12" priority="13">
      <formula>P$1=""</formula>
    </cfRule>
  </conditionalFormatting>
  <conditionalFormatting sqref="P250:AA250 P252:AA252">
    <cfRule type="expression" dxfId="11" priority="12">
      <formula>P$1=""</formula>
    </cfRule>
  </conditionalFormatting>
  <conditionalFormatting sqref="P250:AA250 P252:AA252">
    <cfRule type="expression" dxfId="10" priority="11">
      <formula>P$1=""</formula>
    </cfRule>
  </conditionalFormatting>
  <conditionalFormatting sqref="P250:AA250 P252:AA252">
    <cfRule type="expression" dxfId="9" priority="10">
      <formula>P$1=""</formula>
    </cfRule>
  </conditionalFormatting>
  <conditionalFormatting sqref="P250:AA250 P252:AA252">
    <cfRule type="expression" dxfId="8" priority="9">
      <formula>P$1=""</formula>
    </cfRule>
  </conditionalFormatting>
  <conditionalFormatting sqref="P252 P250 P248">
    <cfRule type="expression" dxfId="7" priority="8">
      <formula>P$1=""</formula>
    </cfRule>
  </conditionalFormatting>
  <conditionalFormatting sqref="P252 P250 P248">
    <cfRule type="expression" dxfId="6" priority="7">
      <formula>P$1=""</formula>
    </cfRule>
  </conditionalFormatting>
  <conditionalFormatting sqref="P252 P250 P248">
    <cfRule type="expression" dxfId="5" priority="6">
      <formula>P$1=""</formula>
    </cfRule>
  </conditionalFormatting>
  <conditionalFormatting sqref="C3:E6">
    <cfRule type="cellIs" dxfId="4" priority="5" operator="equal">
      <formula>0</formula>
    </cfRule>
  </conditionalFormatting>
  <conditionalFormatting sqref="G6">
    <cfRule type="cellIs" dxfId="3" priority="4" operator="equal">
      <formula>0</formula>
    </cfRule>
  </conditionalFormatting>
  <conditionalFormatting sqref="A1:D1">
    <cfRule type="cellIs" dxfId="2" priority="3" operator="equal">
      <formula>0</formula>
    </cfRule>
  </conditionalFormatting>
  <conditionalFormatting sqref="A254:XFD263">
    <cfRule type="cellIs" dxfId="1" priority="2" operator="equal">
      <formula>0</formula>
    </cfRule>
  </conditionalFormatting>
  <hyperlinks>
    <hyperlink ref="A1:D1" location="оглавление!A1" tooltip="оглавление" display="оглавление"/>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1" id="{1361F663-0F35-41E0-A52E-7BE478CBBAEB}">
            <xm:f>отчеты!P$1=""</xm:f>
            <x14:dxf>
              <fill>
                <patternFill>
                  <bgColor theme="0"/>
                </patternFill>
              </fill>
            </x14:dxf>
          </x14:cfRule>
          <xm:sqref>P256:AA256 P262:AA262 P260:AA260 P258:AA258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N185"/>
  <sheetViews>
    <sheetView showGridLines="0" workbookViewId="0">
      <pane xSplit="14" ySplit="10" topLeftCell="O11" activePane="bottomRight" state="frozen"/>
      <selection pane="topRight" activeCell="O1" sqref="O1"/>
      <selection pane="bottomLeft" activeCell="A11" sqref="A11"/>
      <selection pane="bottomRight" activeCell="A2" sqref="A2"/>
    </sheetView>
  </sheetViews>
  <sheetFormatPr defaultColWidth="9.109375" defaultRowHeight="12" x14ac:dyDescent="0.25"/>
  <cols>
    <col min="1" max="4" width="2.6640625"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2.88671875" style="1" customWidth="1"/>
    <col min="11" max="11" width="2.6640625" style="29" customWidth="1"/>
    <col min="12" max="12" width="2.6640625" style="1" customWidth="1"/>
    <col min="13" max="13" width="9.109375" style="56"/>
    <col min="14" max="15" width="2.6640625" style="1" customWidth="1"/>
    <col min="16" max="39" width="12.44140625" style="1" customWidth="1"/>
    <col min="40" max="40" width="2.6640625" style="1" customWidth="1"/>
    <col min="41" max="16384" width="9.109375" style="1"/>
  </cols>
  <sheetData>
    <row r="1" spans="1:40" ht="13.8" x14ac:dyDescent="0.3">
      <c r="A1" s="281" t="s">
        <v>341</v>
      </c>
      <c r="B1" s="281"/>
      <c r="C1" s="281"/>
      <c r="D1" s="281"/>
      <c r="E1" s="2"/>
      <c r="F1" s="2"/>
      <c r="G1" s="2"/>
      <c r="H1" s="2"/>
      <c r="I1" s="28"/>
      <c r="J1" s="2"/>
      <c r="K1" s="28"/>
      <c r="L1" s="2"/>
      <c r="M1" s="51" t="s">
        <v>18</v>
      </c>
      <c r="N1" s="42"/>
      <c r="O1" s="42"/>
      <c r="P1" s="43">
        <f>IF($J$13="","",1)</f>
        <v>1</v>
      </c>
      <c r="Q1" s="43">
        <f>IF(P1="","",IF(P1+1&gt;$J$17,"",P1+1))</f>
        <v>2</v>
      </c>
      <c r="R1" s="43">
        <f t="shared" ref="R1:AM1" si="0">IF(Q1="","",IF(Q1+1&gt;$J$17,"",Q1+1))</f>
        <v>3</v>
      </c>
      <c r="S1" s="43">
        <f t="shared" si="0"/>
        <v>4</v>
      </c>
      <c r="T1" s="43">
        <f t="shared" si="0"/>
        <v>5</v>
      </c>
      <c r="U1" s="43">
        <f t="shared" si="0"/>
        <v>6</v>
      </c>
      <c r="V1" s="43" t="str">
        <f t="shared" si="0"/>
        <v/>
      </c>
      <c r="W1" s="43" t="str">
        <f t="shared" si="0"/>
        <v/>
      </c>
      <c r="X1" s="43" t="str">
        <f t="shared" si="0"/>
        <v/>
      </c>
      <c r="Y1" s="43" t="str">
        <f t="shared" si="0"/>
        <v/>
      </c>
      <c r="Z1" s="43" t="str">
        <f t="shared" si="0"/>
        <v/>
      </c>
      <c r="AA1" s="43" t="str">
        <f t="shared" si="0"/>
        <v/>
      </c>
      <c r="AB1" s="43" t="str">
        <f t="shared" si="0"/>
        <v/>
      </c>
      <c r="AC1" s="43" t="str">
        <f t="shared" si="0"/>
        <v/>
      </c>
      <c r="AD1" s="43" t="str">
        <f t="shared" si="0"/>
        <v/>
      </c>
      <c r="AE1" s="43" t="str">
        <f t="shared" si="0"/>
        <v/>
      </c>
      <c r="AF1" s="43" t="str">
        <f t="shared" si="0"/>
        <v/>
      </c>
      <c r="AG1" s="43" t="str">
        <f t="shared" si="0"/>
        <v/>
      </c>
      <c r="AH1" s="43" t="str">
        <f t="shared" si="0"/>
        <v/>
      </c>
      <c r="AI1" s="43" t="str">
        <f t="shared" si="0"/>
        <v/>
      </c>
      <c r="AJ1" s="43" t="str">
        <f t="shared" si="0"/>
        <v/>
      </c>
      <c r="AK1" s="43" t="str">
        <f t="shared" si="0"/>
        <v/>
      </c>
      <c r="AL1" s="43" t="str">
        <f t="shared" si="0"/>
        <v/>
      </c>
      <c r="AM1" s="43" t="str">
        <f t="shared" si="0"/>
        <v/>
      </c>
      <c r="AN1" s="2"/>
    </row>
    <row r="2" spans="1:40" x14ac:dyDescent="0.25">
      <c r="A2" s="2"/>
      <c r="B2" s="2"/>
      <c r="C2" s="2"/>
      <c r="D2" s="2"/>
      <c r="E2" s="2"/>
      <c r="F2" s="2"/>
      <c r="G2" s="2"/>
      <c r="H2" s="2"/>
      <c r="I2" s="28"/>
      <c r="J2" s="2"/>
      <c r="K2" s="28"/>
      <c r="L2" s="2"/>
      <c r="M2" s="52"/>
      <c r="N2" s="2"/>
      <c r="O2" s="2"/>
      <c r="P2" s="2"/>
      <c r="Q2" s="36"/>
      <c r="R2" s="2"/>
      <c r="S2" s="2"/>
      <c r="T2" s="2"/>
      <c r="U2" s="2"/>
      <c r="V2" s="2"/>
      <c r="W2" s="2"/>
      <c r="X2" s="2"/>
      <c r="Y2" s="2"/>
      <c r="Z2" s="2"/>
      <c r="AA2" s="2"/>
      <c r="AB2" s="2"/>
      <c r="AC2" s="2"/>
      <c r="AD2" s="2"/>
      <c r="AE2" s="2"/>
      <c r="AF2" s="2"/>
      <c r="AG2" s="2"/>
      <c r="AH2" s="2"/>
      <c r="AI2" s="2"/>
      <c r="AJ2" s="2"/>
      <c r="AK2" s="2"/>
      <c r="AL2" s="2"/>
      <c r="AM2" s="2"/>
      <c r="AN2" s="2"/>
    </row>
    <row r="3" spans="1:40" x14ac:dyDescent="0.25">
      <c r="A3" s="2"/>
      <c r="B3" s="2"/>
      <c r="C3" s="89" t="str">
        <f>методология!$E$4</f>
        <v>Инвестмодель базы отдыха - Беседки &amp; Веревочный парк</v>
      </c>
      <c r="D3" s="20"/>
      <c r="E3" s="20"/>
      <c r="F3" s="2"/>
      <c r="G3" s="2"/>
      <c r="H3" s="2"/>
      <c r="I3" s="28"/>
      <c r="J3" s="2"/>
      <c r="K3" s="28"/>
      <c r="L3" s="2"/>
      <c r="M3" s="52"/>
      <c r="N3" s="2"/>
      <c r="O3" s="2"/>
      <c r="P3" s="2"/>
      <c r="Q3" s="2"/>
      <c r="R3" s="2"/>
      <c r="S3" s="2"/>
      <c r="T3" s="2"/>
      <c r="U3" s="2"/>
      <c r="V3" s="2"/>
      <c r="W3" s="2"/>
      <c r="X3" s="2"/>
      <c r="Y3" s="2"/>
      <c r="Z3" s="2"/>
      <c r="AA3" s="2"/>
      <c r="AB3" s="2"/>
      <c r="AC3" s="2"/>
      <c r="AD3" s="2"/>
      <c r="AE3" s="2"/>
      <c r="AF3" s="2"/>
      <c r="AG3" s="2"/>
      <c r="AH3" s="2"/>
      <c r="AI3" s="2"/>
      <c r="AJ3" s="2"/>
      <c r="AK3" s="2"/>
      <c r="AL3" s="2"/>
      <c r="AM3" s="2"/>
      <c r="AN3" s="2"/>
    </row>
    <row r="4" spans="1:40" x14ac:dyDescent="0.25">
      <c r="A4" s="2"/>
      <c r="B4" s="2"/>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c r="AC4" s="2"/>
      <c r="AD4" s="2"/>
      <c r="AE4" s="2"/>
      <c r="AF4" s="2"/>
      <c r="AG4" s="2"/>
      <c r="AH4" s="2"/>
      <c r="AI4" s="2"/>
      <c r="AJ4" s="2"/>
      <c r="AK4" s="2"/>
      <c r="AL4" s="2"/>
      <c r="AM4" s="2"/>
      <c r="AN4" s="2"/>
    </row>
    <row r="5" spans="1:40" x14ac:dyDescent="0.25">
      <c r="A5" s="2"/>
      <c r="B5" s="2"/>
      <c r="C5" s="2"/>
      <c r="D5" s="2"/>
      <c r="E5" s="2"/>
      <c r="F5" s="2"/>
      <c r="G5" s="2"/>
      <c r="H5" s="2"/>
      <c r="I5" s="28"/>
      <c r="J5" s="2"/>
      <c r="K5" s="28"/>
      <c r="L5" s="2"/>
      <c r="M5" s="52"/>
      <c r="N5" s="2"/>
      <c r="O5" s="2"/>
      <c r="P5" s="2"/>
      <c r="Q5" s="2"/>
      <c r="R5" s="2"/>
      <c r="S5" s="2"/>
      <c r="T5" s="2"/>
      <c r="U5" s="2"/>
      <c r="V5" s="2"/>
      <c r="W5" s="2"/>
      <c r="X5" s="2"/>
      <c r="Y5" s="2"/>
      <c r="Z5" s="2"/>
      <c r="AA5" s="2"/>
      <c r="AB5" s="2"/>
      <c r="AC5" s="2"/>
      <c r="AD5" s="2"/>
      <c r="AE5" s="2"/>
      <c r="AF5" s="2"/>
      <c r="AG5" s="2"/>
      <c r="AH5" s="2"/>
      <c r="AI5" s="2"/>
      <c r="AJ5" s="2"/>
      <c r="AK5" s="2"/>
      <c r="AL5" s="2"/>
      <c r="AM5" s="2"/>
      <c r="AN5" s="2"/>
    </row>
    <row r="6" spans="1:40" x14ac:dyDescent="0.25">
      <c r="A6" s="2"/>
      <c r="B6" s="2"/>
      <c r="C6" s="225" t="s">
        <v>303</v>
      </c>
      <c r="D6" s="210"/>
      <c r="E6" s="226"/>
      <c r="F6" s="2"/>
      <c r="G6" s="2"/>
      <c r="H6" s="2"/>
      <c r="I6" s="28"/>
      <c r="J6" s="2"/>
      <c r="K6" s="28"/>
      <c r="L6" s="2"/>
      <c r="M6" s="52"/>
      <c r="N6" s="2"/>
      <c r="O6" s="2"/>
      <c r="P6" s="2"/>
      <c r="Q6" s="2"/>
      <c r="R6" s="2"/>
      <c r="S6" s="2"/>
      <c r="T6" s="2"/>
      <c r="U6" s="2"/>
      <c r="V6" s="2"/>
      <c r="W6" s="2"/>
      <c r="X6" s="2"/>
      <c r="Y6" s="2"/>
      <c r="Z6" s="2"/>
      <c r="AA6" s="2"/>
      <c r="AB6" s="2"/>
      <c r="AC6" s="2"/>
      <c r="AD6" s="2"/>
      <c r="AE6" s="2"/>
      <c r="AF6" s="2"/>
      <c r="AG6" s="2"/>
      <c r="AH6" s="2"/>
      <c r="AI6" s="2"/>
      <c r="AJ6" s="2"/>
      <c r="AK6" s="2"/>
      <c r="AL6" s="2"/>
      <c r="AM6" s="2"/>
      <c r="AN6" s="2"/>
    </row>
    <row r="7" spans="1:40" x14ac:dyDescent="0.25">
      <c r="A7" s="2"/>
      <c r="B7" s="2"/>
      <c r="C7" s="2"/>
      <c r="D7" s="2"/>
      <c r="E7" s="2" t="s">
        <v>166</v>
      </c>
      <c r="F7" s="2"/>
      <c r="G7" s="2"/>
      <c r="H7" s="2"/>
      <c r="I7" s="28"/>
      <c r="J7" s="2"/>
      <c r="K7" s="28"/>
      <c r="L7" s="2"/>
      <c r="M7" s="52"/>
      <c r="N7" s="2"/>
      <c r="O7" s="2"/>
      <c r="P7" s="2"/>
      <c r="Q7" s="2"/>
      <c r="R7" s="2"/>
      <c r="S7" s="2"/>
      <c r="T7" s="2"/>
      <c r="U7" s="2"/>
      <c r="V7" s="2"/>
      <c r="W7" s="2"/>
      <c r="X7" s="2"/>
      <c r="Y7" s="2"/>
      <c r="Z7" s="2"/>
      <c r="AA7" s="2"/>
      <c r="AB7" s="2"/>
      <c r="AC7" s="2"/>
      <c r="AD7" s="2"/>
      <c r="AE7" s="2"/>
      <c r="AF7" s="2"/>
      <c r="AG7" s="2"/>
      <c r="AH7" s="2"/>
      <c r="AI7" s="2"/>
      <c r="AJ7" s="2"/>
      <c r="AK7" s="2"/>
      <c r="AL7" s="2"/>
      <c r="AM7" s="2"/>
      <c r="AN7" s="2"/>
    </row>
    <row r="8" spans="1:40" s="5" customFormat="1" x14ac:dyDescent="0.25">
      <c r="A8" s="3"/>
      <c r="B8" s="3"/>
      <c r="C8" s="3"/>
      <c r="D8" s="3"/>
      <c r="E8" s="3" t="str">
        <f>KPI!E8</f>
        <v>KPI</v>
      </c>
      <c r="F8" s="3"/>
      <c r="G8" s="28" t="str">
        <f>KPI!$G$8</f>
        <v>ед.изм.</v>
      </c>
      <c r="H8" s="3"/>
      <c r="I8" s="28"/>
      <c r="J8" s="3"/>
      <c r="K8" s="28"/>
      <c r="L8" s="3"/>
      <c r="M8" s="53" t="s">
        <v>8</v>
      </c>
      <c r="N8" s="3"/>
      <c r="O8" s="3"/>
      <c r="P8" s="44">
        <f>IF($J$13="","",$J$13)</f>
        <v>44378</v>
      </c>
      <c r="Q8" s="44">
        <f>IF(P8="","",IF(Q$1="","",EOMONTH(P8,0)+1))</f>
        <v>44409</v>
      </c>
      <c r="R8" s="44">
        <f t="shared" ref="R8:AM8" si="1">IF(Q8="","",IF(R$1="","",EOMONTH(Q8,0)+1))</f>
        <v>44440</v>
      </c>
      <c r="S8" s="44">
        <f t="shared" si="1"/>
        <v>44470</v>
      </c>
      <c r="T8" s="44">
        <f t="shared" si="1"/>
        <v>44501</v>
      </c>
      <c r="U8" s="44">
        <f t="shared" si="1"/>
        <v>44531</v>
      </c>
      <c r="V8" s="44" t="str">
        <f t="shared" si="1"/>
        <v/>
      </c>
      <c r="W8" s="44" t="str">
        <f t="shared" si="1"/>
        <v/>
      </c>
      <c r="X8" s="44" t="str">
        <f t="shared" si="1"/>
        <v/>
      </c>
      <c r="Y8" s="44" t="str">
        <f t="shared" si="1"/>
        <v/>
      </c>
      <c r="Z8" s="44" t="str">
        <f t="shared" si="1"/>
        <v/>
      </c>
      <c r="AA8" s="44" t="str">
        <f t="shared" si="1"/>
        <v/>
      </c>
      <c r="AB8" s="44" t="str">
        <f t="shared" si="1"/>
        <v/>
      </c>
      <c r="AC8" s="44" t="str">
        <f t="shared" si="1"/>
        <v/>
      </c>
      <c r="AD8" s="44" t="str">
        <f t="shared" si="1"/>
        <v/>
      </c>
      <c r="AE8" s="44" t="str">
        <f t="shared" si="1"/>
        <v/>
      </c>
      <c r="AF8" s="44" t="str">
        <f t="shared" si="1"/>
        <v/>
      </c>
      <c r="AG8" s="44" t="str">
        <f t="shared" si="1"/>
        <v/>
      </c>
      <c r="AH8" s="44" t="str">
        <f t="shared" si="1"/>
        <v/>
      </c>
      <c r="AI8" s="44" t="str">
        <f t="shared" si="1"/>
        <v/>
      </c>
      <c r="AJ8" s="44" t="str">
        <f t="shared" si="1"/>
        <v/>
      </c>
      <c r="AK8" s="44" t="str">
        <f t="shared" si="1"/>
        <v/>
      </c>
      <c r="AL8" s="44" t="str">
        <f t="shared" si="1"/>
        <v/>
      </c>
      <c r="AM8" s="44" t="str">
        <f t="shared" si="1"/>
        <v/>
      </c>
      <c r="AN8" s="3"/>
    </row>
    <row r="9" spans="1:40" ht="3.9" customHeight="1" x14ac:dyDescent="0.25">
      <c r="A9" s="2"/>
      <c r="B9" s="2"/>
      <c r="C9" s="2"/>
      <c r="D9" s="21"/>
      <c r="E9" s="21"/>
      <c r="F9" s="2"/>
      <c r="G9" s="21"/>
      <c r="H9" s="2"/>
      <c r="I9" s="28"/>
      <c r="J9" s="2"/>
      <c r="K9" s="28"/>
      <c r="L9" s="2"/>
      <c r="M9" s="54"/>
      <c r="N9" s="2"/>
      <c r="O9" s="2"/>
      <c r="P9" s="21"/>
      <c r="Q9" s="21"/>
      <c r="R9" s="21"/>
      <c r="S9" s="21"/>
      <c r="T9" s="21"/>
      <c r="U9" s="21"/>
      <c r="V9" s="21"/>
      <c r="W9" s="21"/>
      <c r="X9" s="21"/>
      <c r="Y9" s="21"/>
      <c r="Z9" s="21"/>
      <c r="AA9" s="21"/>
      <c r="AB9" s="21"/>
      <c r="AC9" s="21"/>
      <c r="AD9" s="21"/>
      <c r="AE9" s="21"/>
      <c r="AF9" s="21"/>
      <c r="AG9" s="21"/>
      <c r="AH9" s="21"/>
      <c r="AI9" s="21"/>
      <c r="AJ9" s="21"/>
      <c r="AK9" s="21"/>
      <c r="AL9" s="21"/>
      <c r="AM9" s="21"/>
      <c r="AN9" s="2"/>
    </row>
    <row r="10" spans="1:40" ht="8.1" customHeight="1" x14ac:dyDescent="0.25">
      <c r="A10" s="2"/>
      <c r="B10" s="2"/>
      <c r="C10" s="2"/>
      <c r="D10" s="2"/>
      <c r="E10" s="2"/>
      <c r="F10" s="2"/>
      <c r="G10" s="2"/>
      <c r="H10" s="2"/>
      <c r="I10" s="28"/>
      <c r="J10" s="2"/>
      <c r="K10" s="28"/>
      <c r="L10" s="2"/>
      <c r="M10" s="5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row>
    <row r="11" spans="1:40" s="5" customFormat="1" x14ac:dyDescent="0.25">
      <c r="A11" s="3"/>
      <c r="B11" s="3"/>
      <c r="C11" s="3"/>
      <c r="D11" s="3"/>
      <c r="E11" s="3" t="str">
        <f>структура!$E$8</f>
        <v>инвестиционный период</v>
      </c>
      <c r="F11" s="3"/>
      <c r="G11" s="3"/>
      <c r="H11" s="3"/>
      <c r="I11" s="28"/>
      <c r="J11" s="3"/>
      <c r="K11" s="28"/>
      <c r="L11" s="3"/>
      <c r="M11" s="55"/>
      <c r="N11" s="3"/>
      <c r="O11" s="3"/>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3"/>
    </row>
    <row r="12" spans="1:40" ht="3.9" customHeight="1" x14ac:dyDescent="0.25">
      <c r="A12" s="2"/>
      <c r="B12" s="2"/>
      <c r="C12" s="2"/>
      <c r="D12" s="2"/>
      <c r="E12" s="2"/>
      <c r="F12" s="2"/>
      <c r="G12" s="2"/>
      <c r="H12" s="2"/>
      <c r="I12" s="28"/>
      <c r="J12" s="2"/>
      <c r="K12" s="28"/>
      <c r="L12" s="2"/>
      <c r="M12" s="52"/>
      <c r="N12" s="2"/>
      <c r="O12" s="2"/>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2"/>
    </row>
    <row r="13" spans="1:40" x14ac:dyDescent="0.25">
      <c r="A13" s="2"/>
      <c r="B13" s="2"/>
      <c r="C13" s="2"/>
      <c r="D13" s="2"/>
      <c r="E13" s="2" t="str">
        <f>структура!$E$10</f>
        <v>месяц начала инвестиций</v>
      </c>
      <c r="F13" s="2"/>
      <c r="G13" s="2"/>
      <c r="H13" s="2"/>
      <c r="I13" s="6" t="s">
        <v>0</v>
      </c>
      <c r="J13" s="25">
        <v>44378</v>
      </c>
      <c r="K13" s="30" t="s">
        <v>9</v>
      </c>
      <c r="L13" s="2"/>
      <c r="M13" s="52"/>
      <c r="N13" s="2"/>
      <c r="O13" s="2"/>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2"/>
    </row>
    <row r="14" spans="1:40" ht="3.9" customHeight="1" x14ac:dyDescent="0.25">
      <c r="A14" s="2"/>
      <c r="B14" s="2"/>
      <c r="C14" s="2"/>
      <c r="D14" s="2"/>
      <c r="E14" s="2"/>
      <c r="F14" s="2"/>
      <c r="G14" s="2"/>
      <c r="H14" s="2"/>
      <c r="I14" s="28"/>
      <c r="J14" s="2"/>
      <c r="K14" s="28"/>
      <c r="L14" s="2"/>
      <c r="M14" s="52"/>
      <c r="N14" s="2"/>
      <c r="O14" s="2"/>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2"/>
    </row>
    <row r="15" spans="1:40" x14ac:dyDescent="0.25">
      <c r="A15" s="2"/>
      <c r="B15" s="2"/>
      <c r="C15" s="2"/>
      <c r="D15" s="2"/>
      <c r="E15" s="2" t="str">
        <f>структура!$G$10</f>
        <v>месяц окончания инвестиций</v>
      </c>
      <c r="F15" s="2"/>
      <c r="G15" s="2"/>
      <c r="H15" s="2"/>
      <c r="I15" s="6" t="s">
        <v>0</v>
      </c>
      <c r="J15" s="25">
        <v>44531</v>
      </c>
      <c r="K15" s="30" t="s">
        <v>9</v>
      </c>
      <c r="L15" s="2" t="str">
        <f>IF(J15&lt;J13,структура!AL12,"")</f>
        <v/>
      </c>
      <c r="M15" s="52"/>
      <c r="N15" s="2"/>
      <c r="O15" s="2"/>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2"/>
    </row>
    <row r="16" spans="1:40" ht="3.9" customHeight="1" x14ac:dyDescent="0.25">
      <c r="A16" s="2"/>
      <c r="B16" s="2"/>
      <c r="C16" s="2"/>
      <c r="D16" s="2"/>
      <c r="E16" s="2"/>
      <c r="F16" s="2"/>
      <c r="G16" s="2"/>
      <c r="H16" s="2"/>
      <c r="I16" s="28"/>
      <c r="J16" s="2"/>
      <c r="K16" s="28"/>
      <c r="L16" s="2"/>
      <c r="M16" s="52"/>
      <c r="N16" s="2"/>
      <c r="O16" s="2"/>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2"/>
    </row>
    <row r="17" spans="1:40" x14ac:dyDescent="0.25">
      <c r="A17" s="2"/>
      <c r="B17" s="2"/>
      <c r="C17" s="2"/>
      <c r="D17" s="2"/>
      <c r="E17" s="2" t="str">
        <f>KPI!$E$12</f>
        <v>длина инвестиционного периода</v>
      </c>
      <c r="F17" s="2"/>
      <c r="G17" s="2" t="str">
        <f>IF($E17="","",INDEX(KPI!$G:$G,SUMIFS(KPI!$B:$B,KPI!$E:$E,$E17)))</f>
        <v>мес</v>
      </c>
      <c r="H17" s="2"/>
      <c r="I17" s="28"/>
      <c r="J17" s="36">
        <f>IF($L$15&lt;&gt;"","",((YEAR($J$15)-1)*12+MONTH($J$15))-((YEAR($J$13)-1)*12+MONTH($J$13))+1)</f>
        <v>6</v>
      </c>
      <c r="K17" s="28"/>
      <c r="L17" s="2"/>
      <c r="M17" s="52"/>
      <c r="N17" s="2"/>
      <c r="O17" s="2"/>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2"/>
    </row>
    <row r="18" spans="1:40" ht="3.9" customHeight="1" x14ac:dyDescent="0.25">
      <c r="A18" s="2"/>
      <c r="B18" s="2"/>
      <c r="C18" s="2"/>
      <c r="D18" s="2"/>
      <c r="E18" s="21"/>
      <c r="F18" s="2"/>
      <c r="G18" s="21"/>
      <c r="H18" s="2"/>
      <c r="I18" s="28"/>
      <c r="J18" s="21"/>
      <c r="K18" s="28"/>
      <c r="L18" s="2"/>
      <c r="M18" s="52"/>
      <c r="N18" s="2"/>
      <c r="O18" s="2"/>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2"/>
    </row>
    <row r="19" spans="1:40" ht="8.1" customHeight="1" x14ac:dyDescent="0.25">
      <c r="A19" s="2"/>
      <c r="B19" s="2"/>
      <c r="C19" s="2"/>
      <c r="D19" s="2"/>
      <c r="E19" s="2"/>
      <c r="F19" s="2"/>
      <c r="G19" s="2"/>
      <c r="H19" s="2"/>
      <c r="I19" s="28"/>
      <c r="J19" s="2"/>
      <c r="K19" s="28"/>
      <c r="L19" s="2"/>
      <c r="M19" s="52"/>
      <c r="N19" s="2"/>
      <c r="O19" s="2"/>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2"/>
    </row>
    <row r="20" spans="1:40" s="5" customFormat="1" x14ac:dyDescent="0.25">
      <c r="A20" s="3"/>
      <c r="B20" s="3"/>
      <c r="C20" s="3"/>
      <c r="D20" s="3"/>
      <c r="E20" s="3" t="str">
        <f>структура!$AA$8</f>
        <v>инвестиции до начала проекта</v>
      </c>
      <c r="F20" s="3"/>
      <c r="G20" s="3" t="s">
        <v>23</v>
      </c>
      <c r="H20" s="3"/>
      <c r="I20" s="28"/>
      <c r="J20" s="46">
        <f>SUM(J21:J24)</f>
        <v>12700</v>
      </c>
      <c r="K20" s="28"/>
      <c r="L20" s="3"/>
      <c r="M20" s="55"/>
      <c r="N20" s="3"/>
      <c r="O20" s="3"/>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3"/>
    </row>
    <row r="21" spans="1:40" x14ac:dyDescent="0.25">
      <c r="A21" s="2"/>
      <c r="B21" s="2"/>
      <c r="C21" s="2"/>
      <c r="D21" s="2"/>
      <c r="E21" s="2" t="str">
        <f>структура!$AA$12</f>
        <v>право аренды</v>
      </c>
      <c r="F21" s="2"/>
      <c r="G21" s="2" t="str">
        <f>G20</f>
        <v>тыс.руб.</v>
      </c>
      <c r="H21" s="2"/>
      <c r="I21" s="6" t="s">
        <v>0</v>
      </c>
      <c r="J21" s="45">
        <v>10000</v>
      </c>
      <c r="K21" s="28"/>
      <c r="L21" s="2"/>
      <c r="M21" s="52"/>
      <c r="N21" s="2"/>
      <c r="O21" s="2"/>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2"/>
    </row>
    <row r="22" spans="1:40" x14ac:dyDescent="0.25">
      <c r="A22" s="2"/>
      <c r="B22" s="2"/>
      <c r="C22" s="2"/>
      <c r="D22" s="2"/>
      <c r="E22" s="2" t="str">
        <f>структура!$AA$13</f>
        <v>строительство ЛЭП</v>
      </c>
      <c r="F22" s="2"/>
      <c r="G22" s="2" t="str">
        <f>G20</f>
        <v>тыс.руб.</v>
      </c>
      <c r="H22" s="2"/>
      <c r="I22" s="6" t="s">
        <v>0</v>
      </c>
      <c r="J22" s="45">
        <v>1500</v>
      </c>
      <c r="K22" s="28"/>
      <c r="L22" s="2"/>
      <c r="M22" s="52"/>
      <c r="N22" s="2"/>
      <c r="O22" s="2"/>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2"/>
    </row>
    <row r="23" spans="1:40" x14ac:dyDescent="0.25">
      <c r="A23" s="2"/>
      <c r="B23" s="2"/>
      <c r="C23" s="2"/>
      <c r="D23" s="2"/>
      <c r="E23" s="2" t="str">
        <f>структура!$AA$14</f>
        <v>доп/затраты</v>
      </c>
      <c r="F23" s="2"/>
      <c r="G23" s="2" t="str">
        <f>G20</f>
        <v>тыс.руб.</v>
      </c>
      <c r="H23" s="2"/>
      <c r="I23" s="6" t="s">
        <v>0</v>
      </c>
      <c r="J23" s="45">
        <v>1200</v>
      </c>
      <c r="K23" s="28"/>
      <c r="L23" s="2"/>
      <c r="M23" s="52"/>
      <c r="N23" s="2"/>
      <c r="O23" s="2"/>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2"/>
    </row>
    <row r="24" spans="1:40" ht="3.9" customHeight="1" x14ac:dyDescent="0.25">
      <c r="A24" s="2"/>
      <c r="B24" s="2"/>
      <c r="C24" s="2"/>
      <c r="D24" s="2"/>
      <c r="E24" s="21"/>
      <c r="F24" s="2"/>
      <c r="G24" s="21"/>
      <c r="H24" s="2"/>
      <c r="I24" s="28"/>
      <c r="J24" s="21"/>
      <c r="K24" s="28"/>
      <c r="L24" s="2"/>
      <c r="M24" s="52"/>
      <c r="N24" s="2"/>
      <c r="O24" s="2"/>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2"/>
    </row>
    <row r="25" spans="1:40" ht="8.1" customHeight="1" x14ac:dyDescent="0.25">
      <c r="A25" s="2"/>
      <c r="B25" s="2"/>
      <c r="C25" s="2"/>
      <c r="D25" s="2"/>
      <c r="E25" s="2"/>
      <c r="F25" s="2"/>
      <c r="G25" s="2"/>
      <c r="H25" s="2"/>
      <c r="I25" s="28"/>
      <c r="J25" s="2"/>
      <c r="K25" s="28"/>
      <c r="L25" s="2"/>
      <c r="M25" s="52"/>
      <c r="N25" s="2"/>
      <c r="O25" s="2"/>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2"/>
    </row>
    <row r="26" spans="1:40" s="5" customFormat="1" x14ac:dyDescent="0.25">
      <c r="A26" s="3"/>
      <c r="B26" s="3"/>
      <c r="C26" s="3"/>
      <c r="D26" s="3"/>
      <c r="E26" s="89" t="str">
        <f>KPI!$E$13</f>
        <v>капитальное строительство объектов</v>
      </c>
      <c r="F26" s="89"/>
      <c r="G26" s="89" t="str">
        <f>IF($E26="","",INDEX(KPI!$G:$G,SUMIFS(KPI!$B:$B,KPI!$E:$E,$E26)))</f>
        <v>тыс.руб.</v>
      </c>
      <c r="H26" s="89"/>
      <c r="I26" s="90"/>
      <c r="J26" s="91" t="str">
        <f>структура!$AL$14</f>
        <v>равномерно по периоду</v>
      </c>
      <c r="K26" s="90"/>
      <c r="L26" s="89"/>
      <c r="M26" s="92">
        <f>(SUMPRODUCT(J31:J37,J49:J55)+SUMPRODUCT(J41:J44,J59:J62,J67:J70))/1000</f>
        <v>8697.4380000000001</v>
      </c>
      <c r="N26" s="3"/>
      <c r="O26" s="3"/>
      <c r="P26" s="93">
        <f>IF(OR($J$17="",$J$17=0),0,IF(P$1="",0,$M$26/$J$17))</f>
        <v>1449.5730000000001</v>
      </c>
      <c r="Q26" s="93">
        <f t="shared" ref="Q26:AM26" si="2">IF(OR($J$17="",$J$17=0),0,IF(Q$1="",0,$M$26/$J$17))</f>
        <v>1449.5730000000001</v>
      </c>
      <c r="R26" s="93">
        <f t="shared" si="2"/>
        <v>1449.5730000000001</v>
      </c>
      <c r="S26" s="93">
        <f t="shared" si="2"/>
        <v>1449.5730000000001</v>
      </c>
      <c r="T26" s="93">
        <f t="shared" si="2"/>
        <v>1449.5730000000001</v>
      </c>
      <c r="U26" s="93">
        <f t="shared" si="2"/>
        <v>1449.5730000000001</v>
      </c>
      <c r="V26" s="93">
        <f t="shared" si="2"/>
        <v>0</v>
      </c>
      <c r="W26" s="93">
        <f t="shared" si="2"/>
        <v>0</v>
      </c>
      <c r="X26" s="93">
        <f t="shared" si="2"/>
        <v>0</v>
      </c>
      <c r="Y26" s="93">
        <f t="shared" si="2"/>
        <v>0</v>
      </c>
      <c r="Z26" s="93">
        <f t="shared" si="2"/>
        <v>0</v>
      </c>
      <c r="AA26" s="93">
        <f t="shared" si="2"/>
        <v>0</v>
      </c>
      <c r="AB26" s="93">
        <f t="shared" si="2"/>
        <v>0</v>
      </c>
      <c r="AC26" s="93">
        <f t="shared" si="2"/>
        <v>0</v>
      </c>
      <c r="AD26" s="93">
        <f t="shared" si="2"/>
        <v>0</v>
      </c>
      <c r="AE26" s="93">
        <f t="shared" si="2"/>
        <v>0</v>
      </c>
      <c r="AF26" s="93">
        <f t="shared" si="2"/>
        <v>0</v>
      </c>
      <c r="AG26" s="93">
        <f t="shared" si="2"/>
        <v>0</v>
      </c>
      <c r="AH26" s="93">
        <f t="shared" si="2"/>
        <v>0</v>
      </c>
      <c r="AI26" s="93">
        <f t="shared" si="2"/>
        <v>0</v>
      </c>
      <c r="AJ26" s="93">
        <f t="shared" si="2"/>
        <v>0</v>
      </c>
      <c r="AK26" s="93">
        <f t="shared" si="2"/>
        <v>0</v>
      </c>
      <c r="AL26" s="93">
        <f t="shared" si="2"/>
        <v>0</v>
      </c>
      <c r="AM26" s="93">
        <f t="shared" si="2"/>
        <v>0</v>
      </c>
      <c r="AN26" s="3"/>
    </row>
    <row r="27" spans="1:40" s="62" customFormat="1" ht="10.199999999999999" x14ac:dyDescent="0.2">
      <c r="A27" s="59"/>
      <c r="B27" s="59"/>
      <c r="C27" s="59"/>
      <c r="D27" s="59"/>
      <c r="E27" s="59"/>
      <c r="F27" s="59"/>
      <c r="G27" s="59"/>
      <c r="H27" s="59"/>
      <c r="I27" s="31"/>
      <c r="J27" s="59" t="str">
        <f>структура!$AL$13</f>
        <v>контроль</v>
      </c>
      <c r="K27" s="31"/>
      <c r="L27" s="59"/>
      <c r="M27" s="60">
        <f>M26-SUM($O26:$AN26)</f>
        <v>0</v>
      </c>
      <c r="N27" s="59"/>
      <c r="O27" s="59"/>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59"/>
    </row>
    <row r="28" spans="1:40" s="5" customFormat="1" x14ac:dyDescent="0.25">
      <c r="A28" s="3"/>
      <c r="B28" s="3"/>
      <c r="C28" s="3"/>
      <c r="D28" s="3"/>
      <c r="E28" s="3" t="str">
        <f>KPI!$E$14</f>
        <v>объем работ</v>
      </c>
      <c r="F28" s="3"/>
      <c r="G28" s="3" t="str">
        <f>IF($E28="","",INDEX(KPI!$G:$G,SUMIFS(KPI!$B:$B,KPI!$E:$E,$E28)))</f>
        <v>кв.м.</v>
      </c>
      <c r="H28" s="3"/>
      <c r="I28" s="28"/>
      <c r="J28" s="3"/>
      <c r="K28" s="28"/>
      <c r="L28" s="3"/>
      <c r="M28" s="55"/>
      <c r="N28" s="3"/>
      <c r="O28" s="3"/>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3"/>
    </row>
    <row r="29" spans="1:40" x14ac:dyDescent="0.25">
      <c r="A29" s="2"/>
      <c r="B29" s="2"/>
      <c r="C29" s="2"/>
      <c r="D29" s="2"/>
      <c r="E29" s="47" t="str">
        <f>структура!$AD$10</f>
        <v>объекты кап/строительства технические</v>
      </c>
      <c r="F29" s="2"/>
      <c r="G29" s="2" t="str">
        <f>G28</f>
        <v>кв.м.</v>
      </c>
      <c r="H29" s="2"/>
      <c r="I29" s="28"/>
      <c r="J29" s="2"/>
      <c r="K29" s="28"/>
      <c r="L29" s="2"/>
      <c r="M29" s="52"/>
      <c r="N29" s="2"/>
      <c r="O29" s="2"/>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2"/>
    </row>
    <row r="30" spans="1:40" ht="3.9" customHeight="1" x14ac:dyDescent="0.25">
      <c r="A30" s="2"/>
      <c r="B30" s="2"/>
      <c r="C30" s="2"/>
      <c r="D30" s="2"/>
      <c r="E30" s="2"/>
      <c r="F30" s="2"/>
      <c r="G30" s="2"/>
      <c r="H30" s="2"/>
      <c r="I30" s="28"/>
      <c r="J30" s="2"/>
      <c r="K30" s="28"/>
      <c r="L30" s="2"/>
      <c r="M30" s="52"/>
      <c r="N30" s="2"/>
      <c r="O30" s="2"/>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2"/>
    </row>
    <row r="31" spans="1:40" x14ac:dyDescent="0.25">
      <c r="A31" s="2"/>
      <c r="B31" s="2"/>
      <c r="C31" s="2"/>
      <c r="D31" s="2"/>
      <c r="E31" s="48" t="str">
        <f>структура!$AD$12</f>
        <v>АБК</v>
      </c>
      <c r="F31" s="2"/>
      <c r="G31" s="2" t="str">
        <f>G28</f>
        <v>кв.м.</v>
      </c>
      <c r="H31" s="2"/>
      <c r="I31" s="6" t="s">
        <v>0</v>
      </c>
      <c r="J31" s="45">
        <v>113</v>
      </c>
      <c r="K31" s="28"/>
      <c r="L31" s="2"/>
      <c r="M31" s="52"/>
      <c r="N31" s="2"/>
      <c r="O31" s="2"/>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2"/>
    </row>
    <row r="32" spans="1:40" x14ac:dyDescent="0.25">
      <c r="A32" s="2"/>
      <c r="B32" s="2"/>
      <c r="C32" s="2"/>
      <c r="D32" s="2"/>
      <c r="E32" s="49" t="str">
        <f>структура!$AD$13</f>
        <v>здание проката</v>
      </c>
      <c r="F32" s="2"/>
      <c r="G32" s="2" t="str">
        <f>G28</f>
        <v>кв.м.</v>
      </c>
      <c r="H32" s="2"/>
      <c r="I32" s="6" t="s">
        <v>0</v>
      </c>
      <c r="J32" s="45">
        <v>19</v>
      </c>
      <c r="K32" s="28"/>
      <c r="L32" s="2"/>
      <c r="M32" s="52"/>
      <c r="N32" s="2"/>
      <c r="O32" s="2"/>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2"/>
    </row>
    <row r="33" spans="1:40" x14ac:dyDescent="0.25">
      <c r="A33" s="2"/>
      <c r="B33" s="2"/>
      <c r="C33" s="2"/>
      <c r="D33" s="2"/>
      <c r="E33" s="49" t="str">
        <f>структура!$AD$14</f>
        <v>дорожки</v>
      </c>
      <c r="F33" s="2"/>
      <c r="G33" s="2" t="str">
        <f>G28</f>
        <v>кв.м.</v>
      </c>
      <c r="H33" s="2"/>
      <c r="I33" s="6" t="s">
        <v>0</v>
      </c>
      <c r="J33" s="45">
        <v>1</v>
      </c>
      <c r="K33" s="28"/>
      <c r="L33" s="2"/>
      <c r="M33" s="52"/>
      <c r="N33" s="2"/>
      <c r="O33" s="2"/>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2"/>
    </row>
    <row r="34" spans="1:40" x14ac:dyDescent="0.25">
      <c r="A34" s="2"/>
      <c r="B34" s="2"/>
      <c r="C34" s="2"/>
      <c r="D34" s="2"/>
      <c r="E34" s="49" t="str">
        <f>структура!$AD$15</f>
        <v>внешнее электроснабжение</v>
      </c>
      <c r="F34" s="2"/>
      <c r="G34" s="2" t="str">
        <f>G28</f>
        <v>кв.м.</v>
      </c>
      <c r="H34" s="2"/>
      <c r="I34" s="6" t="s">
        <v>0</v>
      </c>
      <c r="J34" s="45"/>
      <c r="K34" s="28"/>
      <c r="L34" s="2"/>
      <c r="M34" s="52"/>
      <c r="N34" s="2"/>
      <c r="O34" s="2"/>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2"/>
    </row>
    <row r="35" spans="1:40" x14ac:dyDescent="0.25">
      <c r="A35" s="2"/>
      <c r="B35" s="2"/>
      <c r="C35" s="2"/>
      <c r="D35" s="2"/>
      <c r="E35" s="49" t="str">
        <f>структура!$AD$16</f>
        <v>парк веревочный</v>
      </c>
      <c r="F35" s="2"/>
      <c r="G35" s="2" t="str">
        <f>G28</f>
        <v>кв.м.</v>
      </c>
      <c r="H35" s="2"/>
      <c r="I35" s="6" t="s">
        <v>0</v>
      </c>
      <c r="J35" s="45"/>
      <c r="K35" s="28"/>
      <c r="L35" s="2"/>
      <c r="M35" s="52"/>
      <c r="N35" s="2"/>
      <c r="O35" s="2"/>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2"/>
    </row>
    <row r="36" spans="1:40" x14ac:dyDescent="0.25">
      <c r="A36" s="2"/>
      <c r="B36" s="2"/>
      <c r="C36" s="2"/>
      <c r="D36" s="2"/>
      <c r="E36" s="49" t="str">
        <f>структура!$AD$17</f>
        <v>прочие технические</v>
      </c>
      <c r="F36" s="2"/>
      <c r="G36" s="2" t="str">
        <f>G28</f>
        <v>кв.м.</v>
      </c>
      <c r="H36" s="2"/>
      <c r="I36" s="6" t="s">
        <v>0</v>
      </c>
      <c r="J36" s="45"/>
      <c r="K36" s="28"/>
      <c r="L36" s="2"/>
      <c r="M36" s="52"/>
      <c r="N36" s="2"/>
      <c r="O36" s="2"/>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2"/>
    </row>
    <row r="37" spans="1:40" ht="3.9" customHeight="1" x14ac:dyDescent="0.25">
      <c r="A37" s="2"/>
      <c r="B37" s="2"/>
      <c r="C37" s="2"/>
      <c r="D37" s="2"/>
      <c r="E37" s="50"/>
      <c r="F37" s="2"/>
      <c r="G37" s="2"/>
      <c r="H37" s="2"/>
      <c r="I37" s="28"/>
      <c r="J37" s="2"/>
      <c r="K37" s="28"/>
      <c r="L37" s="2"/>
      <c r="M37" s="52"/>
      <c r="N37" s="2"/>
      <c r="O37" s="2"/>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2"/>
    </row>
    <row r="38" spans="1:40" ht="3.9" customHeight="1" x14ac:dyDescent="0.25">
      <c r="A38" s="2"/>
      <c r="B38" s="2"/>
      <c r="C38" s="2"/>
      <c r="D38" s="2"/>
      <c r="E38" s="2"/>
      <c r="F38" s="2"/>
      <c r="G38" s="2"/>
      <c r="H38" s="2"/>
      <c r="I38" s="28"/>
      <c r="J38" s="2"/>
      <c r="K38" s="28"/>
      <c r="L38" s="2"/>
      <c r="M38" s="52"/>
      <c r="N38" s="2"/>
      <c r="O38" s="2"/>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2"/>
    </row>
    <row r="39" spans="1:40" x14ac:dyDescent="0.25">
      <c r="A39" s="2"/>
      <c r="B39" s="2"/>
      <c r="C39" s="2"/>
      <c r="D39" s="2"/>
      <c r="E39" s="47" t="str">
        <f>структура!$AF$10</f>
        <v xml:space="preserve">объекты кап/строительства для сдачи в аренду </v>
      </c>
      <c r="F39" s="2"/>
      <c r="G39" s="2" t="str">
        <f>G28</f>
        <v>кв.м.</v>
      </c>
      <c r="H39" s="2"/>
      <c r="I39" s="28"/>
      <c r="J39" s="2"/>
      <c r="K39" s="28"/>
      <c r="L39" s="2"/>
      <c r="M39" s="52"/>
      <c r="N39" s="2"/>
      <c r="O39" s="2"/>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2"/>
    </row>
    <row r="40" spans="1:40" ht="3.9" customHeight="1" x14ac:dyDescent="0.25">
      <c r="A40" s="2"/>
      <c r="B40" s="2"/>
      <c r="C40" s="2"/>
      <c r="D40" s="2"/>
      <c r="E40" s="2"/>
      <c r="F40" s="2"/>
      <c r="G40" s="2"/>
      <c r="H40" s="2"/>
      <c r="I40" s="28"/>
      <c r="J40" s="2"/>
      <c r="K40" s="28"/>
      <c r="L40" s="2"/>
      <c r="M40" s="52"/>
      <c r="N40" s="2"/>
      <c r="O40" s="2"/>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2"/>
    </row>
    <row r="41" spans="1:40" x14ac:dyDescent="0.25">
      <c r="A41" s="2"/>
      <c r="B41" s="2"/>
      <c r="C41" s="2"/>
      <c r="D41" s="2"/>
      <c r="E41" s="48" t="str">
        <f>структура!$AF$12</f>
        <v>беседка большая</v>
      </c>
      <c r="F41" s="2"/>
      <c r="G41" s="2" t="str">
        <f>G28</f>
        <v>кв.м.</v>
      </c>
      <c r="H41" s="2"/>
      <c r="I41" s="6" t="s">
        <v>0</v>
      </c>
      <c r="J41" s="45">
        <v>63</v>
      </c>
      <c r="K41" s="28"/>
      <c r="L41" s="2"/>
      <c r="M41" s="52"/>
      <c r="N41" s="2"/>
      <c r="O41" s="2"/>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2"/>
    </row>
    <row r="42" spans="1:40" x14ac:dyDescent="0.25">
      <c r="A42" s="2"/>
      <c r="B42" s="2"/>
      <c r="C42" s="2"/>
      <c r="D42" s="2"/>
      <c r="E42" s="49" t="str">
        <f>структура!$AF$13</f>
        <v>беседка малая</v>
      </c>
      <c r="F42" s="2"/>
      <c r="G42" s="2" t="str">
        <f>G28</f>
        <v>кв.м.</v>
      </c>
      <c r="H42" s="2"/>
      <c r="I42" s="6" t="s">
        <v>0</v>
      </c>
      <c r="J42" s="45">
        <v>45</v>
      </c>
      <c r="K42" s="28"/>
      <c r="L42" s="2"/>
      <c r="M42" s="52"/>
      <c r="N42" s="2"/>
      <c r="O42" s="2"/>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2"/>
    </row>
    <row r="43" spans="1:40" x14ac:dyDescent="0.25">
      <c r="A43" s="2"/>
      <c r="B43" s="2"/>
      <c r="C43" s="2"/>
      <c r="D43" s="2"/>
      <c r="E43" s="49" t="str">
        <f>структура!$AF$14</f>
        <v>прочие для сдачи в аренду</v>
      </c>
      <c r="F43" s="2"/>
      <c r="G43" s="2" t="str">
        <f>G28</f>
        <v>кв.м.</v>
      </c>
      <c r="H43" s="2"/>
      <c r="I43" s="6" t="s">
        <v>0</v>
      </c>
      <c r="J43" s="45"/>
      <c r="K43" s="28"/>
      <c r="L43" s="2"/>
      <c r="M43" s="52"/>
      <c r="N43" s="2"/>
      <c r="O43" s="2"/>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2"/>
    </row>
    <row r="44" spans="1:40" ht="3.9" customHeight="1" x14ac:dyDescent="0.25">
      <c r="A44" s="2"/>
      <c r="B44" s="2"/>
      <c r="C44" s="2"/>
      <c r="D44" s="2"/>
      <c r="E44" s="50"/>
      <c r="F44" s="2"/>
      <c r="G44" s="2"/>
      <c r="H44" s="2"/>
      <c r="I44" s="28"/>
      <c r="J44" s="2"/>
      <c r="K44" s="28"/>
      <c r="L44" s="2"/>
      <c r="M44" s="52"/>
      <c r="N44" s="2"/>
      <c r="O44" s="2"/>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2"/>
    </row>
    <row r="45" spans="1:40" ht="3.9" customHeight="1" x14ac:dyDescent="0.25">
      <c r="A45" s="2"/>
      <c r="B45" s="2"/>
      <c r="C45" s="2"/>
      <c r="D45" s="2"/>
      <c r="E45" s="2"/>
      <c r="F45" s="2"/>
      <c r="G45" s="2"/>
      <c r="H45" s="2"/>
      <c r="I45" s="28"/>
      <c r="J45" s="2"/>
      <c r="K45" s="28"/>
      <c r="L45" s="2"/>
      <c r="M45" s="52"/>
      <c r="N45" s="2"/>
      <c r="O45" s="2"/>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2"/>
    </row>
    <row r="46" spans="1:40" s="5" customFormat="1" x14ac:dyDescent="0.25">
      <c r="A46" s="3"/>
      <c r="B46" s="3"/>
      <c r="C46" s="3"/>
      <c r="D46" s="3"/>
      <c r="E46" s="3" t="str">
        <f>KPI!$E$15</f>
        <v>цена работ за единицу объема</v>
      </c>
      <c r="F46" s="3"/>
      <c r="G46" s="3" t="str">
        <f>IF($E46="","",INDEX(KPI!$G:$G,SUMIFS(KPI!$B:$B,KPI!$E:$E,$E46)))</f>
        <v>руб.</v>
      </c>
      <c r="H46" s="3"/>
      <c r="I46" s="28"/>
      <c r="J46" s="3"/>
      <c r="K46" s="28"/>
      <c r="L46" s="3"/>
      <c r="M46" s="55"/>
      <c r="N46" s="3"/>
      <c r="O46" s="3"/>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3"/>
    </row>
    <row r="47" spans="1:40" x14ac:dyDescent="0.25">
      <c r="A47" s="2"/>
      <c r="B47" s="2"/>
      <c r="C47" s="2"/>
      <c r="D47" s="2"/>
      <c r="E47" s="47" t="str">
        <f>структура!$AD$10</f>
        <v>объекты кап/строительства технические</v>
      </c>
      <c r="F47" s="2"/>
      <c r="G47" s="2" t="str">
        <f>G46</f>
        <v>руб.</v>
      </c>
      <c r="H47" s="2"/>
      <c r="I47" s="28"/>
      <c r="J47" s="2"/>
      <c r="K47" s="28"/>
      <c r="L47" s="2"/>
      <c r="M47" s="52"/>
      <c r="N47" s="2"/>
      <c r="O47" s="2"/>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2"/>
    </row>
    <row r="48" spans="1:40" ht="3.9" customHeight="1" x14ac:dyDescent="0.25">
      <c r="A48" s="2"/>
      <c r="B48" s="2"/>
      <c r="C48" s="2"/>
      <c r="D48" s="2"/>
      <c r="E48" s="2"/>
      <c r="F48" s="2"/>
      <c r="G48" s="2"/>
      <c r="H48" s="2"/>
      <c r="I48" s="28"/>
      <c r="J48" s="2"/>
      <c r="K48" s="28"/>
      <c r="L48" s="2"/>
      <c r="M48" s="52"/>
      <c r="N48" s="2"/>
      <c r="O48" s="2"/>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2"/>
    </row>
    <row r="49" spans="1:40" x14ac:dyDescent="0.25">
      <c r="A49" s="2"/>
      <c r="B49" s="2"/>
      <c r="C49" s="2"/>
      <c r="D49" s="2"/>
      <c r="E49" s="48" t="str">
        <f>структура!$AD$12</f>
        <v>АБК</v>
      </c>
      <c r="F49" s="2"/>
      <c r="G49" s="2" t="str">
        <f>G46</f>
        <v>руб.</v>
      </c>
      <c r="H49" s="2"/>
      <c r="I49" s="6" t="s">
        <v>0</v>
      </c>
      <c r="J49" s="45">
        <v>23890</v>
      </c>
      <c r="K49" s="28"/>
      <c r="L49" s="2"/>
      <c r="M49" s="52"/>
      <c r="N49" s="2"/>
      <c r="O49" s="2"/>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2"/>
    </row>
    <row r="50" spans="1:40" x14ac:dyDescent="0.25">
      <c r="A50" s="2"/>
      <c r="B50" s="2"/>
      <c r="C50" s="2"/>
      <c r="D50" s="2"/>
      <c r="E50" s="49" t="str">
        <f>структура!$AD$13</f>
        <v>здание проката</v>
      </c>
      <c r="F50" s="2"/>
      <c r="G50" s="2" t="str">
        <f>G46</f>
        <v>руб.</v>
      </c>
      <c r="H50" s="2"/>
      <c r="I50" s="6" t="s">
        <v>0</v>
      </c>
      <c r="J50" s="45">
        <v>7894.7368421052633</v>
      </c>
      <c r="K50" s="28"/>
      <c r="L50" s="2"/>
      <c r="M50" s="52"/>
      <c r="N50" s="2"/>
      <c r="O50" s="2"/>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2"/>
    </row>
    <row r="51" spans="1:40" x14ac:dyDescent="0.25">
      <c r="A51" s="2"/>
      <c r="B51" s="2"/>
      <c r="C51" s="2"/>
      <c r="D51" s="2"/>
      <c r="E51" s="49" t="str">
        <f>структура!$AD$14</f>
        <v>дорожки</v>
      </c>
      <c r="F51" s="2"/>
      <c r="G51" s="2" t="str">
        <f>G46</f>
        <v>руб.</v>
      </c>
      <c r="H51" s="2"/>
      <c r="I51" s="6" t="s">
        <v>0</v>
      </c>
      <c r="J51" s="45">
        <v>100000</v>
      </c>
      <c r="K51" s="28"/>
      <c r="L51" s="2"/>
      <c r="M51" s="52"/>
      <c r="N51" s="2"/>
      <c r="O51" s="2"/>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2"/>
    </row>
    <row r="52" spans="1:40" x14ac:dyDescent="0.25">
      <c r="A52" s="2"/>
      <c r="B52" s="2"/>
      <c r="C52" s="2"/>
      <c r="D52" s="2"/>
      <c r="E52" s="49" t="str">
        <f>структура!$AD$15</f>
        <v>внешнее электроснабжение</v>
      </c>
      <c r="F52" s="2"/>
      <c r="G52" s="2" t="str">
        <f>G46</f>
        <v>руб.</v>
      </c>
      <c r="H52" s="2"/>
      <c r="I52" s="6" t="s">
        <v>0</v>
      </c>
      <c r="J52" s="45"/>
      <c r="K52" s="28"/>
      <c r="L52" s="2"/>
      <c r="M52" s="52"/>
      <c r="N52" s="2"/>
      <c r="O52" s="2"/>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2"/>
    </row>
    <row r="53" spans="1:40" x14ac:dyDescent="0.25">
      <c r="A53" s="2"/>
      <c r="B53" s="2"/>
      <c r="C53" s="2"/>
      <c r="D53" s="2"/>
      <c r="E53" s="49" t="str">
        <f>структура!$AD$16</f>
        <v>парк веревочный</v>
      </c>
      <c r="F53" s="2"/>
      <c r="G53" s="2" t="str">
        <f>G46</f>
        <v>руб.</v>
      </c>
      <c r="H53" s="2"/>
      <c r="I53" s="6" t="s">
        <v>0</v>
      </c>
      <c r="J53" s="45"/>
      <c r="K53" s="28"/>
      <c r="L53" s="2"/>
      <c r="M53" s="52"/>
      <c r="N53" s="2"/>
      <c r="O53" s="2"/>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2"/>
    </row>
    <row r="54" spans="1:40" x14ac:dyDescent="0.25">
      <c r="A54" s="2"/>
      <c r="B54" s="2"/>
      <c r="C54" s="2"/>
      <c r="D54" s="2"/>
      <c r="E54" s="49" t="str">
        <f>структура!$AD$17</f>
        <v>прочие технические</v>
      </c>
      <c r="F54" s="2"/>
      <c r="G54" s="2" t="str">
        <f>G46</f>
        <v>руб.</v>
      </c>
      <c r="H54" s="2"/>
      <c r="I54" s="6" t="s">
        <v>0</v>
      </c>
      <c r="J54" s="45"/>
      <c r="K54" s="28"/>
      <c r="L54" s="2"/>
      <c r="M54" s="52"/>
      <c r="N54" s="2"/>
      <c r="O54" s="2"/>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2"/>
    </row>
    <row r="55" spans="1:40" ht="3.9" customHeight="1" x14ac:dyDescent="0.25">
      <c r="A55" s="2"/>
      <c r="B55" s="2"/>
      <c r="C55" s="2"/>
      <c r="D55" s="2"/>
      <c r="E55" s="50"/>
      <c r="F55" s="2"/>
      <c r="G55" s="2"/>
      <c r="H55" s="2"/>
      <c r="I55" s="28"/>
      <c r="J55" s="2"/>
      <c r="K55" s="28"/>
      <c r="L55" s="2"/>
      <c r="M55" s="52"/>
      <c r="N55" s="2"/>
      <c r="O55" s="2"/>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2"/>
    </row>
    <row r="56" spans="1:40" ht="3.9" customHeight="1" x14ac:dyDescent="0.25">
      <c r="A56" s="2"/>
      <c r="B56" s="2"/>
      <c r="C56" s="2"/>
      <c r="D56" s="2"/>
      <c r="E56" s="2"/>
      <c r="F56" s="2"/>
      <c r="G56" s="2"/>
      <c r="H56" s="2"/>
      <c r="I56" s="28"/>
      <c r="J56" s="2"/>
      <c r="K56" s="28"/>
      <c r="L56" s="2"/>
      <c r="M56" s="52"/>
      <c r="N56" s="2"/>
      <c r="O56" s="2"/>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2"/>
    </row>
    <row r="57" spans="1:40" x14ac:dyDescent="0.25">
      <c r="A57" s="2"/>
      <c r="B57" s="2"/>
      <c r="C57" s="2"/>
      <c r="D57" s="2"/>
      <c r="E57" s="47" t="str">
        <f>структура!$AF$10</f>
        <v xml:space="preserve">объекты кап/строительства для сдачи в аренду </v>
      </c>
      <c r="F57" s="2"/>
      <c r="G57" s="2" t="str">
        <f>G46</f>
        <v>руб.</v>
      </c>
      <c r="H57" s="2"/>
      <c r="I57" s="28"/>
      <c r="J57" s="2"/>
      <c r="K57" s="28"/>
      <c r="L57" s="2"/>
      <c r="M57" s="52"/>
      <c r="N57" s="2"/>
      <c r="O57" s="2"/>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2"/>
    </row>
    <row r="58" spans="1:40" ht="3.9" customHeight="1" x14ac:dyDescent="0.25">
      <c r="A58" s="2"/>
      <c r="B58" s="2"/>
      <c r="C58" s="2"/>
      <c r="D58" s="2"/>
      <c r="E58" s="2"/>
      <c r="F58" s="2"/>
      <c r="G58" s="2"/>
      <c r="H58" s="2"/>
      <c r="I58" s="28"/>
      <c r="J58" s="2"/>
      <c r="K58" s="28"/>
      <c r="L58" s="2"/>
      <c r="M58" s="52"/>
      <c r="N58" s="2"/>
      <c r="O58" s="2"/>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2"/>
    </row>
    <row r="59" spans="1:40" x14ac:dyDescent="0.25">
      <c r="A59" s="2"/>
      <c r="B59" s="2"/>
      <c r="C59" s="2"/>
      <c r="D59" s="2"/>
      <c r="E59" s="48" t="str">
        <f>структура!$AF$12</f>
        <v>беседка большая</v>
      </c>
      <c r="F59" s="2"/>
      <c r="G59" s="2" t="str">
        <f>G46</f>
        <v>руб.</v>
      </c>
      <c r="H59" s="2"/>
      <c r="I59" s="6" t="s">
        <v>0</v>
      </c>
      <c r="J59" s="45">
        <v>8206</v>
      </c>
      <c r="K59" s="28"/>
      <c r="L59" s="2"/>
      <c r="M59" s="52"/>
      <c r="N59" s="2"/>
      <c r="O59" s="2"/>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2"/>
    </row>
    <row r="60" spans="1:40" x14ac:dyDescent="0.25">
      <c r="A60" s="2"/>
      <c r="B60" s="2"/>
      <c r="C60" s="2"/>
      <c r="D60" s="2"/>
      <c r="E60" s="49" t="str">
        <f>структура!$AF$13</f>
        <v>беседка малая</v>
      </c>
      <c r="F60" s="2"/>
      <c r="G60" s="2" t="str">
        <f>G46</f>
        <v>руб.</v>
      </c>
      <c r="H60" s="2"/>
      <c r="I60" s="6" t="s">
        <v>0</v>
      </c>
      <c r="J60" s="45">
        <v>8400</v>
      </c>
      <c r="K60" s="28"/>
      <c r="L60" s="2"/>
      <c r="M60" s="52"/>
      <c r="N60" s="2"/>
      <c r="O60" s="2"/>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2"/>
    </row>
    <row r="61" spans="1:40" x14ac:dyDescent="0.25">
      <c r="A61" s="2"/>
      <c r="B61" s="2"/>
      <c r="C61" s="2"/>
      <c r="D61" s="2"/>
      <c r="E61" s="49" t="str">
        <f>структура!$AF$14</f>
        <v>прочие для сдачи в аренду</v>
      </c>
      <c r="F61" s="2"/>
      <c r="G61" s="2" t="str">
        <f>G46</f>
        <v>руб.</v>
      </c>
      <c r="H61" s="2"/>
      <c r="I61" s="6" t="s">
        <v>0</v>
      </c>
      <c r="J61" s="45"/>
      <c r="K61" s="28"/>
      <c r="L61" s="2"/>
      <c r="M61" s="52"/>
      <c r="N61" s="2"/>
      <c r="O61" s="2"/>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2"/>
    </row>
    <row r="62" spans="1:40" ht="3.9" customHeight="1" x14ac:dyDescent="0.25">
      <c r="A62" s="2"/>
      <c r="B62" s="2"/>
      <c r="C62" s="2"/>
      <c r="D62" s="2"/>
      <c r="E62" s="50"/>
      <c r="F62" s="2"/>
      <c r="G62" s="2"/>
      <c r="H62" s="2"/>
      <c r="I62" s="28"/>
      <c r="J62" s="2"/>
      <c r="K62" s="28"/>
      <c r="L62" s="2"/>
      <c r="M62" s="52"/>
      <c r="N62" s="2"/>
      <c r="O62" s="2"/>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2"/>
    </row>
    <row r="63" spans="1:40" ht="3.9" customHeight="1" x14ac:dyDescent="0.25">
      <c r="A63" s="2"/>
      <c r="B63" s="2"/>
      <c r="C63" s="2"/>
      <c r="D63" s="2"/>
      <c r="E63" s="2"/>
      <c r="F63" s="2"/>
      <c r="G63" s="2"/>
      <c r="H63" s="2"/>
      <c r="I63" s="28"/>
      <c r="J63" s="2"/>
      <c r="K63" s="28"/>
      <c r="L63" s="2"/>
      <c r="M63" s="52"/>
      <c r="N63" s="2"/>
      <c r="O63" s="2"/>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2"/>
    </row>
    <row r="64" spans="1:40" s="5" customFormat="1" x14ac:dyDescent="0.25">
      <c r="A64" s="3"/>
      <c r="B64" s="3"/>
      <c r="C64" s="3"/>
      <c r="D64" s="3"/>
      <c r="E64" s="3" t="str">
        <f>KPI!$E$23</f>
        <v>кол-во объектов для сдачи в аренду</v>
      </c>
      <c r="F64" s="3"/>
      <c r="G64" s="3" t="str">
        <f>IF($E64="","",INDEX(KPI!$G:$G,SUMIFS(KPI!$B:$B,KPI!$E:$E,$E64)))</f>
        <v>шт</v>
      </c>
      <c r="H64" s="3"/>
      <c r="I64" s="28"/>
      <c r="J64" s="3"/>
      <c r="K64" s="28"/>
      <c r="L64" s="3"/>
      <c r="M64" s="55"/>
      <c r="N64" s="3"/>
      <c r="O64" s="3"/>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3"/>
    </row>
    <row r="65" spans="1:40" x14ac:dyDescent="0.25">
      <c r="A65" s="2"/>
      <c r="B65" s="2"/>
      <c r="C65" s="2"/>
      <c r="D65" s="2"/>
      <c r="E65" s="47" t="str">
        <f>структура!$AF$10</f>
        <v xml:space="preserve">объекты кап/строительства для сдачи в аренду </v>
      </c>
      <c r="F65" s="2"/>
      <c r="G65" s="2" t="str">
        <f>G64</f>
        <v>шт</v>
      </c>
      <c r="H65" s="2"/>
      <c r="I65" s="28"/>
      <c r="J65" s="2"/>
      <c r="K65" s="28"/>
      <c r="L65" s="2"/>
      <c r="M65" s="52"/>
      <c r="N65" s="2"/>
      <c r="O65" s="2"/>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2"/>
    </row>
    <row r="66" spans="1:40" ht="3.9" customHeight="1" x14ac:dyDescent="0.25">
      <c r="A66" s="2"/>
      <c r="B66" s="2"/>
      <c r="C66" s="2"/>
      <c r="D66" s="2"/>
      <c r="E66" s="2"/>
      <c r="F66" s="2"/>
      <c r="G66" s="2"/>
      <c r="H66" s="2"/>
      <c r="I66" s="28"/>
      <c r="J66" s="2"/>
      <c r="K66" s="28"/>
      <c r="L66" s="2"/>
      <c r="M66" s="52"/>
      <c r="N66" s="2"/>
      <c r="O66" s="2"/>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2"/>
    </row>
    <row r="67" spans="1:40" x14ac:dyDescent="0.25">
      <c r="A67" s="2"/>
      <c r="B67" s="2"/>
      <c r="C67" s="2"/>
      <c r="D67" s="2"/>
      <c r="E67" s="48" t="str">
        <f>структура!$AF$12</f>
        <v>беседка большая</v>
      </c>
      <c r="F67" s="2"/>
      <c r="G67" s="2" t="str">
        <f>G64</f>
        <v>шт</v>
      </c>
      <c r="H67" s="2"/>
      <c r="I67" s="6" t="s">
        <v>0</v>
      </c>
      <c r="J67" s="45">
        <v>6</v>
      </c>
      <c r="K67" s="28"/>
      <c r="L67" s="2"/>
      <c r="M67" s="52"/>
      <c r="N67" s="2"/>
      <c r="O67" s="2"/>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2"/>
    </row>
    <row r="68" spans="1:40" x14ac:dyDescent="0.25">
      <c r="A68" s="2"/>
      <c r="B68" s="2"/>
      <c r="C68" s="2"/>
      <c r="D68" s="2"/>
      <c r="E68" s="49" t="str">
        <f>структура!$AF$13</f>
        <v>беседка малая</v>
      </c>
      <c r="F68" s="2"/>
      <c r="G68" s="2" t="str">
        <f>G64</f>
        <v>шт</v>
      </c>
      <c r="H68" s="2"/>
      <c r="I68" s="6" t="s">
        <v>0</v>
      </c>
      <c r="J68" s="45">
        <v>7</v>
      </c>
      <c r="K68" s="28"/>
      <c r="L68" s="2"/>
      <c r="M68" s="52"/>
      <c r="N68" s="2"/>
      <c r="O68" s="2"/>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2"/>
    </row>
    <row r="69" spans="1:40" x14ac:dyDescent="0.25">
      <c r="A69" s="2"/>
      <c r="B69" s="2"/>
      <c r="C69" s="2"/>
      <c r="D69" s="2"/>
      <c r="E69" s="49" t="str">
        <f>структура!$AF$14</f>
        <v>прочие для сдачи в аренду</v>
      </c>
      <c r="F69" s="2"/>
      <c r="G69" s="2" t="str">
        <f>G64</f>
        <v>шт</v>
      </c>
      <c r="H69" s="2"/>
      <c r="I69" s="6" t="s">
        <v>0</v>
      </c>
      <c r="J69" s="45"/>
      <c r="K69" s="28"/>
      <c r="L69" s="2"/>
      <c r="M69" s="52"/>
      <c r="N69" s="2"/>
      <c r="O69" s="2"/>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2"/>
    </row>
    <row r="70" spans="1:40" ht="3.9" customHeight="1" x14ac:dyDescent="0.25">
      <c r="A70" s="2"/>
      <c r="B70" s="2"/>
      <c r="C70" s="2"/>
      <c r="D70" s="2"/>
      <c r="E70" s="50"/>
      <c r="F70" s="2"/>
      <c r="G70" s="2"/>
      <c r="H70" s="2"/>
      <c r="I70" s="28"/>
      <c r="J70" s="2"/>
      <c r="K70" s="28"/>
      <c r="L70" s="2"/>
      <c r="M70" s="52"/>
      <c r="N70" s="2"/>
      <c r="O70" s="2"/>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2"/>
    </row>
    <row r="71" spans="1:40" ht="3.9" customHeight="1" x14ac:dyDescent="0.25">
      <c r="A71" s="2"/>
      <c r="B71" s="2"/>
      <c r="C71" s="2"/>
      <c r="D71" s="2"/>
      <c r="E71" s="2"/>
      <c r="F71" s="2"/>
      <c r="G71" s="2"/>
      <c r="H71" s="2"/>
      <c r="I71" s="28"/>
      <c r="J71" s="2"/>
      <c r="K71" s="28"/>
      <c r="L71" s="2"/>
      <c r="M71" s="52"/>
      <c r="N71" s="2"/>
      <c r="O71" s="2"/>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2"/>
    </row>
    <row r="72" spans="1:40" s="5" customFormat="1" x14ac:dyDescent="0.25">
      <c r="A72" s="3"/>
      <c r="B72" s="3"/>
      <c r="C72" s="3"/>
      <c r="D72" s="3"/>
      <c r="E72" s="3" t="str">
        <f>KPI!$E$16</f>
        <v>%-нт предоплаты строительных работ</v>
      </c>
      <c r="F72" s="3"/>
      <c r="G72" s="3" t="str">
        <f>IF($E72="","",INDEX(KPI!$G:$G,SUMIFS(KPI!$B:$B,KPI!$E:$E,$E72)))</f>
        <v>%</v>
      </c>
      <c r="H72" s="3"/>
      <c r="I72" s="6" t="s">
        <v>0</v>
      </c>
      <c r="J72" s="88">
        <v>0.3</v>
      </c>
      <c r="K72" s="28"/>
      <c r="L72" s="3"/>
      <c r="M72" s="55"/>
      <c r="N72" s="3"/>
      <c r="O72" s="3"/>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3"/>
    </row>
    <row r="73" spans="1:40" ht="3.9" customHeight="1" x14ac:dyDescent="0.25">
      <c r="A73" s="2"/>
      <c r="B73" s="2"/>
      <c r="C73" s="2"/>
      <c r="D73" s="2"/>
      <c r="E73" s="21"/>
      <c r="F73" s="2"/>
      <c r="G73" s="21"/>
      <c r="H73" s="2"/>
      <c r="I73" s="28"/>
      <c r="J73" s="21"/>
      <c r="K73" s="28"/>
      <c r="L73" s="2"/>
      <c r="M73" s="52"/>
      <c r="N73" s="2"/>
      <c r="O73" s="2"/>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2"/>
    </row>
    <row r="74" spans="1:40" ht="8.1" customHeight="1" x14ac:dyDescent="0.25">
      <c r="A74" s="2"/>
      <c r="B74" s="2"/>
      <c r="C74" s="2"/>
      <c r="D74" s="2"/>
      <c r="E74" s="2"/>
      <c r="F74" s="2"/>
      <c r="G74" s="2"/>
      <c r="H74" s="2"/>
      <c r="I74" s="28"/>
      <c r="J74" s="2"/>
      <c r="K74" s="28"/>
      <c r="L74" s="2"/>
      <c r="M74" s="52"/>
      <c r="N74" s="2"/>
      <c r="O74" s="2"/>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2"/>
    </row>
    <row r="75" spans="1:40" s="5" customFormat="1" x14ac:dyDescent="0.25">
      <c r="A75" s="3"/>
      <c r="B75" s="3"/>
      <c r="C75" s="3"/>
      <c r="D75" s="3"/>
      <c r="E75" s="89" t="str">
        <f>KPI!$E$20</f>
        <v>оплата строительных работ</v>
      </c>
      <c r="F75" s="89"/>
      <c r="G75" s="89" t="str">
        <f>IF($E75="","",INDEX(KPI!$G:$G,SUMIFS(KPI!$B:$B,KPI!$E:$E,$E75)))</f>
        <v>тыс.руб.</v>
      </c>
      <c r="H75" s="89"/>
      <c r="I75" s="90"/>
      <c r="J75" s="91" t="str">
        <f>структура!$AL$17</f>
        <v>аванс+равном/доплаты</v>
      </c>
      <c r="K75" s="90"/>
      <c r="L75" s="89"/>
      <c r="M75" s="92">
        <f>SUM($O75:$AN75)</f>
        <v>8697.4380000000001</v>
      </c>
      <c r="N75" s="3"/>
      <c r="O75" s="3"/>
      <c r="P75" s="93">
        <f>IF(P$1="",0,$M$26*$J$72+(1-$J$72)*P$26)</f>
        <v>3623.9324999999999</v>
      </c>
      <c r="Q75" s="93">
        <f>IF(Q$1="",0,(1-$J$72)*Q$26)</f>
        <v>1014.7011</v>
      </c>
      <c r="R75" s="93">
        <f t="shared" ref="R75:AM75" si="3">IF(R$1="",0,(1-$J$72)*R$26)</f>
        <v>1014.7011</v>
      </c>
      <c r="S75" s="93">
        <f t="shared" si="3"/>
        <v>1014.7011</v>
      </c>
      <c r="T75" s="93">
        <f t="shared" si="3"/>
        <v>1014.7011</v>
      </c>
      <c r="U75" s="93">
        <f t="shared" si="3"/>
        <v>1014.7011</v>
      </c>
      <c r="V75" s="93">
        <f t="shared" si="3"/>
        <v>0</v>
      </c>
      <c r="W75" s="93">
        <f t="shared" si="3"/>
        <v>0</v>
      </c>
      <c r="X75" s="93">
        <f t="shared" si="3"/>
        <v>0</v>
      </c>
      <c r="Y75" s="93">
        <f t="shared" si="3"/>
        <v>0</v>
      </c>
      <c r="Z75" s="93">
        <f t="shared" si="3"/>
        <v>0</v>
      </c>
      <c r="AA75" s="93">
        <f t="shared" si="3"/>
        <v>0</v>
      </c>
      <c r="AB75" s="93">
        <f t="shared" si="3"/>
        <v>0</v>
      </c>
      <c r="AC75" s="93">
        <f t="shared" si="3"/>
        <v>0</v>
      </c>
      <c r="AD75" s="93">
        <f t="shared" si="3"/>
        <v>0</v>
      </c>
      <c r="AE75" s="93">
        <f t="shared" si="3"/>
        <v>0</v>
      </c>
      <c r="AF75" s="93">
        <f t="shared" si="3"/>
        <v>0</v>
      </c>
      <c r="AG75" s="93">
        <f t="shared" si="3"/>
        <v>0</v>
      </c>
      <c r="AH75" s="93">
        <f t="shared" si="3"/>
        <v>0</v>
      </c>
      <c r="AI75" s="93">
        <f t="shared" si="3"/>
        <v>0</v>
      </c>
      <c r="AJ75" s="93">
        <f t="shared" si="3"/>
        <v>0</v>
      </c>
      <c r="AK75" s="93">
        <f t="shared" si="3"/>
        <v>0</v>
      </c>
      <c r="AL75" s="93">
        <f t="shared" si="3"/>
        <v>0</v>
      </c>
      <c r="AM75" s="93">
        <f t="shared" si="3"/>
        <v>0</v>
      </c>
      <c r="AN75" s="3"/>
    </row>
    <row r="76" spans="1:40" s="62" customFormat="1" ht="10.199999999999999" x14ac:dyDescent="0.2">
      <c r="A76" s="59"/>
      <c r="B76" s="59"/>
      <c r="C76" s="59"/>
      <c r="D76" s="59"/>
      <c r="E76" s="59"/>
      <c r="F76" s="59"/>
      <c r="G76" s="59"/>
      <c r="H76" s="59"/>
      <c r="I76" s="31"/>
      <c r="J76" s="59" t="str">
        <f>структура!$AL$13</f>
        <v>контроль</v>
      </c>
      <c r="K76" s="31"/>
      <c r="L76" s="59"/>
      <c r="M76" s="60">
        <f>M75-M26</f>
        <v>0</v>
      </c>
      <c r="N76" s="59"/>
      <c r="O76" s="59"/>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59"/>
    </row>
    <row r="77" spans="1:40" ht="8.1" customHeight="1" x14ac:dyDescent="0.25">
      <c r="A77" s="2"/>
      <c r="B77" s="2"/>
      <c r="C77" s="2"/>
      <c r="D77" s="2"/>
      <c r="E77" s="2"/>
      <c r="F77" s="2"/>
      <c r="G77" s="2"/>
      <c r="H77" s="2"/>
      <c r="I77" s="28"/>
      <c r="J77" s="2"/>
      <c r="K77" s="28"/>
      <c r="L77" s="2"/>
      <c r="M77" s="52"/>
      <c r="N77" s="2"/>
      <c r="O77" s="2"/>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2"/>
    </row>
    <row r="78" spans="1:40" s="5" customFormat="1" x14ac:dyDescent="0.25">
      <c r="A78" s="3"/>
      <c r="B78" s="3"/>
      <c r="C78" s="3"/>
      <c r="D78" s="3"/>
      <c r="E78" s="89" t="str">
        <f>KPI!$E$17</f>
        <v>закупка ТМЦ под оснащение объектов</v>
      </c>
      <c r="F78" s="89"/>
      <c r="G78" s="89" t="str">
        <f>IF($E78="","",INDEX(KPI!$G:$G,SUMIFS(KPI!$B:$B,KPI!$E:$E,$E78)))</f>
        <v>тыс.руб.</v>
      </c>
      <c r="H78" s="89"/>
      <c r="I78" s="90"/>
      <c r="J78" s="91" t="str">
        <f>структура!$AL$14</f>
        <v>равномерно по периоду</v>
      </c>
      <c r="K78" s="90"/>
      <c r="L78" s="89"/>
      <c r="M78" s="92">
        <f>(SUM(J83:J89)+SUMPRODUCT(J93:J96,J67:J70))/1000</f>
        <v>6272.9368400000003</v>
      </c>
      <c r="N78" s="3"/>
      <c r="O78" s="3"/>
      <c r="P78" s="93">
        <f>IF(OR($J$17="",$J$17=0),0,IF(P$1="",0,$M$78/$J$17))</f>
        <v>1045.4894733333333</v>
      </c>
      <c r="Q78" s="93">
        <f>IF(OR($J$17="",$J$17=0),0,IF(Q$1="",0,$M$78/$J$17))</f>
        <v>1045.4894733333333</v>
      </c>
      <c r="R78" s="93">
        <f>IF(OR($J$17="",$J$17=0),0,IF(R$1="",0,$M$78/$J$17))</f>
        <v>1045.4894733333333</v>
      </c>
      <c r="S78" s="93">
        <f t="shared" ref="S78:AM78" si="4">IF(OR($J$17="",$J$17=0),0,IF(S$1="",0,$M$78/$J$17))</f>
        <v>1045.4894733333333</v>
      </c>
      <c r="T78" s="93">
        <f t="shared" si="4"/>
        <v>1045.4894733333333</v>
      </c>
      <c r="U78" s="93">
        <f t="shared" si="4"/>
        <v>1045.4894733333333</v>
      </c>
      <c r="V78" s="93">
        <f t="shared" si="4"/>
        <v>0</v>
      </c>
      <c r="W78" s="93">
        <f t="shared" si="4"/>
        <v>0</v>
      </c>
      <c r="X78" s="93">
        <f t="shared" si="4"/>
        <v>0</v>
      </c>
      <c r="Y78" s="93">
        <f t="shared" si="4"/>
        <v>0</v>
      </c>
      <c r="Z78" s="93">
        <f t="shared" si="4"/>
        <v>0</v>
      </c>
      <c r="AA78" s="93">
        <f t="shared" si="4"/>
        <v>0</v>
      </c>
      <c r="AB78" s="93">
        <f t="shared" si="4"/>
        <v>0</v>
      </c>
      <c r="AC78" s="93">
        <f t="shared" si="4"/>
        <v>0</v>
      </c>
      <c r="AD78" s="93">
        <f t="shared" si="4"/>
        <v>0</v>
      </c>
      <c r="AE78" s="93">
        <f t="shared" si="4"/>
        <v>0</v>
      </c>
      <c r="AF78" s="93">
        <f t="shared" si="4"/>
        <v>0</v>
      </c>
      <c r="AG78" s="93">
        <f t="shared" si="4"/>
        <v>0</v>
      </c>
      <c r="AH78" s="93">
        <f t="shared" si="4"/>
        <v>0</v>
      </c>
      <c r="AI78" s="93">
        <f t="shared" si="4"/>
        <v>0</v>
      </c>
      <c r="AJ78" s="93">
        <f t="shared" si="4"/>
        <v>0</v>
      </c>
      <c r="AK78" s="93">
        <f t="shared" si="4"/>
        <v>0</v>
      </c>
      <c r="AL78" s="93">
        <f t="shared" si="4"/>
        <v>0</v>
      </c>
      <c r="AM78" s="93">
        <f t="shared" si="4"/>
        <v>0</v>
      </c>
      <c r="AN78" s="3"/>
    </row>
    <row r="79" spans="1:40" s="62" customFormat="1" ht="10.199999999999999" x14ac:dyDescent="0.2">
      <c r="A79" s="59"/>
      <c r="B79" s="59"/>
      <c r="C79" s="59"/>
      <c r="D79" s="59"/>
      <c r="E79" s="59"/>
      <c r="F79" s="59"/>
      <c r="G79" s="59"/>
      <c r="H79" s="59"/>
      <c r="I79" s="31"/>
      <c r="J79" s="59" t="str">
        <f>структура!$AL$13</f>
        <v>контроль</v>
      </c>
      <c r="K79" s="31"/>
      <c r="L79" s="59"/>
      <c r="M79" s="60">
        <f>M78-SUM($O78:$AN78)</f>
        <v>0</v>
      </c>
      <c r="N79" s="59"/>
      <c r="O79" s="59"/>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59"/>
    </row>
    <row r="80" spans="1:40" s="5" customFormat="1" x14ac:dyDescent="0.25">
      <c r="A80" s="3"/>
      <c r="B80" s="3"/>
      <c r="C80" s="3"/>
      <c r="D80" s="3"/>
      <c r="E80" s="3" t="str">
        <f>KPI!$E$18</f>
        <v>сметная стоимость</v>
      </c>
      <c r="F80" s="3"/>
      <c r="G80" s="63" t="str">
        <f>IF($E80="","",INDEX(KPI!$G:$G,SUMIFS(KPI!$B:$B,KPI!$E:$E,$E80)))</f>
        <v>смета</v>
      </c>
      <c r="H80" s="3"/>
      <c r="I80" s="28"/>
      <c r="J80" s="3"/>
      <c r="K80" s="28"/>
      <c r="L80" s="3"/>
      <c r="M80" s="55"/>
      <c r="N80" s="3"/>
      <c r="O80" s="3"/>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3"/>
    </row>
    <row r="81" spans="1:40" x14ac:dyDescent="0.25">
      <c r="A81" s="2"/>
      <c r="B81" s="2"/>
      <c r="C81" s="2"/>
      <c r="D81" s="2"/>
      <c r="E81" s="47" t="str">
        <f>структура!$AD$10</f>
        <v>объекты кап/строительства технические</v>
      </c>
      <c r="F81" s="2"/>
      <c r="G81" s="2" t="str">
        <f>G80</f>
        <v>смета</v>
      </c>
      <c r="H81" s="2"/>
      <c r="I81" s="28"/>
      <c r="J81" s="2"/>
      <c r="K81" s="28"/>
      <c r="L81" s="2"/>
      <c r="M81" s="52"/>
      <c r="N81" s="2"/>
      <c r="O81" s="2"/>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2"/>
    </row>
    <row r="82" spans="1:40" ht="3.9" customHeight="1" x14ac:dyDescent="0.25">
      <c r="A82" s="2"/>
      <c r="B82" s="2"/>
      <c r="C82" s="2"/>
      <c r="D82" s="2"/>
      <c r="E82" s="2"/>
      <c r="F82" s="2"/>
      <c r="G82" s="2"/>
      <c r="H82" s="2"/>
      <c r="I82" s="28"/>
      <c r="J82" s="2"/>
      <c r="K82" s="28"/>
      <c r="L82" s="2"/>
      <c r="M82" s="52"/>
      <c r="N82" s="2"/>
      <c r="O82" s="2"/>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2"/>
    </row>
    <row r="83" spans="1:40" x14ac:dyDescent="0.25">
      <c r="A83" s="2"/>
      <c r="B83" s="2"/>
      <c r="C83" s="2"/>
      <c r="D83" s="2"/>
      <c r="E83" s="48" t="str">
        <f>структура!$AD$12</f>
        <v>АБК</v>
      </c>
      <c r="F83" s="2"/>
      <c r="G83" s="2" t="str">
        <f>G80</f>
        <v>смета</v>
      </c>
      <c r="H83" s="2"/>
      <c r="I83" s="28"/>
      <c r="J83" s="84">
        <f>SUMIFS(сметы!$N:$N,сметы!$E:$E,$E83)</f>
        <v>773287.84</v>
      </c>
      <c r="K83" s="28"/>
      <c r="L83" s="2"/>
      <c r="M83" s="52"/>
      <c r="N83" s="2"/>
      <c r="O83" s="2"/>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2"/>
    </row>
    <row r="84" spans="1:40" x14ac:dyDescent="0.25">
      <c r="A84" s="2"/>
      <c r="B84" s="2"/>
      <c r="C84" s="2"/>
      <c r="D84" s="2"/>
      <c r="E84" s="49" t="str">
        <f>структура!$AD$13</f>
        <v>здание проката</v>
      </c>
      <c r="F84" s="2"/>
      <c r="G84" s="2" t="str">
        <f>G80</f>
        <v>смета</v>
      </c>
      <c r="H84" s="2"/>
      <c r="I84" s="28"/>
      <c r="J84" s="85">
        <f>SUMIFS(сметы!$N:$N,сметы!$E:$E,$E84)</f>
        <v>0</v>
      </c>
      <c r="K84" s="28"/>
      <c r="L84" s="2"/>
      <c r="M84" s="52"/>
      <c r="N84" s="2"/>
      <c r="O84" s="2"/>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2"/>
    </row>
    <row r="85" spans="1:40" x14ac:dyDescent="0.25">
      <c r="A85" s="2"/>
      <c r="B85" s="2"/>
      <c r="C85" s="2"/>
      <c r="D85" s="2"/>
      <c r="E85" s="49" t="str">
        <f>структура!$AD$14</f>
        <v>дорожки</v>
      </c>
      <c r="F85" s="2"/>
      <c r="G85" s="2" t="str">
        <f>G80</f>
        <v>смета</v>
      </c>
      <c r="H85" s="2"/>
      <c r="I85" s="28"/>
      <c r="J85" s="85">
        <f>SUMIFS(сметы!$N:$N,сметы!$E:$E,$E85)</f>
        <v>200000</v>
      </c>
      <c r="K85" s="28"/>
      <c r="L85" s="2"/>
      <c r="M85" s="52"/>
      <c r="N85" s="2"/>
      <c r="O85" s="2"/>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2"/>
    </row>
    <row r="86" spans="1:40" x14ac:dyDescent="0.25">
      <c r="A86" s="2"/>
      <c r="B86" s="2"/>
      <c r="C86" s="2"/>
      <c r="D86" s="2"/>
      <c r="E86" s="49" t="str">
        <f>структура!$AD$15</f>
        <v>внешнее электроснабжение</v>
      </c>
      <c r="F86" s="2"/>
      <c r="G86" s="2" t="str">
        <f>G80</f>
        <v>смета</v>
      </c>
      <c r="H86" s="2"/>
      <c r="I86" s="28"/>
      <c r="J86" s="85">
        <f>SUMIFS(сметы!$N:$N,сметы!$E:$E,$E86)</f>
        <v>520870</v>
      </c>
      <c r="K86" s="28"/>
      <c r="L86" s="2"/>
      <c r="M86" s="52"/>
      <c r="N86" s="2"/>
      <c r="O86" s="2"/>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2"/>
    </row>
    <row r="87" spans="1:40" x14ac:dyDescent="0.25">
      <c r="A87" s="2"/>
      <c r="B87" s="2"/>
      <c r="C87" s="2"/>
      <c r="D87" s="2"/>
      <c r="E87" s="49" t="str">
        <f>структура!$AD$16</f>
        <v>парк веревочный</v>
      </c>
      <c r="F87" s="2"/>
      <c r="G87" s="2" t="str">
        <f>G80</f>
        <v>смета</v>
      </c>
      <c r="H87" s="2"/>
      <c r="I87" s="28"/>
      <c r="J87" s="85">
        <f>SUMIFS(сметы!$N:$N,сметы!$E:$E,$E87)</f>
        <v>3627879</v>
      </c>
      <c r="K87" s="28"/>
      <c r="L87" s="2"/>
      <c r="M87" s="52"/>
      <c r="N87" s="2"/>
      <c r="O87" s="2"/>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2"/>
    </row>
    <row r="88" spans="1:40" x14ac:dyDescent="0.25">
      <c r="A88" s="2"/>
      <c r="B88" s="2"/>
      <c r="C88" s="2"/>
      <c r="D88" s="2"/>
      <c r="E88" s="49" t="str">
        <f>структура!$AD$17</f>
        <v>прочие технические</v>
      </c>
      <c r="F88" s="2"/>
      <c r="G88" s="2" t="str">
        <f>G80</f>
        <v>смета</v>
      </c>
      <c r="H88" s="2"/>
      <c r="I88" s="28"/>
      <c r="J88" s="85">
        <f>SUMIFS(сметы!$N:$N,сметы!$E:$E,$E88)</f>
        <v>0</v>
      </c>
      <c r="K88" s="28"/>
      <c r="L88" s="2"/>
      <c r="M88" s="52"/>
      <c r="N88" s="2"/>
      <c r="O88" s="2"/>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2"/>
    </row>
    <row r="89" spans="1:40" ht="3.9" customHeight="1" x14ac:dyDescent="0.25">
      <c r="A89" s="2"/>
      <c r="B89" s="2"/>
      <c r="C89" s="2"/>
      <c r="D89" s="2"/>
      <c r="E89" s="50"/>
      <c r="F89" s="2"/>
      <c r="G89" s="2"/>
      <c r="H89" s="2"/>
      <c r="I89" s="28"/>
      <c r="J89" s="86"/>
      <c r="K89" s="28"/>
      <c r="L89" s="2"/>
      <c r="M89" s="52"/>
      <c r="N89" s="2"/>
      <c r="O89" s="2"/>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2"/>
    </row>
    <row r="90" spans="1:40" ht="3.9" customHeight="1" x14ac:dyDescent="0.25">
      <c r="A90" s="2"/>
      <c r="B90" s="2"/>
      <c r="C90" s="2"/>
      <c r="D90" s="2"/>
      <c r="E90" s="2"/>
      <c r="F90" s="2"/>
      <c r="G90" s="2"/>
      <c r="H90" s="2"/>
      <c r="I90" s="28"/>
      <c r="J90" s="2"/>
      <c r="K90" s="28"/>
      <c r="L90" s="2"/>
      <c r="M90" s="52"/>
      <c r="N90" s="2"/>
      <c r="O90" s="2"/>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2"/>
    </row>
    <row r="91" spans="1:40" x14ac:dyDescent="0.25">
      <c r="A91" s="2"/>
      <c r="B91" s="2"/>
      <c r="C91" s="2"/>
      <c r="D91" s="2"/>
      <c r="E91" s="47" t="str">
        <f>структура!$AF$10</f>
        <v xml:space="preserve">объекты кап/строительства для сдачи в аренду </v>
      </c>
      <c r="F91" s="2"/>
      <c r="G91" s="2" t="str">
        <f>G80</f>
        <v>смета</v>
      </c>
      <c r="H91" s="2"/>
      <c r="I91" s="28"/>
      <c r="J91" s="2"/>
      <c r="K91" s="28"/>
      <c r="L91" s="2"/>
      <c r="M91" s="52"/>
      <c r="N91" s="2"/>
      <c r="O91" s="2"/>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2"/>
    </row>
    <row r="92" spans="1:40" ht="3.9" customHeight="1" x14ac:dyDescent="0.25">
      <c r="A92" s="2"/>
      <c r="B92" s="2"/>
      <c r="C92" s="2"/>
      <c r="D92" s="2"/>
      <c r="E92" s="2"/>
      <c r="F92" s="2"/>
      <c r="G92" s="2"/>
      <c r="H92" s="2"/>
      <c r="I92" s="28"/>
      <c r="J92" s="2"/>
      <c r="K92" s="28"/>
      <c r="L92" s="2"/>
      <c r="M92" s="52"/>
      <c r="N92" s="2"/>
      <c r="O92" s="2"/>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2"/>
    </row>
    <row r="93" spans="1:40" x14ac:dyDescent="0.25">
      <c r="A93" s="2"/>
      <c r="B93" s="2"/>
      <c r="C93" s="2"/>
      <c r="D93" s="2"/>
      <c r="E93" s="48" t="str">
        <f>структура!$AF$12</f>
        <v>беседка большая</v>
      </c>
      <c r="F93" s="2"/>
      <c r="G93" s="2" t="str">
        <f>G80</f>
        <v>смета</v>
      </c>
      <c r="H93" s="2"/>
      <c r="I93" s="28"/>
      <c r="J93" s="84">
        <f>SUMIFS(сметы!$N:$N,сметы!$E:$E,$E93)</f>
        <v>101400</v>
      </c>
      <c r="K93" s="28"/>
      <c r="L93" s="2"/>
      <c r="M93" s="52"/>
      <c r="N93" s="2"/>
      <c r="O93" s="2"/>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2"/>
    </row>
    <row r="94" spans="1:40" x14ac:dyDescent="0.25">
      <c r="A94" s="2"/>
      <c r="B94" s="2"/>
      <c r="C94" s="2"/>
      <c r="D94" s="2"/>
      <c r="E94" s="49" t="str">
        <f>структура!$AF$13</f>
        <v>беседка малая</v>
      </c>
      <c r="F94" s="2"/>
      <c r="G94" s="2" t="str">
        <f>G80</f>
        <v>смета</v>
      </c>
      <c r="H94" s="2"/>
      <c r="I94" s="28"/>
      <c r="J94" s="85">
        <f>SUMIFS(сметы!$N:$N,сметы!$E:$E,$E94)</f>
        <v>77500</v>
      </c>
      <c r="K94" s="28"/>
      <c r="L94" s="2"/>
      <c r="M94" s="52"/>
      <c r="N94" s="2"/>
      <c r="O94" s="2"/>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2"/>
    </row>
    <row r="95" spans="1:40" x14ac:dyDescent="0.25">
      <c r="A95" s="2"/>
      <c r="B95" s="2"/>
      <c r="C95" s="2"/>
      <c r="D95" s="2"/>
      <c r="E95" s="49" t="str">
        <f>структура!$AF$14</f>
        <v>прочие для сдачи в аренду</v>
      </c>
      <c r="F95" s="2"/>
      <c r="G95" s="2" t="str">
        <f>G80</f>
        <v>смета</v>
      </c>
      <c r="H95" s="2"/>
      <c r="I95" s="28"/>
      <c r="J95" s="85">
        <f>SUMIFS(сметы!$N:$N,сметы!$E:$E,$E95)</f>
        <v>0</v>
      </c>
      <c r="K95" s="28"/>
      <c r="L95" s="2"/>
      <c r="M95" s="52"/>
      <c r="N95" s="2"/>
      <c r="O95" s="2"/>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2"/>
    </row>
    <row r="96" spans="1:40" ht="3.9" customHeight="1" x14ac:dyDescent="0.25">
      <c r="A96" s="2"/>
      <c r="B96" s="2"/>
      <c r="C96" s="2"/>
      <c r="D96" s="2"/>
      <c r="E96" s="50"/>
      <c r="F96" s="2"/>
      <c r="G96" s="21"/>
      <c r="H96" s="2"/>
      <c r="I96" s="28"/>
      <c r="J96" s="87"/>
      <c r="K96" s="28"/>
      <c r="L96" s="2"/>
      <c r="M96" s="52"/>
      <c r="N96" s="2"/>
      <c r="O96" s="2"/>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2"/>
    </row>
    <row r="97" spans="1:40" ht="3.9" customHeight="1" x14ac:dyDescent="0.25">
      <c r="A97" s="2"/>
      <c r="B97" s="2"/>
      <c r="C97" s="2"/>
      <c r="D97" s="2"/>
      <c r="E97" s="2"/>
      <c r="F97" s="2"/>
      <c r="G97" s="2"/>
      <c r="H97" s="2"/>
      <c r="I97" s="28"/>
      <c r="J97" s="27"/>
      <c r="K97" s="28"/>
      <c r="L97" s="2"/>
      <c r="M97" s="52"/>
      <c r="N97" s="2"/>
      <c r="O97" s="2"/>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2"/>
    </row>
    <row r="98" spans="1:40" ht="8.1" customHeight="1" x14ac:dyDescent="0.25">
      <c r="A98" s="2"/>
      <c r="B98" s="2"/>
      <c r="C98" s="2"/>
      <c r="D98" s="2"/>
      <c r="E98" s="2"/>
      <c r="F98" s="2"/>
      <c r="G98" s="2"/>
      <c r="H98" s="2"/>
      <c r="I98" s="28"/>
      <c r="J98" s="2"/>
      <c r="K98" s="28"/>
      <c r="L98" s="2"/>
      <c r="M98" s="52"/>
      <c r="N98" s="2"/>
      <c r="O98" s="2"/>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2"/>
    </row>
    <row r="99" spans="1:40" s="5" customFormat="1" x14ac:dyDescent="0.25">
      <c r="A99" s="3"/>
      <c r="B99" s="3"/>
      <c r="C99" s="3"/>
      <c r="D99" s="3"/>
      <c r="E99" s="89" t="str">
        <f>KPI!$E$21</f>
        <v>оплата оснащения объектов</v>
      </c>
      <c r="F99" s="89"/>
      <c r="G99" s="89" t="str">
        <f>IF($E99="","",INDEX(KPI!$G:$G,SUMIFS(KPI!$B:$B,KPI!$E:$E,$E99)))</f>
        <v>тыс.руб.</v>
      </c>
      <c r="H99" s="89"/>
      <c r="I99" s="90"/>
      <c r="J99" s="91" t="str">
        <f>структура!$AL$15</f>
        <v>по факту покупки</v>
      </c>
      <c r="K99" s="90"/>
      <c r="L99" s="89"/>
      <c r="M99" s="92">
        <f>SUM($O99:$AN99)</f>
        <v>6272.9368399999994</v>
      </c>
      <c r="N99" s="3"/>
      <c r="O99" s="3"/>
      <c r="P99" s="93">
        <f>P78</f>
        <v>1045.4894733333333</v>
      </c>
      <c r="Q99" s="93">
        <f t="shared" ref="Q99:AM99" si="5">Q78</f>
        <v>1045.4894733333333</v>
      </c>
      <c r="R99" s="93">
        <f t="shared" si="5"/>
        <v>1045.4894733333333</v>
      </c>
      <c r="S99" s="93">
        <f t="shared" si="5"/>
        <v>1045.4894733333333</v>
      </c>
      <c r="T99" s="93">
        <f t="shared" si="5"/>
        <v>1045.4894733333333</v>
      </c>
      <c r="U99" s="93">
        <f t="shared" si="5"/>
        <v>1045.4894733333333</v>
      </c>
      <c r="V99" s="93">
        <f t="shared" si="5"/>
        <v>0</v>
      </c>
      <c r="W99" s="93">
        <f t="shared" si="5"/>
        <v>0</v>
      </c>
      <c r="X99" s="93">
        <f t="shared" si="5"/>
        <v>0</v>
      </c>
      <c r="Y99" s="93">
        <f t="shared" si="5"/>
        <v>0</v>
      </c>
      <c r="Z99" s="93">
        <f t="shared" si="5"/>
        <v>0</v>
      </c>
      <c r="AA99" s="93">
        <f t="shared" si="5"/>
        <v>0</v>
      </c>
      <c r="AB99" s="93">
        <f t="shared" si="5"/>
        <v>0</v>
      </c>
      <c r="AC99" s="93">
        <f t="shared" si="5"/>
        <v>0</v>
      </c>
      <c r="AD99" s="93">
        <f t="shared" si="5"/>
        <v>0</v>
      </c>
      <c r="AE99" s="93">
        <f t="shared" si="5"/>
        <v>0</v>
      </c>
      <c r="AF99" s="93">
        <f t="shared" si="5"/>
        <v>0</v>
      </c>
      <c r="AG99" s="93">
        <f t="shared" si="5"/>
        <v>0</v>
      </c>
      <c r="AH99" s="93">
        <f t="shared" si="5"/>
        <v>0</v>
      </c>
      <c r="AI99" s="93">
        <f t="shared" si="5"/>
        <v>0</v>
      </c>
      <c r="AJ99" s="93">
        <f t="shared" si="5"/>
        <v>0</v>
      </c>
      <c r="AK99" s="93">
        <f t="shared" si="5"/>
        <v>0</v>
      </c>
      <c r="AL99" s="93">
        <f t="shared" si="5"/>
        <v>0</v>
      </c>
      <c r="AM99" s="93">
        <f t="shared" si="5"/>
        <v>0</v>
      </c>
      <c r="AN99" s="3"/>
    </row>
    <row r="100" spans="1:40" s="62" customFormat="1" ht="10.199999999999999" x14ac:dyDescent="0.2">
      <c r="A100" s="59"/>
      <c r="B100" s="59"/>
      <c r="C100" s="59"/>
      <c r="D100" s="59"/>
      <c r="E100" s="59"/>
      <c r="F100" s="59"/>
      <c r="G100" s="59"/>
      <c r="H100" s="59"/>
      <c r="I100" s="31"/>
      <c r="J100" s="59" t="str">
        <f>структура!$AL$13</f>
        <v>контроль</v>
      </c>
      <c r="K100" s="31"/>
      <c r="L100" s="59"/>
      <c r="M100" s="60">
        <f>M99-M78</f>
        <v>0</v>
      </c>
      <c r="N100" s="59"/>
      <c r="O100" s="59"/>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59"/>
    </row>
    <row r="101" spans="1:40" ht="8.1" customHeight="1" x14ac:dyDescent="0.25">
      <c r="A101" s="2"/>
      <c r="B101" s="2"/>
      <c r="C101" s="2"/>
      <c r="D101" s="2"/>
      <c r="E101" s="2"/>
      <c r="F101" s="2"/>
      <c r="G101" s="2"/>
      <c r="H101" s="2"/>
      <c r="I101" s="28"/>
      <c r="J101" s="2"/>
      <c r="K101" s="28"/>
      <c r="L101" s="2"/>
      <c r="M101" s="52"/>
      <c r="N101" s="2"/>
      <c r="O101" s="2"/>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2"/>
    </row>
    <row r="102" spans="1:40" s="5" customFormat="1" x14ac:dyDescent="0.25">
      <c r="A102" s="3"/>
      <c r="B102" s="3"/>
      <c r="C102" s="3"/>
      <c r="D102" s="3"/>
      <c r="E102" s="89" t="str">
        <f>KPI!$E$22</f>
        <v>ввод объектов кап/затрат в эксплуатацию</v>
      </c>
      <c r="F102" s="89"/>
      <c r="G102" s="89" t="str">
        <f>IF($E102="","",INDEX(KPI!$G:$G,SUMIFS(KPI!$B:$B,KPI!$E:$E,$E102)))</f>
        <v>тыс.руб.</v>
      </c>
      <c r="H102" s="89"/>
      <c r="I102" s="90"/>
      <c r="J102" s="91" t="str">
        <f>структура!$AL$16</f>
        <v>последний мес. периода</v>
      </c>
      <c r="K102" s="90"/>
      <c r="L102" s="89"/>
      <c r="M102" s="92">
        <f>SUM($O102:$AN102)</f>
        <v>14970.37484</v>
      </c>
      <c r="N102" s="3"/>
      <c r="O102" s="3"/>
      <c r="P102" s="93">
        <f>IF(P$1="",0,IF(P1=$J$17,$M$26+$M$78,0))</f>
        <v>0</v>
      </c>
      <c r="Q102" s="93">
        <f t="shared" ref="Q102:AM102" si="6">IF(Q$1="",0,IF(Q1=$J$17,$M$26+$M$78,0))</f>
        <v>0</v>
      </c>
      <c r="R102" s="93">
        <f t="shared" si="6"/>
        <v>0</v>
      </c>
      <c r="S102" s="93">
        <f t="shared" si="6"/>
        <v>0</v>
      </c>
      <c r="T102" s="93">
        <f t="shared" si="6"/>
        <v>0</v>
      </c>
      <c r="U102" s="93">
        <f t="shared" si="6"/>
        <v>14970.37484</v>
      </c>
      <c r="V102" s="93">
        <f t="shared" si="6"/>
        <v>0</v>
      </c>
      <c r="W102" s="93">
        <f t="shared" si="6"/>
        <v>0</v>
      </c>
      <c r="X102" s="93">
        <f t="shared" si="6"/>
        <v>0</v>
      </c>
      <c r="Y102" s="93">
        <f t="shared" si="6"/>
        <v>0</v>
      </c>
      <c r="Z102" s="93">
        <f t="shared" si="6"/>
        <v>0</v>
      </c>
      <c r="AA102" s="93">
        <f t="shared" si="6"/>
        <v>0</v>
      </c>
      <c r="AB102" s="93">
        <f t="shared" si="6"/>
        <v>0</v>
      </c>
      <c r="AC102" s="93">
        <f t="shared" si="6"/>
        <v>0</v>
      </c>
      <c r="AD102" s="93">
        <f t="shared" si="6"/>
        <v>0</v>
      </c>
      <c r="AE102" s="93">
        <f t="shared" si="6"/>
        <v>0</v>
      </c>
      <c r="AF102" s="93">
        <f t="shared" si="6"/>
        <v>0</v>
      </c>
      <c r="AG102" s="93">
        <f t="shared" si="6"/>
        <v>0</v>
      </c>
      <c r="AH102" s="93">
        <f t="shared" si="6"/>
        <v>0</v>
      </c>
      <c r="AI102" s="93">
        <f t="shared" si="6"/>
        <v>0</v>
      </c>
      <c r="AJ102" s="93">
        <f t="shared" si="6"/>
        <v>0</v>
      </c>
      <c r="AK102" s="93">
        <f t="shared" si="6"/>
        <v>0</v>
      </c>
      <c r="AL102" s="93">
        <f t="shared" si="6"/>
        <v>0</v>
      </c>
      <c r="AM102" s="93">
        <f t="shared" si="6"/>
        <v>0</v>
      </c>
      <c r="AN102" s="3"/>
    </row>
    <row r="103" spans="1:40" s="62" customFormat="1" ht="10.199999999999999" x14ac:dyDescent="0.2">
      <c r="A103" s="59"/>
      <c r="B103" s="59"/>
      <c r="C103" s="59"/>
      <c r="D103" s="59"/>
      <c r="E103" s="59"/>
      <c r="F103" s="59"/>
      <c r="G103" s="59"/>
      <c r="H103" s="59"/>
      <c r="I103" s="31"/>
      <c r="J103" s="59" t="str">
        <f>структура!$AL$13</f>
        <v>контроль</v>
      </c>
      <c r="K103" s="31"/>
      <c r="L103" s="59"/>
      <c r="M103" s="60">
        <f>M102-M78-M26</f>
        <v>0</v>
      </c>
      <c r="N103" s="59"/>
      <c r="O103" s="59"/>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59"/>
    </row>
    <row r="104" spans="1:40" ht="8.1" customHeight="1" x14ac:dyDescent="0.25">
      <c r="A104" s="2"/>
      <c r="B104" s="2"/>
      <c r="C104" s="2"/>
      <c r="D104" s="2"/>
      <c r="E104" s="2"/>
      <c r="F104" s="2"/>
      <c r="G104" s="2"/>
      <c r="H104" s="2"/>
      <c r="I104" s="28"/>
      <c r="J104" s="2"/>
      <c r="K104" s="28"/>
      <c r="L104" s="2"/>
      <c r="M104" s="52"/>
      <c r="N104" s="2"/>
      <c r="O104" s="2"/>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2"/>
    </row>
    <row r="105" spans="1:40" s="5" customFormat="1" x14ac:dyDescent="0.25">
      <c r="A105" s="3"/>
      <c r="B105" s="3"/>
      <c r="C105" s="3"/>
      <c r="D105" s="3"/>
      <c r="E105" s="3" t="str">
        <f>KPI!$E$19</f>
        <v>срок амортизации объектов кап/затрат</v>
      </c>
      <c r="F105" s="3"/>
      <c r="G105" s="3" t="str">
        <f>IF($E105="","",INDEX(KPI!$G:$G,SUMIFS(KPI!$B:$B,KPI!$E:$E,$E105)))</f>
        <v>к-во лет</v>
      </c>
      <c r="H105" s="3"/>
      <c r="I105" s="6" t="s">
        <v>0</v>
      </c>
      <c r="J105" s="45">
        <v>7</v>
      </c>
      <c r="K105" s="28"/>
      <c r="L105" s="3"/>
      <c r="M105" s="55"/>
      <c r="N105" s="3"/>
      <c r="O105" s="3"/>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3"/>
    </row>
    <row r="106" spans="1:40" ht="3.9" customHeight="1" x14ac:dyDescent="0.25">
      <c r="A106" s="2"/>
      <c r="B106" s="2"/>
      <c r="C106" s="2"/>
      <c r="D106" s="2"/>
      <c r="E106" s="21"/>
      <c r="F106" s="2"/>
      <c r="G106" s="21"/>
      <c r="H106" s="2"/>
      <c r="I106" s="28"/>
      <c r="J106" s="21"/>
      <c r="K106" s="28"/>
      <c r="L106" s="2"/>
      <c r="M106" s="52"/>
      <c r="N106" s="2"/>
      <c r="O106" s="2"/>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2"/>
    </row>
    <row r="107" spans="1:40" ht="8.1" customHeight="1" x14ac:dyDescent="0.25">
      <c r="A107" s="2"/>
      <c r="B107" s="2"/>
      <c r="C107" s="2"/>
      <c r="D107" s="2"/>
      <c r="E107" s="2"/>
      <c r="F107" s="2"/>
      <c r="G107" s="2"/>
      <c r="H107" s="2"/>
      <c r="I107" s="28"/>
      <c r="J107" s="2"/>
      <c r="K107" s="28"/>
      <c r="L107" s="2"/>
      <c r="M107" s="52"/>
      <c r="N107" s="2"/>
      <c r="O107" s="2"/>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2"/>
    </row>
    <row r="108" spans="1:40" ht="8.1" customHeight="1" x14ac:dyDescent="0.25">
      <c r="A108" s="2"/>
      <c r="B108" s="2"/>
      <c r="C108" s="2"/>
      <c r="D108" s="2"/>
      <c r="E108" s="2"/>
      <c r="F108" s="2"/>
      <c r="G108" s="2"/>
      <c r="H108" s="2"/>
      <c r="I108" s="28"/>
      <c r="J108" s="2"/>
      <c r="K108" s="28"/>
      <c r="L108" s="2"/>
      <c r="M108" s="52"/>
      <c r="N108" s="2"/>
      <c r="O108" s="2"/>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2"/>
    </row>
    <row r="109" spans="1:40" s="5" customFormat="1" x14ac:dyDescent="0.25">
      <c r="A109" s="3"/>
      <c r="B109" s="3"/>
      <c r="C109" s="3"/>
      <c r="D109" s="3"/>
      <c r="E109" s="89" t="str">
        <f>KPI!$E$24</f>
        <v>покупка прокатного инвентаря</v>
      </c>
      <c r="F109" s="89"/>
      <c r="G109" s="89" t="str">
        <f>IF($E109="","",INDEX(KPI!$G:$G,SUMIFS(KPI!$B:$B,KPI!$E:$E,$E109)))</f>
        <v>тыс.руб.</v>
      </c>
      <c r="H109" s="89"/>
      <c r="I109" s="90"/>
      <c r="J109" s="91"/>
      <c r="K109" s="90"/>
      <c r="L109" s="89"/>
      <c r="M109" s="92">
        <f>SUM($O109:$AN109)</f>
        <v>880</v>
      </c>
      <c r="N109" s="3"/>
      <c r="O109" s="3"/>
      <c r="P109" s="93">
        <f>IF(P$1="",0,SUMPRODUCT($J$114:$J$117,P$122:P$125))</f>
        <v>0</v>
      </c>
      <c r="Q109" s="93">
        <f t="shared" ref="Q109:AM109" si="7">IF(Q$1="",0,SUMPRODUCT($J$114:$J$117,Q$122:Q$125))</f>
        <v>380</v>
      </c>
      <c r="R109" s="93">
        <f t="shared" si="7"/>
        <v>0</v>
      </c>
      <c r="S109" s="93">
        <f t="shared" si="7"/>
        <v>0</v>
      </c>
      <c r="T109" s="93">
        <f t="shared" si="7"/>
        <v>500</v>
      </c>
      <c r="U109" s="93">
        <f t="shared" si="7"/>
        <v>0</v>
      </c>
      <c r="V109" s="93">
        <f t="shared" si="7"/>
        <v>0</v>
      </c>
      <c r="W109" s="93">
        <f t="shared" si="7"/>
        <v>0</v>
      </c>
      <c r="X109" s="93">
        <f t="shared" si="7"/>
        <v>0</v>
      </c>
      <c r="Y109" s="93">
        <f t="shared" si="7"/>
        <v>0</v>
      </c>
      <c r="Z109" s="93">
        <f t="shared" si="7"/>
        <v>0</v>
      </c>
      <c r="AA109" s="93">
        <f t="shared" si="7"/>
        <v>0</v>
      </c>
      <c r="AB109" s="93">
        <f t="shared" si="7"/>
        <v>0</v>
      </c>
      <c r="AC109" s="93">
        <f t="shared" si="7"/>
        <v>0</v>
      </c>
      <c r="AD109" s="93">
        <f t="shared" si="7"/>
        <v>0</v>
      </c>
      <c r="AE109" s="93">
        <f t="shared" si="7"/>
        <v>0</v>
      </c>
      <c r="AF109" s="93">
        <f t="shared" si="7"/>
        <v>0</v>
      </c>
      <c r="AG109" s="93">
        <f t="shared" si="7"/>
        <v>0</v>
      </c>
      <c r="AH109" s="93">
        <f t="shared" si="7"/>
        <v>0</v>
      </c>
      <c r="AI109" s="93">
        <f t="shared" si="7"/>
        <v>0</v>
      </c>
      <c r="AJ109" s="93">
        <f t="shared" si="7"/>
        <v>0</v>
      </c>
      <c r="AK109" s="93">
        <f t="shared" si="7"/>
        <v>0</v>
      </c>
      <c r="AL109" s="93">
        <f t="shared" si="7"/>
        <v>0</v>
      </c>
      <c r="AM109" s="93">
        <f t="shared" si="7"/>
        <v>0</v>
      </c>
      <c r="AN109" s="3"/>
    </row>
    <row r="110" spans="1:40" ht="3.9" customHeight="1" x14ac:dyDescent="0.25">
      <c r="A110" s="2"/>
      <c r="B110" s="2"/>
      <c r="C110" s="2"/>
      <c r="D110" s="2"/>
      <c r="E110" s="2"/>
      <c r="F110" s="2"/>
      <c r="G110" s="2"/>
      <c r="H110" s="2"/>
      <c r="I110" s="28"/>
      <c r="J110" s="2"/>
      <c r="K110" s="28"/>
      <c r="L110" s="2"/>
      <c r="M110" s="52"/>
      <c r="N110" s="2"/>
      <c r="O110" s="2"/>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2"/>
    </row>
    <row r="111" spans="1:40" s="5" customFormat="1" x14ac:dyDescent="0.25">
      <c r="A111" s="3"/>
      <c r="B111" s="3"/>
      <c r="C111" s="3"/>
      <c r="D111" s="3"/>
      <c r="E111" s="3" t="str">
        <f>KPI!$E$25</f>
        <v>цена одной шт прокатного инвентаря</v>
      </c>
      <c r="F111" s="3"/>
      <c r="G111" s="3" t="str">
        <f>IF($E111="","",INDEX(KPI!$G:$G,SUMIFS(KPI!$B:$B,KPI!$E:$E,$E111)))</f>
        <v>тыс.руб.</v>
      </c>
      <c r="H111" s="3"/>
      <c r="I111" s="28"/>
      <c r="J111" s="3"/>
      <c r="K111" s="28"/>
      <c r="L111" s="3"/>
      <c r="M111" s="55"/>
      <c r="N111" s="3"/>
      <c r="O111" s="3"/>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3"/>
    </row>
    <row r="112" spans="1:40" x14ac:dyDescent="0.25">
      <c r="A112" s="2"/>
      <c r="B112" s="2"/>
      <c r="C112" s="2"/>
      <c r="D112" s="2"/>
      <c r="E112" s="47" t="str">
        <f>структура!$AI$8</f>
        <v>прокатный инвентарь</v>
      </c>
      <c r="F112" s="2"/>
      <c r="G112" s="2" t="str">
        <f>G111</f>
        <v>тыс.руб.</v>
      </c>
      <c r="H112" s="2"/>
      <c r="I112" s="28"/>
      <c r="J112" s="2"/>
      <c r="K112" s="28"/>
      <c r="L112" s="2"/>
      <c r="M112" s="52"/>
      <c r="N112" s="2"/>
      <c r="O112" s="2"/>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2"/>
    </row>
    <row r="113" spans="1:40" ht="3.9" customHeight="1" x14ac:dyDescent="0.25">
      <c r="A113" s="2"/>
      <c r="B113" s="2"/>
      <c r="C113" s="2"/>
      <c r="D113" s="2"/>
      <c r="E113" s="2"/>
      <c r="F113" s="2"/>
      <c r="G113" s="2"/>
      <c r="H113" s="2"/>
      <c r="I113" s="28"/>
      <c r="J113" s="2"/>
      <c r="K113" s="28"/>
      <c r="L113" s="2"/>
      <c r="M113" s="52"/>
      <c r="N113" s="2"/>
      <c r="O113" s="2"/>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2"/>
    </row>
    <row r="114" spans="1:40" x14ac:dyDescent="0.25">
      <c r="A114" s="2"/>
      <c r="B114" s="2"/>
      <c r="C114" s="2"/>
      <c r="D114" s="2"/>
      <c r="E114" s="48" t="str">
        <f>структура!$AI$12</f>
        <v>снегоход</v>
      </c>
      <c r="F114" s="2"/>
      <c r="G114" s="2" t="str">
        <f>G111</f>
        <v>тыс.руб.</v>
      </c>
      <c r="H114" s="2"/>
      <c r="I114" s="6" t="s">
        <v>0</v>
      </c>
      <c r="J114" s="45">
        <v>380</v>
      </c>
      <c r="K114" s="28"/>
      <c r="L114" s="2"/>
      <c r="M114" s="52"/>
      <c r="N114" s="2"/>
      <c r="O114" s="2"/>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2"/>
    </row>
    <row r="115" spans="1:40" x14ac:dyDescent="0.25">
      <c r="A115" s="2"/>
      <c r="B115" s="2"/>
      <c r="C115" s="2"/>
      <c r="D115" s="2"/>
      <c r="E115" s="49" t="str">
        <f>структура!$AI$13</f>
        <v>квадрацикл</v>
      </c>
      <c r="F115" s="2"/>
      <c r="G115" s="2" t="str">
        <f>G111</f>
        <v>тыс.руб.</v>
      </c>
      <c r="H115" s="2"/>
      <c r="I115" s="6" t="s">
        <v>0</v>
      </c>
      <c r="J115" s="45">
        <v>500</v>
      </c>
      <c r="K115" s="28"/>
      <c r="L115" s="2"/>
      <c r="M115" s="52"/>
      <c r="N115" s="2"/>
      <c r="O115" s="2"/>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2"/>
    </row>
    <row r="116" spans="1:40" x14ac:dyDescent="0.25">
      <c r="A116" s="2"/>
      <c r="B116" s="2"/>
      <c r="C116" s="2"/>
      <c r="D116" s="2"/>
      <c r="E116" s="49" t="str">
        <f>структура!$AI$14</f>
        <v>прочий инвентарь</v>
      </c>
      <c r="F116" s="2"/>
      <c r="G116" s="2" t="str">
        <f>G111</f>
        <v>тыс.руб.</v>
      </c>
      <c r="H116" s="2"/>
      <c r="I116" s="6" t="s">
        <v>0</v>
      </c>
      <c r="J116" s="45"/>
      <c r="K116" s="28"/>
      <c r="L116" s="2"/>
      <c r="M116" s="52"/>
      <c r="N116" s="2"/>
      <c r="O116" s="2"/>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2"/>
    </row>
    <row r="117" spans="1:40" ht="3.9" customHeight="1" x14ac:dyDescent="0.25">
      <c r="A117" s="2"/>
      <c r="B117" s="2"/>
      <c r="C117" s="2"/>
      <c r="D117" s="2"/>
      <c r="E117" s="50"/>
      <c r="F117" s="2"/>
      <c r="G117" s="2"/>
      <c r="H117" s="2"/>
      <c r="I117" s="28"/>
      <c r="J117" s="2"/>
      <c r="K117" s="28"/>
      <c r="L117" s="2"/>
      <c r="M117" s="52"/>
      <c r="N117" s="2"/>
      <c r="O117" s="2"/>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2"/>
    </row>
    <row r="118" spans="1:40" ht="3.9" customHeight="1" x14ac:dyDescent="0.25">
      <c r="A118" s="2"/>
      <c r="B118" s="2"/>
      <c r="C118" s="2"/>
      <c r="D118" s="2"/>
      <c r="E118" s="2"/>
      <c r="F118" s="2"/>
      <c r="G118" s="2"/>
      <c r="H118" s="2"/>
      <c r="I118" s="28"/>
      <c r="J118" s="2"/>
      <c r="K118" s="28"/>
      <c r="L118" s="2"/>
      <c r="M118" s="52"/>
      <c r="N118" s="2"/>
      <c r="O118" s="2"/>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2"/>
    </row>
    <row r="119" spans="1:40" s="5" customFormat="1" x14ac:dyDescent="0.25">
      <c r="A119" s="3"/>
      <c r="B119" s="3"/>
      <c r="C119" s="3"/>
      <c r="D119" s="3"/>
      <c r="E119" s="3" t="str">
        <f>KPI!$E$26</f>
        <v>кол-во платного инвентаря</v>
      </c>
      <c r="F119" s="3"/>
      <c r="G119" s="3" t="str">
        <f>IF($E119="","",INDEX(KPI!$G:$G,SUMIFS(KPI!$B:$B,KPI!$E:$E,$E119)))</f>
        <v>шт</v>
      </c>
      <c r="H119" s="3"/>
      <c r="I119" s="28"/>
      <c r="J119" s="3"/>
      <c r="K119" s="28"/>
      <c r="L119" s="3"/>
      <c r="M119" s="55"/>
      <c r="N119" s="3"/>
      <c r="O119" s="3"/>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3"/>
    </row>
    <row r="120" spans="1:40" x14ac:dyDescent="0.25">
      <c r="A120" s="2"/>
      <c r="B120" s="2"/>
      <c r="C120" s="2"/>
      <c r="D120" s="2"/>
      <c r="E120" s="47" t="str">
        <f>структура!$AI$8</f>
        <v>прокатный инвентарь</v>
      </c>
      <c r="F120" s="2"/>
      <c r="G120" s="2" t="str">
        <f>G119</f>
        <v>шт</v>
      </c>
      <c r="H120" s="2"/>
      <c r="I120" s="28"/>
      <c r="J120" s="2"/>
      <c r="K120" s="28"/>
      <c r="L120" s="2"/>
      <c r="M120" s="52"/>
      <c r="N120" s="2"/>
      <c r="O120" s="2"/>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2"/>
    </row>
    <row r="121" spans="1:40" ht="3.9" customHeight="1" x14ac:dyDescent="0.25">
      <c r="A121" s="2"/>
      <c r="B121" s="2"/>
      <c r="C121" s="2"/>
      <c r="D121" s="2"/>
      <c r="E121" s="2"/>
      <c r="F121" s="2"/>
      <c r="G121" s="2"/>
      <c r="H121" s="2"/>
      <c r="I121" s="28"/>
      <c r="J121" s="2"/>
      <c r="K121" s="28"/>
      <c r="L121" s="2"/>
      <c r="M121" s="52"/>
      <c r="N121" s="2"/>
      <c r="O121" s="2"/>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2"/>
    </row>
    <row r="122" spans="1:40" x14ac:dyDescent="0.25">
      <c r="A122" s="2"/>
      <c r="B122" s="2"/>
      <c r="C122" s="2"/>
      <c r="D122" s="2"/>
      <c r="E122" s="48" t="str">
        <f>структура!$AI$12</f>
        <v>снегоход</v>
      </c>
      <c r="F122" s="2"/>
      <c r="G122" s="2" t="str">
        <f>G119</f>
        <v>шт</v>
      </c>
      <c r="H122" s="2"/>
      <c r="I122" s="6" t="s">
        <v>0</v>
      </c>
      <c r="J122" s="45">
        <v>5</v>
      </c>
      <c r="K122" s="28"/>
      <c r="L122" s="2"/>
      <c r="M122" s="52"/>
      <c r="N122" s="2"/>
      <c r="O122" s="6" t="s">
        <v>0</v>
      </c>
      <c r="P122" s="45"/>
      <c r="Q122" s="45">
        <v>1</v>
      </c>
      <c r="R122" s="45"/>
      <c r="S122" s="45"/>
      <c r="T122" s="45"/>
      <c r="U122" s="45"/>
      <c r="V122" s="45"/>
      <c r="W122" s="45">
        <v>5</v>
      </c>
      <c r="X122" s="45">
        <v>5</v>
      </c>
      <c r="Y122" s="45">
        <v>5</v>
      </c>
      <c r="Z122" s="45">
        <v>5</v>
      </c>
      <c r="AA122" s="45">
        <v>5</v>
      </c>
      <c r="AB122" s="45">
        <v>5</v>
      </c>
      <c r="AC122" s="45">
        <v>5</v>
      </c>
      <c r="AD122" s="45">
        <v>5</v>
      </c>
      <c r="AE122" s="45">
        <v>5</v>
      </c>
      <c r="AF122" s="45">
        <v>5</v>
      </c>
      <c r="AG122" s="45">
        <v>5</v>
      </c>
      <c r="AH122" s="45">
        <v>5</v>
      </c>
      <c r="AI122" s="45">
        <v>5</v>
      </c>
      <c r="AJ122" s="45">
        <v>5</v>
      </c>
      <c r="AK122" s="45">
        <v>5</v>
      </c>
      <c r="AL122" s="45">
        <v>5</v>
      </c>
      <c r="AM122" s="45">
        <v>5</v>
      </c>
      <c r="AN122" s="2"/>
    </row>
    <row r="123" spans="1:40" x14ac:dyDescent="0.25">
      <c r="A123" s="2"/>
      <c r="B123" s="2"/>
      <c r="C123" s="2"/>
      <c r="D123" s="2"/>
      <c r="E123" s="49" t="str">
        <f>структура!$AI$13</f>
        <v>квадрацикл</v>
      </c>
      <c r="F123" s="2"/>
      <c r="G123" s="2" t="str">
        <f>G119</f>
        <v>шт</v>
      </c>
      <c r="H123" s="2"/>
      <c r="I123" s="6" t="s">
        <v>0</v>
      </c>
      <c r="J123" s="45">
        <v>7</v>
      </c>
      <c r="K123" s="28"/>
      <c r="L123" s="2"/>
      <c r="M123" s="52"/>
      <c r="N123" s="2"/>
      <c r="O123" s="6" t="s">
        <v>0</v>
      </c>
      <c r="P123" s="45"/>
      <c r="Q123" s="45"/>
      <c r="R123" s="45"/>
      <c r="S123" s="45"/>
      <c r="T123" s="45">
        <v>1</v>
      </c>
      <c r="U123" s="45"/>
      <c r="V123" s="45"/>
      <c r="W123" s="45">
        <v>7</v>
      </c>
      <c r="X123" s="45">
        <v>7</v>
      </c>
      <c r="Y123" s="45">
        <v>7</v>
      </c>
      <c r="Z123" s="45">
        <v>7</v>
      </c>
      <c r="AA123" s="45">
        <v>7</v>
      </c>
      <c r="AB123" s="45">
        <v>7</v>
      </c>
      <c r="AC123" s="45">
        <v>7</v>
      </c>
      <c r="AD123" s="45">
        <v>7</v>
      </c>
      <c r="AE123" s="45">
        <v>7</v>
      </c>
      <c r="AF123" s="45">
        <v>7</v>
      </c>
      <c r="AG123" s="45">
        <v>7</v>
      </c>
      <c r="AH123" s="45">
        <v>7</v>
      </c>
      <c r="AI123" s="45">
        <v>7</v>
      </c>
      <c r="AJ123" s="45">
        <v>7</v>
      </c>
      <c r="AK123" s="45">
        <v>7</v>
      </c>
      <c r="AL123" s="45">
        <v>7</v>
      </c>
      <c r="AM123" s="45">
        <v>7</v>
      </c>
      <c r="AN123" s="2"/>
    </row>
    <row r="124" spans="1:40" x14ac:dyDescent="0.25">
      <c r="A124" s="2"/>
      <c r="B124" s="2"/>
      <c r="C124" s="2"/>
      <c r="D124" s="2"/>
      <c r="E124" s="49" t="str">
        <f>структура!$AI$14</f>
        <v>прочий инвентарь</v>
      </c>
      <c r="F124" s="2"/>
      <c r="G124" s="2" t="str">
        <f>G119</f>
        <v>шт</v>
      </c>
      <c r="H124" s="2"/>
      <c r="I124" s="6" t="s">
        <v>0</v>
      </c>
      <c r="J124" s="45"/>
      <c r="K124" s="28"/>
      <c r="L124" s="2"/>
      <c r="M124" s="52"/>
      <c r="N124" s="2"/>
      <c r="O124" s="6" t="s">
        <v>0</v>
      </c>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2"/>
    </row>
    <row r="125" spans="1:40" ht="3.9" customHeight="1" x14ac:dyDescent="0.25">
      <c r="A125" s="2"/>
      <c r="B125" s="2"/>
      <c r="C125" s="2"/>
      <c r="D125" s="2"/>
      <c r="E125" s="50"/>
      <c r="F125" s="2"/>
      <c r="G125" s="2"/>
      <c r="H125" s="2"/>
      <c r="I125" s="28"/>
      <c r="J125" s="2"/>
      <c r="K125" s="28"/>
      <c r="L125" s="2"/>
      <c r="M125" s="52"/>
      <c r="N125" s="2"/>
      <c r="O125" s="2"/>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2"/>
    </row>
    <row r="126" spans="1:40" ht="3.9" customHeight="1" x14ac:dyDescent="0.25">
      <c r="A126" s="2"/>
      <c r="B126" s="2"/>
      <c r="C126" s="2"/>
      <c r="D126" s="2"/>
      <c r="E126" s="2"/>
      <c r="F126" s="2"/>
      <c r="G126" s="2"/>
      <c r="H126" s="2"/>
      <c r="I126" s="28"/>
      <c r="J126" s="2"/>
      <c r="K126" s="28"/>
      <c r="L126" s="2"/>
      <c r="M126" s="52"/>
      <c r="N126" s="2"/>
      <c r="O126" s="2"/>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2"/>
    </row>
    <row r="127" spans="1:40" s="5" customFormat="1" x14ac:dyDescent="0.25">
      <c r="A127" s="3"/>
      <c r="B127" s="3"/>
      <c r="C127" s="3"/>
      <c r="D127" s="3"/>
      <c r="E127" s="89" t="str">
        <f>KPI!$E$27</f>
        <v>оплата прокатного инвентаря</v>
      </c>
      <c r="F127" s="89"/>
      <c r="G127" s="89" t="str">
        <f>IF($E127="","",INDEX(KPI!$G:$G,SUMIFS(KPI!$B:$B,KPI!$E:$E,$E127)))</f>
        <v>тыс.руб.</v>
      </c>
      <c r="H127" s="89"/>
      <c r="I127" s="90"/>
      <c r="J127" s="91" t="str">
        <f>структура!$AL$15</f>
        <v>по факту покупки</v>
      </c>
      <c r="K127" s="90"/>
      <c r="L127" s="89"/>
      <c r="M127" s="92">
        <f>SUM($O127:$AN127)</f>
        <v>880</v>
      </c>
      <c r="N127" s="3"/>
      <c r="O127" s="3"/>
      <c r="P127" s="93">
        <f>P109</f>
        <v>0</v>
      </c>
      <c r="Q127" s="93">
        <f t="shared" ref="Q127:AM127" si="8">Q109</f>
        <v>380</v>
      </c>
      <c r="R127" s="93">
        <f t="shared" si="8"/>
        <v>0</v>
      </c>
      <c r="S127" s="93">
        <f t="shared" si="8"/>
        <v>0</v>
      </c>
      <c r="T127" s="93">
        <f t="shared" si="8"/>
        <v>500</v>
      </c>
      <c r="U127" s="93">
        <f t="shared" si="8"/>
        <v>0</v>
      </c>
      <c r="V127" s="93">
        <f t="shared" si="8"/>
        <v>0</v>
      </c>
      <c r="W127" s="93">
        <f t="shared" si="8"/>
        <v>0</v>
      </c>
      <c r="X127" s="93">
        <f t="shared" si="8"/>
        <v>0</v>
      </c>
      <c r="Y127" s="93">
        <f t="shared" si="8"/>
        <v>0</v>
      </c>
      <c r="Z127" s="93">
        <f t="shared" si="8"/>
        <v>0</v>
      </c>
      <c r="AA127" s="93">
        <f t="shared" si="8"/>
        <v>0</v>
      </c>
      <c r="AB127" s="93">
        <f t="shared" si="8"/>
        <v>0</v>
      </c>
      <c r="AC127" s="93">
        <f t="shared" si="8"/>
        <v>0</v>
      </c>
      <c r="AD127" s="93">
        <f t="shared" si="8"/>
        <v>0</v>
      </c>
      <c r="AE127" s="93">
        <f t="shared" si="8"/>
        <v>0</v>
      </c>
      <c r="AF127" s="93">
        <f t="shared" si="8"/>
        <v>0</v>
      </c>
      <c r="AG127" s="93">
        <f t="shared" si="8"/>
        <v>0</v>
      </c>
      <c r="AH127" s="93">
        <f t="shared" si="8"/>
        <v>0</v>
      </c>
      <c r="AI127" s="93">
        <f t="shared" si="8"/>
        <v>0</v>
      </c>
      <c r="AJ127" s="93">
        <f t="shared" si="8"/>
        <v>0</v>
      </c>
      <c r="AK127" s="93">
        <f t="shared" si="8"/>
        <v>0</v>
      </c>
      <c r="AL127" s="93">
        <f t="shared" si="8"/>
        <v>0</v>
      </c>
      <c r="AM127" s="93">
        <f t="shared" si="8"/>
        <v>0</v>
      </c>
      <c r="AN127" s="3"/>
    </row>
    <row r="128" spans="1:40" s="62" customFormat="1" ht="10.199999999999999" x14ac:dyDescent="0.2">
      <c r="A128" s="59"/>
      <c r="B128" s="59"/>
      <c r="C128" s="59"/>
      <c r="D128" s="59"/>
      <c r="E128" s="59"/>
      <c r="F128" s="59"/>
      <c r="G128" s="59"/>
      <c r="H128" s="59"/>
      <c r="I128" s="31"/>
      <c r="J128" s="59" t="str">
        <f>структура!$AL$13</f>
        <v>контроль</v>
      </c>
      <c r="K128" s="31"/>
      <c r="L128" s="59"/>
      <c r="M128" s="60">
        <f>M127-M109</f>
        <v>0</v>
      </c>
      <c r="N128" s="59"/>
      <c r="O128" s="59"/>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59"/>
    </row>
    <row r="129" spans="1:40" ht="8.1" customHeight="1" x14ac:dyDescent="0.25">
      <c r="A129" s="2"/>
      <c r="B129" s="2"/>
      <c r="C129" s="2"/>
      <c r="D129" s="2"/>
      <c r="E129" s="2"/>
      <c r="F129" s="2"/>
      <c r="G129" s="2"/>
      <c r="H129" s="2"/>
      <c r="I129" s="28"/>
      <c r="J129" s="2"/>
      <c r="K129" s="28"/>
      <c r="L129" s="2"/>
      <c r="M129" s="52"/>
      <c r="N129" s="2"/>
      <c r="O129" s="2"/>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2"/>
    </row>
    <row r="130" spans="1:40" s="5" customFormat="1" x14ac:dyDescent="0.25">
      <c r="A130" s="3"/>
      <c r="B130" s="3"/>
      <c r="C130" s="3"/>
      <c r="D130" s="3"/>
      <c r="E130" s="3" t="str">
        <f>KPI!$E$28</f>
        <v>срок амортизации прокатного инвентаря</v>
      </c>
      <c r="F130" s="3"/>
      <c r="G130" s="3" t="str">
        <f>IF($E130="","",INDEX(KPI!$G:$G,SUMIFS(KPI!$B:$B,KPI!$E:$E,$E130)))</f>
        <v>тыс.руб.</v>
      </c>
      <c r="H130" s="3"/>
      <c r="I130" s="6" t="s">
        <v>0</v>
      </c>
      <c r="J130" s="45">
        <v>5</v>
      </c>
      <c r="K130" s="28"/>
      <c r="L130" s="3"/>
      <c r="M130" s="55"/>
      <c r="N130" s="3"/>
      <c r="O130" s="3"/>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3"/>
    </row>
    <row r="131" spans="1:40" ht="3.9" customHeight="1" x14ac:dyDescent="0.25">
      <c r="A131" s="2"/>
      <c r="B131" s="2"/>
      <c r="C131" s="2"/>
      <c r="D131" s="2"/>
      <c r="E131" s="21"/>
      <c r="F131" s="2"/>
      <c r="G131" s="21"/>
      <c r="H131" s="2"/>
      <c r="I131" s="28"/>
      <c r="J131" s="21"/>
      <c r="K131" s="28"/>
      <c r="L131" s="2"/>
      <c r="M131" s="52"/>
      <c r="N131" s="2"/>
      <c r="O131" s="2"/>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2"/>
    </row>
    <row r="132" spans="1:40" ht="8.1" customHeight="1" x14ac:dyDescent="0.25">
      <c r="A132" s="2"/>
      <c r="B132" s="2"/>
      <c r="C132" s="2"/>
      <c r="D132" s="2"/>
      <c r="E132" s="2"/>
      <c r="F132" s="2"/>
      <c r="G132" s="2"/>
      <c r="H132" s="2"/>
      <c r="I132" s="28"/>
      <c r="J132" s="2"/>
      <c r="K132" s="28"/>
      <c r="L132" s="2"/>
      <c r="M132" s="52"/>
      <c r="N132" s="2"/>
      <c r="O132" s="2"/>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2"/>
    </row>
    <row r="133" spans="1:40" x14ac:dyDescent="0.25">
      <c r="A133" s="2"/>
      <c r="B133" s="2"/>
      <c r="C133" s="2"/>
      <c r="D133" s="2"/>
      <c r="E133" s="2"/>
      <c r="F133" s="2"/>
      <c r="G133" s="2"/>
      <c r="H133" s="2"/>
      <c r="I133" s="28"/>
      <c r="J133" s="2"/>
      <c r="K133" s="28"/>
      <c r="L133" s="2"/>
      <c r="M133" s="52"/>
      <c r="N133" s="2"/>
      <c r="O133" s="2"/>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2"/>
    </row>
    <row r="134" spans="1:40" x14ac:dyDescent="0.25">
      <c r="A134" s="2"/>
      <c r="B134" s="2"/>
      <c r="C134" s="2"/>
      <c r="D134" s="2"/>
      <c r="E134" s="2"/>
      <c r="F134" s="2"/>
      <c r="G134" s="2"/>
      <c r="H134" s="2"/>
      <c r="I134" s="28"/>
      <c r="J134" s="2"/>
      <c r="K134" s="28"/>
      <c r="L134" s="2"/>
      <c r="M134" s="52"/>
      <c r="N134" s="2"/>
      <c r="O134" s="2"/>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2"/>
    </row>
    <row r="135" spans="1:40" x14ac:dyDescent="0.25">
      <c r="A135" s="2"/>
      <c r="B135" s="2"/>
      <c r="C135" s="2"/>
      <c r="D135" s="2"/>
      <c r="E135" s="2"/>
      <c r="F135" s="2"/>
      <c r="G135" s="2"/>
      <c r="H135" s="2"/>
      <c r="I135" s="28"/>
      <c r="J135" s="2"/>
      <c r="K135" s="28"/>
      <c r="L135" s="2"/>
      <c r="M135" s="52"/>
      <c r="N135" s="2"/>
      <c r="O135" s="2"/>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2"/>
    </row>
    <row r="136" spans="1:40" x14ac:dyDescent="0.25">
      <c r="A136" s="2"/>
      <c r="B136" s="2"/>
      <c r="C136" s="2"/>
      <c r="D136" s="2"/>
      <c r="E136" s="2"/>
      <c r="F136" s="2"/>
      <c r="G136" s="2"/>
      <c r="H136" s="2"/>
      <c r="I136" s="28"/>
      <c r="J136" s="2"/>
      <c r="K136" s="28"/>
      <c r="L136" s="2"/>
      <c r="M136" s="52"/>
      <c r="N136" s="2"/>
      <c r="O136" s="2"/>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2"/>
    </row>
    <row r="137" spans="1:40" x14ac:dyDescent="0.25">
      <c r="A137" s="2"/>
      <c r="B137" s="2"/>
      <c r="C137" s="2"/>
      <c r="D137" s="2"/>
      <c r="E137" s="2"/>
      <c r="F137" s="2"/>
      <c r="G137" s="2"/>
      <c r="H137" s="2"/>
      <c r="I137" s="28"/>
      <c r="J137" s="2"/>
      <c r="K137" s="28"/>
      <c r="L137" s="2"/>
      <c r="M137" s="52"/>
      <c r="N137" s="2"/>
      <c r="O137" s="2"/>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2"/>
    </row>
    <row r="138" spans="1:40" x14ac:dyDescent="0.25">
      <c r="A138" s="2"/>
      <c r="B138" s="2"/>
      <c r="C138" s="2"/>
      <c r="D138" s="2"/>
      <c r="E138" s="2"/>
      <c r="F138" s="2"/>
      <c r="G138" s="2"/>
      <c r="H138" s="2"/>
      <c r="I138" s="28"/>
      <c r="J138" s="2"/>
      <c r="K138" s="28"/>
      <c r="L138" s="2"/>
      <c r="M138" s="52"/>
      <c r="N138" s="2"/>
      <c r="O138" s="2"/>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2"/>
    </row>
    <row r="139" spans="1:40" x14ac:dyDescent="0.25">
      <c r="A139" s="2"/>
      <c r="B139" s="2"/>
      <c r="C139" s="2"/>
      <c r="D139" s="2"/>
      <c r="E139" s="2"/>
      <c r="F139" s="2"/>
      <c r="G139" s="2"/>
      <c r="H139" s="2"/>
      <c r="I139" s="28"/>
      <c r="J139" s="2"/>
      <c r="K139" s="28"/>
      <c r="L139" s="2"/>
      <c r="M139" s="52"/>
      <c r="N139" s="2"/>
      <c r="O139" s="2"/>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2"/>
    </row>
    <row r="140" spans="1:40" x14ac:dyDescent="0.25">
      <c r="A140" s="2"/>
      <c r="B140" s="2"/>
      <c r="C140" s="2"/>
      <c r="D140" s="2"/>
      <c r="E140" s="2"/>
      <c r="F140" s="2"/>
      <c r="G140" s="2"/>
      <c r="H140" s="2"/>
      <c r="I140" s="28"/>
      <c r="J140" s="2"/>
      <c r="K140" s="28"/>
      <c r="L140" s="2"/>
      <c r="M140" s="52"/>
      <c r="N140" s="2"/>
      <c r="O140" s="2"/>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2"/>
    </row>
    <row r="141" spans="1:40" x14ac:dyDescent="0.25">
      <c r="A141" s="2"/>
      <c r="B141" s="2"/>
      <c r="C141" s="2"/>
      <c r="D141" s="2"/>
      <c r="E141" s="2"/>
      <c r="F141" s="2"/>
      <c r="G141" s="2"/>
      <c r="H141" s="2"/>
      <c r="I141" s="28"/>
      <c r="J141" s="2"/>
      <c r="K141" s="28"/>
      <c r="L141" s="2"/>
      <c r="M141" s="52"/>
      <c r="N141" s="2"/>
      <c r="O141" s="2"/>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2"/>
    </row>
    <row r="142" spans="1:40" x14ac:dyDescent="0.25">
      <c r="A142" s="2"/>
      <c r="B142" s="2"/>
      <c r="C142" s="2"/>
      <c r="D142" s="2"/>
      <c r="E142" s="2"/>
      <c r="F142" s="2"/>
      <c r="G142" s="2"/>
      <c r="H142" s="2"/>
      <c r="I142" s="28"/>
      <c r="J142" s="2"/>
      <c r="K142" s="28"/>
      <c r="L142" s="2"/>
      <c r="M142" s="52"/>
      <c r="N142" s="2"/>
      <c r="O142" s="2"/>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2"/>
    </row>
    <row r="143" spans="1:40" x14ac:dyDescent="0.25">
      <c r="A143" s="2"/>
      <c r="B143" s="2"/>
      <c r="C143" s="2"/>
      <c r="D143" s="2"/>
      <c r="E143" s="2"/>
      <c r="F143" s="2"/>
      <c r="G143" s="2"/>
      <c r="H143" s="2"/>
      <c r="I143" s="28"/>
      <c r="J143" s="2"/>
      <c r="K143" s="28"/>
      <c r="L143" s="2"/>
      <c r="M143" s="52"/>
      <c r="N143" s="2"/>
      <c r="O143" s="2"/>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2"/>
    </row>
    <row r="144" spans="1:40" x14ac:dyDescent="0.25">
      <c r="A144" s="2"/>
      <c r="B144" s="2"/>
      <c r="C144" s="2"/>
      <c r="D144" s="2"/>
      <c r="E144" s="2"/>
      <c r="F144" s="2"/>
      <c r="G144" s="2"/>
      <c r="H144" s="2"/>
      <c r="I144" s="28"/>
      <c r="J144" s="2"/>
      <c r="K144" s="28"/>
      <c r="L144" s="2"/>
      <c r="M144" s="52"/>
      <c r="N144" s="2"/>
      <c r="O144" s="2"/>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2"/>
    </row>
    <row r="145" spans="1:40" x14ac:dyDescent="0.25">
      <c r="A145" s="2"/>
      <c r="B145" s="2"/>
      <c r="C145" s="2"/>
      <c r="D145" s="2"/>
      <c r="E145" s="2"/>
      <c r="F145" s="2"/>
      <c r="G145" s="2"/>
      <c r="H145" s="2"/>
      <c r="I145" s="28"/>
      <c r="J145" s="2"/>
      <c r="K145" s="28"/>
      <c r="L145" s="2"/>
      <c r="M145" s="52"/>
      <c r="N145" s="2"/>
      <c r="O145" s="2"/>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2"/>
    </row>
    <row r="146" spans="1:40" x14ac:dyDescent="0.25">
      <c r="A146" s="2"/>
      <c r="B146" s="2"/>
      <c r="C146" s="2"/>
      <c r="D146" s="2"/>
      <c r="E146" s="2"/>
      <c r="F146" s="2"/>
      <c r="G146" s="2"/>
      <c r="H146" s="2"/>
      <c r="I146" s="28"/>
      <c r="J146" s="2"/>
      <c r="K146" s="28"/>
      <c r="L146" s="2"/>
      <c r="M146" s="52"/>
      <c r="N146" s="2"/>
      <c r="O146" s="2"/>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2"/>
    </row>
    <row r="147" spans="1:40" x14ac:dyDescent="0.25">
      <c r="A147" s="2"/>
      <c r="B147" s="2"/>
      <c r="C147" s="2"/>
      <c r="D147" s="2"/>
      <c r="E147" s="2"/>
      <c r="F147" s="2"/>
      <c r="G147" s="2"/>
      <c r="H147" s="2"/>
      <c r="I147" s="28"/>
      <c r="J147" s="2"/>
      <c r="K147" s="28"/>
      <c r="L147" s="2"/>
      <c r="M147" s="52"/>
      <c r="N147" s="2"/>
      <c r="O147" s="2"/>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2"/>
    </row>
    <row r="148" spans="1:40" x14ac:dyDescent="0.25">
      <c r="A148" s="2"/>
      <c r="B148" s="2"/>
      <c r="C148" s="2"/>
      <c r="D148" s="2"/>
      <c r="E148" s="2"/>
      <c r="F148" s="2"/>
      <c r="G148" s="2"/>
      <c r="H148" s="2"/>
      <c r="I148" s="28"/>
      <c r="J148" s="2"/>
      <c r="K148" s="28"/>
      <c r="L148" s="2"/>
      <c r="M148" s="52"/>
      <c r="N148" s="2"/>
      <c r="O148" s="2"/>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2"/>
    </row>
    <row r="149" spans="1:40" x14ac:dyDescent="0.25">
      <c r="A149" s="2"/>
      <c r="B149" s="2"/>
      <c r="C149" s="2"/>
      <c r="D149" s="2"/>
      <c r="E149" s="2"/>
      <c r="F149" s="2"/>
      <c r="G149" s="2"/>
      <c r="H149" s="2"/>
      <c r="I149" s="28"/>
      <c r="J149" s="2"/>
      <c r="K149" s="28"/>
      <c r="L149" s="2"/>
      <c r="M149" s="52"/>
      <c r="N149" s="2"/>
      <c r="O149" s="2"/>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2"/>
    </row>
    <row r="150" spans="1:40" x14ac:dyDescent="0.25">
      <c r="A150" s="2"/>
      <c r="B150" s="2"/>
      <c r="C150" s="2"/>
      <c r="D150" s="2"/>
      <c r="E150" s="2"/>
      <c r="F150" s="2"/>
      <c r="G150" s="2"/>
      <c r="H150" s="2"/>
      <c r="I150" s="28"/>
      <c r="J150" s="2"/>
      <c r="K150" s="28"/>
      <c r="L150" s="2"/>
      <c r="M150" s="52"/>
      <c r="N150" s="2"/>
      <c r="O150" s="2"/>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2"/>
    </row>
    <row r="151" spans="1:40" x14ac:dyDescent="0.25">
      <c r="A151" s="2"/>
      <c r="B151" s="2"/>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2"/>
    </row>
    <row r="152" spans="1:40" x14ac:dyDescent="0.25">
      <c r="A152" s="2"/>
      <c r="B152" s="2"/>
      <c r="C152" s="2"/>
      <c r="D152" s="2"/>
      <c r="E152" s="2"/>
      <c r="F152" s="2"/>
      <c r="G152" s="2"/>
      <c r="H152" s="2"/>
      <c r="I152" s="28"/>
      <c r="J152" s="2"/>
      <c r="K152" s="28"/>
      <c r="L152" s="2"/>
      <c r="M152" s="52"/>
      <c r="N152" s="2"/>
      <c r="O152" s="2"/>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2"/>
    </row>
    <row r="153" spans="1:40" x14ac:dyDescent="0.25">
      <c r="A153" s="2"/>
      <c r="B153" s="2"/>
      <c r="C153" s="2"/>
      <c r="D153" s="2"/>
      <c r="E153" s="2"/>
      <c r="F153" s="2"/>
      <c r="G153" s="2"/>
      <c r="H153" s="2"/>
      <c r="I153" s="28"/>
      <c r="J153" s="2"/>
      <c r="K153" s="28"/>
      <c r="L153" s="2"/>
      <c r="M153" s="52"/>
      <c r="N153" s="2"/>
      <c r="O153" s="2"/>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2"/>
    </row>
    <row r="154" spans="1:40" x14ac:dyDescent="0.25">
      <c r="A154" s="2"/>
      <c r="B154" s="2"/>
      <c r="C154" s="2"/>
      <c r="D154" s="2"/>
      <c r="E154" s="2"/>
      <c r="F154" s="2"/>
      <c r="G154" s="2"/>
      <c r="H154" s="2"/>
      <c r="I154" s="28"/>
      <c r="J154" s="2"/>
      <c r="K154" s="28"/>
      <c r="L154" s="2"/>
      <c r="M154" s="52"/>
      <c r="N154" s="2"/>
      <c r="O154" s="2"/>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2"/>
    </row>
    <row r="155" spans="1:40" x14ac:dyDescent="0.25">
      <c r="A155" s="2"/>
      <c r="B155" s="2"/>
      <c r="C155" s="2"/>
      <c r="D155" s="2"/>
      <c r="E155" s="2"/>
      <c r="F155" s="2"/>
      <c r="G155" s="2"/>
      <c r="H155" s="2"/>
      <c r="I155" s="28"/>
      <c r="J155" s="2"/>
      <c r="K155" s="28"/>
      <c r="L155" s="2"/>
      <c r="M155" s="52"/>
      <c r="N155" s="2"/>
      <c r="O155" s="2"/>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2"/>
    </row>
    <row r="156" spans="1:40" x14ac:dyDescent="0.25">
      <c r="A156" s="2"/>
      <c r="B156" s="2"/>
      <c r="C156" s="2"/>
      <c r="D156" s="2"/>
      <c r="E156" s="2"/>
      <c r="F156" s="2"/>
      <c r="G156" s="2"/>
      <c r="H156" s="2"/>
      <c r="I156" s="28"/>
      <c r="J156" s="2"/>
      <c r="K156" s="28"/>
      <c r="L156" s="2"/>
      <c r="M156" s="52"/>
      <c r="N156" s="2"/>
      <c r="O156" s="2"/>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2"/>
    </row>
    <row r="157" spans="1:40" x14ac:dyDescent="0.25">
      <c r="A157" s="2"/>
      <c r="B157" s="2"/>
      <c r="C157" s="2"/>
      <c r="D157" s="2"/>
      <c r="E157" s="2"/>
      <c r="F157" s="2"/>
      <c r="G157" s="2"/>
      <c r="H157" s="2"/>
      <c r="I157" s="28"/>
      <c r="J157" s="2"/>
      <c r="K157" s="28"/>
      <c r="L157" s="2"/>
      <c r="M157" s="52"/>
      <c r="N157" s="2"/>
      <c r="O157" s="2"/>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2"/>
    </row>
    <row r="158" spans="1:40" x14ac:dyDescent="0.25">
      <c r="A158" s="2"/>
      <c r="B158" s="2"/>
      <c r="C158" s="2"/>
      <c r="D158" s="2"/>
      <c r="E158" s="2"/>
      <c r="F158" s="2"/>
      <c r="G158" s="2"/>
      <c r="H158" s="2"/>
      <c r="I158" s="28"/>
      <c r="J158" s="2"/>
      <c r="K158" s="28"/>
      <c r="L158" s="2"/>
      <c r="M158" s="52"/>
      <c r="N158" s="2"/>
      <c r="O158" s="2"/>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2"/>
    </row>
    <row r="159" spans="1:40" x14ac:dyDescent="0.25">
      <c r="A159" s="2"/>
      <c r="B159" s="2"/>
      <c r="C159" s="2"/>
      <c r="D159" s="2"/>
      <c r="E159" s="2"/>
      <c r="F159" s="2"/>
      <c r="G159" s="2"/>
      <c r="H159" s="2"/>
      <c r="I159" s="28"/>
      <c r="J159" s="2"/>
      <c r="K159" s="28"/>
      <c r="L159" s="2"/>
      <c r="M159" s="52"/>
      <c r="N159" s="2"/>
      <c r="O159" s="2"/>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2"/>
    </row>
    <row r="160" spans="1:40" x14ac:dyDescent="0.25">
      <c r="A160" s="2"/>
      <c r="B160" s="2"/>
      <c r="C160" s="2"/>
      <c r="D160" s="2"/>
      <c r="E160" s="2"/>
      <c r="F160" s="2"/>
      <c r="G160" s="2"/>
      <c r="H160" s="2"/>
      <c r="I160" s="28"/>
      <c r="J160" s="2"/>
      <c r="K160" s="28"/>
      <c r="L160" s="2"/>
      <c r="M160" s="52"/>
      <c r="N160" s="2"/>
      <c r="O160" s="2"/>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2"/>
    </row>
    <row r="161" spans="1:40" x14ac:dyDescent="0.25">
      <c r="A161" s="2"/>
      <c r="B161" s="2"/>
      <c r="C161" s="2"/>
      <c r="D161" s="2"/>
      <c r="E161" s="2"/>
      <c r="F161" s="2"/>
      <c r="G161" s="2"/>
      <c r="H161" s="2"/>
      <c r="I161" s="28"/>
      <c r="J161" s="2"/>
      <c r="K161" s="28"/>
      <c r="L161" s="2"/>
      <c r="M161" s="52"/>
      <c r="N161" s="2"/>
      <c r="O161" s="2"/>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2"/>
    </row>
    <row r="162" spans="1:40" x14ac:dyDescent="0.25">
      <c r="A162" s="2"/>
      <c r="B162" s="2"/>
      <c r="C162" s="2"/>
      <c r="D162" s="2"/>
      <c r="E162" s="2"/>
      <c r="F162" s="2"/>
      <c r="G162" s="2"/>
      <c r="H162" s="2"/>
      <c r="I162" s="28"/>
      <c r="J162" s="2"/>
      <c r="K162" s="28"/>
      <c r="L162" s="2"/>
      <c r="M162" s="52"/>
      <c r="N162" s="2"/>
      <c r="O162" s="2"/>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2"/>
    </row>
    <row r="163" spans="1:40" x14ac:dyDescent="0.25">
      <c r="A163" s="2"/>
      <c r="B163" s="2"/>
      <c r="C163" s="2"/>
      <c r="D163" s="2"/>
      <c r="E163" s="2"/>
      <c r="F163" s="2"/>
      <c r="G163" s="2"/>
      <c r="H163" s="2"/>
      <c r="I163" s="28"/>
      <c r="J163" s="2"/>
      <c r="K163" s="28"/>
      <c r="L163" s="2"/>
      <c r="M163" s="52"/>
      <c r="N163" s="2"/>
      <c r="O163" s="2"/>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2"/>
    </row>
    <row r="164" spans="1:40" x14ac:dyDescent="0.25">
      <c r="A164" s="2"/>
      <c r="B164" s="2"/>
      <c r="C164" s="2"/>
      <c r="D164" s="2"/>
      <c r="E164" s="2"/>
      <c r="F164" s="2"/>
      <c r="G164" s="2"/>
      <c r="H164" s="2"/>
      <c r="I164" s="28"/>
      <c r="J164" s="2"/>
      <c r="K164" s="28"/>
      <c r="L164" s="2"/>
      <c r="M164" s="52"/>
      <c r="N164" s="2"/>
      <c r="O164" s="2"/>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2"/>
    </row>
    <row r="165" spans="1:40" x14ac:dyDescent="0.25">
      <c r="A165" s="2"/>
      <c r="B165" s="2"/>
      <c r="C165" s="2"/>
      <c r="D165" s="2"/>
      <c r="E165" s="2"/>
      <c r="F165" s="2"/>
      <c r="G165" s="2"/>
      <c r="H165" s="2"/>
      <c r="I165" s="28"/>
      <c r="J165" s="2"/>
      <c r="K165" s="28"/>
      <c r="L165" s="2"/>
      <c r="M165" s="52"/>
      <c r="N165" s="2"/>
      <c r="O165" s="2"/>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2"/>
    </row>
    <row r="166" spans="1:40" x14ac:dyDescent="0.25">
      <c r="A166" s="2"/>
      <c r="B166" s="2"/>
      <c r="C166" s="2"/>
      <c r="D166" s="2"/>
      <c r="E166" s="2"/>
      <c r="F166" s="2"/>
      <c r="G166" s="2"/>
      <c r="H166" s="2"/>
      <c r="I166" s="28"/>
      <c r="J166" s="2"/>
      <c r="K166" s="28"/>
      <c r="L166" s="2"/>
      <c r="M166" s="52"/>
      <c r="N166" s="2"/>
      <c r="O166" s="2"/>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2"/>
    </row>
    <row r="167" spans="1:40" x14ac:dyDescent="0.25">
      <c r="A167" s="2"/>
      <c r="B167" s="2"/>
      <c r="C167" s="2"/>
      <c r="D167" s="2"/>
      <c r="E167" s="2"/>
      <c r="F167" s="2"/>
      <c r="G167" s="2"/>
      <c r="H167" s="2"/>
      <c r="I167" s="28"/>
      <c r="J167" s="2"/>
      <c r="K167" s="28"/>
      <c r="L167" s="2"/>
      <c r="M167" s="52"/>
      <c r="N167" s="2"/>
      <c r="O167" s="2"/>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2"/>
    </row>
    <row r="168" spans="1:40" x14ac:dyDescent="0.25">
      <c r="A168" s="2"/>
      <c r="B168" s="2"/>
      <c r="C168" s="2"/>
      <c r="D168" s="2"/>
      <c r="E168" s="2"/>
      <c r="F168" s="2"/>
      <c r="G168" s="2"/>
      <c r="H168" s="2"/>
      <c r="I168" s="28"/>
      <c r="J168" s="2"/>
      <c r="K168" s="28"/>
      <c r="L168" s="2"/>
      <c r="M168" s="52"/>
      <c r="N168" s="2"/>
      <c r="O168" s="2"/>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2"/>
    </row>
    <row r="169" spans="1:40" x14ac:dyDescent="0.25">
      <c r="A169" s="2"/>
      <c r="B169" s="2"/>
      <c r="C169" s="2"/>
      <c r="D169" s="2"/>
      <c r="E169" s="2"/>
      <c r="F169" s="2"/>
      <c r="G169" s="2"/>
      <c r="H169" s="2"/>
      <c r="I169" s="28"/>
      <c r="J169" s="2"/>
      <c r="K169" s="28"/>
      <c r="L169" s="2"/>
      <c r="M169" s="52"/>
      <c r="N169" s="2"/>
      <c r="O169" s="2"/>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2"/>
    </row>
    <row r="170" spans="1:40" x14ac:dyDescent="0.25">
      <c r="A170" s="2"/>
      <c r="B170" s="2"/>
      <c r="C170" s="2"/>
      <c r="D170" s="2"/>
      <c r="E170" s="2"/>
      <c r="F170" s="2"/>
      <c r="G170" s="2"/>
      <c r="H170" s="2"/>
      <c r="I170" s="28"/>
      <c r="J170" s="2"/>
      <c r="K170" s="28"/>
      <c r="L170" s="2"/>
      <c r="M170" s="52"/>
      <c r="N170" s="2"/>
      <c r="O170" s="2"/>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2"/>
    </row>
    <row r="171" spans="1:40" x14ac:dyDescent="0.25">
      <c r="A171" s="2"/>
      <c r="B171" s="2"/>
      <c r="C171" s="2"/>
      <c r="D171" s="2"/>
      <c r="E171" s="2"/>
      <c r="F171" s="2"/>
      <c r="G171" s="2"/>
      <c r="H171" s="2"/>
      <c r="I171" s="28"/>
      <c r="J171" s="2"/>
      <c r="K171" s="28"/>
      <c r="L171" s="2"/>
      <c r="M171" s="52"/>
      <c r="N171" s="2"/>
      <c r="O171" s="2"/>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2"/>
    </row>
    <row r="172" spans="1:40" x14ac:dyDescent="0.25">
      <c r="A172" s="2"/>
      <c r="B172" s="2"/>
      <c r="C172" s="2"/>
      <c r="D172" s="2"/>
      <c r="E172" s="2"/>
      <c r="F172" s="2"/>
      <c r="G172" s="2"/>
      <c r="H172" s="2"/>
      <c r="I172" s="28"/>
      <c r="J172" s="2"/>
      <c r="K172" s="28"/>
      <c r="L172" s="2"/>
      <c r="M172" s="52"/>
      <c r="N172" s="2"/>
      <c r="O172" s="2"/>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2"/>
    </row>
    <row r="173" spans="1:40" x14ac:dyDescent="0.25">
      <c r="A173" s="2"/>
      <c r="B173" s="2"/>
      <c r="C173" s="2"/>
      <c r="D173" s="2"/>
      <c r="E173" s="2"/>
      <c r="F173" s="2"/>
      <c r="G173" s="2"/>
      <c r="H173" s="2"/>
      <c r="I173" s="28"/>
      <c r="J173" s="2"/>
      <c r="K173" s="28"/>
      <c r="L173" s="2"/>
      <c r="M173" s="52"/>
      <c r="N173" s="2"/>
      <c r="O173" s="2"/>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2"/>
    </row>
    <row r="174" spans="1:40" x14ac:dyDescent="0.25">
      <c r="A174" s="2"/>
      <c r="B174" s="2"/>
      <c r="C174" s="2"/>
      <c r="D174" s="2"/>
      <c r="E174" s="2"/>
      <c r="F174" s="2"/>
      <c r="G174" s="2"/>
      <c r="H174" s="2"/>
      <c r="I174" s="28"/>
      <c r="J174" s="2"/>
      <c r="K174" s="28"/>
      <c r="L174" s="2"/>
      <c r="M174" s="52"/>
      <c r="N174" s="2"/>
      <c r="O174" s="2"/>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2"/>
    </row>
    <row r="175" spans="1:40" x14ac:dyDescent="0.25">
      <c r="A175" s="2"/>
      <c r="B175" s="2"/>
      <c r="C175" s="2"/>
      <c r="D175" s="2"/>
      <c r="E175" s="2"/>
      <c r="F175" s="2"/>
      <c r="G175" s="2"/>
      <c r="H175" s="2"/>
      <c r="I175" s="28"/>
      <c r="J175" s="2"/>
      <c r="K175" s="28"/>
      <c r="L175" s="2"/>
      <c r="M175" s="52"/>
      <c r="N175" s="2"/>
      <c r="O175" s="2"/>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2"/>
    </row>
    <row r="176" spans="1:40" x14ac:dyDescent="0.25">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row>
    <row r="177" spans="16:39" x14ac:dyDescent="0.25">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row>
    <row r="178" spans="16:39" x14ac:dyDescent="0.25">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c r="AM178" s="57"/>
    </row>
    <row r="179" spans="16:39" x14ac:dyDescent="0.25">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row>
    <row r="180" spans="16:39" x14ac:dyDescent="0.25">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row>
    <row r="181" spans="16:39" x14ac:dyDescent="0.25">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row>
    <row r="182" spans="16:39" x14ac:dyDescent="0.25">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row>
    <row r="183" spans="16:39" x14ac:dyDescent="0.25">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row>
    <row r="184" spans="16:39" x14ac:dyDescent="0.25">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row>
    <row r="185" spans="16:39" x14ac:dyDescent="0.25">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row>
  </sheetData>
  <conditionalFormatting sqref="J13">
    <cfRule type="containsBlanks" dxfId="11719" priority="45">
      <formula>LEN(TRIM(J13))=0</formula>
    </cfRule>
  </conditionalFormatting>
  <conditionalFormatting sqref="J15">
    <cfRule type="containsBlanks" dxfId="11718" priority="44">
      <formula>LEN(TRIM(J15))=0</formula>
    </cfRule>
  </conditionalFormatting>
  <conditionalFormatting sqref="L15">
    <cfRule type="notContainsBlanks" dxfId="11717" priority="43">
      <formula>LEN(TRIM(L15))&gt;0</formula>
    </cfRule>
  </conditionalFormatting>
  <conditionalFormatting sqref="J21:J23">
    <cfRule type="containsBlanks" dxfId="11716" priority="42">
      <formula>LEN(TRIM(J21))=0</formula>
    </cfRule>
  </conditionalFormatting>
  <conditionalFormatting sqref="J31">
    <cfRule type="containsBlanks" dxfId="11715" priority="41">
      <formula>LEN(TRIM(J31))=0</formula>
    </cfRule>
  </conditionalFormatting>
  <conditionalFormatting sqref="J42:J43">
    <cfRule type="containsBlanks" dxfId="11714" priority="38">
      <formula>LEN(TRIM(J42))=0</formula>
    </cfRule>
  </conditionalFormatting>
  <conditionalFormatting sqref="J32:J36">
    <cfRule type="containsBlanks" dxfId="11713" priority="40">
      <formula>LEN(TRIM(J32))=0</formula>
    </cfRule>
  </conditionalFormatting>
  <conditionalFormatting sqref="J41">
    <cfRule type="containsBlanks" dxfId="11712" priority="39">
      <formula>LEN(TRIM(J41))=0</formula>
    </cfRule>
  </conditionalFormatting>
  <conditionalFormatting sqref="J72">
    <cfRule type="containsBlanks" dxfId="11711" priority="33">
      <formula>LEN(TRIM(J72))=0</formula>
    </cfRule>
  </conditionalFormatting>
  <conditionalFormatting sqref="J49">
    <cfRule type="containsBlanks" dxfId="11710" priority="37">
      <formula>LEN(TRIM(J49))=0</formula>
    </cfRule>
  </conditionalFormatting>
  <conditionalFormatting sqref="J60:J61">
    <cfRule type="containsBlanks" dxfId="11709" priority="34">
      <formula>LEN(TRIM(J60))=0</formula>
    </cfRule>
  </conditionalFormatting>
  <conditionalFormatting sqref="J50:J54">
    <cfRule type="containsBlanks" dxfId="11708" priority="36">
      <formula>LEN(TRIM(J50))=0</formula>
    </cfRule>
  </conditionalFormatting>
  <conditionalFormatting sqref="J59">
    <cfRule type="containsBlanks" dxfId="11707" priority="35">
      <formula>LEN(TRIM(J59))=0</formula>
    </cfRule>
  </conditionalFormatting>
  <conditionalFormatting sqref="J105">
    <cfRule type="containsBlanks" dxfId="11706" priority="24">
      <formula>LEN(TRIM(J105))=0</formula>
    </cfRule>
  </conditionalFormatting>
  <conditionalFormatting sqref="J68:J69">
    <cfRule type="containsBlanks" dxfId="11705" priority="22">
      <formula>LEN(TRIM(J68))=0</formula>
    </cfRule>
  </conditionalFormatting>
  <conditionalFormatting sqref="J67">
    <cfRule type="containsBlanks" dxfId="11704" priority="23">
      <formula>LEN(TRIM(J67))=0</formula>
    </cfRule>
  </conditionalFormatting>
  <conditionalFormatting sqref="A1:XFD1048576">
    <cfRule type="cellIs" dxfId="11703" priority="21" operator="equal">
      <formula>0</formula>
    </cfRule>
  </conditionalFormatting>
  <conditionalFormatting sqref="J115:J116">
    <cfRule type="containsBlanks" dxfId="11702" priority="13">
      <formula>LEN(TRIM(J115))=0</formula>
    </cfRule>
  </conditionalFormatting>
  <conditionalFormatting sqref="J114">
    <cfRule type="containsBlanks" dxfId="11701" priority="14">
      <formula>LEN(TRIM(J114))=0</formula>
    </cfRule>
  </conditionalFormatting>
  <conditionalFormatting sqref="J123:J124">
    <cfRule type="containsBlanks" dxfId="11700" priority="10">
      <formula>LEN(TRIM(J123))=0</formula>
    </cfRule>
  </conditionalFormatting>
  <conditionalFormatting sqref="J122">
    <cfRule type="containsBlanks" dxfId="11699" priority="11">
      <formula>LEN(TRIM(J122))=0</formula>
    </cfRule>
  </conditionalFormatting>
  <conditionalFormatting sqref="P123:AM124">
    <cfRule type="containsBlanks" dxfId="11698" priority="8">
      <formula>LEN(TRIM(P123))=0</formula>
    </cfRule>
  </conditionalFormatting>
  <conditionalFormatting sqref="P122:AM122">
    <cfRule type="containsBlanks" dxfId="11697" priority="9">
      <formula>LEN(TRIM(P122))=0</formula>
    </cfRule>
  </conditionalFormatting>
  <conditionalFormatting sqref="P122:AM124">
    <cfRule type="expression" dxfId="11696" priority="7">
      <formula>P$1=""</formula>
    </cfRule>
  </conditionalFormatting>
  <conditionalFormatting sqref="J130">
    <cfRule type="containsBlanks" dxfId="11695" priority="6">
      <formula>LEN(TRIM(J130))=0</formula>
    </cfRule>
  </conditionalFormatting>
  <conditionalFormatting sqref="P26:AM26">
    <cfRule type="expression" dxfId="11694" priority="5">
      <formula>P$1=""</formula>
    </cfRule>
  </conditionalFormatting>
  <conditionalFormatting sqref="P75:AM75">
    <cfRule type="expression" dxfId="11693" priority="4">
      <formula>P$1=""</formula>
    </cfRule>
  </conditionalFormatting>
  <conditionalFormatting sqref="P78:AM78">
    <cfRule type="expression" dxfId="11692" priority="3">
      <formula>P$1=""</formula>
    </cfRule>
  </conditionalFormatting>
  <conditionalFormatting sqref="P109:AM109 P102:AM102 P99:AM99">
    <cfRule type="expression" dxfId="11691" priority="2">
      <formula>P$1=""</formula>
    </cfRule>
  </conditionalFormatting>
  <conditionalFormatting sqref="P127:AM127">
    <cfRule type="expression" dxfId="11690" priority="1">
      <formula>P$1=""</formula>
    </cfRule>
  </conditionalFormatting>
  <hyperlinks>
    <hyperlink ref="A1:D1" location="оглавление!A1" tooltip="оглавление" display="оглавление"/>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структура!$E$12:$E$36</xm:f>
          </x14:formula1>
          <xm:sqref>J13</xm:sqref>
        </x14:dataValidation>
        <x14:dataValidation type="list" allowBlank="1" showInputMessage="1" showErrorMessage="1">
          <x14:formula1>
            <xm:f>структура!$G$12:$G$36</xm:f>
          </x14:formula1>
          <xm:sqref>J15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X217"/>
  <sheetViews>
    <sheetView showGridLines="0" workbookViewId="0">
      <pane xSplit="6" ySplit="7" topLeftCell="G8" activePane="bottomRight" state="frozen"/>
      <selection pane="topRight" activeCell="G1" sqref="G1"/>
      <selection pane="bottomLeft" activeCell="A8" sqref="A8"/>
      <selection pane="bottomRight" activeCell="A2" sqref="A2"/>
    </sheetView>
  </sheetViews>
  <sheetFormatPr defaultColWidth="9.109375" defaultRowHeight="12" x14ac:dyDescent="0.25"/>
  <cols>
    <col min="1" max="1" width="2.6640625" style="1" customWidth="1"/>
    <col min="2" max="2" width="5.109375" style="41" bestFit="1" customWidth="1"/>
    <col min="3" max="3" width="3.5546875" style="41" bestFit="1" customWidth="1"/>
    <col min="4" max="4" width="1.6640625" style="1" customWidth="1"/>
    <col min="5" max="5" width="23.109375" style="1" bestFit="1" customWidth="1"/>
    <col min="6" max="6" width="1.6640625" style="1" customWidth="1"/>
    <col min="7" max="7" width="2.6640625" style="1" customWidth="1"/>
    <col min="8" max="8" width="60.33203125" style="1" bestFit="1" customWidth="1"/>
    <col min="9" max="9" width="2.6640625" style="1" customWidth="1"/>
    <col min="10" max="10" width="8.6640625" style="56" customWidth="1"/>
    <col min="11" max="11" width="2.6640625" style="1" customWidth="1"/>
    <col min="12" max="12" width="7.6640625" style="56" customWidth="1"/>
    <col min="13" max="13" width="2.6640625" style="1" customWidth="1"/>
    <col min="14" max="14" width="7.88671875" style="56" bestFit="1" customWidth="1"/>
    <col min="15" max="16384" width="9.109375" style="1"/>
  </cols>
  <sheetData>
    <row r="1" spans="1:24" ht="13.8" x14ac:dyDescent="0.3">
      <c r="A1" s="281" t="s">
        <v>341</v>
      </c>
      <c r="B1" s="281"/>
      <c r="C1" s="281"/>
      <c r="D1" s="281"/>
      <c r="E1" s="2"/>
      <c r="F1" s="2"/>
      <c r="G1" s="2"/>
      <c r="H1" s="2"/>
      <c r="I1" s="2"/>
      <c r="J1" s="52"/>
      <c r="K1" s="2"/>
      <c r="L1" s="52"/>
      <c r="M1" s="2"/>
      <c r="N1" s="52"/>
      <c r="O1" s="2"/>
      <c r="P1" s="2"/>
      <c r="Q1" s="2"/>
      <c r="R1" s="2"/>
      <c r="S1" s="2"/>
      <c r="T1" s="2"/>
      <c r="U1" s="2"/>
      <c r="V1" s="2"/>
      <c r="W1" s="2"/>
      <c r="X1" s="2"/>
    </row>
    <row r="2" spans="1:24" x14ac:dyDescent="0.25">
      <c r="A2" s="2"/>
      <c r="B2" s="37"/>
      <c r="C2" s="89" t="str">
        <f>методология!$E$4</f>
        <v>Инвестмодель базы отдыха - Беседки &amp; Веревочный парк</v>
      </c>
      <c r="D2" s="20"/>
      <c r="E2" s="20"/>
      <c r="F2" s="2"/>
      <c r="G2" s="2"/>
      <c r="H2" s="2"/>
      <c r="I2" s="2"/>
      <c r="J2" s="52"/>
      <c r="K2" s="2"/>
      <c r="L2" s="52"/>
      <c r="M2" s="2"/>
      <c r="N2" s="52"/>
      <c r="O2" s="2"/>
      <c r="P2" s="2"/>
      <c r="Q2" s="2"/>
      <c r="R2" s="2"/>
      <c r="S2" s="2"/>
      <c r="T2" s="2"/>
      <c r="U2" s="2"/>
      <c r="V2" s="2"/>
      <c r="W2" s="2"/>
      <c r="X2" s="2"/>
    </row>
    <row r="3" spans="1:24" x14ac:dyDescent="0.25">
      <c r="A3" s="2"/>
      <c r="B3" s="37"/>
      <c r="C3" s="89" t="str">
        <f>методология!$E$5</f>
        <v>Со сценарным анализом</v>
      </c>
      <c r="D3" s="20"/>
      <c r="E3" s="20"/>
      <c r="F3" s="2"/>
      <c r="G3" s="2"/>
      <c r="H3" s="2"/>
      <c r="I3" s="2"/>
      <c r="J3" s="52"/>
      <c r="K3" s="2"/>
      <c r="L3" s="52"/>
      <c r="M3" s="2"/>
      <c r="N3" s="52"/>
      <c r="O3" s="2"/>
      <c r="P3" s="2"/>
      <c r="Q3" s="2"/>
      <c r="R3" s="2"/>
      <c r="S3" s="2"/>
      <c r="T3" s="2"/>
      <c r="U3" s="2"/>
      <c r="V3" s="2"/>
      <c r="W3" s="2"/>
      <c r="X3" s="2"/>
    </row>
    <row r="4" spans="1:24" x14ac:dyDescent="0.25">
      <c r="A4" s="2"/>
      <c r="B4" s="37"/>
      <c r="C4" s="2"/>
      <c r="D4" s="2"/>
      <c r="E4" s="2"/>
      <c r="F4" s="2"/>
      <c r="G4" s="2"/>
      <c r="H4" s="2"/>
      <c r="I4" s="2"/>
      <c r="J4" s="52"/>
      <c r="K4" s="2"/>
      <c r="L4" s="52"/>
      <c r="M4" s="2"/>
      <c r="N4" s="52"/>
      <c r="O4" s="2"/>
      <c r="P4" s="2"/>
      <c r="Q4" s="2"/>
      <c r="R4" s="2"/>
      <c r="S4" s="2"/>
      <c r="T4" s="2"/>
      <c r="U4" s="2"/>
      <c r="V4" s="2"/>
      <c r="W4" s="2"/>
      <c r="X4" s="2"/>
    </row>
    <row r="5" spans="1:24" x14ac:dyDescent="0.25">
      <c r="A5" s="2"/>
      <c r="B5" s="37"/>
      <c r="C5" s="225" t="s">
        <v>304</v>
      </c>
      <c r="D5" s="210"/>
      <c r="E5" s="226"/>
      <c r="F5" s="2"/>
      <c r="G5" s="2"/>
      <c r="H5" s="2"/>
      <c r="I5" s="2"/>
      <c r="J5" s="52"/>
      <c r="K5" s="2"/>
      <c r="L5" s="52"/>
      <c r="M5" s="2"/>
      <c r="N5" s="52"/>
      <c r="O5" s="2"/>
      <c r="P5" s="2"/>
      <c r="Q5" s="2"/>
      <c r="R5" s="2"/>
      <c r="S5" s="2"/>
      <c r="T5" s="2"/>
      <c r="U5" s="2"/>
      <c r="V5" s="2"/>
      <c r="W5" s="2"/>
      <c r="X5" s="2"/>
    </row>
    <row r="6" spans="1:24" x14ac:dyDescent="0.25">
      <c r="A6" s="2"/>
      <c r="B6" s="38" t="s">
        <v>16</v>
      </c>
      <c r="C6" s="38" t="s">
        <v>17</v>
      </c>
      <c r="D6" s="2"/>
      <c r="E6" s="2"/>
      <c r="F6" s="2"/>
      <c r="G6" s="32" t="s">
        <v>0</v>
      </c>
      <c r="H6" s="33" t="s">
        <v>47</v>
      </c>
      <c r="I6" s="32" t="s">
        <v>0</v>
      </c>
      <c r="J6" s="70" t="s">
        <v>45</v>
      </c>
      <c r="K6" s="32" t="s">
        <v>0</v>
      </c>
      <c r="L6" s="70" t="s">
        <v>46</v>
      </c>
      <c r="M6" s="32" t="s">
        <v>0</v>
      </c>
      <c r="N6" s="70" t="s">
        <v>8</v>
      </c>
      <c r="O6" s="2"/>
      <c r="P6" s="2"/>
      <c r="Q6" s="2"/>
      <c r="R6" s="2"/>
      <c r="S6" s="2"/>
      <c r="T6" s="2"/>
      <c r="U6" s="2"/>
      <c r="V6" s="2"/>
      <c r="W6" s="2"/>
      <c r="X6" s="2"/>
    </row>
    <row r="7" spans="1:24" ht="3.9" customHeight="1" x14ac:dyDescent="0.25">
      <c r="A7" s="2"/>
      <c r="B7" s="37"/>
      <c r="C7" s="37"/>
      <c r="D7" s="2"/>
      <c r="E7" s="2"/>
      <c r="F7" s="2"/>
      <c r="G7" s="2"/>
      <c r="H7" s="21"/>
      <c r="I7" s="2"/>
      <c r="J7" s="54"/>
      <c r="K7" s="2"/>
      <c r="L7" s="54"/>
      <c r="M7" s="2"/>
      <c r="N7" s="54"/>
      <c r="O7" s="2"/>
      <c r="P7" s="2"/>
      <c r="Q7" s="2"/>
      <c r="R7" s="2"/>
      <c r="S7" s="2"/>
      <c r="T7" s="2"/>
      <c r="U7" s="2"/>
      <c r="V7" s="2"/>
      <c r="W7" s="2"/>
      <c r="X7" s="2"/>
    </row>
    <row r="8" spans="1:24" s="65" customFormat="1" ht="8.1" customHeight="1" x14ac:dyDescent="0.25">
      <c r="A8" s="64"/>
      <c r="B8" s="39"/>
      <c r="C8" s="39"/>
      <c r="D8" s="64"/>
      <c r="E8" s="64"/>
      <c r="F8" s="64"/>
      <c r="G8" s="64"/>
      <c r="H8" s="64"/>
      <c r="I8" s="64"/>
      <c r="J8" s="67"/>
      <c r="K8" s="64"/>
      <c r="L8" s="67"/>
      <c r="M8" s="64"/>
      <c r="N8" s="67"/>
      <c r="O8" s="64"/>
      <c r="P8" s="64"/>
      <c r="Q8" s="64"/>
      <c r="R8" s="64"/>
      <c r="S8" s="64"/>
      <c r="T8" s="64"/>
      <c r="U8" s="64"/>
      <c r="V8" s="64"/>
      <c r="W8" s="64"/>
      <c r="X8" s="64"/>
    </row>
    <row r="9" spans="1:24" s="23" customFormat="1" ht="10.199999999999999" x14ac:dyDescent="0.2">
      <c r="A9" s="22"/>
      <c r="B9" s="40"/>
      <c r="C9" s="40"/>
      <c r="D9" s="22"/>
      <c r="E9" s="22"/>
      <c r="F9" s="22"/>
      <c r="G9" s="22"/>
      <c r="H9" s="22"/>
      <c r="I9" s="22"/>
      <c r="J9" s="71" t="s">
        <v>106</v>
      </c>
      <c r="K9" s="22"/>
      <c r="L9" s="58"/>
      <c r="M9" s="22"/>
      <c r="N9" s="71" t="s">
        <v>106</v>
      </c>
      <c r="O9" s="22"/>
      <c r="P9" s="22"/>
      <c r="Q9" s="22"/>
      <c r="R9" s="22"/>
      <c r="S9" s="22"/>
      <c r="T9" s="22"/>
      <c r="U9" s="22"/>
      <c r="V9" s="22"/>
      <c r="W9" s="22"/>
      <c r="X9" s="22"/>
    </row>
    <row r="10" spans="1:24" x14ac:dyDescent="0.25">
      <c r="A10" s="2"/>
      <c r="B10" s="37">
        <f>ROW(A10)</f>
        <v>10</v>
      </c>
      <c r="C10" s="37">
        <v>1</v>
      </c>
      <c r="D10" s="2"/>
      <c r="E10" s="2" t="str">
        <f>структура!$AD$12</f>
        <v>АБК</v>
      </c>
      <c r="F10" s="2"/>
      <c r="G10" s="32" t="s">
        <v>0</v>
      </c>
      <c r="H10" s="66" t="s">
        <v>48</v>
      </c>
      <c r="I10" s="32" t="s">
        <v>0</v>
      </c>
      <c r="J10" s="68"/>
      <c r="K10" s="32" t="s">
        <v>0</v>
      </c>
      <c r="L10" s="68"/>
      <c r="M10" s="2"/>
      <c r="N10" s="69">
        <f>J10*L10</f>
        <v>0</v>
      </c>
      <c r="O10" s="2"/>
      <c r="P10" s="2"/>
      <c r="Q10" s="2"/>
      <c r="R10" s="2"/>
      <c r="S10" s="2"/>
      <c r="T10" s="2"/>
      <c r="U10" s="2"/>
      <c r="V10" s="2"/>
      <c r="W10" s="2"/>
      <c r="X10" s="2"/>
    </row>
    <row r="11" spans="1:24" x14ac:dyDescent="0.25">
      <c r="A11" s="2"/>
      <c r="B11" s="37">
        <f>ROW(A11)</f>
        <v>11</v>
      </c>
      <c r="C11" s="37">
        <f>C10+1</f>
        <v>2</v>
      </c>
      <c r="D11" s="2"/>
      <c r="E11" s="2" t="str">
        <f>структура!$AD$12</f>
        <v>АБК</v>
      </c>
      <c r="F11" s="2"/>
      <c r="G11" s="32" t="s">
        <v>0</v>
      </c>
      <c r="H11" s="66" t="s">
        <v>49</v>
      </c>
      <c r="I11" s="32" t="s">
        <v>0</v>
      </c>
      <c r="J11" s="68">
        <v>7000</v>
      </c>
      <c r="K11" s="32" t="s">
        <v>0</v>
      </c>
      <c r="L11" s="68">
        <v>4</v>
      </c>
      <c r="M11" s="2"/>
      <c r="N11" s="69">
        <f t="shared" ref="N11:N17" si="0">J11*L11</f>
        <v>28000</v>
      </c>
      <c r="O11" s="2"/>
      <c r="P11" s="2"/>
      <c r="Q11" s="2"/>
      <c r="R11" s="2"/>
      <c r="S11" s="2"/>
      <c r="T11" s="2"/>
      <c r="U11" s="2"/>
      <c r="V11" s="2"/>
      <c r="W11" s="2"/>
      <c r="X11" s="2"/>
    </row>
    <row r="12" spans="1:24" x14ac:dyDescent="0.25">
      <c r="A12" s="2"/>
      <c r="B12" s="37">
        <f t="shared" ref="B12:B75" si="1">ROW(A12)</f>
        <v>12</v>
      </c>
      <c r="C12" s="37">
        <f t="shared" ref="C12:C23" si="2">C11+1</f>
        <v>3</v>
      </c>
      <c r="D12" s="2"/>
      <c r="E12" s="2" t="str">
        <f>структура!$AD$12</f>
        <v>АБК</v>
      </c>
      <c r="F12" s="2"/>
      <c r="G12" s="32" t="s">
        <v>0</v>
      </c>
      <c r="H12" s="66" t="s">
        <v>50</v>
      </c>
      <c r="I12" s="32" t="s">
        <v>0</v>
      </c>
      <c r="J12" s="68">
        <v>3000</v>
      </c>
      <c r="K12" s="32" t="s">
        <v>0</v>
      </c>
      <c r="L12" s="68">
        <v>4</v>
      </c>
      <c r="M12" s="2"/>
      <c r="N12" s="69">
        <f t="shared" si="0"/>
        <v>12000</v>
      </c>
      <c r="O12" s="2"/>
      <c r="P12" s="2"/>
      <c r="Q12" s="2"/>
      <c r="R12" s="2"/>
      <c r="S12" s="2"/>
      <c r="T12" s="2"/>
      <c r="U12" s="2"/>
      <c r="V12" s="2"/>
      <c r="W12" s="2"/>
      <c r="X12" s="2"/>
    </row>
    <row r="13" spans="1:24" x14ac:dyDescent="0.25">
      <c r="A13" s="2"/>
      <c r="B13" s="37">
        <f t="shared" si="1"/>
        <v>13</v>
      </c>
      <c r="C13" s="37">
        <f t="shared" si="2"/>
        <v>4</v>
      </c>
      <c r="D13" s="2"/>
      <c r="E13" s="2" t="str">
        <f>структура!$AD$12</f>
        <v>АБК</v>
      </c>
      <c r="F13" s="2"/>
      <c r="G13" s="32" t="s">
        <v>0</v>
      </c>
      <c r="H13" s="66" t="s">
        <v>51</v>
      </c>
      <c r="I13" s="32" t="s">
        <v>0</v>
      </c>
      <c r="J13" s="68">
        <v>9000</v>
      </c>
      <c r="K13" s="32" t="s">
        <v>0</v>
      </c>
      <c r="L13" s="68">
        <v>5</v>
      </c>
      <c r="M13" s="2"/>
      <c r="N13" s="69">
        <f t="shared" si="0"/>
        <v>45000</v>
      </c>
      <c r="O13" s="2"/>
      <c r="P13" s="2"/>
      <c r="Q13" s="2"/>
      <c r="R13" s="2"/>
      <c r="S13" s="2"/>
      <c r="T13" s="2"/>
      <c r="U13" s="2"/>
      <c r="V13" s="2"/>
      <c r="W13" s="2"/>
      <c r="X13" s="2"/>
    </row>
    <row r="14" spans="1:24" x14ac:dyDescent="0.25">
      <c r="A14" s="2"/>
      <c r="B14" s="37">
        <f t="shared" si="1"/>
        <v>14</v>
      </c>
      <c r="C14" s="37">
        <f t="shared" si="2"/>
        <v>5</v>
      </c>
      <c r="D14" s="2"/>
      <c r="E14" s="2" t="str">
        <f>структура!$AD$12</f>
        <v>АБК</v>
      </c>
      <c r="F14" s="2"/>
      <c r="G14" s="32" t="s">
        <v>0</v>
      </c>
      <c r="H14" s="66" t="s">
        <v>52</v>
      </c>
      <c r="I14" s="32" t="s">
        <v>0</v>
      </c>
      <c r="J14" s="68">
        <v>9000</v>
      </c>
      <c r="K14" s="32" t="s">
        <v>0</v>
      </c>
      <c r="L14" s="68">
        <v>2</v>
      </c>
      <c r="M14" s="2"/>
      <c r="N14" s="69">
        <f t="shared" si="0"/>
        <v>18000</v>
      </c>
      <c r="O14" s="2"/>
      <c r="P14" s="2"/>
      <c r="Q14" s="2"/>
      <c r="R14" s="2"/>
      <c r="S14" s="2"/>
      <c r="T14" s="2"/>
      <c r="U14" s="2"/>
      <c r="V14" s="2"/>
      <c r="W14" s="2"/>
      <c r="X14" s="2"/>
    </row>
    <row r="15" spans="1:24" x14ac:dyDescent="0.25">
      <c r="A15" s="2"/>
      <c r="B15" s="37">
        <f t="shared" si="1"/>
        <v>15</v>
      </c>
      <c r="C15" s="37">
        <f t="shared" si="2"/>
        <v>6</v>
      </c>
      <c r="D15" s="2"/>
      <c r="E15" s="2" t="str">
        <f>структура!$AD$12</f>
        <v>АБК</v>
      </c>
      <c r="F15" s="2"/>
      <c r="G15" s="32" t="s">
        <v>0</v>
      </c>
      <c r="H15" s="66" t="s">
        <v>53</v>
      </c>
      <c r="I15" s="32" t="s">
        <v>0</v>
      </c>
      <c r="J15" s="68">
        <v>11000</v>
      </c>
      <c r="K15" s="32" t="s">
        <v>0</v>
      </c>
      <c r="L15" s="68">
        <v>2</v>
      </c>
      <c r="M15" s="2"/>
      <c r="N15" s="69">
        <f t="shared" si="0"/>
        <v>22000</v>
      </c>
      <c r="O15" s="2"/>
      <c r="P15" s="2"/>
      <c r="Q15" s="2"/>
      <c r="R15" s="2"/>
      <c r="S15" s="2"/>
      <c r="T15" s="2"/>
      <c r="U15" s="2"/>
      <c r="V15" s="2"/>
      <c r="W15" s="2"/>
      <c r="X15" s="2"/>
    </row>
    <row r="16" spans="1:24" x14ac:dyDescent="0.25">
      <c r="A16" s="2"/>
      <c r="B16" s="37">
        <f t="shared" si="1"/>
        <v>16</v>
      </c>
      <c r="C16" s="37">
        <f t="shared" si="2"/>
        <v>7</v>
      </c>
      <c r="D16" s="2"/>
      <c r="E16" s="2" t="str">
        <f>структура!$AD$12</f>
        <v>АБК</v>
      </c>
      <c r="F16" s="2"/>
      <c r="G16" s="32" t="s">
        <v>0</v>
      </c>
      <c r="H16" s="66" t="s">
        <v>54</v>
      </c>
      <c r="I16" s="32" t="s">
        <v>0</v>
      </c>
      <c r="J16" s="68">
        <v>2000</v>
      </c>
      <c r="K16" s="32" t="s">
        <v>0</v>
      </c>
      <c r="L16" s="68">
        <v>2</v>
      </c>
      <c r="M16" s="2"/>
      <c r="N16" s="69">
        <f t="shared" si="0"/>
        <v>4000</v>
      </c>
      <c r="O16" s="2"/>
      <c r="P16" s="2"/>
      <c r="Q16" s="2"/>
      <c r="R16" s="2"/>
      <c r="S16" s="2"/>
      <c r="T16" s="2"/>
      <c r="U16" s="2"/>
      <c r="V16" s="2"/>
      <c r="W16" s="2"/>
      <c r="X16" s="2"/>
    </row>
    <row r="17" spans="1:24" x14ac:dyDescent="0.25">
      <c r="A17" s="2"/>
      <c r="B17" s="37">
        <f t="shared" si="1"/>
        <v>17</v>
      </c>
      <c r="C17" s="37">
        <f t="shared" si="2"/>
        <v>8</v>
      </c>
      <c r="D17" s="2"/>
      <c r="E17" s="2" t="str">
        <f>структура!$AD$12</f>
        <v>АБК</v>
      </c>
      <c r="F17" s="2"/>
      <c r="G17" s="32" t="s">
        <v>0</v>
      </c>
      <c r="H17" s="66" t="s">
        <v>55</v>
      </c>
      <c r="I17" s="32" t="s">
        <v>0</v>
      </c>
      <c r="J17" s="68">
        <v>1700</v>
      </c>
      <c r="K17" s="32" t="s">
        <v>0</v>
      </c>
      <c r="L17" s="68">
        <v>2</v>
      </c>
      <c r="M17" s="2"/>
      <c r="N17" s="69">
        <f t="shared" si="0"/>
        <v>3400</v>
      </c>
      <c r="O17" s="2"/>
      <c r="P17" s="2"/>
      <c r="Q17" s="2"/>
      <c r="R17" s="2"/>
      <c r="S17" s="2"/>
      <c r="T17" s="2"/>
      <c r="U17" s="2"/>
      <c r="V17" s="2"/>
      <c r="W17" s="2"/>
      <c r="X17" s="2"/>
    </row>
    <row r="18" spans="1:24" x14ac:dyDescent="0.25">
      <c r="A18" s="2"/>
      <c r="B18" s="37">
        <f t="shared" si="1"/>
        <v>18</v>
      </c>
      <c r="C18" s="37">
        <f t="shared" si="2"/>
        <v>9</v>
      </c>
      <c r="D18" s="2"/>
      <c r="E18" s="2" t="str">
        <f>структура!$AD$12</f>
        <v>АБК</v>
      </c>
      <c r="F18" s="2"/>
      <c r="G18" s="32" t="s">
        <v>0</v>
      </c>
      <c r="H18" s="66" t="s">
        <v>56</v>
      </c>
      <c r="I18" s="32" t="s">
        <v>0</v>
      </c>
      <c r="J18" s="68">
        <v>800</v>
      </c>
      <c r="K18" s="32" t="s">
        <v>0</v>
      </c>
      <c r="L18" s="68">
        <v>5</v>
      </c>
      <c r="M18" s="2"/>
      <c r="N18" s="69">
        <f t="shared" ref="N18:N46" si="3">J18*L18</f>
        <v>4000</v>
      </c>
      <c r="O18" s="2"/>
      <c r="P18" s="2"/>
      <c r="Q18" s="2"/>
      <c r="R18" s="2"/>
      <c r="S18" s="2"/>
      <c r="T18" s="2"/>
      <c r="U18" s="2"/>
      <c r="V18" s="2"/>
      <c r="W18" s="2"/>
      <c r="X18" s="2"/>
    </row>
    <row r="19" spans="1:24" x14ac:dyDescent="0.25">
      <c r="A19" s="2"/>
      <c r="B19" s="37">
        <f t="shared" si="1"/>
        <v>19</v>
      </c>
      <c r="C19" s="37">
        <f t="shared" si="2"/>
        <v>10</v>
      </c>
      <c r="D19" s="2"/>
      <c r="E19" s="2" t="str">
        <f>структура!$AD$12</f>
        <v>АБК</v>
      </c>
      <c r="F19" s="2"/>
      <c r="G19" s="32" t="s">
        <v>0</v>
      </c>
      <c r="H19" s="66" t="s">
        <v>57</v>
      </c>
      <c r="I19" s="32" t="s">
        <v>0</v>
      </c>
      <c r="J19" s="68">
        <v>1400</v>
      </c>
      <c r="K19" s="32" t="s">
        <v>0</v>
      </c>
      <c r="L19" s="68">
        <v>2</v>
      </c>
      <c r="M19" s="2"/>
      <c r="N19" s="69">
        <f t="shared" si="3"/>
        <v>2800</v>
      </c>
      <c r="O19" s="2"/>
      <c r="P19" s="2"/>
      <c r="Q19" s="2"/>
      <c r="R19" s="2"/>
      <c r="S19" s="2"/>
      <c r="T19" s="2"/>
      <c r="U19" s="2"/>
      <c r="V19" s="2"/>
      <c r="W19" s="2"/>
      <c r="X19" s="2"/>
    </row>
    <row r="20" spans="1:24" x14ac:dyDescent="0.25">
      <c r="A20" s="2"/>
      <c r="B20" s="37">
        <f t="shared" si="1"/>
        <v>20</v>
      </c>
      <c r="C20" s="37">
        <f t="shared" si="2"/>
        <v>11</v>
      </c>
      <c r="D20" s="2"/>
      <c r="E20" s="2" t="str">
        <f>структура!$AD$12</f>
        <v>АБК</v>
      </c>
      <c r="F20" s="2"/>
      <c r="G20" s="32" t="s">
        <v>0</v>
      </c>
      <c r="H20" s="66" t="s">
        <v>58</v>
      </c>
      <c r="I20" s="32" t="s">
        <v>0</v>
      </c>
      <c r="J20" s="68">
        <v>3000</v>
      </c>
      <c r="K20" s="32" t="s">
        <v>0</v>
      </c>
      <c r="L20" s="68">
        <v>2</v>
      </c>
      <c r="M20" s="2"/>
      <c r="N20" s="69">
        <f t="shared" si="3"/>
        <v>6000</v>
      </c>
      <c r="O20" s="2"/>
      <c r="P20" s="2"/>
      <c r="Q20" s="2"/>
      <c r="R20" s="2"/>
      <c r="S20" s="2"/>
      <c r="T20" s="2"/>
      <c r="U20" s="2"/>
      <c r="V20" s="2"/>
      <c r="W20" s="2"/>
      <c r="X20" s="2"/>
    </row>
    <row r="21" spans="1:24" x14ac:dyDescent="0.25">
      <c r="A21" s="2"/>
      <c r="B21" s="37">
        <f t="shared" si="1"/>
        <v>21</v>
      </c>
      <c r="C21" s="37">
        <f t="shared" si="2"/>
        <v>12</v>
      </c>
      <c r="D21" s="2"/>
      <c r="E21" s="2" t="str">
        <f>структура!$AD$12</f>
        <v>АБК</v>
      </c>
      <c r="F21" s="2"/>
      <c r="G21" s="32" t="s">
        <v>0</v>
      </c>
      <c r="H21" s="66" t="s">
        <v>59</v>
      </c>
      <c r="I21" s="32" t="s">
        <v>0</v>
      </c>
      <c r="J21" s="68">
        <v>1700</v>
      </c>
      <c r="K21" s="32" t="s">
        <v>0</v>
      </c>
      <c r="L21" s="68">
        <v>5</v>
      </c>
      <c r="M21" s="2"/>
      <c r="N21" s="69">
        <f t="shared" si="3"/>
        <v>8500</v>
      </c>
      <c r="O21" s="2"/>
      <c r="P21" s="2"/>
      <c r="Q21" s="2"/>
      <c r="R21" s="2"/>
      <c r="S21" s="2"/>
      <c r="T21" s="2"/>
      <c r="U21" s="2"/>
      <c r="V21" s="2"/>
      <c r="W21" s="2"/>
      <c r="X21" s="2"/>
    </row>
    <row r="22" spans="1:24" x14ac:dyDescent="0.25">
      <c r="A22" s="2"/>
      <c r="B22" s="37">
        <f t="shared" si="1"/>
        <v>22</v>
      </c>
      <c r="C22" s="37">
        <f t="shared" si="2"/>
        <v>13</v>
      </c>
      <c r="D22" s="2"/>
      <c r="E22" s="2" t="str">
        <f>структура!$AD$12</f>
        <v>АБК</v>
      </c>
      <c r="F22" s="2"/>
      <c r="G22" s="32" t="s">
        <v>0</v>
      </c>
      <c r="H22" s="66" t="s">
        <v>60</v>
      </c>
      <c r="I22" s="32" t="s">
        <v>0</v>
      </c>
      <c r="J22" s="68">
        <v>160</v>
      </c>
      <c r="K22" s="32" t="s">
        <v>0</v>
      </c>
      <c r="L22" s="68">
        <v>5</v>
      </c>
      <c r="M22" s="2"/>
      <c r="N22" s="69">
        <f t="shared" si="3"/>
        <v>800</v>
      </c>
      <c r="O22" s="2"/>
      <c r="P22" s="2"/>
      <c r="Q22" s="2"/>
      <c r="R22" s="2"/>
      <c r="S22" s="2"/>
      <c r="T22" s="2"/>
      <c r="U22" s="2"/>
      <c r="V22" s="2"/>
      <c r="W22" s="2"/>
      <c r="X22" s="2"/>
    </row>
    <row r="23" spans="1:24" x14ac:dyDescent="0.25">
      <c r="A23" s="2"/>
      <c r="B23" s="37">
        <f t="shared" si="1"/>
        <v>23</v>
      </c>
      <c r="C23" s="37">
        <f t="shared" si="2"/>
        <v>14</v>
      </c>
      <c r="D23" s="2"/>
      <c r="E23" s="2" t="str">
        <f>структура!$AD$12</f>
        <v>АБК</v>
      </c>
      <c r="F23" s="2"/>
      <c r="G23" s="32" t="s">
        <v>0</v>
      </c>
      <c r="H23" s="66" t="s">
        <v>61</v>
      </c>
      <c r="I23" s="32" t="s">
        <v>0</v>
      </c>
      <c r="J23" s="68">
        <v>1000</v>
      </c>
      <c r="K23" s="32" t="s">
        <v>0</v>
      </c>
      <c r="L23" s="68">
        <v>5</v>
      </c>
      <c r="M23" s="2"/>
      <c r="N23" s="69">
        <f t="shared" si="3"/>
        <v>5000</v>
      </c>
      <c r="O23" s="2"/>
      <c r="P23" s="2"/>
      <c r="Q23" s="2"/>
      <c r="R23" s="2"/>
      <c r="S23" s="2"/>
      <c r="T23" s="2"/>
      <c r="U23" s="2"/>
      <c r="V23" s="2"/>
      <c r="W23" s="2"/>
      <c r="X23" s="2"/>
    </row>
    <row r="24" spans="1:24" x14ac:dyDescent="0.25">
      <c r="A24" s="2"/>
      <c r="B24" s="37">
        <f t="shared" si="1"/>
        <v>24</v>
      </c>
      <c r="C24" s="37">
        <f t="shared" ref="C24:C87" si="4">C23+1</f>
        <v>15</v>
      </c>
      <c r="D24" s="2"/>
      <c r="E24" s="2" t="str">
        <f>структура!$AD$12</f>
        <v>АБК</v>
      </c>
      <c r="F24" s="2"/>
      <c r="G24" s="32" t="s">
        <v>0</v>
      </c>
      <c r="H24" s="66" t="s">
        <v>62</v>
      </c>
      <c r="I24" s="32" t="s">
        <v>0</v>
      </c>
      <c r="J24" s="68">
        <v>5500</v>
      </c>
      <c r="K24" s="32" t="s">
        <v>0</v>
      </c>
      <c r="L24" s="68">
        <v>2</v>
      </c>
      <c r="M24" s="2"/>
      <c r="N24" s="69">
        <f t="shared" si="3"/>
        <v>11000</v>
      </c>
      <c r="O24" s="2"/>
      <c r="P24" s="2"/>
      <c r="Q24" s="2"/>
      <c r="R24" s="2"/>
      <c r="S24" s="2"/>
      <c r="T24" s="2"/>
      <c r="U24" s="2"/>
      <c r="V24" s="2"/>
      <c r="W24" s="2"/>
      <c r="X24" s="2"/>
    </row>
    <row r="25" spans="1:24" x14ac:dyDescent="0.25">
      <c r="A25" s="2"/>
      <c r="B25" s="37">
        <f t="shared" si="1"/>
        <v>25</v>
      </c>
      <c r="C25" s="37">
        <f t="shared" si="4"/>
        <v>16</v>
      </c>
      <c r="D25" s="2"/>
      <c r="E25" s="2" t="str">
        <f>структура!$AD$12</f>
        <v>АБК</v>
      </c>
      <c r="F25" s="2"/>
      <c r="G25" s="32" t="s">
        <v>0</v>
      </c>
      <c r="H25" s="66" t="s">
        <v>63</v>
      </c>
      <c r="I25" s="32" t="s">
        <v>0</v>
      </c>
      <c r="J25" s="68">
        <v>2500</v>
      </c>
      <c r="K25" s="32" t="s">
        <v>0</v>
      </c>
      <c r="L25" s="68">
        <v>5</v>
      </c>
      <c r="M25" s="2"/>
      <c r="N25" s="69">
        <f t="shared" si="3"/>
        <v>12500</v>
      </c>
      <c r="O25" s="2"/>
      <c r="P25" s="2"/>
      <c r="Q25" s="2"/>
      <c r="R25" s="2"/>
      <c r="S25" s="2"/>
      <c r="T25" s="2"/>
      <c r="U25" s="2"/>
      <c r="V25" s="2"/>
      <c r="W25" s="2"/>
      <c r="X25" s="2"/>
    </row>
    <row r="26" spans="1:24" x14ac:dyDescent="0.25">
      <c r="A26" s="2"/>
      <c r="B26" s="37">
        <f t="shared" si="1"/>
        <v>26</v>
      </c>
      <c r="C26" s="37">
        <f t="shared" si="4"/>
        <v>17</v>
      </c>
      <c r="D26" s="2"/>
      <c r="E26" s="2" t="str">
        <f>структура!$AD$12</f>
        <v>АБК</v>
      </c>
      <c r="F26" s="2"/>
      <c r="G26" s="32" t="s">
        <v>0</v>
      </c>
      <c r="H26" s="66" t="s">
        <v>64</v>
      </c>
      <c r="I26" s="32" t="s">
        <v>0</v>
      </c>
      <c r="J26" s="68"/>
      <c r="K26" s="32" t="s">
        <v>0</v>
      </c>
      <c r="L26" s="68"/>
      <c r="M26" s="2"/>
      <c r="N26" s="69">
        <f t="shared" si="3"/>
        <v>0</v>
      </c>
      <c r="O26" s="2"/>
      <c r="P26" s="2"/>
      <c r="Q26" s="2"/>
      <c r="R26" s="2"/>
      <c r="S26" s="2"/>
      <c r="T26" s="2"/>
      <c r="U26" s="2"/>
      <c r="V26" s="2"/>
      <c r="W26" s="2"/>
      <c r="X26" s="2"/>
    </row>
    <row r="27" spans="1:24" x14ac:dyDescent="0.25">
      <c r="A27" s="2"/>
      <c r="B27" s="37">
        <f t="shared" si="1"/>
        <v>27</v>
      </c>
      <c r="C27" s="37">
        <f t="shared" si="4"/>
        <v>18</v>
      </c>
      <c r="D27" s="2"/>
      <c r="E27" s="2" t="str">
        <f>структура!$AD$12</f>
        <v>АБК</v>
      </c>
      <c r="F27" s="2"/>
      <c r="G27" s="32" t="s">
        <v>0</v>
      </c>
      <c r="H27" s="66" t="s">
        <v>65</v>
      </c>
      <c r="I27" s="32" t="s">
        <v>0</v>
      </c>
      <c r="J27" s="68">
        <v>30000</v>
      </c>
      <c r="K27" s="32" t="s">
        <v>0</v>
      </c>
      <c r="L27" s="68">
        <v>1</v>
      </c>
      <c r="M27" s="2"/>
      <c r="N27" s="69">
        <f t="shared" si="3"/>
        <v>30000</v>
      </c>
      <c r="O27" s="2"/>
      <c r="P27" s="2"/>
      <c r="Q27" s="2"/>
      <c r="R27" s="2"/>
      <c r="S27" s="2"/>
      <c r="T27" s="2"/>
      <c r="U27" s="2"/>
      <c r="V27" s="2"/>
      <c r="W27" s="2"/>
      <c r="X27" s="2"/>
    </row>
    <row r="28" spans="1:24" x14ac:dyDescent="0.25">
      <c r="A28" s="2"/>
      <c r="B28" s="37">
        <f t="shared" si="1"/>
        <v>28</v>
      </c>
      <c r="C28" s="37">
        <f t="shared" si="4"/>
        <v>19</v>
      </c>
      <c r="D28" s="2"/>
      <c r="E28" s="2" t="str">
        <f>структура!$AD$12</f>
        <v>АБК</v>
      </c>
      <c r="F28" s="2"/>
      <c r="G28" s="32" t="s">
        <v>0</v>
      </c>
      <c r="H28" s="66" t="s">
        <v>66</v>
      </c>
      <c r="I28" s="32" t="s">
        <v>0</v>
      </c>
      <c r="J28" s="68">
        <v>30000</v>
      </c>
      <c r="K28" s="32" t="s">
        <v>0</v>
      </c>
      <c r="L28" s="68">
        <v>1</v>
      </c>
      <c r="M28" s="2"/>
      <c r="N28" s="69">
        <f t="shared" si="3"/>
        <v>30000</v>
      </c>
      <c r="O28" s="2"/>
      <c r="P28" s="2"/>
      <c r="Q28" s="2"/>
      <c r="R28" s="2"/>
      <c r="S28" s="2"/>
      <c r="T28" s="2"/>
      <c r="U28" s="2"/>
      <c r="V28" s="2"/>
      <c r="W28" s="2"/>
      <c r="X28" s="2"/>
    </row>
    <row r="29" spans="1:24" x14ac:dyDescent="0.25">
      <c r="A29" s="2"/>
      <c r="B29" s="37">
        <f t="shared" si="1"/>
        <v>29</v>
      </c>
      <c r="C29" s="37">
        <f t="shared" si="4"/>
        <v>20</v>
      </c>
      <c r="D29" s="2"/>
      <c r="E29" s="2" t="str">
        <f>структура!$AD$12</f>
        <v>АБК</v>
      </c>
      <c r="F29" s="2"/>
      <c r="G29" s="32" t="s">
        <v>0</v>
      </c>
      <c r="H29" s="66" t="s">
        <v>67</v>
      </c>
      <c r="I29" s="32" t="s">
        <v>0</v>
      </c>
      <c r="J29" s="68">
        <v>4000</v>
      </c>
      <c r="K29" s="32" t="s">
        <v>0</v>
      </c>
      <c r="L29" s="68">
        <v>1</v>
      </c>
      <c r="M29" s="2"/>
      <c r="N29" s="69">
        <f t="shared" si="3"/>
        <v>4000</v>
      </c>
      <c r="O29" s="2"/>
      <c r="P29" s="2"/>
      <c r="Q29" s="2"/>
      <c r="R29" s="2"/>
      <c r="S29" s="2"/>
      <c r="T29" s="2"/>
      <c r="U29" s="2"/>
      <c r="V29" s="2"/>
      <c r="W29" s="2"/>
      <c r="X29" s="2"/>
    </row>
    <row r="30" spans="1:24" x14ac:dyDescent="0.25">
      <c r="A30" s="2"/>
      <c r="B30" s="37">
        <f t="shared" si="1"/>
        <v>30</v>
      </c>
      <c r="C30" s="37">
        <f t="shared" si="4"/>
        <v>21</v>
      </c>
      <c r="D30" s="2"/>
      <c r="E30" s="2" t="str">
        <f>структура!$AD$12</f>
        <v>АБК</v>
      </c>
      <c r="F30" s="2"/>
      <c r="G30" s="32" t="s">
        <v>0</v>
      </c>
      <c r="H30" s="66" t="s">
        <v>68</v>
      </c>
      <c r="I30" s="32" t="s">
        <v>0</v>
      </c>
      <c r="J30" s="68">
        <v>17000</v>
      </c>
      <c r="K30" s="32" t="s">
        <v>0</v>
      </c>
      <c r="L30" s="68">
        <v>2</v>
      </c>
      <c r="M30" s="2"/>
      <c r="N30" s="69">
        <f t="shared" si="3"/>
        <v>34000</v>
      </c>
      <c r="O30" s="2"/>
      <c r="P30" s="2"/>
      <c r="Q30" s="2"/>
      <c r="R30" s="2"/>
      <c r="S30" s="2"/>
      <c r="T30" s="2"/>
      <c r="U30" s="2"/>
      <c r="V30" s="2"/>
      <c r="W30" s="2"/>
      <c r="X30" s="2"/>
    </row>
    <row r="31" spans="1:24" x14ac:dyDescent="0.25">
      <c r="A31" s="2"/>
      <c r="B31" s="37">
        <f t="shared" si="1"/>
        <v>31</v>
      </c>
      <c r="C31" s="37">
        <f t="shared" si="4"/>
        <v>22</v>
      </c>
      <c r="D31" s="2"/>
      <c r="E31" s="2" t="str">
        <f>структура!$AD$12</f>
        <v>АБК</v>
      </c>
      <c r="F31" s="2"/>
      <c r="G31" s="32" t="s">
        <v>0</v>
      </c>
      <c r="H31" s="66" t="s">
        <v>69</v>
      </c>
      <c r="I31" s="32" t="s">
        <v>0</v>
      </c>
      <c r="J31" s="68">
        <v>3000</v>
      </c>
      <c r="K31" s="32" t="s">
        <v>0</v>
      </c>
      <c r="L31" s="68">
        <v>1</v>
      </c>
      <c r="M31" s="2"/>
      <c r="N31" s="69">
        <f t="shared" si="3"/>
        <v>3000</v>
      </c>
      <c r="O31" s="2"/>
      <c r="P31" s="2"/>
      <c r="Q31" s="2"/>
      <c r="R31" s="2"/>
      <c r="S31" s="2"/>
      <c r="T31" s="2"/>
      <c r="U31" s="2"/>
      <c r="V31" s="2"/>
      <c r="W31" s="2"/>
      <c r="X31" s="2"/>
    </row>
    <row r="32" spans="1:24" x14ac:dyDescent="0.25">
      <c r="A32" s="2"/>
      <c r="B32" s="37">
        <f t="shared" si="1"/>
        <v>32</v>
      </c>
      <c r="C32" s="37">
        <f t="shared" si="4"/>
        <v>23</v>
      </c>
      <c r="D32" s="2"/>
      <c r="E32" s="2" t="str">
        <f>структура!$AD$12</f>
        <v>АБК</v>
      </c>
      <c r="F32" s="2"/>
      <c r="G32" s="32" t="s">
        <v>0</v>
      </c>
      <c r="H32" s="66" t="s">
        <v>70</v>
      </c>
      <c r="I32" s="32" t="s">
        <v>0</v>
      </c>
      <c r="J32" s="68">
        <v>5000</v>
      </c>
      <c r="K32" s="32" t="s">
        <v>0</v>
      </c>
      <c r="L32" s="68">
        <v>1</v>
      </c>
      <c r="M32" s="2"/>
      <c r="N32" s="69">
        <f t="shared" si="3"/>
        <v>5000</v>
      </c>
      <c r="O32" s="2"/>
      <c r="P32" s="2"/>
      <c r="Q32" s="2"/>
      <c r="R32" s="2"/>
      <c r="S32" s="2"/>
      <c r="T32" s="2"/>
      <c r="U32" s="2"/>
      <c r="V32" s="2"/>
      <c r="W32" s="2"/>
      <c r="X32" s="2"/>
    </row>
    <row r="33" spans="1:24" x14ac:dyDescent="0.25">
      <c r="A33" s="2"/>
      <c r="B33" s="37">
        <f t="shared" si="1"/>
        <v>33</v>
      </c>
      <c r="C33" s="37">
        <f t="shared" si="4"/>
        <v>24</v>
      </c>
      <c r="D33" s="2"/>
      <c r="E33" s="2" t="str">
        <f>структура!$AD$12</f>
        <v>АБК</v>
      </c>
      <c r="F33" s="2"/>
      <c r="G33" s="32" t="s">
        <v>0</v>
      </c>
      <c r="H33" s="66" t="s">
        <v>71</v>
      </c>
      <c r="I33" s="32" t="s">
        <v>0</v>
      </c>
      <c r="J33" s="68">
        <v>5000</v>
      </c>
      <c r="K33" s="32" t="s">
        <v>0</v>
      </c>
      <c r="L33" s="68">
        <v>2</v>
      </c>
      <c r="M33" s="2"/>
      <c r="N33" s="69">
        <f t="shared" si="3"/>
        <v>10000</v>
      </c>
      <c r="O33" s="2"/>
      <c r="P33" s="2"/>
      <c r="Q33" s="2"/>
      <c r="R33" s="2"/>
      <c r="S33" s="2"/>
      <c r="T33" s="2"/>
      <c r="U33" s="2"/>
      <c r="V33" s="2"/>
      <c r="W33" s="2"/>
      <c r="X33" s="2"/>
    </row>
    <row r="34" spans="1:24" x14ac:dyDescent="0.25">
      <c r="A34" s="2"/>
      <c r="B34" s="37">
        <f t="shared" si="1"/>
        <v>34</v>
      </c>
      <c r="C34" s="37">
        <f t="shared" si="4"/>
        <v>25</v>
      </c>
      <c r="D34" s="2"/>
      <c r="E34" s="2" t="str">
        <f>структура!$AD$12</f>
        <v>АБК</v>
      </c>
      <c r="F34" s="2"/>
      <c r="G34" s="32" t="s">
        <v>0</v>
      </c>
      <c r="H34" s="66" t="s">
        <v>72</v>
      </c>
      <c r="I34" s="32" t="s">
        <v>0</v>
      </c>
      <c r="J34" s="68">
        <v>5000</v>
      </c>
      <c r="K34" s="32" t="s">
        <v>0</v>
      </c>
      <c r="L34" s="68">
        <v>1</v>
      </c>
      <c r="M34" s="2"/>
      <c r="N34" s="69">
        <f t="shared" si="3"/>
        <v>5000</v>
      </c>
      <c r="O34" s="2"/>
      <c r="P34" s="2"/>
      <c r="Q34" s="2"/>
      <c r="R34" s="2"/>
      <c r="S34" s="2"/>
      <c r="T34" s="2"/>
      <c r="U34" s="2"/>
      <c r="V34" s="2"/>
      <c r="W34" s="2"/>
      <c r="X34" s="2"/>
    </row>
    <row r="35" spans="1:24" x14ac:dyDescent="0.25">
      <c r="A35" s="2"/>
      <c r="B35" s="37">
        <f t="shared" si="1"/>
        <v>35</v>
      </c>
      <c r="C35" s="37">
        <f t="shared" si="4"/>
        <v>26</v>
      </c>
      <c r="D35" s="2"/>
      <c r="E35" s="2" t="str">
        <f>структура!$AD$12</f>
        <v>АБК</v>
      </c>
      <c r="F35" s="2"/>
      <c r="G35" s="32" t="s">
        <v>0</v>
      </c>
      <c r="H35" s="66" t="s">
        <v>73</v>
      </c>
      <c r="I35" s="32" t="s">
        <v>0</v>
      </c>
      <c r="J35" s="68">
        <v>4000</v>
      </c>
      <c r="K35" s="32" t="s">
        <v>0</v>
      </c>
      <c r="L35" s="68">
        <v>1</v>
      </c>
      <c r="M35" s="2"/>
      <c r="N35" s="69">
        <f t="shared" si="3"/>
        <v>4000</v>
      </c>
      <c r="O35" s="2"/>
      <c r="P35" s="2"/>
      <c r="Q35" s="2"/>
      <c r="R35" s="2"/>
      <c r="S35" s="2"/>
      <c r="T35" s="2"/>
      <c r="U35" s="2"/>
      <c r="V35" s="2"/>
      <c r="W35" s="2"/>
      <c r="X35" s="2"/>
    </row>
    <row r="36" spans="1:24" x14ac:dyDescent="0.25">
      <c r="A36" s="2"/>
      <c r="B36" s="37">
        <f t="shared" si="1"/>
        <v>36</v>
      </c>
      <c r="C36" s="37">
        <f t="shared" si="4"/>
        <v>27</v>
      </c>
      <c r="D36" s="2"/>
      <c r="E36" s="2" t="str">
        <f>структура!$AD$12</f>
        <v>АБК</v>
      </c>
      <c r="F36" s="2"/>
      <c r="G36" s="32" t="s">
        <v>0</v>
      </c>
      <c r="H36" s="66" t="s">
        <v>74</v>
      </c>
      <c r="I36" s="32" t="s">
        <v>0</v>
      </c>
      <c r="J36" s="68"/>
      <c r="K36" s="32" t="s">
        <v>0</v>
      </c>
      <c r="L36" s="68"/>
      <c r="M36" s="2"/>
      <c r="N36" s="69">
        <f t="shared" si="3"/>
        <v>0</v>
      </c>
      <c r="O36" s="2"/>
      <c r="P36" s="2"/>
      <c r="Q36" s="2"/>
      <c r="R36" s="2"/>
      <c r="S36" s="2"/>
      <c r="T36" s="2"/>
      <c r="U36" s="2"/>
      <c r="V36" s="2"/>
      <c r="W36" s="2"/>
      <c r="X36" s="2"/>
    </row>
    <row r="37" spans="1:24" x14ac:dyDescent="0.25">
      <c r="A37" s="2"/>
      <c r="B37" s="37">
        <f t="shared" si="1"/>
        <v>37</v>
      </c>
      <c r="C37" s="37">
        <f t="shared" si="4"/>
        <v>28</v>
      </c>
      <c r="D37" s="2"/>
      <c r="E37" s="2" t="str">
        <f>структура!$AD$12</f>
        <v>АБК</v>
      </c>
      <c r="F37" s="2"/>
      <c r="G37" s="32" t="s">
        <v>0</v>
      </c>
      <c r="H37" s="66" t="s">
        <v>75</v>
      </c>
      <c r="I37" s="32" t="s">
        <v>0</v>
      </c>
      <c r="J37" s="68">
        <v>2000</v>
      </c>
      <c r="K37" s="32" t="s">
        <v>0</v>
      </c>
      <c r="L37" s="68">
        <v>1</v>
      </c>
      <c r="M37" s="2"/>
      <c r="N37" s="69">
        <f t="shared" si="3"/>
        <v>2000</v>
      </c>
      <c r="O37" s="2"/>
      <c r="P37" s="2"/>
      <c r="Q37" s="2"/>
      <c r="R37" s="2"/>
      <c r="S37" s="2"/>
      <c r="T37" s="2"/>
      <c r="U37" s="2"/>
      <c r="V37" s="2"/>
      <c r="W37" s="2"/>
      <c r="X37" s="2"/>
    </row>
    <row r="38" spans="1:24" x14ac:dyDescent="0.25">
      <c r="A38" s="2"/>
      <c r="B38" s="37">
        <f t="shared" si="1"/>
        <v>38</v>
      </c>
      <c r="C38" s="37">
        <f t="shared" si="4"/>
        <v>29</v>
      </c>
      <c r="D38" s="2"/>
      <c r="E38" s="2" t="str">
        <f>структура!$AD$12</f>
        <v>АБК</v>
      </c>
      <c r="F38" s="2"/>
      <c r="G38" s="32" t="s">
        <v>0</v>
      </c>
      <c r="H38" s="66" t="s">
        <v>76</v>
      </c>
      <c r="I38" s="32" t="s">
        <v>0</v>
      </c>
      <c r="J38" s="68">
        <v>2000</v>
      </c>
      <c r="K38" s="32" t="s">
        <v>0</v>
      </c>
      <c r="L38" s="68">
        <v>1</v>
      </c>
      <c r="M38" s="2"/>
      <c r="N38" s="69">
        <f t="shared" si="3"/>
        <v>2000</v>
      </c>
      <c r="O38" s="2"/>
      <c r="P38" s="2"/>
      <c r="Q38" s="2"/>
      <c r="R38" s="2"/>
      <c r="S38" s="2"/>
      <c r="T38" s="2"/>
      <c r="U38" s="2"/>
      <c r="V38" s="2"/>
      <c r="W38" s="2"/>
      <c r="X38" s="2"/>
    </row>
    <row r="39" spans="1:24" x14ac:dyDescent="0.25">
      <c r="A39" s="2"/>
      <c r="B39" s="37">
        <f t="shared" si="1"/>
        <v>39</v>
      </c>
      <c r="C39" s="37">
        <f t="shared" si="4"/>
        <v>30</v>
      </c>
      <c r="D39" s="2"/>
      <c r="E39" s="2" t="str">
        <f>структура!$AD$12</f>
        <v>АБК</v>
      </c>
      <c r="F39" s="2"/>
      <c r="G39" s="32" t="s">
        <v>0</v>
      </c>
      <c r="H39" s="66" t="s">
        <v>77</v>
      </c>
      <c r="I39" s="32" t="s">
        <v>0</v>
      </c>
      <c r="J39" s="68">
        <v>4000</v>
      </c>
      <c r="K39" s="32" t="s">
        <v>0</v>
      </c>
      <c r="L39" s="68">
        <v>1</v>
      </c>
      <c r="M39" s="2"/>
      <c r="N39" s="69">
        <f t="shared" si="3"/>
        <v>4000</v>
      </c>
      <c r="O39" s="2"/>
      <c r="P39" s="2"/>
      <c r="Q39" s="2"/>
      <c r="R39" s="2"/>
      <c r="S39" s="2"/>
      <c r="T39" s="2"/>
      <c r="U39" s="2"/>
      <c r="V39" s="2"/>
      <c r="W39" s="2"/>
      <c r="X39" s="2"/>
    </row>
    <row r="40" spans="1:24" x14ac:dyDescent="0.25">
      <c r="A40" s="2"/>
      <c r="B40" s="37">
        <f t="shared" si="1"/>
        <v>40</v>
      </c>
      <c r="C40" s="37">
        <f t="shared" si="4"/>
        <v>31</v>
      </c>
      <c r="D40" s="2"/>
      <c r="E40" s="2" t="str">
        <f>структура!$AD$12</f>
        <v>АБК</v>
      </c>
      <c r="F40" s="2"/>
      <c r="G40" s="32" t="s">
        <v>0</v>
      </c>
      <c r="H40" s="66" t="s">
        <v>78</v>
      </c>
      <c r="I40" s="32" t="s">
        <v>0</v>
      </c>
      <c r="J40" s="68">
        <v>4000</v>
      </c>
      <c r="K40" s="32" t="s">
        <v>0</v>
      </c>
      <c r="L40" s="68">
        <v>1</v>
      </c>
      <c r="M40" s="2"/>
      <c r="N40" s="69">
        <f t="shared" si="3"/>
        <v>4000</v>
      </c>
      <c r="O40" s="2"/>
      <c r="P40" s="2"/>
      <c r="Q40" s="2"/>
      <c r="R40" s="2"/>
      <c r="S40" s="2"/>
      <c r="T40" s="2"/>
      <c r="U40" s="2"/>
      <c r="V40" s="2"/>
      <c r="W40" s="2"/>
      <c r="X40" s="2"/>
    </row>
    <row r="41" spans="1:24" x14ac:dyDescent="0.25">
      <c r="A41" s="2"/>
      <c r="B41" s="37">
        <f t="shared" si="1"/>
        <v>41</v>
      </c>
      <c r="C41" s="37">
        <f t="shared" si="4"/>
        <v>32</v>
      </c>
      <c r="D41" s="2"/>
      <c r="E41" s="2" t="str">
        <f>структура!$AD$12</f>
        <v>АБК</v>
      </c>
      <c r="F41" s="2"/>
      <c r="G41" s="32" t="s">
        <v>0</v>
      </c>
      <c r="H41" s="66" t="s">
        <v>79</v>
      </c>
      <c r="I41" s="32" t="s">
        <v>0</v>
      </c>
      <c r="J41" s="68">
        <v>1500</v>
      </c>
      <c r="K41" s="32" t="s">
        <v>0</v>
      </c>
      <c r="L41" s="68">
        <v>2</v>
      </c>
      <c r="M41" s="2"/>
      <c r="N41" s="69">
        <f t="shared" si="3"/>
        <v>3000</v>
      </c>
      <c r="O41" s="2"/>
      <c r="P41" s="2"/>
      <c r="Q41" s="2"/>
      <c r="R41" s="2"/>
      <c r="S41" s="2"/>
      <c r="T41" s="2"/>
      <c r="U41" s="2"/>
      <c r="V41" s="2"/>
      <c r="W41" s="2"/>
      <c r="X41" s="2"/>
    </row>
    <row r="42" spans="1:24" x14ac:dyDescent="0.25">
      <c r="A42" s="2"/>
      <c r="B42" s="37">
        <f t="shared" si="1"/>
        <v>42</v>
      </c>
      <c r="C42" s="37">
        <f t="shared" si="4"/>
        <v>33</v>
      </c>
      <c r="D42" s="2"/>
      <c r="E42" s="2" t="str">
        <f>структура!$AD$12</f>
        <v>АБК</v>
      </c>
      <c r="F42" s="2"/>
      <c r="G42" s="32" t="s">
        <v>0</v>
      </c>
      <c r="H42" s="66" t="s">
        <v>80</v>
      </c>
      <c r="I42" s="32" t="s">
        <v>0</v>
      </c>
      <c r="J42" s="68"/>
      <c r="K42" s="32" t="s">
        <v>0</v>
      </c>
      <c r="L42" s="68"/>
      <c r="M42" s="2"/>
      <c r="N42" s="69">
        <f t="shared" si="3"/>
        <v>0</v>
      </c>
      <c r="O42" s="2"/>
      <c r="P42" s="2"/>
      <c r="Q42" s="2"/>
      <c r="R42" s="2"/>
      <c r="S42" s="2"/>
      <c r="T42" s="2"/>
      <c r="U42" s="2"/>
      <c r="V42" s="2"/>
      <c r="W42" s="2"/>
      <c r="X42" s="2"/>
    </row>
    <row r="43" spans="1:24" x14ac:dyDescent="0.25">
      <c r="A43" s="2"/>
      <c r="B43" s="37">
        <f t="shared" si="1"/>
        <v>43</v>
      </c>
      <c r="C43" s="37">
        <f t="shared" si="4"/>
        <v>34</v>
      </c>
      <c r="D43" s="2"/>
      <c r="E43" s="2" t="str">
        <f>структура!$AD$12</f>
        <v>АБК</v>
      </c>
      <c r="F43" s="2"/>
      <c r="G43" s="32" t="s">
        <v>0</v>
      </c>
      <c r="H43" s="66" t="s">
        <v>81</v>
      </c>
      <c r="I43" s="32" t="s">
        <v>0</v>
      </c>
      <c r="J43" s="68">
        <v>60000</v>
      </c>
      <c r="K43" s="32" t="s">
        <v>0</v>
      </c>
      <c r="L43" s="68">
        <v>1</v>
      </c>
      <c r="M43" s="2"/>
      <c r="N43" s="69">
        <f t="shared" si="3"/>
        <v>60000</v>
      </c>
      <c r="O43" s="2"/>
      <c r="P43" s="2"/>
      <c r="Q43" s="2"/>
      <c r="R43" s="2"/>
      <c r="S43" s="2"/>
      <c r="T43" s="2"/>
      <c r="U43" s="2"/>
      <c r="V43" s="2"/>
      <c r="W43" s="2"/>
      <c r="X43" s="2"/>
    </row>
    <row r="44" spans="1:24" x14ac:dyDescent="0.25">
      <c r="A44" s="2"/>
      <c r="B44" s="37">
        <f t="shared" si="1"/>
        <v>44</v>
      </c>
      <c r="C44" s="37">
        <f t="shared" si="4"/>
        <v>35</v>
      </c>
      <c r="D44" s="2"/>
      <c r="E44" s="2" t="str">
        <f>структура!$AD$12</f>
        <v>АБК</v>
      </c>
      <c r="F44" s="2"/>
      <c r="G44" s="32" t="s">
        <v>0</v>
      </c>
      <c r="H44" s="66" t="s">
        <v>82</v>
      </c>
      <c r="I44" s="32" t="s">
        <v>0</v>
      </c>
      <c r="J44" s="68">
        <v>3550</v>
      </c>
      <c r="K44" s="32" t="s">
        <v>0</v>
      </c>
      <c r="L44" s="68">
        <v>1</v>
      </c>
      <c r="M44" s="2"/>
      <c r="N44" s="69">
        <f t="shared" si="3"/>
        <v>3550</v>
      </c>
      <c r="O44" s="2"/>
      <c r="P44" s="2"/>
      <c r="Q44" s="2"/>
      <c r="R44" s="2"/>
      <c r="S44" s="2"/>
      <c r="T44" s="2"/>
      <c r="U44" s="2"/>
      <c r="V44" s="2"/>
      <c r="W44" s="2"/>
      <c r="X44" s="2"/>
    </row>
    <row r="45" spans="1:24" x14ac:dyDescent="0.25">
      <c r="A45" s="2"/>
      <c r="B45" s="37">
        <f t="shared" si="1"/>
        <v>45</v>
      </c>
      <c r="C45" s="37">
        <f t="shared" si="4"/>
        <v>36</v>
      </c>
      <c r="D45" s="2"/>
      <c r="E45" s="2" t="str">
        <f>структура!$AD$12</f>
        <v>АБК</v>
      </c>
      <c r="F45" s="2"/>
      <c r="G45" s="32" t="s">
        <v>0</v>
      </c>
      <c r="H45" s="66" t="s">
        <v>83</v>
      </c>
      <c r="I45" s="32" t="s">
        <v>0</v>
      </c>
      <c r="J45" s="68">
        <v>6000</v>
      </c>
      <c r="K45" s="32" t="s">
        <v>0</v>
      </c>
      <c r="L45" s="68">
        <v>1</v>
      </c>
      <c r="M45" s="2"/>
      <c r="N45" s="69">
        <f t="shared" si="3"/>
        <v>6000</v>
      </c>
      <c r="O45" s="2"/>
      <c r="P45" s="2"/>
      <c r="Q45" s="2"/>
      <c r="R45" s="2"/>
      <c r="S45" s="2"/>
      <c r="T45" s="2"/>
      <c r="U45" s="2"/>
      <c r="V45" s="2"/>
      <c r="W45" s="2"/>
      <c r="X45" s="2"/>
    </row>
    <row r="46" spans="1:24" x14ac:dyDescent="0.25">
      <c r="A46" s="2"/>
      <c r="B46" s="37">
        <f t="shared" si="1"/>
        <v>46</v>
      </c>
      <c r="C46" s="37">
        <f t="shared" si="4"/>
        <v>37</v>
      </c>
      <c r="D46" s="2"/>
      <c r="E46" s="2" t="str">
        <f>структура!$AD$12</f>
        <v>АБК</v>
      </c>
      <c r="F46" s="2"/>
      <c r="G46" s="32" t="s">
        <v>0</v>
      </c>
      <c r="H46" s="66" t="s">
        <v>84</v>
      </c>
      <c r="I46" s="32" t="s">
        <v>0</v>
      </c>
      <c r="J46" s="68">
        <v>705</v>
      </c>
      <c r="K46" s="32" t="s">
        <v>0</v>
      </c>
      <c r="L46" s="68">
        <v>3</v>
      </c>
      <c r="M46" s="2"/>
      <c r="N46" s="69">
        <f t="shared" si="3"/>
        <v>2115</v>
      </c>
      <c r="O46" s="2"/>
      <c r="P46" s="2"/>
      <c r="Q46" s="2"/>
      <c r="R46" s="2"/>
      <c r="S46" s="2"/>
      <c r="T46" s="2"/>
      <c r="U46" s="2"/>
      <c r="V46" s="2"/>
      <c r="W46" s="2"/>
      <c r="X46" s="2"/>
    </row>
    <row r="47" spans="1:24" x14ac:dyDescent="0.25">
      <c r="A47" s="2"/>
      <c r="B47" s="37">
        <f t="shared" si="1"/>
        <v>47</v>
      </c>
      <c r="C47" s="37">
        <f t="shared" si="4"/>
        <v>38</v>
      </c>
      <c r="D47" s="2"/>
      <c r="E47" s="2" t="str">
        <f>структура!$AD$12</f>
        <v>АБК</v>
      </c>
      <c r="F47" s="2"/>
      <c r="G47" s="32" t="s">
        <v>0</v>
      </c>
      <c r="H47" s="66" t="s">
        <v>85</v>
      </c>
      <c r="I47" s="32" t="s">
        <v>0</v>
      </c>
      <c r="J47" s="68">
        <v>450</v>
      </c>
      <c r="K47" s="32" t="s">
        <v>0</v>
      </c>
      <c r="L47" s="68">
        <v>3</v>
      </c>
      <c r="M47" s="2"/>
      <c r="N47" s="69">
        <f t="shared" ref="N47:N106" si="5">J47*L47</f>
        <v>1350</v>
      </c>
      <c r="O47" s="2"/>
      <c r="P47" s="2"/>
      <c r="Q47" s="2"/>
      <c r="R47" s="2"/>
      <c r="S47" s="2"/>
      <c r="T47" s="2"/>
      <c r="U47" s="2"/>
      <c r="V47" s="2"/>
      <c r="W47" s="2"/>
      <c r="X47" s="2"/>
    </row>
    <row r="48" spans="1:24" x14ac:dyDescent="0.25">
      <c r="A48" s="2"/>
      <c r="B48" s="37">
        <f t="shared" si="1"/>
        <v>48</v>
      </c>
      <c r="C48" s="37">
        <f t="shared" si="4"/>
        <v>39</v>
      </c>
      <c r="D48" s="2"/>
      <c r="E48" s="2" t="str">
        <f>структура!$AD$12</f>
        <v>АБК</v>
      </c>
      <c r="F48" s="2"/>
      <c r="G48" s="32" t="s">
        <v>0</v>
      </c>
      <c r="H48" s="66" t="s">
        <v>86</v>
      </c>
      <c r="I48" s="32" t="s">
        <v>0</v>
      </c>
      <c r="J48" s="68">
        <v>285</v>
      </c>
      <c r="K48" s="32" t="s">
        <v>0</v>
      </c>
      <c r="L48" s="68">
        <v>3</v>
      </c>
      <c r="M48" s="2"/>
      <c r="N48" s="69">
        <f t="shared" si="5"/>
        <v>855</v>
      </c>
      <c r="O48" s="2"/>
      <c r="P48" s="2"/>
      <c r="Q48" s="2"/>
      <c r="R48" s="2"/>
      <c r="S48" s="2"/>
      <c r="T48" s="2"/>
      <c r="U48" s="2"/>
      <c r="V48" s="2"/>
      <c r="W48" s="2"/>
      <c r="X48" s="2"/>
    </row>
    <row r="49" spans="1:24" x14ac:dyDescent="0.25">
      <c r="A49" s="2"/>
      <c r="B49" s="37">
        <f t="shared" si="1"/>
        <v>49</v>
      </c>
      <c r="C49" s="37">
        <f t="shared" si="4"/>
        <v>40</v>
      </c>
      <c r="D49" s="2"/>
      <c r="E49" s="2" t="str">
        <f>структура!$AD$12</f>
        <v>АБК</v>
      </c>
      <c r="F49" s="2"/>
      <c r="G49" s="32" t="s">
        <v>0</v>
      </c>
      <c r="H49" s="66" t="s">
        <v>87</v>
      </c>
      <c r="I49" s="32" t="s">
        <v>0</v>
      </c>
      <c r="J49" s="68">
        <v>270</v>
      </c>
      <c r="K49" s="32" t="s">
        <v>0</v>
      </c>
      <c r="L49" s="68">
        <v>1</v>
      </c>
      <c r="M49" s="2"/>
      <c r="N49" s="69">
        <f t="shared" si="5"/>
        <v>270</v>
      </c>
      <c r="O49" s="2"/>
      <c r="P49" s="2"/>
      <c r="Q49" s="2"/>
      <c r="R49" s="2"/>
      <c r="S49" s="2"/>
      <c r="T49" s="2"/>
      <c r="U49" s="2"/>
      <c r="V49" s="2"/>
      <c r="W49" s="2"/>
      <c r="X49" s="2"/>
    </row>
    <row r="50" spans="1:24" x14ac:dyDescent="0.25">
      <c r="A50" s="2"/>
      <c r="B50" s="37">
        <f t="shared" si="1"/>
        <v>50</v>
      </c>
      <c r="C50" s="37">
        <f t="shared" si="4"/>
        <v>41</v>
      </c>
      <c r="D50" s="2"/>
      <c r="E50" s="2" t="str">
        <f>структура!$AD$12</f>
        <v>АБК</v>
      </c>
      <c r="F50" s="2"/>
      <c r="G50" s="32" t="s">
        <v>0</v>
      </c>
      <c r="H50" s="66" t="s">
        <v>88</v>
      </c>
      <c r="I50" s="32" t="s">
        <v>0</v>
      </c>
      <c r="J50" s="68">
        <v>363</v>
      </c>
      <c r="K50" s="32" t="s">
        <v>0</v>
      </c>
      <c r="L50" s="68">
        <v>1</v>
      </c>
      <c r="M50" s="2"/>
      <c r="N50" s="69">
        <f t="shared" si="5"/>
        <v>363</v>
      </c>
      <c r="O50" s="2"/>
      <c r="P50" s="2"/>
      <c r="Q50" s="2"/>
      <c r="R50" s="2"/>
      <c r="S50" s="2"/>
      <c r="T50" s="2"/>
      <c r="U50" s="2"/>
      <c r="V50" s="2"/>
      <c r="W50" s="2"/>
      <c r="X50" s="2"/>
    </row>
    <row r="51" spans="1:24" x14ac:dyDescent="0.25">
      <c r="A51" s="2"/>
      <c r="B51" s="37">
        <f t="shared" si="1"/>
        <v>51</v>
      </c>
      <c r="C51" s="37">
        <f t="shared" si="4"/>
        <v>42</v>
      </c>
      <c r="D51" s="2"/>
      <c r="E51" s="2" t="str">
        <f>структура!$AD$12</f>
        <v>АБК</v>
      </c>
      <c r="F51" s="2"/>
      <c r="G51" s="32" t="s">
        <v>0</v>
      </c>
      <c r="H51" s="66" t="s">
        <v>89</v>
      </c>
      <c r="I51" s="32" t="s">
        <v>0</v>
      </c>
      <c r="J51" s="68">
        <v>511</v>
      </c>
      <c r="K51" s="32" t="s">
        <v>0</v>
      </c>
      <c r="L51" s="68">
        <v>2</v>
      </c>
      <c r="M51" s="2"/>
      <c r="N51" s="69">
        <f t="shared" si="5"/>
        <v>1022</v>
      </c>
      <c r="O51" s="2"/>
      <c r="P51" s="2"/>
      <c r="Q51" s="2"/>
      <c r="R51" s="2"/>
      <c r="S51" s="2"/>
      <c r="T51" s="2"/>
      <c r="U51" s="2"/>
      <c r="V51" s="2"/>
      <c r="W51" s="2"/>
      <c r="X51" s="2"/>
    </row>
    <row r="52" spans="1:24" x14ac:dyDescent="0.25">
      <c r="A52" s="2"/>
      <c r="B52" s="37">
        <f t="shared" si="1"/>
        <v>52</v>
      </c>
      <c r="C52" s="37">
        <f t="shared" si="4"/>
        <v>43</v>
      </c>
      <c r="D52" s="2"/>
      <c r="E52" s="2" t="str">
        <f>структура!$AD$12</f>
        <v>АБК</v>
      </c>
      <c r="F52" s="2"/>
      <c r="G52" s="32" t="s">
        <v>0</v>
      </c>
      <c r="H52" s="66" t="s">
        <v>90</v>
      </c>
      <c r="I52" s="32" t="s">
        <v>0</v>
      </c>
      <c r="J52" s="68">
        <v>1270</v>
      </c>
      <c r="K52" s="32" t="s">
        <v>0</v>
      </c>
      <c r="L52" s="68">
        <v>5</v>
      </c>
      <c r="M52" s="2"/>
      <c r="N52" s="69">
        <f t="shared" si="5"/>
        <v>6350</v>
      </c>
      <c r="O52" s="2"/>
      <c r="P52" s="2"/>
      <c r="Q52" s="2"/>
      <c r="R52" s="2"/>
      <c r="S52" s="2"/>
      <c r="T52" s="2"/>
      <c r="U52" s="2"/>
      <c r="V52" s="2"/>
      <c r="W52" s="2"/>
      <c r="X52" s="2"/>
    </row>
    <row r="53" spans="1:24" x14ac:dyDescent="0.25">
      <c r="A53" s="2"/>
      <c r="B53" s="37">
        <f t="shared" si="1"/>
        <v>53</v>
      </c>
      <c r="C53" s="37">
        <f t="shared" si="4"/>
        <v>44</v>
      </c>
      <c r="D53" s="2"/>
      <c r="E53" s="2" t="str">
        <f>структура!$AD$12</f>
        <v>АБК</v>
      </c>
      <c r="F53" s="2"/>
      <c r="G53" s="32" t="s">
        <v>0</v>
      </c>
      <c r="H53" s="66" t="s">
        <v>91</v>
      </c>
      <c r="I53" s="32" t="s">
        <v>0</v>
      </c>
      <c r="J53" s="68">
        <v>1343</v>
      </c>
      <c r="K53" s="32" t="s">
        <v>0</v>
      </c>
      <c r="L53" s="68">
        <v>1</v>
      </c>
      <c r="M53" s="2"/>
      <c r="N53" s="69">
        <f t="shared" si="5"/>
        <v>1343</v>
      </c>
      <c r="O53" s="2"/>
      <c r="P53" s="2"/>
      <c r="Q53" s="2"/>
      <c r="R53" s="2"/>
      <c r="S53" s="2"/>
      <c r="T53" s="2"/>
      <c r="U53" s="2"/>
      <c r="V53" s="2"/>
      <c r="W53" s="2"/>
      <c r="X53" s="2"/>
    </row>
    <row r="54" spans="1:24" x14ac:dyDescent="0.25">
      <c r="A54" s="2"/>
      <c r="B54" s="37">
        <f t="shared" si="1"/>
        <v>54</v>
      </c>
      <c r="C54" s="37">
        <f t="shared" si="4"/>
        <v>45</v>
      </c>
      <c r="D54" s="2"/>
      <c r="E54" s="2" t="str">
        <f>структура!$AD$12</f>
        <v>АБК</v>
      </c>
      <c r="F54" s="2"/>
      <c r="G54" s="32" t="s">
        <v>0</v>
      </c>
      <c r="H54" s="66" t="s">
        <v>92</v>
      </c>
      <c r="I54" s="32" t="s">
        <v>0</v>
      </c>
      <c r="J54" s="68">
        <v>425</v>
      </c>
      <c r="K54" s="32" t="s">
        <v>0</v>
      </c>
      <c r="L54" s="68">
        <v>1</v>
      </c>
      <c r="M54" s="2"/>
      <c r="N54" s="69">
        <f t="shared" si="5"/>
        <v>425</v>
      </c>
      <c r="O54" s="2"/>
      <c r="P54" s="2"/>
      <c r="Q54" s="2"/>
      <c r="R54" s="2"/>
      <c r="S54" s="2"/>
      <c r="T54" s="2"/>
      <c r="U54" s="2"/>
      <c r="V54" s="2"/>
      <c r="W54" s="2"/>
      <c r="X54" s="2"/>
    </row>
    <row r="55" spans="1:24" x14ac:dyDescent="0.25">
      <c r="A55" s="2"/>
      <c r="B55" s="37">
        <f t="shared" si="1"/>
        <v>55</v>
      </c>
      <c r="C55" s="37">
        <f t="shared" si="4"/>
        <v>46</v>
      </c>
      <c r="D55" s="2"/>
      <c r="E55" s="2" t="str">
        <f>структура!$AD$12</f>
        <v>АБК</v>
      </c>
      <c r="F55" s="2"/>
      <c r="G55" s="32" t="s">
        <v>0</v>
      </c>
      <c r="H55" s="66" t="s">
        <v>93</v>
      </c>
      <c r="I55" s="32" t="s">
        <v>0</v>
      </c>
      <c r="J55" s="68">
        <v>375</v>
      </c>
      <c r="K55" s="32" t="s">
        <v>0</v>
      </c>
      <c r="L55" s="68">
        <v>7</v>
      </c>
      <c r="M55" s="2"/>
      <c r="N55" s="69">
        <f t="shared" si="5"/>
        <v>2625</v>
      </c>
      <c r="O55" s="2"/>
      <c r="P55" s="2"/>
      <c r="Q55" s="2"/>
      <c r="R55" s="2"/>
      <c r="S55" s="2"/>
      <c r="T55" s="2"/>
      <c r="U55" s="2"/>
      <c r="V55" s="2"/>
      <c r="W55" s="2"/>
      <c r="X55" s="2"/>
    </row>
    <row r="56" spans="1:24" x14ac:dyDescent="0.25">
      <c r="A56" s="2"/>
      <c r="B56" s="37">
        <f t="shared" si="1"/>
        <v>56</v>
      </c>
      <c r="C56" s="37">
        <f t="shared" si="4"/>
        <v>47</v>
      </c>
      <c r="D56" s="2"/>
      <c r="E56" s="2" t="str">
        <f>структура!$AD$12</f>
        <v>АБК</v>
      </c>
      <c r="F56" s="2"/>
      <c r="G56" s="32" t="s">
        <v>0</v>
      </c>
      <c r="H56" s="66" t="s">
        <v>94</v>
      </c>
      <c r="I56" s="32" t="s">
        <v>0</v>
      </c>
      <c r="J56" s="68">
        <v>4599</v>
      </c>
      <c r="K56" s="32" t="s">
        <v>0</v>
      </c>
      <c r="L56" s="68">
        <v>2</v>
      </c>
      <c r="M56" s="2"/>
      <c r="N56" s="69">
        <f t="shared" si="5"/>
        <v>9198</v>
      </c>
      <c r="O56" s="2"/>
      <c r="P56" s="2"/>
      <c r="Q56" s="2"/>
      <c r="R56" s="2"/>
      <c r="S56" s="2"/>
      <c r="T56" s="2"/>
      <c r="U56" s="2"/>
      <c r="V56" s="2"/>
      <c r="W56" s="2"/>
      <c r="X56" s="2"/>
    </row>
    <row r="57" spans="1:24" x14ac:dyDescent="0.25">
      <c r="A57" s="2"/>
      <c r="B57" s="37">
        <f t="shared" si="1"/>
        <v>57</v>
      </c>
      <c r="C57" s="37">
        <f t="shared" si="4"/>
        <v>48</v>
      </c>
      <c r="D57" s="2"/>
      <c r="E57" s="2" t="str">
        <f>структура!$AD$12</f>
        <v>АБК</v>
      </c>
      <c r="F57" s="2"/>
      <c r="G57" s="32" t="s">
        <v>0</v>
      </c>
      <c r="H57" s="66" t="s">
        <v>95</v>
      </c>
      <c r="I57" s="32" t="s">
        <v>0</v>
      </c>
      <c r="J57" s="68">
        <v>60</v>
      </c>
      <c r="K57" s="32" t="s">
        <v>0</v>
      </c>
      <c r="L57" s="68">
        <v>3</v>
      </c>
      <c r="M57" s="2"/>
      <c r="N57" s="69">
        <f t="shared" si="5"/>
        <v>180</v>
      </c>
      <c r="O57" s="2"/>
      <c r="P57" s="2"/>
      <c r="Q57" s="2"/>
      <c r="R57" s="2"/>
      <c r="S57" s="2"/>
      <c r="T57" s="2"/>
      <c r="U57" s="2"/>
      <c r="V57" s="2"/>
      <c r="W57" s="2"/>
      <c r="X57" s="2"/>
    </row>
    <row r="58" spans="1:24" x14ac:dyDescent="0.25">
      <c r="A58" s="2"/>
      <c r="B58" s="37">
        <f t="shared" si="1"/>
        <v>58</v>
      </c>
      <c r="C58" s="37">
        <f t="shared" si="4"/>
        <v>49</v>
      </c>
      <c r="D58" s="2"/>
      <c r="E58" s="2" t="str">
        <f>структура!$AD$12</f>
        <v>АБК</v>
      </c>
      <c r="F58" s="2"/>
      <c r="G58" s="32" t="s">
        <v>0</v>
      </c>
      <c r="H58" s="66" t="s">
        <v>96</v>
      </c>
      <c r="I58" s="32" t="s">
        <v>0</v>
      </c>
      <c r="J58" s="68">
        <v>100</v>
      </c>
      <c r="K58" s="32" t="s">
        <v>0</v>
      </c>
      <c r="L58" s="68">
        <v>3</v>
      </c>
      <c r="M58" s="2"/>
      <c r="N58" s="69">
        <f t="shared" si="5"/>
        <v>300</v>
      </c>
      <c r="O58" s="2"/>
      <c r="P58" s="2"/>
      <c r="Q58" s="2"/>
      <c r="R58" s="2"/>
      <c r="S58" s="2"/>
      <c r="T58" s="2"/>
      <c r="U58" s="2"/>
      <c r="V58" s="2"/>
      <c r="W58" s="2"/>
      <c r="X58" s="2"/>
    </row>
    <row r="59" spans="1:24" x14ac:dyDescent="0.25">
      <c r="A59" s="2"/>
      <c r="B59" s="37">
        <f t="shared" si="1"/>
        <v>59</v>
      </c>
      <c r="C59" s="37">
        <f t="shared" si="4"/>
        <v>50</v>
      </c>
      <c r="D59" s="2"/>
      <c r="E59" s="2" t="str">
        <f>структура!$AD$12</f>
        <v>АБК</v>
      </c>
      <c r="F59" s="2"/>
      <c r="G59" s="32" t="s">
        <v>0</v>
      </c>
      <c r="H59" s="66" t="s">
        <v>97</v>
      </c>
      <c r="I59" s="32" t="s">
        <v>0</v>
      </c>
      <c r="J59" s="68">
        <v>130</v>
      </c>
      <c r="K59" s="32" t="s">
        <v>0</v>
      </c>
      <c r="L59" s="68">
        <v>5</v>
      </c>
      <c r="M59" s="2"/>
      <c r="N59" s="69">
        <f t="shared" si="5"/>
        <v>650</v>
      </c>
      <c r="O59" s="2"/>
      <c r="P59" s="2"/>
      <c r="Q59" s="2"/>
      <c r="R59" s="2"/>
      <c r="S59" s="2"/>
      <c r="T59" s="2"/>
      <c r="U59" s="2"/>
      <c r="V59" s="2"/>
      <c r="W59" s="2"/>
      <c r="X59" s="2"/>
    </row>
    <row r="60" spans="1:24" x14ac:dyDescent="0.25">
      <c r="A60" s="2"/>
      <c r="B60" s="37">
        <f t="shared" si="1"/>
        <v>60</v>
      </c>
      <c r="C60" s="37">
        <f t="shared" si="4"/>
        <v>51</v>
      </c>
      <c r="D60" s="2"/>
      <c r="E60" s="2" t="str">
        <f>структура!$AD$12</f>
        <v>АБК</v>
      </c>
      <c r="F60" s="2"/>
      <c r="G60" s="32" t="s">
        <v>0</v>
      </c>
      <c r="H60" s="66" t="s">
        <v>98</v>
      </c>
      <c r="I60" s="32" t="s">
        <v>0</v>
      </c>
      <c r="J60" s="68">
        <v>250</v>
      </c>
      <c r="K60" s="32" t="s">
        <v>0</v>
      </c>
      <c r="L60" s="68">
        <v>1</v>
      </c>
      <c r="M60" s="2"/>
      <c r="N60" s="69">
        <f t="shared" si="5"/>
        <v>250</v>
      </c>
      <c r="O60" s="2"/>
      <c r="P60" s="2"/>
      <c r="Q60" s="2"/>
      <c r="R60" s="2"/>
      <c r="S60" s="2"/>
      <c r="T60" s="2"/>
      <c r="U60" s="2"/>
      <c r="V60" s="2"/>
      <c r="W60" s="2"/>
      <c r="X60" s="2"/>
    </row>
    <row r="61" spans="1:24" x14ac:dyDescent="0.25">
      <c r="A61" s="2"/>
      <c r="B61" s="37">
        <f t="shared" si="1"/>
        <v>61</v>
      </c>
      <c r="C61" s="37">
        <f t="shared" si="4"/>
        <v>52</v>
      </c>
      <c r="D61" s="2"/>
      <c r="E61" s="2" t="str">
        <f>структура!$AD$12</f>
        <v>АБК</v>
      </c>
      <c r="F61" s="2"/>
      <c r="G61" s="32" t="s">
        <v>0</v>
      </c>
      <c r="H61" s="66" t="s">
        <v>99</v>
      </c>
      <c r="I61" s="32" t="s">
        <v>0</v>
      </c>
      <c r="J61" s="68">
        <v>60</v>
      </c>
      <c r="K61" s="32" t="s">
        <v>0</v>
      </c>
      <c r="L61" s="68">
        <v>2</v>
      </c>
      <c r="M61" s="2"/>
      <c r="N61" s="69">
        <f t="shared" si="5"/>
        <v>120</v>
      </c>
      <c r="O61" s="2"/>
      <c r="P61" s="2"/>
      <c r="Q61" s="2"/>
      <c r="R61" s="2"/>
      <c r="S61" s="2"/>
      <c r="T61" s="2"/>
      <c r="U61" s="2"/>
      <c r="V61" s="2"/>
      <c r="W61" s="2"/>
      <c r="X61" s="2"/>
    </row>
    <row r="62" spans="1:24" x14ac:dyDescent="0.25">
      <c r="A62" s="2"/>
      <c r="B62" s="37">
        <f t="shared" si="1"/>
        <v>62</v>
      </c>
      <c r="C62" s="37">
        <f t="shared" si="4"/>
        <v>53</v>
      </c>
      <c r="D62" s="2"/>
      <c r="E62" s="2" t="str">
        <f>структура!$AD$12</f>
        <v>АБК</v>
      </c>
      <c r="F62" s="2"/>
      <c r="G62" s="32" t="s">
        <v>0</v>
      </c>
      <c r="H62" s="66" t="s">
        <v>100</v>
      </c>
      <c r="I62" s="32" t="s">
        <v>0</v>
      </c>
      <c r="J62" s="68">
        <v>64</v>
      </c>
      <c r="K62" s="32" t="s">
        <v>0</v>
      </c>
      <c r="L62" s="68">
        <v>3</v>
      </c>
      <c r="M62" s="2"/>
      <c r="N62" s="69">
        <f t="shared" si="5"/>
        <v>192</v>
      </c>
      <c r="O62" s="2"/>
      <c r="P62" s="2"/>
      <c r="Q62" s="2"/>
      <c r="R62" s="2"/>
      <c r="S62" s="2"/>
      <c r="T62" s="2"/>
      <c r="U62" s="2"/>
      <c r="V62" s="2"/>
      <c r="W62" s="2"/>
      <c r="X62" s="2"/>
    </row>
    <row r="63" spans="1:24" x14ac:dyDescent="0.25">
      <c r="A63" s="2"/>
      <c r="B63" s="37">
        <f t="shared" si="1"/>
        <v>63</v>
      </c>
      <c r="C63" s="37">
        <f t="shared" si="4"/>
        <v>54</v>
      </c>
      <c r="D63" s="2"/>
      <c r="E63" s="2" t="str">
        <f>структура!$AD$12</f>
        <v>АБК</v>
      </c>
      <c r="F63" s="2"/>
      <c r="G63" s="32" t="s">
        <v>0</v>
      </c>
      <c r="H63" s="66" t="s">
        <v>101</v>
      </c>
      <c r="I63" s="32" t="s">
        <v>0</v>
      </c>
      <c r="J63" s="68">
        <v>66</v>
      </c>
      <c r="K63" s="32" t="s">
        <v>0</v>
      </c>
      <c r="L63" s="68">
        <v>8</v>
      </c>
      <c r="M63" s="2"/>
      <c r="N63" s="69">
        <f t="shared" si="5"/>
        <v>528</v>
      </c>
      <c r="O63" s="2"/>
      <c r="P63" s="2"/>
      <c r="Q63" s="2"/>
      <c r="R63" s="2"/>
      <c r="S63" s="2"/>
      <c r="T63" s="2"/>
      <c r="U63" s="2"/>
      <c r="V63" s="2"/>
      <c r="W63" s="2"/>
      <c r="X63" s="2"/>
    </row>
    <row r="64" spans="1:24" x14ac:dyDescent="0.25">
      <c r="A64" s="2"/>
      <c r="B64" s="37">
        <f t="shared" si="1"/>
        <v>64</v>
      </c>
      <c r="C64" s="37">
        <f t="shared" si="4"/>
        <v>55</v>
      </c>
      <c r="D64" s="2"/>
      <c r="E64" s="2" t="str">
        <f>структура!$AD$12</f>
        <v>АБК</v>
      </c>
      <c r="F64" s="2"/>
      <c r="G64" s="32" t="s">
        <v>0</v>
      </c>
      <c r="H64" s="66" t="s">
        <v>102</v>
      </c>
      <c r="I64" s="32" t="s">
        <v>0</v>
      </c>
      <c r="J64" s="68">
        <v>156</v>
      </c>
      <c r="K64" s="32" t="s">
        <v>0</v>
      </c>
      <c r="L64" s="68">
        <v>2.4</v>
      </c>
      <c r="M64" s="2"/>
      <c r="N64" s="69">
        <f t="shared" si="5"/>
        <v>374.4</v>
      </c>
      <c r="O64" s="2"/>
      <c r="P64" s="2"/>
      <c r="Q64" s="2"/>
      <c r="R64" s="2"/>
      <c r="S64" s="2"/>
      <c r="T64" s="2"/>
      <c r="U64" s="2"/>
      <c r="V64" s="2"/>
      <c r="W64" s="2"/>
      <c r="X64" s="2"/>
    </row>
    <row r="65" spans="1:24" x14ac:dyDescent="0.25">
      <c r="A65" s="2"/>
      <c r="B65" s="37">
        <f t="shared" si="1"/>
        <v>65</v>
      </c>
      <c r="C65" s="37">
        <f t="shared" si="4"/>
        <v>56</v>
      </c>
      <c r="D65" s="2"/>
      <c r="E65" s="2" t="str">
        <f>структура!$AD$12</f>
        <v>АБК</v>
      </c>
      <c r="F65" s="2"/>
      <c r="G65" s="32" t="s">
        <v>0</v>
      </c>
      <c r="H65" s="66" t="s">
        <v>103</v>
      </c>
      <c r="I65" s="32" t="s">
        <v>0</v>
      </c>
      <c r="J65" s="68">
        <v>3600</v>
      </c>
      <c r="K65" s="32" t="s">
        <v>0</v>
      </c>
      <c r="L65" s="68">
        <v>6</v>
      </c>
      <c r="M65" s="2"/>
      <c r="N65" s="69">
        <f t="shared" si="5"/>
        <v>21600</v>
      </c>
      <c r="O65" s="2"/>
      <c r="P65" s="2"/>
      <c r="Q65" s="2"/>
      <c r="R65" s="2"/>
      <c r="S65" s="2"/>
      <c r="T65" s="2"/>
      <c r="U65" s="2"/>
      <c r="V65" s="2"/>
      <c r="W65" s="2"/>
      <c r="X65" s="2"/>
    </row>
    <row r="66" spans="1:24" x14ac:dyDescent="0.25">
      <c r="A66" s="2"/>
      <c r="B66" s="37">
        <f t="shared" si="1"/>
        <v>66</v>
      </c>
      <c r="C66" s="37">
        <f t="shared" si="4"/>
        <v>57</v>
      </c>
      <c r="D66" s="2"/>
      <c r="E66" s="2" t="str">
        <f>структура!$AD$12</f>
        <v>АБК</v>
      </c>
      <c r="F66" s="2"/>
      <c r="G66" s="32" t="s">
        <v>0</v>
      </c>
      <c r="H66" s="66" t="s">
        <v>104</v>
      </c>
      <c r="I66" s="32" t="s">
        <v>0</v>
      </c>
      <c r="J66" s="68">
        <v>35400</v>
      </c>
      <c r="K66" s="32" t="s">
        <v>0</v>
      </c>
      <c r="L66" s="68">
        <v>1</v>
      </c>
      <c r="M66" s="2"/>
      <c r="N66" s="69">
        <f t="shared" si="5"/>
        <v>35400</v>
      </c>
      <c r="O66" s="2"/>
      <c r="P66" s="2"/>
      <c r="Q66" s="2"/>
      <c r="R66" s="2"/>
      <c r="S66" s="2"/>
      <c r="T66" s="2"/>
      <c r="U66" s="2"/>
      <c r="V66" s="2"/>
      <c r="W66" s="2"/>
      <c r="X66" s="2"/>
    </row>
    <row r="67" spans="1:24" x14ac:dyDescent="0.25">
      <c r="A67" s="2"/>
      <c r="B67" s="37">
        <f t="shared" si="1"/>
        <v>67</v>
      </c>
      <c r="C67" s="37">
        <f t="shared" si="4"/>
        <v>58</v>
      </c>
      <c r="D67" s="2"/>
      <c r="E67" s="2" t="str">
        <f>структура!$AD$12</f>
        <v>АБК</v>
      </c>
      <c r="F67" s="2"/>
      <c r="G67" s="32" t="s">
        <v>0</v>
      </c>
      <c r="H67" s="66" t="s">
        <v>105</v>
      </c>
      <c r="I67" s="32" t="s">
        <v>0</v>
      </c>
      <c r="J67" s="68">
        <v>3090.909090909091</v>
      </c>
      <c r="K67" s="32" t="s">
        <v>0</v>
      </c>
      <c r="L67" s="68">
        <v>11</v>
      </c>
      <c r="M67" s="2"/>
      <c r="N67" s="69">
        <f t="shared" si="5"/>
        <v>34000</v>
      </c>
      <c r="O67" s="2"/>
      <c r="P67" s="2"/>
      <c r="Q67" s="2"/>
      <c r="R67" s="2"/>
      <c r="S67" s="2"/>
      <c r="T67" s="2"/>
      <c r="U67" s="2"/>
      <c r="V67" s="2"/>
      <c r="W67" s="2"/>
      <c r="X67" s="2"/>
    </row>
    <row r="68" spans="1:24" x14ac:dyDescent="0.25">
      <c r="A68" s="2"/>
      <c r="B68" s="37">
        <f t="shared" si="1"/>
        <v>68</v>
      </c>
      <c r="C68" s="37">
        <f t="shared" si="4"/>
        <v>59</v>
      </c>
      <c r="D68" s="2"/>
      <c r="E68" s="2" t="str">
        <f>структура!$AD$12</f>
        <v>АБК</v>
      </c>
      <c r="F68" s="2"/>
      <c r="G68" s="32" t="s">
        <v>0</v>
      </c>
      <c r="H68" s="66" t="s">
        <v>107</v>
      </c>
      <c r="I68" s="32" t="s">
        <v>0</v>
      </c>
      <c r="J68" s="68">
        <v>140</v>
      </c>
      <c r="K68" s="32" t="s">
        <v>0</v>
      </c>
      <c r="L68" s="68">
        <v>11</v>
      </c>
      <c r="M68" s="2"/>
      <c r="N68" s="69">
        <f t="shared" si="5"/>
        <v>1540</v>
      </c>
      <c r="O68" s="2"/>
      <c r="P68" s="2"/>
      <c r="Q68" s="2"/>
      <c r="R68" s="2"/>
      <c r="S68" s="2"/>
      <c r="T68" s="2"/>
      <c r="U68" s="2"/>
      <c r="V68" s="2"/>
      <c r="W68" s="2"/>
      <c r="X68" s="2"/>
    </row>
    <row r="69" spans="1:24" x14ac:dyDescent="0.25">
      <c r="A69" s="2"/>
      <c r="B69" s="37">
        <f t="shared" si="1"/>
        <v>69</v>
      </c>
      <c r="C69" s="37">
        <f t="shared" si="4"/>
        <v>60</v>
      </c>
      <c r="D69" s="2"/>
      <c r="E69" s="2" t="str">
        <f>структура!$AD$12</f>
        <v>АБК</v>
      </c>
      <c r="F69" s="2"/>
      <c r="G69" s="32" t="s">
        <v>0</v>
      </c>
      <c r="H69" s="66" t="s">
        <v>108</v>
      </c>
      <c r="I69" s="32" t="s">
        <v>0</v>
      </c>
      <c r="J69" s="68">
        <v>80</v>
      </c>
      <c r="K69" s="32" t="s">
        <v>0</v>
      </c>
      <c r="L69" s="68">
        <v>11</v>
      </c>
      <c r="M69" s="2"/>
      <c r="N69" s="69">
        <f t="shared" si="5"/>
        <v>880</v>
      </c>
      <c r="O69" s="2"/>
      <c r="P69" s="2"/>
      <c r="Q69" s="2"/>
      <c r="R69" s="2"/>
      <c r="S69" s="2"/>
      <c r="T69" s="2"/>
      <c r="U69" s="2"/>
      <c r="V69" s="2"/>
      <c r="W69" s="2"/>
      <c r="X69" s="2"/>
    </row>
    <row r="70" spans="1:24" x14ac:dyDescent="0.25">
      <c r="A70" s="2"/>
      <c r="B70" s="37">
        <f t="shared" si="1"/>
        <v>70</v>
      </c>
      <c r="C70" s="37">
        <f t="shared" si="4"/>
        <v>61</v>
      </c>
      <c r="D70" s="2"/>
      <c r="E70" s="2" t="str">
        <f>структура!$AD$12</f>
        <v>АБК</v>
      </c>
      <c r="F70" s="2"/>
      <c r="G70" s="32" t="s">
        <v>0</v>
      </c>
      <c r="H70" s="66" t="s">
        <v>109</v>
      </c>
      <c r="I70" s="32" t="s">
        <v>0</v>
      </c>
      <c r="J70" s="68">
        <v>250</v>
      </c>
      <c r="K70" s="32" t="s">
        <v>0</v>
      </c>
      <c r="L70" s="68">
        <v>11</v>
      </c>
      <c r="M70" s="2"/>
      <c r="N70" s="69">
        <f t="shared" si="5"/>
        <v>2750</v>
      </c>
      <c r="O70" s="2"/>
      <c r="P70" s="2"/>
      <c r="Q70" s="2"/>
      <c r="R70" s="2"/>
      <c r="S70" s="2"/>
      <c r="T70" s="2"/>
      <c r="U70" s="2"/>
      <c r="V70" s="2"/>
      <c r="W70" s="2"/>
      <c r="X70" s="2"/>
    </row>
    <row r="71" spans="1:24" x14ac:dyDescent="0.25">
      <c r="A71" s="2"/>
      <c r="B71" s="37">
        <f t="shared" si="1"/>
        <v>71</v>
      </c>
      <c r="C71" s="37">
        <f t="shared" si="4"/>
        <v>62</v>
      </c>
      <c r="D71" s="2"/>
      <c r="E71" s="2" t="str">
        <f>структура!$AD$12</f>
        <v>АБК</v>
      </c>
      <c r="F71" s="2"/>
      <c r="G71" s="32" t="s">
        <v>0</v>
      </c>
      <c r="H71" s="66" t="s">
        <v>110</v>
      </c>
      <c r="I71" s="32" t="s">
        <v>0</v>
      </c>
      <c r="J71" s="68">
        <v>1365</v>
      </c>
      <c r="K71" s="32" t="s">
        <v>0</v>
      </c>
      <c r="L71" s="68">
        <v>11</v>
      </c>
      <c r="M71" s="2"/>
      <c r="N71" s="69">
        <f t="shared" si="5"/>
        <v>15015</v>
      </c>
      <c r="O71" s="2"/>
      <c r="P71" s="2"/>
      <c r="Q71" s="2"/>
      <c r="R71" s="2"/>
      <c r="S71" s="2"/>
      <c r="T71" s="2"/>
      <c r="U71" s="2"/>
      <c r="V71" s="2"/>
      <c r="W71" s="2"/>
      <c r="X71" s="2"/>
    </row>
    <row r="72" spans="1:24" x14ac:dyDescent="0.25">
      <c r="A72" s="2"/>
      <c r="B72" s="37">
        <f t="shared" si="1"/>
        <v>72</v>
      </c>
      <c r="C72" s="37">
        <f t="shared" si="4"/>
        <v>63</v>
      </c>
      <c r="D72" s="2"/>
      <c r="E72" s="2" t="str">
        <f>структура!$AD$12</f>
        <v>АБК</v>
      </c>
      <c r="F72" s="2"/>
      <c r="G72" s="32" t="s">
        <v>0</v>
      </c>
      <c r="H72" s="66" t="s">
        <v>111</v>
      </c>
      <c r="I72" s="32" t="s">
        <v>0</v>
      </c>
      <c r="J72" s="68">
        <v>900</v>
      </c>
      <c r="K72" s="32" t="s">
        <v>0</v>
      </c>
      <c r="L72" s="68">
        <v>11</v>
      </c>
      <c r="M72" s="2"/>
      <c r="N72" s="69">
        <f t="shared" si="5"/>
        <v>9900</v>
      </c>
      <c r="O72" s="2"/>
      <c r="P72" s="2"/>
      <c r="Q72" s="2"/>
      <c r="R72" s="2"/>
      <c r="S72" s="2"/>
      <c r="T72" s="2"/>
      <c r="U72" s="2"/>
      <c r="V72" s="2"/>
      <c r="W72" s="2"/>
      <c r="X72" s="2"/>
    </row>
    <row r="73" spans="1:24" x14ac:dyDescent="0.25">
      <c r="A73" s="2"/>
      <c r="B73" s="37">
        <f t="shared" si="1"/>
        <v>73</v>
      </c>
      <c r="C73" s="37">
        <f t="shared" si="4"/>
        <v>64</v>
      </c>
      <c r="D73" s="2"/>
      <c r="E73" s="2" t="str">
        <f>структура!$AD$12</f>
        <v>АБК</v>
      </c>
      <c r="F73" s="2"/>
      <c r="G73" s="32" t="s">
        <v>0</v>
      </c>
      <c r="H73" s="66" t="s">
        <v>112</v>
      </c>
      <c r="I73" s="32" t="s">
        <v>0</v>
      </c>
      <c r="J73" s="68">
        <v>51</v>
      </c>
      <c r="K73" s="32" t="s">
        <v>0</v>
      </c>
      <c r="L73" s="68">
        <v>100</v>
      </c>
      <c r="M73" s="2"/>
      <c r="N73" s="69">
        <f t="shared" si="5"/>
        <v>5100</v>
      </c>
      <c r="O73" s="2"/>
      <c r="P73" s="2"/>
      <c r="Q73" s="2"/>
      <c r="R73" s="2"/>
      <c r="S73" s="2"/>
      <c r="T73" s="2"/>
      <c r="U73" s="2"/>
      <c r="V73" s="2"/>
      <c r="W73" s="2"/>
      <c r="X73" s="2"/>
    </row>
    <row r="74" spans="1:24" x14ac:dyDescent="0.25">
      <c r="A74" s="2"/>
      <c r="B74" s="37">
        <f t="shared" si="1"/>
        <v>74</v>
      </c>
      <c r="C74" s="37">
        <f t="shared" si="4"/>
        <v>65</v>
      </c>
      <c r="D74" s="2"/>
      <c r="E74" s="2" t="str">
        <f>структура!$AD$12</f>
        <v>АБК</v>
      </c>
      <c r="F74" s="2"/>
      <c r="G74" s="32" t="s">
        <v>0</v>
      </c>
      <c r="H74" s="66" t="s">
        <v>113</v>
      </c>
      <c r="I74" s="32" t="s">
        <v>0</v>
      </c>
      <c r="J74" s="68">
        <v>75.66</v>
      </c>
      <c r="K74" s="32" t="s">
        <v>0</v>
      </c>
      <c r="L74" s="68">
        <v>34</v>
      </c>
      <c r="M74" s="2"/>
      <c r="N74" s="69">
        <f t="shared" si="5"/>
        <v>2572.44</v>
      </c>
      <c r="O74" s="2"/>
      <c r="P74" s="2"/>
      <c r="Q74" s="2"/>
      <c r="R74" s="2"/>
      <c r="S74" s="2"/>
      <c r="T74" s="2"/>
      <c r="U74" s="2"/>
      <c r="V74" s="2"/>
      <c r="W74" s="2"/>
      <c r="X74" s="2"/>
    </row>
    <row r="75" spans="1:24" x14ac:dyDescent="0.25">
      <c r="A75" s="2"/>
      <c r="B75" s="37">
        <f t="shared" si="1"/>
        <v>75</v>
      </c>
      <c r="C75" s="37">
        <f t="shared" si="4"/>
        <v>66</v>
      </c>
      <c r="D75" s="2"/>
      <c r="E75" s="2" t="str">
        <f>структура!$AD$12</f>
        <v>АБК</v>
      </c>
      <c r="F75" s="2"/>
      <c r="G75" s="32" t="s">
        <v>0</v>
      </c>
      <c r="H75" s="66" t="s">
        <v>114</v>
      </c>
      <c r="I75" s="32" t="s">
        <v>0</v>
      </c>
      <c r="J75" s="68">
        <v>20</v>
      </c>
      <c r="K75" s="32" t="s">
        <v>0</v>
      </c>
      <c r="L75" s="68">
        <v>134</v>
      </c>
      <c r="M75" s="2"/>
      <c r="N75" s="69">
        <f t="shared" si="5"/>
        <v>2680</v>
      </c>
      <c r="O75" s="2"/>
      <c r="P75" s="2"/>
      <c r="Q75" s="2"/>
      <c r="R75" s="2"/>
      <c r="S75" s="2"/>
      <c r="T75" s="2"/>
      <c r="U75" s="2"/>
      <c r="V75" s="2"/>
      <c r="W75" s="2"/>
      <c r="X75" s="2"/>
    </row>
    <row r="76" spans="1:24" x14ac:dyDescent="0.25">
      <c r="A76" s="2"/>
      <c r="B76" s="37">
        <f t="shared" ref="B76:B139" si="6">ROW(A76)</f>
        <v>76</v>
      </c>
      <c r="C76" s="37">
        <f t="shared" si="4"/>
        <v>67</v>
      </c>
      <c r="D76" s="2"/>
      <c r="E76" s="2" t="str">
        <f>структура!$AD$12</f>
        <v>АБК</v>
      </c>
      <c r="F76" s="2"/>
      <c r="G76" s="32" t="s">
        <v>0</v>
      </c>
      <c r="H76" s="66" t="s">
        <v>115</v>
      </c>
      <c r="I76" s="32" t="s">
        <v>0</v>
      </c>
      <c r="J76" s="68"/>
      <c r="K76" s="32" t="s">
        <v>0</v>
      </c>
      <c r="L76" s="68"/>
      <c r="M76" s="2"/>
      <c r="N76" s="69">
        <f t="shared" si="5"/>
        <v>0</v>
      </c>
      <c r="O76" s="2"/>
      <c r="P76" s="2"/>
      <c r="Q76" s="2"/>
      <c r="R76" s="2"/>
      <c r="S76" s="2"/>
      <c r="T76" s="2"/>
      <c r="U76" s="2"/>
      <c r="V76" s="2"/>
      <c r="W76" s="2"/>
      <c r="X76" s="2"/>
    </row>
    <row r="77" spans="1:24" x14ac:dyDescent="0.25">
      <c r="A77" s="2"/>
      <c r="B77" s="37">
        <f t="shared" si="6"/>
        <v>77</v>
      </c>
      <c r="C77" s="37">
        <f t="shared" si="4"/>
        <v>68</v>
      </c>
      <c r="D77" s="2"/>
      <c r="E77" s="2" t="str">
        <f>структура!$AD$12</f>
        <v>АБК</v>
      </c>
      <c r="F77" s="2"/>
      <c r="G77" s="32" t="s">
        <v>0</v>
      </c>
      <c r="H77" s="66" t="s">
        <v>116</v>
      </c>
      <c r="I77" s="32" t="s">
        <v>0</v>
      </c>
      <c r="J77" s="68">
        <v>20000</v>
      </c>
      <c r="K77" s="32" t="s">
        <v>0</v>
      </c>
      <c r="L77" s="68">
        <v>2</v>
      </c>
      <c r="M77" s="2"/>
      <c r="N77" s="69">
        <f t="shared" si="5"/>
        <v>40000</v>
      </c>
      <c r="O77" s="2"/>
      <c r="P77" s="2"/>
      <c r="Q77" s="2"/>
      <c r="R77" s="2"/>
      <c r="S77" s="2"/>
      <c r="T77" s="2"/>
      <c r="U77" s="2"/>
      <c r="V77" s="2"/>
      <c r="W77" s="2"/>
      <c r="X77" s="2"/>
    </row>
    <row r="78" spans="1:24" x14ac:dyDescent="0.25">
      <c r="A78" s="2"/>
      <c r="B78" s="37">
        <f t="shared" si="6"/>
        <v>78</v>
      </c>
      <c r="C78" s="37">
        <f t="shared" si="4"/>
        <v>69</v>
      </c>
      <c r="D78" s="2"/>
      <c r="E78" s="2" t="str">
        <f>структура!$AD$12</f>
        <v>АБК</v>
      </c>
      <c r="F78" s="2"/>
      <c r="G78" s="32" t="s">
        <v>0</v>
      </c>
      <c r="H78" s="66" t="s">
        <v>117</v>
      </c>
      <c r="I78" s="32" t="s">
        <v>0</v>
      </c>
      <c r="J78" s="68"/>
      <c r="K78" s="32" t="s">
        <v>0</v>
      </c>
      <c r="L78" s="68"/>
      <c r="M78" s="2"/>
      <c r="N78" s="69">
        <f t="shared" si="5"/>
        <v>0</v>
      </c>
      <c r="O78" s="2"/>
      <c r="P78" s="2"/>
      <c r="Q78" s="2"/>
      <c r="R78" s="2"/>
      <c r="S78" s="2"/>
      <c r="T78" s="2"/>
      <c r="U78" s="2"/>
      <c r="V78" s="2"/>
      <c r="W78" s="2"/>
      <c r="X78" s="2"/>
    </row>
    <row r="79" spans="1:24" x14ac:dyDescent="0.25">
      <c r="A79" s="2"/>
      <c r="B79" s="37">
        <f t="shared" si="6"/>
        <v>79</v>
      </c>
      <c r="C79" s="37">
        <f t="shared" si="4"/>
        <v>70</v>
      </c>
      <c r="D79" s="2"/>
      <c r="E79" s="2" t="str">
        <f>структура!$AD$12</f>
        <v>АБК</v>
      </c>
      <c r="F79" s="2"/>
      <c r="G79" s="32" t="s">
        <v>0</v>
      </c>
      <c r="H79" s="66" t="s">
        <v>118</v>
      </c>
      <c r="I79" s="32" t="s">
        <v>0</v>
      </c>
      <c r="J79" s="68">
        <v>500</v>
      </c>
      <c r="K79" s="32" t="s">
        <v>0</v>
      </c>
      <c r="L79" s="68">
        <v>25</v>
      </c>
      <c r="M79" s="2"/>
      <c r="N79" s="69">
        <f t="shared" si="5"/>
        <v>12500</v>
      </c>
      <c r="O79" s="2"/>
      <c r="P79" s="2"/>
      <c r="Q79" s="2"/>
      <c r="R79" s="2"/>
      <c r="S79" s="2"/>
      <c r="T79" s="2"/>
      <c r="U79" s="2"/>
      <c r="V79" s="2"/>
      <c r="W79" s="2"/>
      <c r="X79" s="2"/>
    </row>
    <row r="80" spans="1:24" x14ac:dyDescent="0.25">
      <c r="A80" s="2"/>
      <c r="B80" s="37">
        <f t="shared" si="6"/>
        <v>80</v>
      </c>
      <c r="C80" s="37">
        <f t="shared" si="4"/>
        <v>71</v>
      </c>
      <c r="D80" s="2"/>
      <c r="E80" s="2" t="str">
        <f>структура!$AD$12</f>
        <v>АБК</v>
      </c>
      <c r="F80" s="2"/>
      <c r="G80" s="32" t="s">
        <v>0</v>
      </c>
      <c r="H80" s="66" t="s">
        <v>119</v>
      </c>
      <c r="I80" s="32" t="s">
        <v>0</v>
      </c>
      <c r="J80" s="68">
        <v>4000</v>
      </c>
      <c r="K80" s="32" t="s">
        <v>0</v>
      </c>
      <c r="L80" s="68">
        <v>3</v>
      </c>
      <c r="M80" s="2"/>
      <c r="N80" s="69">
        <f t="shared" si="5"/>
        <v>12000</v>
      </c>
      <c r="O80" s="2"/>
      <c r="P80" s="2"/>
      <c r="Q80" s="2"/>
      <c r="R80" s="2"/>
      <c r="S80" s="2"/>
      <c r="T80" s="2"/>
      <c r="U80" s="2"/>
      <c r="V80" s="2"/>
      <c r="W80" s="2"/>
      <c r="X80" s="2"/>
    </row>
    <row r="81" spans="1:24" x14ac:dyDescent="0.25">
      <c r="A81" s="2"/>
      <c r="B81" s="37">
        <f t="shared" si="6"/>
        <v>81</v>
      </c>
      <c r="C81" s="37">
        <f t="shared" si="4"/>
        <v>72</v>
      </c>
      <c r="D81" s="2"/>
      <c r="E81" s="2" t="str">
        <f>структура!$AD$12</f>
        <v>АБК</v>
      </c>
      <c r="F81" s="2"/>
      <c r="G81" s="32" t="s">
        <v>0</v>
      </c>
      <c r="H81" s="66" t="s">
        <v>120</v>
      </c>
      <c r="I81" s="32" t="s">
        <v>0</v>
      </c>
      <c r="J81" s="68">
        <v>6475</v>
      </c>
      <c r="K81" s="32" t="s">
        <v>0</v>
      </c>
      <c r="L81" s="68">
        <v>1</v>
      </c>
      <c r="M81" s="2"/>
      <c r="N81" s="69">
        <f t="shared" si="5"/>
        <v>6475</v>
      </c>
      <c r="O81" s="2"/>
      <c r="P81" s="2"/>
      <c r="Q81" s="2"/>
      <c r="R81" s="2"/>
      <c r="S81" s="2"/>
      <c r="T81" s="2"/>
      <c r="U81" s="2"/>
      <c r="V81" s="2"/>
      <c r="W81" s="2"/>
      <c r="X81" s="2"/>
    </row>
    <row r="82" spans="1:24" x14ac:dyDescent="0.25">
      <c r="A82" s="2"/>
      <c r="B82" s="37">
        <f t="shared" si="6"/>
        <v>82</v>
      </c>
      <c r="C82" s="37">
        <f t="shared" si="4"/>
        <v>73</v>
      </c>
      <c r="D82" s="2"/>
      <c r="E82" s="2" t="str">
        <f>структура!$AD$12</f>
        <v>АБК</v>
      </c>
      <c r="F82" s="2"/>
      <c r="G82" s="32" t="s">
        <v>0</v>
      </c>
      <c r="H82" s="66" t="s">
        <v>121</v>
      </c>
      <c r="I82" s="32" t="s">
        <v>0</v>
      </c>
      <c r="J82" s="68">
        <v>8215</v>
      </c>
      <c r="K82" s="32" t="s">
        <v>0</v>
      </c>
      <c r="L82" s="68">
        <v>1</v>
      </c>
      <c r="M82" s="2"/>
      <c r="N82" s="69">
        <f t="shared" si="5"/>
        <v>8215</v>
      </c>
      <c r="O82" s="2"/>
      <c r="P82" s="2"/>
      <c r="Q82" s="2"/>
      <c r="R82" s="2"/>
      <c r="S82" s="2"/>
      <c r="T82" s="2"/>
      <c r="U82" s="2"/>
      <c r="V82" s="2"/>
      <c r="W82" s="2"/>
      <c r="X82" s="2"/>
    </row>
    <row r="83" spans="1:24" x14ac:dyDescent="0.25">
      <c r="A83" s="2"/>
      <c r="B83" s="37">
        <f t="shared" si="6"/>
        <v>83</v>
      </c>
      <c r="C83" s="37">
        <f t="shared" si="4"/>
        <v>74</v>
      </c>
      <c r="D83" s="2"/>
      <c r="E83" s="2" t="str">
        <f>структура!$AD$12</f>
        <v>АБК</v>
      </c>
      <c r="F83" s="2"/>
      <c r="G83" s="32" t="s">
        <v>0</v>
      </c>
      <c r="H83" s="66" t="s">
        <v>122</v>
      </c>
      <c r="I83" s="32" t="s">
        <v>0</v>
      </c>
      <c r="J83" s="68"/>
      <c r="K83" s="32" t="s">
        <v>0</v>
      </c>
      <c r="L83" s="68"/>
      <c r="M83" s="2"/>
      <c r="N83" s="69">
        <f t="shared" si="5"/>
        <v>0</v>
      </c>
      <c r="O83" s="2"/>
      <c r="P83" s="2"/>
      <c r="Q83" s="2"/>
      <c r="R83" s="2"/>
      <c r="S83" s="2"/>
      <c r="T83" s="2"/>
      <c r="U83" s="2"/>
      <c r="V83" s="2"/>
      <c r="W83" s="2"/>
      <c r="X83" s="2"/>
    </row>
    <row r="84" spans="1:24" x14ac:dyDescent="0.25">
      <c r="A84" s="2"/>
      <c r="B84" s="37">
        <f t="shared" si="6"/>
        <v>84</v>
      </c>
      <c r="C84" s="37">
        <f t="shared" si="4"/>
        <v>75</v>
      </c>
      <c r="D84" s="2"/>
      <c r="E84" s="2" t="str">
        <f>структура!$AD$12</f>
        <v>АБК</v>
      </c>
      <c r="F84" s="2"/>
      <c r="G84" s="32" t="s">
        <v>0</v>
      </c>
      <c r="H84" s="66" t="s">
        <v>123</v>
      </c>
      <c r="I84" s="32" t="s">
        <v>0</v>
      </c>
      <c r="J84" s="68"/>
      <c r="K84" s="32" t="s">
        <v>0</v>
      </c>
      <c r="L84" s="68"/>
      <c r="M84" s="2"/>
      <c r="N84" s="69">
        <f t="shared" si="5"/>
        <v>0</v>
      </c>
      <c r="O84" s="2"/>
      <c r="P84" s="2"/>
      <c r="Q84" s="2"/>
      <c r="R84" s="2"/>
      <c r="S84" s="2"/>
      <c r="T84" s="2"/>
      <c r="U84" s="2"/>
      <c r="V84" s="2"/>
      <c r="W84" s="2"/>
      <c r="X84" s="2"/>
    </row>
    <row r="85" spans="1:24" x14ac:dyDescent="0.25">
      <c r="A85" s="2"/>
      <c r="B85" s="37">
        <f t="shared" si="6"/>
        <v>85</v>
      </c>
      <c r="C85" s="37">
        <f t="shared" si="4"/>
        <v>76</v>
      </c>
      <c r="D85" s="2"/>
      <c r="E85" s="2" t="str">
        <f>структура!$AD$12</f>
        <v>АБК</v>
      </c>
      <c r="F85" s="2"/>
      <c r="G85" s="32" t="s">
        <v>0</v>
      </c>
      <c r="H85" s="66" t="s">
        <v>124</v>
      </c>
      <c r="I85" s="32" t="s">
        <v>0</v>
      </c>
      <c r="J85" s="68">
        <v>200</v>
      </c>
      <c r="K85" s="32" t="s">
        <v>0</v>
      </c>
      <c r="L85" s="68">
        <v>15</v>
      </c>
      <c r="M85" s="2"/>
      <c r="N85" s="69">
        <f t="shared" si="5"/>
        <v>3000</v>
      </c>
      <c r="O85" s="2"/>
      <c r="P85" s="2"/>
      <c r="Q85" s="2"/>
      <c r="R85" s="2"/>
      <c r="S85" s="2"/>
      <c r="T85" s="2"/>
      <c r="U85" s="2"/>
      <c r="V85" s="2"/>
      <c r="W85" s="2"/>
      <c r="X85" s="2"/>
    </row>
    <row r="86" spans="1:24" x14ac:dyDescent="0.25">
      <c r="A86" s="2"/>
      <c r="B86" s="37">
        <f t="shared" si="6"/>
        <v>86</v>
      </c>
      <c r="C86" s="37">
        <f t="shared" si="4"/>
        <v>77</v>
      </c>
      <c r="D86" s="2"/>
      <c r="E86" s="2" t="str">
        <f>структура!$AD$12</f>
        <v>АБК</v>
      </c>
      <c r="F86" s="2"/>
      <c r="G86" s="32" t="s">
        <v>0</v>
      </c>
      <c r="H86" s="66" t="s">
        <v>125</v>
      </c>
      <c r="I86" s="32" t="s">
        <v>0</v>
      </c>
      <c r="J86" s="68">
        <v>200</v>
      </c>
      <c r="K86" s="32" t="s">
        <v>0</v>
      </c>
      <c r="L86" s="68">
        <v>10</v>
      </c>
      <c r="M86" s="2"/>
      <c r="N86" s="69">
        <f t="shared" si="5"/>
        <v>2000</v>
      </c>
      <c r="O86" s="2"/>
      <c r="P86" s="2"/>
      <c r="Q86" s="2"/>
      <c r="R86" s="2"/>
      <c r="S86" s="2"/>
      <c r="T86" s="2"/>
      <c r="U86" s="2"/>
      <c r="V86" s="2"/>
      <c r="W86" s="2"/>
      <c r="X86" s="2"/>
    </row>
    <row r="87" spans="1:24" x14ac:dyDescent="0.25">
      <c r="A87" s="2"/>
      <c r="B87" s="37">
        <f t="shared" si="6"/>
        <v>87</v>
      </c>
      <c r="C87" s="37">
        <f t="shared" si="4"/>
        <v>78</v>
      </c>
      <c r="D87" s="2"/>
      <c r="E87" s="2" t="str">
        <f>структура!$AD$12</f>
        <v>АБК</v>
      </c>
      <c r="F87" s="2"/>
      <c r="G87" s="32" t="s">
        <v>0</v>
      </c>
      <c r="H87" s="66" t="s">
        <v>126</v>
      </c>
      <c r="I87" s="32" t="s">
        <v>0</v>
      </c>
      <c r="J87" s="68"/>
      <c r="K87" s="32" t="s">
        <v>0</v>
      </c>
      <c r="L87" s="68"/>
      <c r="M87" s="2"/>
      <c r="N87" s="69">
        <f t="shared" si="5"/>
        <v>0</v>
      </c>
      <c r="O87" s="2"/>
      <c r="P87" s="2"/>
      <c r="Q87" s="2"/>
      <c r="R87" s="2"/>
      <c r="S87" s="2"/>
      <c r="T87" s="2"/>
      <c r="U87" s="2"/>
      <c r="V87" s="2"/>
      <c r="W87" s="2"/>
      <c r="X87" s="2"/>
    </row>
    <row r="88" spans="1:24" x14ac:dyDescent="0.25">
      <c r="A88" s="2"/>
      <c r="B88" s="37">
        <f t="shared" si="6"/>
        <v>88</v>
      </c>
      <c r="C88" s="37">
        <f t="shared" ref="C88:C151" si="7">C87+1</f>
        <v>79</v>
      </c>
      <c r="D88" s="2"/>
      <c r="E88" s="2" t="str">
        <f>структура!$AD$12</f>
        <v>АБК</v>
      </c>
      <c r="F88" s="2"/>
      <c r="G88" s="32" t="s">
        <v>0</v>
      </c>
      <c r="H88" s="66" t="s">
        <v>127</v>
      </c>
      <c r="I88" s="32" t="s">
        <v>0</v>
      </c>
      <c r="J88" s="68"/>
      <c r="K88" s="32" t="s">
        <v>0</v>
      </c>
      <c r="L88" s="68"/>
      <c r="M88" s="2"/>
      <c r="N88" s="69">
        <f t="shared" si="5"/>
        <v>0</v>
      </c>
      <c r="O88" s="2"/>
      <c r="P88" s="2"/>
      <c r="Q88" s="2"/>
      <c r="R88" s="2"/>
      <c r="S88" s="2"/>
      <c r="T88" s="2"/>
      <c r="U88" s="2"/>
      <c r="V88" s="2"/>
      <c r="W88" s="2"/>
      <c r="X88" s="2"/>
    </row>
    <row r="89" spans="1:24" x14ac:dyDescent="0.25">
      <c r="A89" s="2"/>
      <c r="B89" s="37">
        <f t="shared" si="6"/>
        <v>89</v>
      </c>
      <c r="C89" s="37">
        <f t="shared" si="7"/>
        <v>80</v>
      </c>
      <c r="D89" s="2"/>
      <c r="E89" s="2" t="str">
        <f>структура!$AD$12</f>
        <v>АБК</v>
      </c>
      <c r="F89" s="2"/>
      <c r="G89" s="32" t="s">
        <v>0</v>
      </c>
      <c r="H89" s="66" t="s">
        <v>128</v>
      </c>
      <c r="I89" s="32" t="s">
        <v>0</v>
      </c>
      <c r="J89" s="68">
        <v>5000</v>
      </c>
      <c r="K89" s="32" t="s">
        <v>0</v>
      </c>
      <c r="L89" s="68">
        <v>1</v>
      </c>
      <c r="M89" s="2"/>
      <c r="N89" s="69">
        <f t="shared" si="5"/>
        <v>5000</v>
      </c>
      <c r="O89" s="2"/>
      <c r="P89" s="2"/>
      <c r="Q89" s="2"/>
      <c r="R89" s="2"/>
      <c r="S89" s="2"/>
      <c r="T89" s="2"/>
      <c r="U89" s="2"/>
      <c r="V89" s="2"/>
      <c r="W89" s="2"/>
      <c r="X89" s="2"/>
    </row>
    <row r="90" spans="1:24" x14ac:dyDescent="0.25">
      <c r="A90" s="2"/>
      <c r="B90" s="37">
        <f t="shared" si="6"/>
        <v>90</v>
      </c>
      <c r="C90" s="37">
        <f t="shared" si="7"/>
        <v>81</v>
      </c>
      <c r="D90" s="2"/>
      <c r="E90" s="2" t="str">
        <f>структура!$AD$12</f>
        <v>АБК</v>
      </c>
      <c r="F90" s="2"/>
      <c r="G90" s="32" t="s">
        <v>0</v>
      </c>
      <c r="H90" s="66" t="s">
        <v>129</v>
      </c>
      <c r="I90" s="32" t="s">
        <v>0</v>
      </c>
      <c r="J90" s="68">
        <v>2600</v>
      </c>
      <c r="K90" s="32" t="s">
        <v>0</v>
      </c>
      <c r="L90" s="68">
        <v>1</v>
      </c>
      <c r="M90" s="2"/>
      <c r="N90" s="69">
        <f t="shared" si="5"/>
        <v>2600</v>
      </c>
      <c r="O90" s="2"/>
      <c r="P90" s="2"/>
      <c r="Q90" s="2"/>
      <c r="R90" s="2"/>
      <c r="S90" s="2"/>
      <c r="T90" s="2"/>
      <c r="U90" s="2"/>
      <c r="V90" s="2"/>
      <c r="W90" s="2"/>
      <c r="X90" s="2"/>
    </row>
    <row r="91" spans="1:24" x14ac:dyDescent="0.25">
      <c r="A91" s="2"/>
      <c r="B91" s="37">
        <f t="shared" si="6"/>
        <v>91</v>
      </c>
      <c r="C91" s="37">
        <f t="shared" si="7"/>
        <v>82</v>
      </c>
      <c r="D91" s="2"/>
      <c r="E91" s="2" t="str">
        <f>структура!$AD$12</f>
        <v>АБК</v>
      </c>
      <c r="F91" s="2"/>
      <c r="G91" s="32" t="s">
        <v>0</v>
      </c>
      <c r="H91" s="66" t="s">
        <v>130</v>
      </c>
      <c r="I91" s="32" t="s">
        <v>0</v>
      </c>
      <c r="J91" s="68">
        <v>1065</v>
      </c>
      <c r="K91" s="32" t="s">
        <v>0</v>
      </c>
      <c r="L91" s="68">
        <v>1</v>
      </c>
      <c r="M91" s="2"/>
      <c r="N91" s="69">
        <f t="shared" si="5"/>
        <v>1065</v>
      </c>
      <c r="O91" s="2"/>
      <c r="P91" s="2"/>
      <c r="Q91" s="2"/>
      <c r="R91" s="2"/>
      <c r="S91" s="2"/>
      <c r="T91" s="2"/>
      <c r="U91" s="2"/>
      <c r="V91" s="2"/>
      <c r="W91" s="2"/>
      <c r="X91" s="2"/>
    </row>
    <row r="92" spans="1:24" x14ac:dyDescent="0.25">
      <c r="A92" s="2"/>
      <c r="B92" s="37">
        <f t="shared" si="6"/>
        <v>92</v>
      </c>
      <c r="C92" s="37">
        <f t="shared" si="7"/>
        <v>83</v>
      </c>
      <c r="D92" s="2"/>
      <c r="E92" s="2" t="str">
        <f>структура!$AD$12</f>
        <v>АБК</v>
      </c>
      <c r="F92" s="2"/>
      <c r="G92" s="32" t="s">
        <v>0</v>
      </c>
      <c r="H92" s="66" t="s">
        <v>131</v>
      </c>
      <c r="I92" s="32" t="s">
        <v>0</v>
      </c>
      <c r="J92" s="68">
        <v>150</v>
      </c>
      <c r="K92" s="32" t="s">
        <v>0</v>
      </c>
      <c r="L92" s="68">
        <v>3</v>
      </c>
      <c r="M92" s="2"/>
      <c r="N92" s="69">
        <f t="shared" si="5"/>
        <v>450</v>
      </c>
      <c r="O92" s="2"/>
      <c r="P92" s="2"/>
      <c r="Q92" s="2"/>
      <c r="R92" s="2"/>
      <c r="S92" s="2"/>
      <c r="T92" s="2"/>
      <c r="U92" s="2"/>
      <c r="V92" s="2"/>
      <c r="W92" s="2"/>
      <c r="X92" s="2"/>
    </row>
    <row r="93" spans="1:24" x14ac:dyDescent="0.25">
      <c r="A93" s="2"/>
      <c r="B93" s="37">
        <f t="shared" si="6"/>
        <v>93</v>
      </c>
      <c r="C93" s="37">
        <f t="shared" si="7"/>
        <v>84</v>
      </c>
      <c r="D93" s="2"/>
      <c r="E93" s="2" t="str">
        <f>структура!$AD$12</f>
        <v>АБК</v>
      </c>
      <c r="F93" s="2"/>
      <c r="G93" s="32" t="s">
        <v>0</v>
      </c>
      <c r="H93" s="66" t="s">
        <v>132</v>
      </c>
      <c r="I93" s="32" t="s">
        <v>0</v>
      </c>
      <c r="J93" s="68">
        <v>400</v>
      </c>
      <c r="K93" s="32" t="s">
        <v>0</v>
      </c>
      <c r="L93" s="68">
        <v>1</v>
      </c>
      <c r="M93" s="2"/>
      <c r="N93" s="69">
        <f t="shared" si="5"/>
        <v>400</v>
      </c>
      <c r="O93" s="2"/>
      <c r="P93" s="2"/>
      <c r="Q93" s="2"/>
      <c r="R93" s="2"/>
      <c r="S93" s="2"/>
      <c r="T93" s="2"/>
      <c r="U93" s="2"/>
      <c r="V93" s="2"/>
      <c r="W93" s="2"/>
      <c r="X93" s="2"/>
    </row>
    <row r="94" spans="1:24" x14ac:dyDescent="0.25">
      <c r="A94" s="2"/>
      <c r="B94" s="37">
        <f t="shared" si="6"/>
        <v>94</v>
      </c>
      <c r="C94" s="37">
        <f t="shared" si="7"/>
        <v>85</v>
      </c>
      <c r="D94" s="2"/>
      <c r="E94" s="2" t="str">
        <f>структура!$AD$12</f>
        <v>АБК</v>
      </c>
      <c r="F94" s="2"/>
      <c r="G94" s="32" t="s">
        <v>0</v>
      </c>
      <c r="H94" s="66" t="s">
        <v>133</v>
      </c>
      <c r="I94" s="32" t="s">
        <v>0</v>
      </c>
      <c r="J94" s="68">
        <v>640</v>
      </c>
      <c r="K94" s="32" t="s">
        <v>0</v>
      </c>
      <c r="L94" s="68">
        <v>1</v>
      </c>
      <c r="M94" s="2"/>
      <c r="N94" s="69">
        <f t="shared" si="5"/>
        <v>640</v>
      </c>
      <c r="O94" s="2"/>
      <c r="P94" s="2"/>
      <c r="Q94" s="2"/>
      <c r="R94" s="2"/>
      <c r="S94" s="2"/>
      <c r="T94" s="2"/>
      <c r="U94" s="2"/>
      <c r="V94" s="2"/>
      <c r="W94" s="2"/>
      <c r="X94" s="2"/>
    </row>
    <row r="95" spans="1:24" x14ac:dyDescent="0.25">
      <c r="A95" s="2"/>
      <c r="B95" s="37">
        <f t="shared" si="6"/>
        <v>95</v>
      </c>
      <c r="C95" s="37">
        <f t="shared" si="7"/>
        <v>86</v>
      </c>
      <c r="D95" s="2"/>
      <c r="E95" s="2" t="str">
        <f>структура!$AD$12</f>
        <v>АБК</v>
      </c>
      <c r="F95" s="2"/>
      <c r="G95" s="32" t="s">
        <v>0</v>
      </c>
      <c r="H95" s="66" t="s">
        <v>134</v>
      </c>
      <c r="I95" s="32" t="s">
        <v>0</v>
      </c>
      <c r="J95" s="68">
        <v>820</v>
      </c>
      <c r="K95" s="32" t="s">
        <v>0</v>
      </c>
      <c r="L95" s="68">
        <v>2</v>
      </c>
      <c r="M95" s="2"/>
      <c r="N95" s="69">
        <f t="shared" si="5"/>
        <v>1640</v>
      </c>
      <c r="O95" s="2"/>
      <c r="P95" s="2"/>
      <c r="Q95" s="2"/>
      <c r="R95" s="2"/>
      <c r="S95" s="2"/>
      <c r="T95" s="2"/>
      <c r="U95" s="2"/>
      <c r="V95" s="2"/>
      <c r="W95" s="2"/>
      <c r="X95" s="2"/>
    </row>
    <row r="96" spans="1:24" x14ac:dyDescent="0.25">
      <c r="A96" s="2"/>
      <c r="B96" s="37">
        <f t="shared" si="6"/>
        <v>96</v>
      </c>
      <c r="C96" s="37">
        <f t="shared" si="7"/>
        <v>87</v>
      </c>
      <c r="D96" s="2"/>
      <c r="E96" s="2" t="str">
        <f>структура!$AD$12</f>
        <v>АБК</v>
      </c>
      <c r="F96" s="2"/>
      <c r="G96" s="32" t="s">
        <v>0</v>
      </c>
      <c r="H96" s="66" t="s">
        <v>135</v>
      </c>
      <c r="I96" s="32" t="s">
        <v>0</v>
      </c>
      <c r="J96" s="68">
        <v>115</v>
      </c>
      <c r="K96" s="32" t="s">
        <v>0</v>
      </c>
      <c r="L96" s="68">
        <v>1</v>
      </c>
      <c r="M96" s="2"/>
      <c r="N96" s="69">
        <f t="shared" si="5"/>
        <v>115</v>
      </c>
      <c r="O96" s="2"/>
      <c r="P96" s="2"/>
      <c r="Q96" s="2"/>
      <c r="R96" s="2"/>
      <c r="S96" s="2"/>
      <c r="T96" s="2"/>
      <c r="U96" s="2"/>
      <c r="V96" s="2"/>
      <c r="W96" s="2"/>
      <c r="X96" s="2"/>
    </row>
    <row r="97" spans="1:24" x14ac:dyDescent="0.25">
      <c r="A97" s="2"/>
      <c r="B97" s="37">
        <f t="shared" si="6"/>
        <v>97</v>
      </c>
      <c r="C97" s="37">
        <f t="shared" si="7"/>
        <v>88</v>
      </c>
      <c r="D97" s="2"/>
      <c r="E97" s="2" t="str">
        <f>структура!$AD$12</f>
        <v>АБК</v>
      </c>
      <c r="F97" s="2"/>
      <c r="G97" s="32" t="s">
        <v>0</v>
      </c>
      <c r="H97" s="66" t="s">
        <v>136</v>
      </c>
      <c r="I97" s="32" t="s">
        <v>0</v>
      </c>
      <c r="J97" s="68">
        <v>245</v>
      </c>
      <c r="K97" s="32" t="s">
        <v>0</v>
      </c>
      <c r="L97" s="68">
        <v>2</v>
      </c>
      <c r="M97" s="2"/>
      <c r="N97" s="69">
        <f t="shared" si="5"/>
        <v>490</v>
      </c>
      <c r="O97" s="2"/>
      <c r="P97" s="2"/>
      <c r="Q97" s="2"/>
      <c r="R97" s="2"/>
      <c r="S97" s="2"/>
      <c r="T97" s="2"/>
      <c r="U97" s="2"/>
      <c r="V97" s="2"/>
      <c r="W97" s="2"/>
      <c r="X97" s="2"/>
    </row>
    <row r="98" spans="1:24" x14ac:dyDescent="0.25">
      <c r="A98" s="2"/>
      <c r="B98" s="37">
        <f t="shared" si="6"/>
        <v>98</v>
      </c>
      <c r="C98" s="37">
        <f t="shared" si="7"/>
        <v>89</v>
      </c>
      <c r="D98" s="2"/>
      <c r="E98" s="2" t="str">
        <f>структура!$AD$12</f>
        <v>АБК</v>
      </c>
      <c r="F98" s="2"/>
      <c r="G98" s="32" t="s">
        <v>0</v>
      </c>
      <c r="H98" s="66" t="s">
        <v>137</v>
      </c>
      <c r="I98" s="32" t="s">
        <v>0</v>
      </c>
      <c r="J98" s="68"/>
      <c r="K98" s="32" t="s">
        <v>0</v>
      </c>
      <c r="L98" s="68"/>
      <c r="M98" s="2"/>
      <c r="N98" s="69">
        <f t="shared" si="5"/>
        <v>0</v>
      </c>
      <c r="O98" s="2"/>
      <c r="P98" s="2"/>
      <c r="Q98" s="2"/>
      <c r="R98" s="2"/>
      <c r="S98" s="2"/>
      <c r="T98" s="2"/>
      <c r="U98" s="2"/>
      <c r="V98" s="2"/>
      <c r="W98" s="2"/>
      <c r="X98" s="2"/>
    </row>
    <row r="99" spans="1:24" x14ac:dyDescent="0.25">
      <c r="A99" s="2"/>
      <c r="B99" s="37">
        <f t="shared" si="6"/>
        <v>99</v>
      </c>
      <c r="C99" s="37">
        <f t="shared" si="7"/>
        <v>90</v>
      </c>
      <c r="D99" s="2"/>
      <c r="E99" s="2" t="str">
        <f>структура!$AD$12</f>
        <v>АБК</v>
      </c>
      <c r="F99" s="2"/>
      <c r="G99" s="32" t="s">
        <v>0</v>
      </c>
      <c r="H99" s="66" t="s">
        <v>138</v>
      </c>
      <c r="I99" s="32" t="s">
        <v>0</v>
      </c>
      <c r="J99" s="68">
        <v>5500</v>
      </c>
      <c r="K99" s="32" t="s">
        <v>0</v>
      </c>
      <c r="L99" s="68">
        <v>1</v>
      </c>
      <c r="M99" s="2"/>
      <c r="N99" s="69">
        <f t="shared" si="5"/>
        <v>5500</v>
      </c>
      <c r="O99" s="2"/>
      <c r="P99" s="2"/>
      <c r="Q99" s="2"/>
      <c r="R99" s="2"/>
      <c r="S99" s="2"/>
      <c r="T99" s="2"/>
      <c r="U99" s="2"/>
      <c r="V99" s="2"/>
      <c r="W99" s="2"/>
      <c r="X99" s="2"/>
    </row>
    <row r="100" spans="1:24" x14ac:dyDescent="0.25">
      <c r="A100" s="2"/>
      <c r="B100" s="37">
        <f t="shared" si="6"/>
        <v>100</v>
      </c>
      <c r="C100" s="37">
        <f t="shared" si="7"/>
        <v>91</v>
      </c>
      <c r="D100" s="2"/>
      <c r="E100" s="2" t="str">
        <f>структура!$AD$12</f>
        <v>АБК</v>
      </c>
      <c r="F100" s="2"/>
      <c r="G100" s="32" t="s">
        <v>0</v>
      </c>
      <c r="H100" s="66" t="s">
        <v>139</v>
      </c>
      <c r="I100" s="32" t="s">
        <v>0</v>
      </c>
      <c r="J100" s="68">
        <v>3000</v>
      </c>
      <c r="K100" s="32" t="s">
        <v>0</v>
      </c>
      <c r="L100" s="68">
        <v>1</v>
      </c>
      <c r="M100" s="2"/>
      <c r="N100" s="69">
        <f t="shared" si="5"/>
        <v>3000</v>
      </c>
      <c r="O100" s="2"/>
      <c r="P100" s="2"/>
      <c r="Q100" s="2"/>
      <c r="R100" s="2"/>
      <c r="S100" s="2"/>
      <c r="T100" s="2"/>
      <c r="U100" s="2"/>
      <c r="V100" s="2"/>
      <c r="W100" s="2"/>
      <c r="X100" s="2"/>
    </row>
    <row r="101" spans="1:24" x14ac:dyDescent="0.25">
      <c r="A101" s="2"/>
      <c r="B101" s="37">
        <f t="shared" si="6"/>
        <v>101</v>
      </c>
      <c r="C101" s="37">
        <f t="shared" si="7"/>
        <v>92</v>
      </c>
      <c r="D101" s="2"/>
      <c r="E101" s="2" t="str">
        <f>структура!$AD$12</f>
        <v>АБК</v>
      </c>
      <c r="F101" s="2"/>
      <c r="G101" s="32" t="s">
        <v>0</v>
      </c>
      <c r="H101" s="66" t="s">
        <v>140</v>
      </c>
      <c r="I101" s="32" t="s">
        <v>0</v>
      </c>
      <c r="J101" s="68">
        <v>1065</v>
      </c>
      <c r="K101" s="32" t="s">
        <v>0</v>
      </c>
      <c r="L101" s="68">
        <v>1</v>
      </c>
      <c r="M101" s="2"/>
      <c r="N101" s="69">
        <f t="shared" si="5"/>
        <v>1065</v>
      </c>
      <c r="O101" s="2"/>
      <c r="P101" s="2"/>
      <c r="Q101" s="2"/>
      <c r="R101" s="2"/>
      <c r="S101" s="2"/>
      <c r="T101" s="2"/>
      <c r="U101" s="2"/>
      <c r="V101" s="2"/>
      <c r="W101" s="2"/>
      <c r="X101" s="2"/>
    </row>
    <row r="102" spans="1:24" x14ac:dyDescent="0.25">
      <c r="A102" s="2"/>
      <c r="B102" s="37">
        <f t="shared" si="6"/>
        <v>102</v>
      </c>
      <c r="C102" s="37">
        <f t="shared" si="7"/>
        <v>93</v>
      </c>
      <c r="D102" s="2"/>
      <c r="E102" s="2" t="str">
        <f>структура!$AD$12</f>
        <v>АБК</v>
      </c>
      <c r="F102" s="2"/>
      <c r="G102" s="32" t="s">
        <v>0</v>
      </c>
      <c r="H102" s="66" t="s">
        <v>131</v>
      </c>
      <c r="I102" s="32" t="s">
        <v>0</v>
      </c>
      <c r="J102" s="68">
        <v>150</v>
      </c>
      <c r="K102" s="32" t="s">
        <v>0</v>
      </c>
      <c r="L102" s="68">
        <v>8</v>
      </c>
      <c r="M102" s="2"/>
      <c r="N102" s="69">
        <f t="shared" si="5"/>
        <v>1200</v>
      </c>
      <c r="O102" s="2"/>
      <c r="P102" s="2"/>
      <c r="Q102" s="2"/>
      <c r="R102" s="2"/>
      <c r="S102" s="2"/>
      <c r="T102" s="2"/>
      <c r="U102" s="2"/>
      <c r="V102" s="2"/>
      <c r="W102" s="2"/>
      <c r="X102" s="2"/>
    </row>
    <row r="103" spans="1:24" x14ac:dyDescent="0.25">
      <c r="A103" s="2"/>
      <c r="B103" s="37">
        <f t="shared" si="6"/>
        <v>103</v>
      </c>
      <c r="C103" s="37">
        <f t="shared" si="7"/>
        <v>94</v>
      </c>
      <c r="D103" s="2"/>
      <c r="E103" s="2" t="str">
        <f>структура!$AD$12</f>
        <v>АБК</v>
      </c>
      <c r="F103" s="2"/>
      <c r="G103" s="32" t="s">
        <v>0</v>
      </c>
      <c r="H103" s="66" t="s">
        <v>132</v>
      </c>
      <c r="I103" s="32" t="s">
        <v>0</v>
      </c>
      <c r="J103" s="68">
        <v>400</v>
      </c>
      <c r="K103" s="32" t="s">
        <v>0</v>
      </c>
      <c r="L103" s="68">
        <v>1</v>
      </c>
      <c r="M103" s="2"/>
      <c r="N103" s="69">
        <f t="shared" si="5"/>
        <v>400</v>
      </c>
      <c r="O103" s="2"/>
      <c r="P103" s="2"/>
      <c r="Q103" s="2"/>
      <c r="R103" s="2"/>
      <c r="S103" s="2"/>
      <c r="T103" s="2"/>
      <c r="U103" s="2"/>
      <c r="V103" s="2"/>
      <c r="W103" s="2"/>
      <c r="X103" s="2"/>
    </row>
    <row r="104" spans="1:24" x14ac:dyDescent="0.25">
      <c r="A104" s="2"/>
      <c r="B104" s="37">
        <f t="shared" si="6"/>
        <v>104</v>
      </c>
      <c r="C104" s="37">
        <f t="shared" si="7"/>
        <v>95</v>
      </c>
      <c r="D104" s="2"/>
      <c r="E104" s="2" t="str">
        <f>структура!$AD$12</f>
        <v>АБК</v>
      </c>
      <c r="F104" s="2"/>
      <c r="G104" s="32" t="s">
        <v>0</v>
      </c>
      <c r="H104" s="66" t="s">
        <v>133</v>
      </c>
      <c r="I104" s="32" t="s">
        <v>0</v>
      </c>
      <c r="J104" s="68">
        <v>640</v>
      </c>
      <c r="K104" s="32" t="s">
        <v>0</v>
      </c>
      <c r="L104" s="68">
        <v>5</v>
      </c>
      <c r="M104" s="2"/>
      <c r="N104" s="69">
        <f t="shared" si="5"/>
        <v>3200</v>
      </c>
      <c r="O104" s="2"/>
      <c r="P104" s="2"/>
      <c r="Q104" s="2"/>
      <c r="R104" s="2"/>
      <c r="S104" s="2"/>
      <c r="T104" s="2"/>
      <c r="U104" s="2"/>
      <c r="V104" s="2"/>
      <c r="W104" s="2"/>
      <c r="X104" s="2"/>
    </row>
    <row r="105" spans="1:24" x14ac:dyDescent="0.25">
      <c r="A105" s="2"/>
      <c r="B105" s="37">
        <f t="shared" si="6"/>
        <v>105</v>
      </c>
      <c r="C105" s="37">
        <f t="shared" si="7"/>
        <v>96</v>
      </c>
      <c r="D105" s="2"/>
      <c r="E105" s="2" t="str">
        <f>структура!$AD$12</f>
        <v>АБК</v>
      </c>
      <c r="F105" s="2"/>
      <c r="G105" s="32" t="s">
        <v>0</v>
      </c>
      <c r="H105" s="66" t="s">
        <v>134</v>
      </c>
      <c r="I105" s="32" t="s">
        <v>0</v>
      </c>
      <c r="J105" s="68">
        <v>820</v>
      </c>
      <c r="K105" s="32" t="s">
        <v>0</v>
      </c>
      <c r="L105" s="68">
        <v>3</v>
      </c>
      <c r="M105" s="2"/>
      <c r="N105" s="69">
        <f t="shared" si="5"/>
        <v>2460</v>
      </c>
      <c r="O105" s="2"/>
      <c r="P105" s="2"/>
      <c r="Q105" s="2"/>
      <c r="R105" s="2"/>
      <c r="S105" s="2"/>
      <c r="T105" s="2"/>
      <c r="U105" s="2"/>
      <c r="V105" s="2"/>
      <c r="W105" s="2"/>
      <c r="X105" s="2"/>
    </row>
    <row r="106" spans="1:24" x14ac:dyDescent="0.25">
      <c r="A106" s="2"/>
      <c r="B106" s="37">
        <f t="shared" si="6"/>
        <v>106</v>
      </c>
      <c r="C106" s="37">
        <f t="shared" si="7"/>
        <v>97</v>
      </c>
      <c r="D106" s="2"/>
      <c r="E106" s="2" t="str">
        <f>структура!$AD$12</f>
        <v>АБК</v>
      </c>
      <c r="F106" s="2"/>
      <c r="G106" s="32" t="s">
        <v>0</v>
      </c>
      <c r="H106" s="66" t="s">
        <v>141</v>
      </c>
      <c r="I106" s="32" t="s">
        <v>0</v>
      </c>
      <c r="J106" s="68">
        <v>1050</v>
      </c>
      <c r="K106" s="32" t="s">
        <v>0</v>
      </c>
      <c r="L106" s="68">
        <v>6</v>
      </c>
      <c r="M106" s="2"/>
      <c r="N106" s="69">
        <f t="shared" si="5"/>
        <v>6300</v>
      </c>
      <c r="O106" s="2"/>
      <c r="P106" s="2"/>
      <c r="Q106" s="2"/>
      <c r="R106" s="2"/>
      <c r="S106" s="2"/>
      <c r="T106" s="2"/>
      <c r="U106" s="2"/>
      <c r="V106" s="2"/>
      <c r="W106" s="2"/>
      <c r="X106" s="2"/>
    </row>
    <row r="107" spans="1:24" x14ac:dyDescent="0.25">
      <c r="A107" s="2"/>
      <c r="B107" s="37">
        <f t="shared" si="6"/>
        <v>107</v>
      </c>
      <c r="C107" s="37">
        <f t="shared" si="7"/>
        <v>98</v>
      </c>
      <c r="D107" s="2"/>
      <c r="E107" s="2" t="str">
        <f>структура!$AD$12</f>
        <v>АБК</v>
      </c>
      <c r="F107" s="2"/>
      <c r="G107" s="32" t="s">
        <v>0</v>
      </c>
      <c r="H107" s="66" t="s">
        <v>142</v>
      </c>
      <c r="I107" s="32" t="s">
        <v>0</v>
      </c>
      <c r="J107" s="68">
        <v>115</v>
      </c>
      <c r="K107" s="32" t="s">
        <v>0</v>
      </c>
      <c r="L107" s="68">
        <v>2</v>
      </c>
      <c r="M107" s="2"/>
      <c r="N107" s="69">
        <f t="shared" ref="N107:N168" si="8">J107*L107</f>
        <v>230</v>
      </c>
      <c r="O107" s="2"/>
      <c r="P107" s="2"/>
      <c r="Q107" s="2"/>
      <c r="R107" s="2"/>
      <c r="S107" s="2"/>
      <c r="T107" s="2"/>
      <c r="U107" s="2"/>
      <c r="V107" s="2"/>
      <c r="W107" s="2"/>
      <c r="X107" s="2"/>
    </row>
    <row r="108" spans="1:24" x14ac:dyDescent="0.25">
      <c r="A108" s="2"/>
      <c r="B108" s="37">
        <f t="shared" si="6"/>
        <v>108</v>
      </c>
      <c r="C108" s="37">
        <f t="shared" si="7"/>
        <v>99</v>
      </c>
      <c r="D108" s="2"/>
      <c r="E108" s="2" t="str">
        <f>структура!$AD$12</f>
        <v>АБК</v>
      </c>
      <c r="F108" s="2"/>
      <c r="G108" s="32" t="s">
        <v>0</v>
      </c>
      <c r="H108" s="66" t="s">
        <v>136</v>
      </c>
      <c r="I108" s="32" t="s">
        <v>0</v>
      </c>
      <c r="J108" s="68">
        <v>245</v>
      </c>
      <c r="K108" s="32" t="s">
        <v>0</v>
      </c>
      <c r="L108" s="68">
        <v>1</v>
      </c>
      <c r="M108" s="2"/>
      <c r="N108" s="69">
        <f t="shared" si="8"/>
        <v>245</v>
      </c>
      <c r="O108" s="2"/>
      <c r="P108" s="2"/>
      <c r="Q108" s="2"/>
      <c r="R108" s="2"/>
      <c r="S108" s="2"/>
      <c r="T108" s="2"/>
      <c r="U108" s="2"/>
      <c r="V108" s="2"/>
      <c r="W108" s="2"/>
      <c r="X108" s="2"/>
    </row>
    <row r="109" spans="1:24" x14ac:dyDescent="0.25">
      <c r="A109" s="2"/>
      <c r="B109" s="37">
        <f t="shared" si="6"/>
        <v>109</v>
      </c>
      <c r="C109" s="37">
        <f t="shared" si="7"/>
        <v>100</v>
      </c>
      <c r="D109" s="2"/>
      <c r="E109" s="2" t="str">
        <f>структура!$AD$12</f>
        <v>АБК</v>
      </c>
      <c r="F109" s="2"/>
      <c r="G109" s="32" t="s">
        <v>0</v>
      </c>
      <c r="H109" s="66" t="s">
        <v>143</v>
      </c>
      <c r="I109" s="32" t="s">
        <v>0</v>
      </c>
      <c r="J109" s="68">
        <v>300</v>
      </c>
      <c r="K109" s="32" t="s">
        <v>0</v>
      </c>
      <c r="L109" s="68">
        <v>2</v>
      </c>
      <c r="M109" s="2"/>
      <c r="N109" s="69">
        <f t="shared" si="8"/>
        <v>600</v>
      </c>
      <c r="O109" s="2"/>
      <c r="P109" s="2"/>
      <c r="Q109" s="2"/>
      <c r="R109" s="2"/>
      <c r="S109" s="2"/>
      <c r="T109" s="2"/>
      <c r="U109" s="2"/>
      <c r="V109" s="2"/>
      <c r="W109" s="2"/>
      <c r="X109" s="2"/>
    </row>
    <row r="110" spans="1:24" x14ac:dyDescent="0.25">
      <c r="A110" s="2"/>
      <c r="B110" s="37">
        <f t="shared" si="6"/>
        <v>110</v>
      </c>
      <c r="C110" s="37">
        <f t="shared" si="7"/>
        <v>101</v>
      </c>
      <c r="D110" s="2"/>
      <c r="E110" s="2" t="str">
        <f>структура!$AD$12</f>
        <v>АБК</v>
      </c>
      <c r="F110" s="2"/>
      <c r="G110" s="32" t="s">
        <v>0</v>
      </c>
      <c r="H110" s="66" t="s">
        <v>144</v>
      </c>
      <c r="I110" s="32" t="s">
        <v>0</v>
      </c>
      <c r="J110" s="68">
        <v>100000</v>
      </c>
      <c r="K110" s="32" t="s">
        <v>0</v>
      </c>
      <c r="L110" s="68">
        <v>1</v>
      </c>
      <c r="M110" s="2"/>
      <c r="N110" s="69">
        <f t="shared" si="8"/>
        <v>100000</v>
      </c>
      <c r="O110" s="2"/>
      <c r="P110" s="2"/>
      <c r="Q110" s="2"/>
      <c r="R110" s="2"/>
      <c r="S110" s="2"/>
      <c r="T110" s="2"/>
      <c r="U110" s="2"/>
      <c r="V110" s="2"/>
      <c r="W110" s="2"/>
      <c r="X110" s="2"/>
    </row>
    <row r="111" spans="1:24" ht="12.6" thickBot="1" x14ac:dyDescent="0.3">
      <c r="A111" s="2"/>
      <c r="B111" s="72">
        <f t="shared" si="6"/>
        <v>111</v>
      </c>
      <c r="C111" s="72">
        <f t="shared" si="7"/>
        <v>102</v>
      </c>
      <c r="D111" s="73"/>
      <c r="E111" s="73" t="str">
        <f>структура!$AD$12</f>
        <v>АБК</v>
      </c>
      <c r="F111" s="73"/>
      <c r="G111" s="74" t="s">
        <v>0</v>
      </c>
      <c r="H111" s="75"/>
      <c r="I111" s="74" t="s">
        <v>0</v>
      </c>
      <c r="J111" s="76"/>
      <c r="K111" s="74" t="s">
        <v>0</v>
      </c>
      <c r="L111" s="76"/>
      <c r="M111" s="73"/>
      <c r="N111" s="77">
        <f t="shared" si="8"/>
        <v>0</v>
      </c>
      <c r="O111" s="2"/>
      <c r="P111" s="2"/>
      <c r="Q111" s="2"/>
      <c r="R111" s="2"/>
      <c r="S111" s="2"/>
      <c r="T111" s="2"/>
      <c r="U111" s="2"/>
      <c r="V111" s="2"/>
      <c r="W111" s="2"/>
      <c r="X111" s="2"/>
    </row>
    <row r="112" spans="1:24" x14ac:dyDescent="0.25">
      <c r="A112" s="2"/>
      <c r="B112" s="78">
        <f t="shared" si="6"/>
        <v>112</v>
      </c>
      <c r="C112" s="78">
        <f t="shared" si="7"/>
        <v>103</v>
      </c>
      <c r="D112" s="79"/>
      <c r="E112" s="79" t="str">
        <f>структура!$AD$13</f>
        <v>здание проката</v>
      </c>
      <c r="F112" s="79"/>
      <c r="G112" s="80" t="s">
        <v>0</v>
      </c>
      <c r="H112" s="81"/>
      <c r="I112" s="80" t="s">
        <v>0</v>
      </c>
      <c r="J112" s="82"/>
      <c r="K112" s="80" t="s">
        <v>0</v>
      </c>
      <c r="L112" s="82"/>
      <c r="M112" s="79"/>
      <c r="N112" s="83">
        <f t="shared" si="8"/>
        <v>0</v>
      </c>
      <c r="O112" s="2"/>
      <c r="P112" s="2"/>
      <c r="Q112" s="2"/>
      <c r="R112" s="2"/>
      <c r="S112" s="2"/>
      <c r="T112" s="2"/>
      <c r="U112" s="2"/>
      <c r="V112" s="2"/>
      <c r="W112" s="2"/>
      <c r="X112" s="2"/>
    </row>
    <row r="113" spans="1:24" x14ac:dyDescent="0.25">
      <c r="A113" s="2"/>
      <c r="B113" s="37">
        <f t="shared" si="6"/>
        <v>113</v>
      </c>
      <c r="C113" s="37">
        <f t="shared" si="7"/>
        <v>104</v>
      </c>
      <c r="D113" s="2"/>
      <c r="E113" s="2" t="str">
        <f>структура!$AD$13</f>
        <v>здание проката</v>
      </c>
      <c r="F113" s="2"/>
      <c r="G113" s="32" t="s">
        <v>0</v>
      </c>
      <c r="H113" s="66"/>
      <c r="I113" s="32" t="s">
        <v>0</v>
      </c>
      <c r="J113" s="68"/>
      <c r="K113" s="32" t="s">
        <v>0</v>
      </c>
      <c r="L113" s="68"/>
      <c r="M113" s="2"/>
      <c r="N113" s="69">
        <f t="shared" si="8"/>
        <v>0</v>
      </c>
      <c r="O113" s="2"/>
      <c r="P113" s="2"/>
      <c r="Q113" s="2"/>
      <c r="R113" s="2"/>
      <c r="S113" s="2"/>
      <c r="T113" s="2"/>
      <c r="U113" s="2"/>
      <c r="V113" s="2"/>
      <c r="W113" s="2"/>
      <c r="X113" s="2"/>
    </row>
    <row r="114" spans="1:24" x14ac:dyDescent="0.25">
      <c r="A114" s="2"/>
      <c r="B114" s="37">
        <f t="shared" si="6"/>
        <v>114</v>
      </c>
      <c r="C114" s="37">
        <f t="shared" si="7"/>
        <v>105</v>
      </c>
      <c r="D114" s="2"/>
      <c r="E114" s="2" t="str">
        <f>структура!$AD$13</f>
        <v>здание проката</v>
      </c>
      <c r="F114" s="2"/>
      <c r="G114" s="32" t="s">
        <v>0</v>
      </c>
      <c r="H114" s="66"/>
      <c r="I114" s="32" t="s">
        <v>0</v>
      </c>
      <c r="J114" s="68"/>
      <c r="K114" s="32" t="s">
        <v>0</v>
      </c>
      <c r="L114" s="68"/>
      <c r="M114" s="2"/>
      <c r="N114" s="69">
        <f t="shared" si="8"/>
        <v>0</v>
      </c>
      <c r="O114" s="2"/>
      <c r="P114" s="2"/>
      <c r="Q114" s="2"/>
      <c r="R114" s="2"/>
      <c r="S114" s="2"/>
      <c r="T114" s="2"/>
      <c r="U114" s="2"/>
      <c r="V114" s="2"/>
      <c r="W114" s="2"/>
      <c r="X114" s="2"/>
    </row>
    <row r="115" spans="1:24" x14ac:dyDescent="0.25">
      <c r="A115" s="2"/>
      <c r="B115" s="37">
        <f t="shared" si="6"/>
        <v>115</v>
      </c>
      <c r="C115" s="37">
        <f t="shared" si="7"/>
        <v>106</v>
      </c>
      <c r="D115" s="2"/>
      <c r="E115" s="2" t="str">
        <f>структура!$AD$13</f>
        <v>здание проката</v>
      </c>
      <c r="F115" s="2"/>
      <c r="G115" s="32" t="s">
        <v>0</v>
      </c>
      <c r="H115" s="66"/>
      <c r="I115" s="32" t="s">
        <v>0</v>
      </c>
      <c r="J115" s="68"/>
      <c r="K115" s="32" t="s">
        <v>0</v>
      </c>
      <c r="L115" s="68"/>
      <c r="M115" s="2"/>
      <c r="N115" s="69">
        <f t="shared" si="8"/>
        <v>0</v>
      </c>
      <c r="O115" s="2"/>
      <c r="P115" s="2"/>
      <c r="Q115" s="2"/>
      <c r="R115" s="2"/>
      <c r="S115" s="2"/>
      <c r="T115" s="2"/>
      <c r="U115" s="2"/>
      <c r="V115" s="2"/>
      <c r="W115" s="2"/>
      <c r="X115" s="2"/>
    </row>
    <row r="116" spans="1:24" x14ac:dyDescent="0.25">
      <c r="A116" s="2"/>
      <c r="B116" s="37">
        <f t="shared" si="6"/>
        <v>116</v>
      </c>
      <c r="C116" s="37">
        <f t="shared" si="7"/>
        <v>107</v>
      </c>
      <c r="D116" s="2"/>
      <c r="E116" s="2" t="str">
        <f>структура!$AD$13</f>
        <v>здание проката</v>
      </c>
      <c r="F116" s="2"/>
      <c r="G116" s="32" t="s">
        <v>0</v>
      </c>
      <c r="H116" s="66"/>
      <c r="I116" s="32" t="s">
        <v>0</v>
      </c>
      <c r="J116" s="68"/>
      <c r="K116" s="32" t="s">
        <v>0</v>
      </c>
      <c r="L116" s="68"/>
      <c r="M116" s="2"/>
      <c r="N116" s="69">
        <f t="shared" si="8"/>
        <v>0</v>
      </c>
      <c r="O116" s="2"/>
      <c r="P116" s="2"/>
      <c r="Q116" s="2"/>
      <c r="R116" s="2"/>
      <c r="S116" s="2"/>
      <c r="T116" s="2"/>
      <c r="U116" s="2"/>
      <c r="V116" s="2"/>
      <c r="W116" s="2"/>
      <c r="X116" s="2"/>
    </row>
    <row r="117" spans="1:24" x14ac:dyDescent="0.25">
      <c r="A117" s="2"/>
      <c r="B117" s="37">
        <f t="shared" si="6"/>
        <v>117</v>
      </c>
      <c r="C117" s="37">
        <f t="shared" si="7"/>
        <v>108</v>
      </c>
      <c r="D117" s="2"/>
      <c r="E117" s="2" t="str">
        <f>структура!$AD$13</f>
        <v>здание проката</v>
      </c>
      <c r="F117" s="2"/>
      <c r="G117" s="32" t="s">
        <v>0</v>
      </c>
      <c r="H117" s="66"/>
      <c r="I117" s="32" t="s">
        <v>0</v>
      </c>
      <c r="J117" s="68"/>
      <c r="K117" s="32" t="s">
        <v>0</v>
      </c>
      <c r="L117" s="68"/>
      <c r="M117" s="2"/>
      <c r="N117" s="69">
        <f t="shared" si="8"/>
        <v>0</v>
      </c>
      <c r="O117" s="2"/>
      <c r="P117" s="2"/>
      <c r="Q117" s="2"/>
      <c r="R117" s="2"/>
      <c r="S117" s="2"/>
      <c r="T117" s="2"/>
      <c r="U117" s="2"/>
      <c r="V117" s="2"/>
      <c r="W117" s="2"/>
      <c r="X117" s="2"/>
    </row>
    <row r="118" spans="1:24" x14ac:dyDescent="0.25">
      <c r="A118" s="2"/>
      <c r="B118" s="37">
        <f t="shared" si="6"/>
        <v>118</v>
      </c>
      <c r="C118" s="37">
        <f t="shared" si="7"/>
        <v>109</v>
      </c>
      <c r="D118" s="2"/>
      <c r="E118" s="2" t="str">
        <f>структура!$AD$13</f>
        <v>здание проката</v>
      </c>
      <c r="F118" s="2"/>
      <c r="G118" s="32" t="s">
        <v>0</v>
      </c>
      <c r="H118" s="66"/>
      <c r="I118" s="32" t="s">
        <v>0</v>
      </c>
      <c r="J118" s="68"/>
      <c r="K118" s="32" t="s">
        <v>0</v>
      </c>
      <c r="L118" s="68"/>
      <c r="M118" s="2"/>
      <c r="N118" s="69">
        <f t="shared" si="8"/>
        <v>0</v>
      </c>
      <c r="O118" s="2"/>
      <c r="P118" s="2"/>
      <c r="Q118" s="2"/>
      <c r="R118" s="2"/>
      <c r="S118" s="2"/>
      <c r="T118" s="2"/>
      <c r="U118" s="2"/>
      <c r="V118" s="2"/>
      <c r="W118" s="2"/>
      <c r="X118" s="2"/>
    </row>
    <row r="119" spans="1:24" x14ac:dyDescent="0.25">
      <c r="A119" s="2"/>
      <c r="B119" s="37">
        <f t="shared" si="6"/>
        <v>119</v>
      </c>
      <c r="C119" s="37">
        <f t="shared" si="7"/>
        <v>110</v>
      </c>
      <c r="D119" s="2"/>
      <c r="E119" s="2" t="str">
        <f>структура!$AD$13</f>
        <v>здание проката</v>
      </c>
      <c r="F119" s="2"/>
      <c r="G119" s="32" t="s">
        <v>0</v>
      </c>
      <c r="H119" s="66"/>
      <c r="I119" s="32" t="s">
        <v>0</v>
      </c>
      <c r="J119" s="68"/>
      <c r="K119" s="32" t="s">
        <v>0</v>
      </c>
      <c r="L119" s="68"/>
      <c r="M119" s="2"/>
      <c r="N119" s="69">
        <f t="shared" si="8"/>
        <v>0</v>
      </c>
      <c r="O119" s="2"/>
      <c r="P119" s="2"/>
      <c r="Q119" s="2"/>
      <c r="R119" s="2"/>
      <c r="S119" s="2"/>
      <c r="T119" s="2"/>
      <c r="U119" s="2"/>
      <c r="V119" s="2"/>
      <c r="W119" s="2"/>
      <c r="X119" s="2"/>
    </row>
    <row r="120" spans="1:24" x14ac:dyDescent="0.25">
      <c r="A120" s="2"/>
      <c r="B120" s="37">
        <f t="shared" si="6"/>
        <v>120</v>
      </c>
      <c r="C120" s="37">
        <f t="shared" si="7"/>
        <v>111</v>
      </c>
      <c r="D120" s="2"/>
      <c r="E120" s="2" t="str">
        <f>структура!$AD$13</f>
        <v>здание проката</v>
      </c>
      <c r="F120" s="2"/>
      <c r="G120" s="32" t="s">
        <v>0</v>
      </c>
      <c r="H120" s="66"/>
      <c r="I120" s="32" t="s">
        <v>0</v>
      </c>
      <c r="J120" s="68"/>
      <c r="K120" s="32" t="s">
        <v>0</v>
      </c>
      <c r="L120" s="68"/>
      <c r="M120" s="2"/>
      <c r="N120" s="69">
        <f t="shared" si="8"/>
        <v>0</v>
      </c>
      <c r="O120" s="2"/>
      <c r="P120" s="2"/>
      <c r="Q120" s="2"/>
      <c r="R120" s="2"/>
      <c r="S120" s="2"/>
      <c r="T120" s="2"/>
      <c r="U120" s="2"/>
      <c r="V120" s="2"/>
      <c r="W120" s="2"/>
      <c r="X120" s="2"/>
    </row>
    <row r="121" spans="1:24" x14ac:dyDescent="0.25">
      <c r="A121" s="2"/>
      <c r="B121" s="37">
        <f t="shared" si="6"/>
        <v>121</v>
      </c>
      <c r="C121" s="37">
        <f t="shared" si="7"/>
        <v>112</v>
      </c>
      <c r="D121" s="2"/>
      <c r="E121" s="2" t="str">
        <f>структура!$AD$13</f>
        <v>здание проката</v>
      </c>
      <c r="F121" s="2"/>
      <c r="G121" s="32" t="s">
        <v>0</v>
      </c>
      <c r="H121" s="66"/>
      <c r="I121" s="32" t="s">
        <v>0</v>
      </c>
      <c r="J121" s="68"/>
      <c r="K121" s="32" t="s">
        <v>0</v>
      </c>
      <c r="L121" s="68"/>
      <c r="M121" s="2"/>
      <c r="N121" s="69">
        <f t="shared" si="8"/>
        <v>0</v>
      </c>
      <c r="O121" s="2"/>
      <c r="P121" s="2"/>
      <c r="Q121" s="2"/>
      <c r="R121" s="2"/>
      <c r="S121" s="2"/>
      <c r="T121" s="2"/>
      <c r="U121" s="2"/>
      <c r="V121" s="2"/>
      <c r="W121" s="2"/>
      <c r="X121" s="2"/>
    </row>
    <row r="122" spans="1:24" x14ac:dyDescent="0.25">
      <c r="A122" s="2"/>
      <c r="B122" s="37">
        <f t="shared" si="6"/>
        <v>122</v>
      </c>
      <c r="C122" s="37">
        <f t="shared" si="7"/>
        <v>113</v>
      </c>
      <c r="D122" s="2"/>
      <c r="E122" s="2" t="str">
        <f>структура!$AD$13</f>
        <v>здание проката</v>
      </c>
      <c r="F122" s="2"/>
      <c r="G122" s="32" t="s">
        <v>0</v>
      </c>
      <c r="H122" s="66"/>
      <c r="I122" s="32" t="s">
        <v>0</v>
      </c>
      <c r="J122" s="68"/>
      <c r="K122" s="32" t="s">
        <v>0</v>
      </c>
      <c r="L122" s="68"/>
      <c r="M122" s="2"/>
      <c r="N122" s="69">
        <f t="shared" si="8"/>
        <v>0</v>
      </c>
      <c r="O122" s="2"/>
      <c r="P122" s="2"/>
      <c r="Q122" s="2"/>
      <c r="R122" s="2"/>
      <c r="S122" s="2"/>
      <c r="T122" s="2"/>
      <c r="U122" s="2"/>
      <c r="V122" s="2"/>
      <c r="W122" s="2"/>
      <c r="X122" s="2"/>
    </row>
    <row r="123" spans="1:24" x14ac:dyDescent="0.25">
      <c r="A123" s="2"/>
      <c r="B123" s="37">
        <f t="shared" si="6"/>
        <v>123</v>
      </c>
      <c r="C123" s="37">
        <f t="shared" si="7"/>
        <v>114</v>
      </c>
      <c r="D123" s="2"/>
      <c r="E123" s="2" t="str">
        <f>структура!$AD$13</f>
        <v>здание проката</v>
      </c>
      <c r="F123" s="2"/>
      <c r="G123" s="32" t="s">
        <v>0</v>
      </c>
      <c r="H123" s="66"/>
      <c r="I123" s="32" t="s">
        <v>0</v>
      </c>
      <c r="J123" s="68"/>
      <c r="K123" s="32" t="s">
        <v>0</v>
      </c>
      <c r="L123" s="68"/>
      <c r="M123" s="2"/>
      <c r="N123" s="69">
        <f t="shared" si="8"/>
        <v>0</v>
      </c>
      <c r="O123" s="2"/>
      <c r="P123" s="2"/>
      <c r="Q123" s="2"/>
      <c r="R123" s="2"/>
      <c r="S123" s="2"/>
      <c r="T123" s="2"/>
      <c r="U123" s="2"/>
      <c r="V123" s="2"/>
      <c r="W123" s="2"/>
      <c r="X123" s="2"/>
    </row>
    <row r="124" spans="1:24" x14ac:dyDescent="0.25">
      <c r="A124" s="2"/>
      <c r="B124" s="37">
        <f t="shared" si="6"/>
        <v>124</v>
      </c>
      <c r="C124" s="37">
        <f t="shared" si="7"/>
        <v>115</v>
      </c>
      <c r="D124" s="2"/>
      <c r="E124" s="2" t="str">
        <f>структура!$AD$13</f>
        <v>здание проката</v>
      </c>
      <c r="F124" s="2"/>
      <c r="G124" s="32" t="s">
        <v>0</v>
      </c>
      <c r="H124" s="66"/>
      <c r="I124" s="32" t="s">
        <v>0</v>
      </c>
      <c r="J124" s="68"/>
      <c r="K124" s="32" t="s">
        <v>0</v>
      </c>
      <c r="L124" s="68"/>
      <c r="M124" s="2"/>
      <c r="N124" s="69">
        <f t="shared" si="8"/>
        <v>0</v>
      </c>
      <c r="O124" s="2"/>
      <c r="P124" s="2"/>
      <c r="Q124" s="2"/>
      <c r="R124" s="2"/>
      <c r="S124" s="2"/>
      <c r="T124" s="2"/>
      <c r="U124" s="2"/>
      <c r="V124" s="2"/>
      <c r="W124" s="2"/>
      <c r="X124" s="2"/>
    </row>
    <row r="125" spans="1:24" x14ac:dyDescent="0.25">
      <c r="A125" s="2"/>
      <c r="B125" s="37">
        <f t="shared" si="6"/>
        <v>125</v>
      </c>
      <c r="C125" s="37">
        <f t="shared" si="7"/>
        <v>116</v>
      </c>
      <c r="D125" s="2"/>
      <c r="E125" s="2" t="str">
        <f>структура!$AD$13</f>
        <v>здание проката</v>
      </c>
      <c r="F125" s="2"/>
      <c r="G125" s="32" t="s">
        <v>0</v>
      </c>
      <c r="H125" s="66"/>
      <c r="I125" s="32" t="s">
        <v>0</v>
      </c>
      <c r="J125" s="68"/>
      <c r="K125" s="32" t="s">
        <v>0</v>
      </c>
      <c r="L125" s="68"/>
      <c r="M125" s="2"/>
      <c r="N125" s="69">
        <f t="shared" si="8"/>
        <v>0</v>
      </c>
      <c r="O125" s="2"/>
      <c r="P125" s="2"/>
      <c r="Q125" s="2"/>
      <c r="R125" s="2"/>
      <c r="S125" s="2"/>
      <c r="T125" s="2"/>
      <c r="U125" s="2"/>
      <c r="V125" s="2"/>
      <c r="W125" s="2"/>
      <c r="X125" s="2"/>
    </row>
    <row r="126" spans="1:24" x14ac:dyDescent="0.25">
      <c r="A126" s="2"/>
      <c r="B126" s="37">
        <f t="shared" si="6"/>
        <v>126</v>
      </c>
      <c r="C126" s="37">
        <f t="shared" si="7"/>
        <v>117</v>
      </c>
      <c r="D126" s="2"/>
      <c r="E126" s="2" t="str">
        <f>структура!$AD$13</f>
        <v>здание проката</v>
      </c>
      <c r="F126" s="2"/>
      <c r="G126" s="32" t="s">
        <v>0</v>
      </c>
      <c r="H126" s="66"/>
      <c r="I126" s="32" t="s">
        <v>0</v>
      </c>
      <c r="J126" s="68"/>
      <c r="K126" s="32" t="s">
        <v>0</v>
      </c>
      <c r="L126" s="68"/>
      <c r="M126" s="2"/>
      <c r="N126" s="69">
        <f t="shared" si="8"/>
        <v>0</v>
      </c>
      <c r="O126" s="2"/>
      <c r="P126" s="2"/>
      <c r="Q126" s="2"/>
      <c r="R126" s="2"/>
      <c r="S126" s="2"/>
      <c r="T126" s="2"/>
      <c r="U126" s="2"/>
      <c r="V126" s="2"/>
      <c r="W126" s="2"/>
      <c r="X126" s="2"/>
    </row>
    <row r="127" spans="1:24" x14ac:dyDescent="0.25">
      <c r="A127" s="2"/>
      <c r="B127" s="37">
        <f t="shared" si="6"/>
        <v>127</v>
      </c>
      <c r="C127" s="37">
        <f t="shared" si="7"/>
        <v>118</v>
      </c>
      <c r="D127" s="2"/>
      <c r="E127" s="2" t="str">
        <f>структура!$AD$13</f>
        <v>здание проката</v>
      </c>
      <c r="F127" s="2"/>
      <c r="G127" s="32" t="s">
        <v>0</v>
      </c>
      <c r="H127" s="66"/>
      <c r="I127" s="32" t="s">
        <v>0</v>
      </c>
      <c r="J127" s="68"/>
      <c r="K127" s="32" t="s">
        <v>0</v>
      </c>
      <c r="L127" s="68"/>
      <c r="M127" s="2"/>
      <c r="N127" s="69">
        <f t="shared" si="8"/>
        <v>0</v>
      </c>
      <c r="O127" s="2"/>
      <c r="P127" s="2"/>
      <c r="Q127" s="2"/>
      <c r="R127" s="2"/>
      <c r="S127" s="2"/>
      <c r="T127" s="2"/>
      <c r="U127" s="2"/>
      <c r="V127" s="2"/>
      <c r="W127" s="2"/>
      <c r="X127" s="2"/>
    </row>
    <row r="128" spans="1:24" x14ac:dyDescent="0.25">
      <c r="A128" s="2"/>
      <c r="B128" s="37">
        <f t="shared" si="6"/>
        <v>128</v>
      </c>
      <c r="C128" s="37">
        <f t="shared" si="7"/>
        <v>119</v>
      </c>
      <c r="D128" s="2"/>
      <c r="E128" s="2" t="str">
        <f>структура!$AD$13</f>
        <v>здание проката</v>
      </c>
      <c r="F128" s="2"/>
      <c r="G128" s="32" t="s">
        <v>0</v>
      </c>
      <c r="H128" s="66"/>
      <c r="I128" s="32" t="s">
        <v>0</v>
      </c>
      <c r="J128" s="68"/>
      <c r="K128" s="32" t="s">
        <v>0</v>
      </c>
      <c r="L128" s="68"/>
      <c r="M128" s="2"/>
      <c r="N128" s="69">
        <f t="shared" si="8"/>
        <v>0</v>
      </c>
      <c r="O128" s="2"/>
      <c r="P128" s="2"/>
      <c r="Q128" s="2"/>
      <c r="R128" s="2"/>
      <c r="S128" s="2"/>
      <c r="T128" s="2"/>
      <c r="U128" s="2"/>
      <c r="V128" s="2"/>
      <c r="W128" s="2"/>
      <c r="X128" s="2"/>
    </row>
    <row r="129" spans="1:24" x14ac:dyDescent="0.25">
      <c r="A129" s="2"/>
      <c r="B129" s="37">
        <f t="shared" si="6"/>
        <v>129</v>
      </c>
      <c r="C129" s="37">
        <f t="shared" si="7"/>
        <v>120</v>
      </c>
      <c r="D129" s="2"/>
      <c r="E129" s="2" t="str">
        <f>структура!$AD$13</f>
        <v>здание проката</v>
      </c>
      <c r="F129" s="2"/>
      <c r="G129" s="32" t="s">
        <v>0</v>
      </c>
      <c r="H129" s="66"/>
      <c r="I129" s="32" t="s">
        <v>0</v>
      </c>
      <c r="J129" s="68"/>
      <c r="K129" s="32" t="s">
        <v>0</v>
      </c>
      <c r="L129" s="68"/>
      <c r="M129" s="2"/>
      <c r="N129" s="69">
        <f t="shared" si="8"/>
        <v>0</v>
      </c>
      <c r="O129" s="2"/>
      <c r="P129" s="2"/>
      <c r="Q129" s="2"/>
      <c r="R129" s="2"/>
      <c r="S129" s="2"/>
      <c r="T129" s="2"/>
      <c r="U129" s="2"/>
      <c r="V129" s="2"/>
      <c r="W129" s="2"/>
      <c r="X129" s="2"/>
    </row>
    <row r="130" spans="1:24" ht="12.6" thickBot="1" x14ac:dyDescent="0.3">
      <c r="A130" s="2"/>
      <c r="B130" s="72">
        <f t="shared" si="6"/>
        <v>130</v>
      </c>
      <c r="C130" s="72">
        <f t="shared" si="7"/>
        <v>121</v>
      </c>
      <c r="D130" s="73"/>
      <c r="E130" s="73" t="str">
        <f>структура!$AD$13</f>
        <v>здание проката</v>
      </c>
      <c r="F130" s="73"/>
      <c r="G130" s="74" t="s">
        <v>0</v>
      </c>
      <c r="H130" s="75"/>
      <c r="I130" s="74" t="s">
        <v>0</v>
      </c>
      <c r="J130" s="76"/>
      <c r="K130" s="74" t="s">
        <v>0</v>
      </c>
      <c r="L130" s="76"/>
      <c r="M130" s="73"/>
      <c r="N130" s="77">
        <f t="shared" si="8"/>
        <v>0</v>
      </c>
      <c r="O130" s="2"/>
      <c r="P130" s="2"/>
      <c r="Q130" s="2"/>
      <c r="R130" s="2"/>
      <c r="S130" s="2"/>
      <c r="T130" s="2"/>
      <c r="U130" s="2"/>
      <c r="V130" s="2"/>
      <c r="W130" s="2"/>
      <c r="X130" s="2"/>
    </row>
    <row r="131" spans="1:24" x14ac:dyDescent="0.25">
      <c r="A131" s="2"/>
      <c r="B131" s="78">
        <f t="shared" si="6"/>
        <v>131</v>
      </c>
      <c r="C131" s="78">
        <f t="shared" si="7"/>
        <v>122</v>
      </c>
      <c r="D131" s="79"/>
      <c r="E131" s="79" t="str">
        <f>структура!$AD$14</f>
        <v>дорожки</v>
      </c>
      <c r="F131" s="79"/>
      <c r="G131" s="80" t="s">
        <v>0</v>
      </c>
      <c r="H131" s="81" t="s">
        <v>145</v>
      </c>
      <c r="I131" s="80" t="s">
        <v>0</v>
      </c>
      <c r="J131" s="82">
        <v>200000</v>
      </c>
      <c r="K131" s="80" t="s">
        <v>0</v>
      </c>
      <c r="L131" s="82">
        <v>1</v>
      </c>
      <c r="M131" s="79"/>
      <c r="N131" s="83">
        <f t="shared" si="8"/>
        <v>200000</v>
      </c>
      <c r="O131" s="2"/>
      <c r="P131" s="2"/>
      <c r="Q131" s="2"/>
      <c r="R131" s="2"/>
      <c r="S131" s="2"/>
      <c r="T131" s="2"/>
      <c r="U131" s="2"/>
      <c r="V131" s="2"/>
      <c r="W131" s="2"/>
      <c r="X131" s="2"/>
    </row>
    <row r="132" spans="1:24" x14ac:dyDescent="0.25">
      <c r="A132" s="2"/>
      <c r="B132" s="37">
        <f t="shared" si="6"/>
        <v>132</v>
      </c>
      <c r="C132" s="37">
        <f t="shared" si="7"/>
        <v>123</v>
      </c>
      <c r="D132" s="2"/>
      <c r="E132" s="2" t="str">
        <f>структура!$AD$14</f>
        <v>дорожки</v>
      </c>
      <c r="F132" s="2"/>
      <c r="G132" s="32" t="s">
        <v>0</v>
      </c>
      <c r="H132" s="66"/>
      <c r="I132" s="32" t="s">
        <v>0</v>
      </c>
      <c r="J132" s="68"/>
      <c r="K132" s="32" t="s">
        <v>0</v>
      </c>
      <c r="L132" s="68"/>
      <c r="M132" s="2"/>
      <c r="N132" s="69">
        <f t="shared" si="8"/>
        <v>0</v>
      </c>
      <c r="O132" s="2"/>
      <c r="P132" s="2"/>
      <c r="Q132" s="2"/>
      <c r="R132" s="2"/>
      <c r="S132" s="2"/>
      <c r="T132" s="2"/>
      <c r="U132" s="2"/>
      <c r="V132" s="2"/>
      <c r="W132" s="2"/>
      <c r="X132" s="2"/>
    </row>
    <row r="133" spans="1:24" x14ac:dyDescent="0.25">
      <c r="A133" s="2"/>
      <c r="B133" s="37">
        <f t="shared" si="6"/>
        <v>133</v>
      </c>
      <c r="C133" s="37">
        <f t="shared" si="7"/>
        <v>124</v>
      </c>
      <c r="D133" s="2"/>
      <c r="E133" s="2" t="str">
        <f>структура!$AD$14</f>
        <v>дорожки</v>
      </c>
      <c r="F133" s="2"/>
      <c r="G133" s="32" t="s">
        <v>0</v>
      </c>
      <c r="H133" s="66"/>
      <c r="I133" s="32" t="s">
        <v>0</v>
      </c>
      <c r="J133" s="68"/>
      <c r="K133" s="32" t="s">
        <v>0</v>
      </c>
      <c r="L133" s="68"/>
      <c r="M133" s="2"/>
      <c r="N133" s="69">
        <f t="shared" si="8"/>
        <v>0</v>
      </c>
      <c r="O133" s="2"/>
      <c r="P133" s="2"/>
      <c r="Q133" s="2"/>
      <c r="R133" s="2"/>
      <c r="S133" s="2"/>
      <c r="T133" s="2"/>
      <c r="U133" s="2"/>
      <c r="V133" s="2"/>
      <c r="W133" s="2"/>
      <c r="X133" s="2"/>
    </row>
    <row r="134" spans="1:24" x14ac:dyDescent="0.25">
      <c r="A134" s="2"/>
      <c r="B134" s="37">
        <f t="shared" si="6"/>
        <v>134</v>
      </c>
      <c r="C134" s="37">
        <f t="shared" si="7"/>
        <v>125</v>
      </c>
      <c r="D134" s="2"/>
      <c r="E134" s="2" t="str">
        <f>структура!$AD$14</f>
        <v>дорожки</v>
      </c>
      <c r="F134" s="2"/>
      <c r="G134" s="32" t="s">
        <v>0</v>
      </c>
      <c r="H134" s="66"/>
      <c r="I134" s="32" t="s">
        <v>0</v>
      </c>
      <c r="J134" s="68"/>
      <c r="K134" s="32" t="s">
        <v>0</v>
      </c>
      <c r="L134" s="68"/>
      <c r="M134" s="2"/>
      <c r="N134" s="69">
        <f t="shared" si="8"/>
        <v>0</v>
      </c>
      <c r="O134" s="2"/>
      <c r="P134" s="2"/>
      <c r="Q134" s="2"/>
      <c r="R134" s="2"/>
      <c r="S134" s="2"/>
      <c r="T134" s="2"/>
      <c r="U134" s="2"/>
      <c r="V134" s="2"/>
      <c r="W134" s="2"/>
      <c r="X134" s="2"/>
    </row>
    <row r="135" spans="1:24" x14ac:dyDescent="0.25">
      <c r="A135" s="2"/>
      <c r="B135" s="37">
        <f t="shared" si="6"/>
        <v>135</v>
      </c>
      <c r="C135" s="37">
        <f t="shared" si="7"/>
        <v>126</v>
      </c>
      <c r="D135" s="2"/>
      <c r="E135" s="2" t="str">
        <f>структура!$AD$14</f>
        <v>дорожки</v>
      </c>
      <c r="F135" s="2"/>
      <c r="G135" s="32" t="s">
        <v>0</v>
      </c>
      <c r="H135" s="66"/>
      <c r="I135" s="32" t="s">
        <v>0</v>
      </c>
      <c r="J135" s="68"/>
      <c r="K135" s="32" t="s">
        <v>0</v>
      </c>
      <c r="L135" s="68"/>
      <c r="M135" s="2"/>
      <c r="N135" s="69">
        <f t="shared" si="8"/>
        <v>0</v>
      </c>
      <c r="O135" s="2"/>
      <c r="P135" s="2"/>
      <c r="Q135" s="2"/>
      <c r="R135" s="2"/>
      <c r="S135" s="2"/>
      <c r="T135" s="2"/>
      <c r="U135" s="2"/>
      <c r="V135" s="2"/>
      <c r="W135" s="2"/>
      <c r="X135" s="2"/>
    </row>
    <row r="136" spans="1:24" x14ac:dyDescent="0.25">
      <c r="A136" s="2"/>
      <c r="B136" s="37">
        <f t="shared" si="6"/>
        <v>136</v>
      </c>
      <c r="C136" s="37">
        <f t="shared" si="7"/>
        <v>127</v>
      </c>
      <c r="D136" s="2"/>
      <c r="E136" s="2" t="str">
        <f>структура!$AD$14</f>
        <v>дорожки</v>
      </c>
      <c r="F136" s="2"/>
      <c r="G136" s="32" t="s">
        <v>0</v>
      </c>
      <c r="H136" s="66"/>
      <c r="I136" s="32" t="s">
        <v>0</v>
      </c>
      <c r="J136" s="68"/>
      <c r="K136" s="32" t="s">
        <v>0</v>
      </c>
      <c r="L136" s="68"/>
      <c r="M136" s="2"/>
      <c r="N136" s="69">
        <f t="shared" si="8"/>
        <v>0</v>
      </c>
      <c r="O136" s="2"/>
      <c r="P136" s="2"/>
      <c r="Q136" s="2"/>
      <c r="R136" s="2"/>
      <c r="S136" s="2"/>
      <c r="T136" s="2"/>
      <c r="U136" s="2"/>
      <c r="V136" s="2"/>
      <c r="W136" s="2"/>
      <c r="X136" s="2"/>
    </row>
    <row r="137" spans="1:24" x14ac:dyDescent="0.25">
      <c r="A137" s="2"/>
      <c r="B137" s="37">
        <f t="shared" si="6"/>
        <v>137</v>
      </c>
      <c r="C137" s="37">
        <f t="shared" si="7"/>
        <v>128</v>
      </c>
      <c r="D137" s="2"/>
      <c r="E137" s="2" t="str">
        <f>структура!$AD$14</f>
        <v>дорожки</v>
      </c>
      <c r="F137" s="2"/>
      <c r="G137" s="32" t="s">
        <v>0</v>
      </c>
      <c r="H137" s="66"/>
      <c r="I137" s="32" t="s">
        <v>0</v>
      </c>
      <c r="J137" s="68"/>
      <c r="K137" s="32" t="s">
        <v>0</v>
      </c>
      <c r="L137" s="68"/>
      <c r="M137" s="2"/>
      <c r="N137" s="69">
        <f t="shared" si="8"/>
        <v>0</v>
      </c>
      <c r="O137" s="2"/>
      <c r="P137" s="2"/>
      <c r="Q137" s="2"/>
      <c r="R137" s="2"/>
      <c r="S137" s="2"/>
      <c r="T137" s="2"/>
      <c r="U137" s="2"/>
      <c r="V137" s="2"/>
      <c r="W137" s="2"/>
      <c r="X137" s="2"/>
    </row>
    <row r="138" spans="1:24" x14ac:dyDescent="0.25">
      <c r="A138" s="2"/>
      <c r="B138" s="37">
        <f t="shared" si="6"/>
        <v>138</v>
      </c>
      <c r="C138" s="37">
        <f t="shared" si="7"/>
        <v>129</v>
      </c>
      <c r="D138" s="2"/>
      <c r="E138" s="2" t="str">
        <f>структура!$AD$14</f>
        <v>дорожки</v>
      </c>
      <c r="F138" s="2"/>
      <c r="G138" s="32" t="s">
        <v>0</v>
      </c>
      <c r="H138" s="66"/>
      <c r="I138" s="32" t="s">
        <v>0</v>
      </c>
      <c r="J138" s="68"/>
      <c r="K138" s="32" t="s">
        <v>0</v>
      </c>
      <c r="L138" s="68"/>
      <c r="M138" s="2"/>
      <c r="N138" s="69">
        <f t="shared" si="8"/>
        <v>0</v>
      </c>
      <c r="O138" s="2"/>
      <c r="P138" s="2"/>
      <c r="Q138" s="2"/>
      <c r="R138" s="2"/>
      <c r="S138" s="2"/>
      <c r="T138" s="2"/>
      <c r="U138" s="2"/>
      <c r="V138" s="2"/>
      <c r="W138" s="2"/>
      <c r="X138" s="2"/>
    </row>
    <row r="139" spans="1:24" x14ac:dyDescent="0.25">
      <c r="A139" s="2"/>
      <c r="B139" s="37">
        <f t="shared" si="6"/>
        <v>139</v>
      </c>
      <c r="C139" s="37">
        <f t="shared" si="7"/>
        <v>130</v>
      </c>
      <c r="D139" s="2"/>
      <c r="E139" s="2" t="str">
        <f>структура!$AD$14</f>
        <v>дорожки</v>
      </c>
      <c r="F139" s="2"/>
      <c r="G139" s="32" t="s">
        <v>0</v>
      </c>
      <c r="H139" s="66"/>
      <c r="I139" s="32" t="s">
        <v>0</v>
      </c>
      <c r="J139" s="68"/>
      <c r="K139" s="32" t="s">
        <v>0</v>
      </c>
      <c r="L139" s="68"/>
      <c r="M139" s="2"/>
      <c r="N139" s="69">
        <f t="shared" si="8"/>
        <v>0</v>
      </c>
      <c r="O139" s="2"/>
      <c r="P139" s="2"/>
      <c r="Q139" s="2"/>
      <c r="R139" s="2"/>
      <c r="S139" s="2"/>
      <c r="T139" s="2"/>
      <c r="U139" s="2"/>
      <c r="V139" s="2"/>
      <c r="W139" s="2"/>
      <c r="X139" s="2"/>
    </row>
    <row r="140" spans="1:24" x14ac:dyDescent="0.25">
      <c r="A140" s="2"/>
      <c r="B140" s="37">
        <f t="shared" ref="B140:B203" si="9">ROW(A140)</f>
        <v>140</v>
      </c>
      <c r="C140" s="37">
        <f t="shared" si="7"/>
        <v>131</v>
      </c>
      <c r="D140" s="2"/>
      <c r="E140" s="2" t="str">
        <f>структура!$AD$14</f>
        <v>дорожки</v>
      </c>
      <c r="F140" s="2"/>
      <c r="G140" s="32" t="s">
        <v>0</v>
      </c>
      <c r="H140" s="66"/>
      <c r="I140" s="32" t="s">
        <v>0</v>
      </c>
      <c r="J140" s="68"/>
      <c r="K140" s="32" t="s">
        <v>0</v>
      </c>
      <c r="L140" s="68"/>
      <c r="M140" s="2"/>
      <c r="N140" s="69">
        <f t="shared" si="8"/>
        <v>0</v>
      </c>
      <c r="O140" s="2"/>
      <c r="P140" s="2"/>
      <c r="Q140" s="2"/>
      <c r="R140" s="2"/>
      <c r="S140" s="2"/>
      <c r="T140" s="2"/>
      <c r="U140" s="2"/>
      <c r="V140" s="2"/>
      <c r="W140" s="2"/>
      <c r="X140" s="2"/>
    </row>
    <row r="141" spans="1:24" x14ac:dyDescent="0.25">
      <c r="A141" s="2"/>
      <c r="B141" s="37">
        <f t="shared" si="9"/>
        <v>141</v>
      </c>
      <c r="C141" s="37">
        <f t="shared" si="7"/>
        <v>132</v>
      </c>
      <c r="D141" s="2"/>
      <c r="E141" s="2" t="str">
        <f>структура!$AD$14</f>
        <v>дорожки</v>
      </c>
      <c r="F141" s="2"/>
      <c r="G141" s="32" t="s">
        <v>0</v>
      </c>
      <c r="H141" s="66"/>
      <c r="I141" s="32" t="s">
        <v>0</v>
      </c>
      <c r="J141" s="68"/>
      <c r="K141" s="32" t="s">
        <v>0</v>
      </c>
      <c r="L141" s="68"/>
      <c r="M141" s="2"/>
      <c r="N141" s="69">
        <f t="shared" si="8"/>
        <v>0</v>
      </c>
      <c r="O141" s="2"/>
      <c r="P141" s="2"/>
      <c r="Q141" s="2"/>
      <c r="R141" s="2"/>
      <c r="S141" s="2"/>
      <c r="T141" s="2"/>
      <c r="U141" s="2"/>
      <c r="V141" s="2"/>
      <c r="W141" s="2"/>
      <c r="X141" s="2"/>
    </row>
    <row r="142" spans="1:24" x14ac:dyDescent="0.25">
      <c r="A142" s="2"/>
      <c r="B142" s="37">
        <f t="shared" si="9"/>
        <v>142</v>
      </c>
      <c r="C142" s="37">
        <f t="shared" si="7"/>
        <v>133</v>
      </c>
      <c r="D142" s="2"/>
      <c r="E142" s="2" t="str">
        <f>структура!$AD$14</f>
        <v>дорожки</v>
      </c>
      <c r="F142" s="2"/>
      <c r="G142" s="32" t="s">
        <v>0</v>
      </c>
      <c r="H142" s="66"/>
      <c r="I142" s="32" t="s">
        <v>0</v>
      </c>
      <c r="J142" s="68"/>
      <c r="K142" s="32" t="s">
        <v>0</v>
      </c>
      <c r="L142" s="68"/>
      <c r="M142" s="2"/>
      <c r="N142" s="69">
        <f t="shared" si="8"/>
        <v>0</v>
      </c>
      <c r="O142" s="2"/>
      <c r="P142" s="2"/>
      <c r="Q142" s="2"/>
      <c r="R142" s="2"/>
      <c r="S142" s="2"/>
      <c r="T142" s="2"/>
      <c r="U142" s="2"/>
      <c r="V142" s="2"/>
      <c r="W142" s="2"/>
      <c r="X142" s="2"/>
    </row>
    <row r="143" spans="1:24" x14ac:dyDescent="0.25">
      <c r="A143" s="2"/>
      <c r="B143" s="37">
        <f t="shared" si="9"/>
        <v>143</v>
      </c>
      <c r="C143" s="37">
        <f t="shared" si="7"/>
        <v>134</v>
      </c>
      <c r="D143" s="2"/>
      <c r="E143" s="2" t="str">
        <f>структура!$AD$14</f>
        <v>дорожки</v>
      </c>
      <c r="F143" s="2"/>
      <c r="G143" s="32" t="s">
        <v>0</v>
      </c>
      <c r="H143" s="66"/>
      <c r="I143" s="32" t="s">
        <v>0</v>
      </c>
      <c r="J143" s="68"/>
      <c r="K143" s="32" t="s">
        <v>0</v>
      </c>
      <c r="L143" s="68"/>
      <c r="M143" s="2"/>
      <c r="N143" s="69">
        <f t="shared" si="8"/>
        <v>0</v>
      </c>
      <c r="O143" s="2"/>
      <c r="P143" s="2"/>
      <c r="Q143" s="2"/>
      <c r="R143" s="2"/>
      <c r="S143" s="2"/>
      <c r="T143" s="2"/>
      <c r="U143" s="2"/>
      <c r="V143" s="2"/>
      <c r="W143" s="2"/>
      <c r="X143" s="2"/>
    </row>
    <row r="144" spans="1:24" x14ac:dyDescent="0.25">
      <c r="A144" s="2"/>
      <c r="B144" s="37">
        <f t="shared" si="9"/>
        <v>144</v>
      </c>
      <c r="C144" s="37">
        <f t="shared" si="7"/>
        <v>135</v>
      </c>
      <c r="D144" s="2"/>
      <c r="E144" s="2" t="str">
        <f>структура!$AD$14</f>
        <v>дорожки</v>
      </c>
      <c r="F144" s="2"/>
      <c r="G144" s="32" t="s">
        <v>0</v>
      </c>
      <c r="H144" s="66"/>
      <c r="I144" s="32" t="s">
        <v>0</v>
      </c>
      <c r="J144" s="68"/>
      <c r="K144" s="32" t="s">
        <v>0</v>
      </c>
      <c r="L144" s="68"/>
      <c r="M144" s="2"/>
      <c r="N144" s="69">
        <f t="shared" si="8"/>
        <v>0</v>
      </c>
      <c r="O144" s="2"/>
      <c r="P144" s="2"/>
      <c r="Q144" s="2"/>
      <c r="R144" s="2"/>
      <c r="S144" s="2"/>
      <c r="T144" s="2"/>
      <c r="U144" s="2"/>
      <c r="V144" s="2"/>
      <c r="W144" s="2"/>
      <c r="X144" s="2"/>
    </row>
    <row r="145" spans="1:24" x14ac:dyDescent="0.25">
      <c r="A145" s="2"/>
      <c r="B145" s="37">
        <f t="shared" si="9"/>
        <v>145</v>
      </c>
      <c r="C145" s="37">
        <f t="shared" si="7"/>
        <v>136</v>
      </c>
      <c r="D145" s="2"/>
      <c r="E145" s="2" t="str">
        <f>структура!$AD$14</f>
        <v>дорожки</v>
      </c>
      <c r="F145" s="2"/>
      <c r="G145" s="32" t="s">
        <v>0</v>
      </c>
      <c r="H145" s="66"/>
      <c r="I145" s="32" t="s">
        <v>0</v>
      </c>
      <c r="J145" s="68"/>
      <c r="K145" s="32" t="s">
        <v>0</v>
      </c>
      <c r="L145" s="68"/>
      <c r="M145" s="2"/>
      <c r="N145" s="69">
        <f t="shared" si="8"/>
        <v>0</v>
      </c>
      <c r="O145" s="2"/>
      <c r="P145" s="2"/>
      <c r="Q145" s="2"/>
      <c r="R145" s="2"/>
      <c r="S145" s="2"/>
      <c r="T145" s="2"/>
      <c r="U145" s="2"/>
      <c r="V145" s="2"/>
      <c r="W145" s="2"/>
      <c r="X145" s="2"/>
    </row>
    <row r="146" spans="1:24" x14ac:dyDescent="0.25">
      <c r="A146" s="2"/>
      <c r="B146" s="37">
        <f t="shared" si="9"/>
        <v>146</v>
      </c>
      <c r="C146" s="37">
        <f t="shared" si="7"/>
        <v>137</v>
      </c>
      <c r="D146" s="2"/>
      <c r="E146" s="2" t="str">
        <f>структура!$AD$14</f>
        <v>дорожки</v>
      </c>
      <c r="F146" s="2"/>
      <c r="G146" s="32" t="s">
        <v>0</v>
      </c>
      <c r="H146" s="66"/>
      <c r="I146" s="32" t="s">
        <v>0</v>
      </c>
      <c r="J146" s="68"/>
      <c r="K146" s="32" t="s">
        <v>0</v>
      </c>
      <c r="L146" s="68"/>
      <c r="M146" s="2"/>
      <c r="N146" s="69">
        <f t="shared" si="8"/>
        <v>0</v>
      </c>
      <c r="O146" s="2"/>
      <c r="P146" s="2"/>
      <c r="Q146" s="2"/>
      <c r="R146" s="2"/>
      <c r="S146" s="2"/>
      <c r="T146" s="2"/>
      <c r="U146" s="2"/>
      <c r="V146" s="2"/>
      <c r="W146" s="2"/>
      <c r="X146" s="2"/>
    </row>
    <row r="147" spans="1:24" x14ac:dyDescent="0.25">
      <c r="A147" s="2"/>
      <c r="B147" s="37">
        <f t="shared" si="9"/>
        <v>147</v>
      </c>
      <c r="C147" s="37">
        <f t="shared" si="7"/>
        <v>138</v>
      </c>
      <c r="D147" s="2"/>
      <c r="E147" s="2" t="str">
        <f>структура!$AD$14</f>
        <v>дорожки</v>
      </c>
      <c r="F147" s="2"/>
      <c r="G147" s="32" t="s">
        <v>0</v>
      </c>
      <c r="H147" s="66"/>
      <c r="I147" s="32" t="s">
        <v>0</v>
      </c>
      <c r="J147" s="68"/>
      <c r="K147" s="32" t="s">
        <v>0</v>
      </c>
      <c r="L147" s="68"/>
      <c r="M147" s="2"/>
      <c r="N147" s="69">
        <f t="shared" si="8"/>
        <v>0</v>
      </c>
      <c r="O147" s="2"/>
      <c r="P147" s="2"/>
      <c r="Q147" s="2"/>
      <c r="R147" s="2"/>
      <c r="S147" s="2"/>
      <c r="T147" s="2"/>
      <c r="U147" s="2"/>
      <c r="V147" s="2"/>
      <c r="W147" s="2"/>
      <c r="X147" s="2"/>
    </row>
    <row r="148" spans="1:24" x14ac:dyDescent="0.25">
      <c r="A148" s="2"/>
      <c r="B148" s="37">
        <f t="shared" si="9"/>
        <v>148</v>
      </c>
      <c r="C148" s="37">
        <f t="shared" si="7"/>
        <v>139</v>
      </c>
      <c r="D148" s="2"/>
      <c r="E148" s="2" t="str">
        <f>структура!$AD$14</f>
        <v>дорожки</v>
      </c>
      <c r="F148" s="2"/>
      <c r="G148" s="32" t="s">
        <v>0</v>
      </c>
      <c r="H148" s="66"/>
      <c r="I148" s="32" t="s">
        <v>0</v>
      </c>
      <c r="J148" s="68"/>
      <c r="K148" s="32" t="s">
        <v>0</v>
      </c>
      <c r="L148" s="68"/>
      <c r="M148" s="2"/>
      <c r="N148" s="69">
        <f t="shared" si="8"/>
        <v>0</v>
      </c>
      <c r="O148" s="2"/>
      <c r="P148" s="2"/>
      <c r="Q148" s="2"/>
      <c r="R148" s="2"/>
      <c r="S148" s="2"/>
      <c r="T148" s="2"/>
      <c r="U148" s="2"/>
      <c r="V148" s="2"/>
      <c r="W148" s="2"/>
      <c r="X148" s="2"/>
    </row>
    <row r="149" spans="1:24" ht="12.6" thickBot="1" x14ac:dyDescent="0.3">
      <c r="A149" s="2"/>
      <c r="B149" s="72">
        <f t="shared" si="9"/>
        <v>149</v>
      </c>
      <c r="C149" s="72">
        <f t="shared" si="7"/>
        <v>140</v>
      </c>
      <c r="D149" s="73"/>
      <c r="E149" s="73" t="str">
        <f>структура!$AD$14</f>
        <v>дорожки</v>
      </c>
      <c r="F149" s="73"/>
      <c r="G149" s="74" t="s">
        <v>0</v>
      </c>
      <c r="H149" s="75"/>
      <c r="I149" s="74" t="s">
        <v>0</v>
      </c>
      <c r="J149" s="76"/>
      <c r="K149" s="74" t="s">
        <v>0</v>
      </c>
      <c r="L149" s="76"/>
      <c r="M149" s="73"/>
      <c r="N149" s="77">
        <f t="shared" si="8"/>
        <v>0</v>
      </c>
      <c r="O149" s="2"/>
      <c r="P149" s="2"/>
      <c r="Q149" s="2"/>
      <c r="R149" s="2"/>
      <c r="S149" s="2"/>
      <c r="T149" s="2"/>
      <c r="U149" s="2"/>
      <c r="V149" s="2"/>
      <c r="W149" s="2"/>
      <c r="X149" s="2"/>
    </row>
    <row r="150" spans="1:24" x14ac:dyDescent="0.25">
      <c r="A150" s="2"/>
      <c r="B150" s="78">
        <f t="shared" si="9"/>
        <v>150</v>
      </c>
      <c r="C150" s="78">
        <f t="shared" si="7"/>
        <v>141</v>
      </c>
      <c r="D150" s="79"/>
      <c r="E150" s="79" t="str">
        <f>структура!$AD$15</f>
        <v>внешнее электроснабжение</v>
      </c>
      <c r="F150" s="79"/>
      <c r="G150" s="80" t="s">
        <v>0</v>
      </c>
      <c r="H150" s="81" t="s">
        <v>146</v>
      </c>
      <c r="I150" s="80" t="s">
        <v>0</v>
      </c>
      <c r="J150" s="82">
        <v>3000</v>
      </c>
      <c r="K150" s="80" t="s">
        <v>0</v>
      </c>
      <c r="L150" s="82">
        <v>80</v>
      </c>
      <c r="M150" s="79"/>
      <c r="N150" s="83">
        <f t="shared" si="8"/>
        <v>240000</v>
      </c>
      <c r="O150" s="2"/>
      <c r="P150" s="2"/>
      <c r="Q150" s="2"/>
      <c r="R150" s="2"/>
      <c r="S150" s="2"/>
      <c r="T150" s="2"/>
      <c r="U150" s="2"/>
      <c r="V150" s="2"/>
      <c r="W150" s="2"/>
      <c r="X150" s="2"/>
    </row>
    <row r="151" spans="1:24" x14ac:dyDescent="0.25">
      <c r="A151" s="2"/>
      <c r="B151" s="37">
        <f t="shared" si="9"/>
        <v>151</v>
      </c>
      <c r="C151" s="37">
        <f t="shared" si="7"/>
        <v>142</v>
      </c>
      <c r="D151" s="2"/>
      <c r="E151" s="2" t="str">
        <f>структура!$AD$15</f>
        <v>внешнее электроснабжение</v>
      </c>
      <c r="F151" s="2"/>
      <c r="G151" s="32" t="s">
        <v>0</v>
      </c>
      <c r="H151" s="66" t="s">
        <v>147</v>
      </c>
      <c r="I151" s="32" t="s">
        <v>0</v>
      </c>
      <c r="J151" s="68">
        <v>175</v>
      </c>
      <c r="K151" s="32" t="s">
        <v>0</v>
      </c>
      <c r="L151" s="68">
        <v>80</v>
      </c>
      <c r="M151" s="2"/>
      <c r="N151" s="69">
        <f t="shared" si="8"/>
        <v>14000</v>
      </c>
      <c r="O151" s="2"/>
      <c r="P151" s="2"/>
      <c r="Q151" s="2"/>
      <c r="R151" s="2"/>
      <c r="S151" s="2"/>
      <c r="T151" s="2"/>
      <c r="U151" s="2"/>
      <c r="V151" s="2"/>
      <c r="W151" s="2"/>
      <c r="X151" s="2"/>
    </row>
    <row r="152" spans="1:24" x14ac:dyDescent="0.25">
      <c r="A152" s="2"/>
      <c r="B152" s="37">
        <f t="shared" si="9"/>
        <v>152</v>
      </c>
      <c r="C152" s="37">
        <f t="shared" ref="C152:C188" si="10">C151+1</f>
        <v>143</v>
      </c>
      <c r="D152" s="2"/>
      <c r="E152" s="2" t="str">
        <f>структура!$AD$15</f>
        <v>внешнее электроснабжение</v>
      </c>
      <c r="F152" s="2"/>
      <c r="G152" s="32" t="s">
        <v>0</v>
      </c>
      <c r="H152" s="66" t="s">
        <v>148</v>
      </c>
      <c r="I152" s="32" t="s">
        <v>0</v>
      </c>
      <c r="J152" s="68">
        <v>27</v>
      </c>
      <c r="K152" s="32" t="s">
        <v>0</v>
      </c>
      <c r="L152" s="68">
        <v>820</v>
      </c>
      <c r="M152" s="2"/>
      <c r="N152" s="69">
        <f t="shared" si="8"/>
        <v>22140</v>
      </c>
      <c r="O152" s="2"/>
      <c r="P152" s="2"/>
      <c r="Q152" s="2"/>
      <c r="R152" s="2"/>
      <c r="S152" s="2"/>
      <c r="T152" s="2"/>
      <c r="U152" s="2"/>
      <c r="V152" s="2"/>
      <c r="W152" s="2"/>
      <c r="X152" s="2"/>
    </row>
    <row r="153" spans="1:24" x14ac:dyDescent="0.25">
      <c r="A153" s="2"/>
      <c r="B153" s="37">
        <f t="shared" si="9"/>
        <v>153</v>
      </c>
      <c r="C153" s="37">
        <f t="shared" si="10"/>
        <v>144</v>
      </c>
      <c r="D153" s="2"/>
      <c r="E153" s="2" t="str">
        <f>структура!$AD$15</f>
        <v>внешнее электроснабжение</v>
      </c>
      <c r="F153" s="2"/>
      <c r="G153" s="32" t="s">
        <v>0</v>
      </c>
      <c r="H153" s="66" t="s">
        <v>149</v>
      </c>
      <c r="I153" s="32" t="s">
        <v>0</v>
      </c>
      <c r="J153" s="68">
        <v>55</v>
      </c>
      <c r="K153" s="32" t="s">
        <v>0</v>
      </c>
      <c r="L153" s="68">
        <v>1500</v>
      </c>
      <c r="M153" s="2"/>
      <c r="N153" s="69">
        <f t="shared" si="8"/>
        <v>82500</v>
      </c>
      <c r="O153" s="2"/>
      <c r="P153" s="2"/>
      <c r="Q153" s="2"/>
      <c r="R153" s="2"/>
      <c r="S153" s="2"/>
      <c r="T153" s="2"/>
      <c r="U153" s="2"/>
      <c r="V153" s="2"/>
      <c r="W153" s="2"/>
      <c r="X153" s="2"/>
    </row>
    <row r="154" spans="1:24" x14ac:dyDescent="0.25">
      <c r="A154" s="2"/>
      <c r="B154" s="37">
        <f t="shared" si="9"/>
        <v>154</v>
      </c>
      <c r="C154" s="37">
        <f t="shared" si="10"/>
        <v>145</v>
      </c>
      <c r="D154" s="2"/>
      <c r="E154" s="2" t="str">
        <f>структура!$AD$15</f>
        <v>внешнее электроснабжение</v>
      </c>
      <c r="F154" s="2"/>
      <c r="G154" s="32" t="s">
        <v>0</v>
      </c>
      <c r="H154" s="66" t="s">
        <v>150</v>
      </c>
      <c r="I154" s="32" t="s">
        <v>0</v>
      </c>
      <c r="J154" s="68">
        <v>365</v>
      </c>
      <c r="K154" s="32" t="s">
        <v>0</v>
      </c>
      <c r="L154" s="68">
        <v>11</v>
      </c>
      <c r="M154" s="2"/>
      <c r="N154" s="69">
        <f t="shared" si="8"/>
        <v>4015</v>
      </c>
      <c r="O154" s="2"/>
      <c r="P154" s="2"/>
      <c r="Q154" s="2"/>
      <c r="R154" s="2"/>
      <c r="S154" s="2"/>
      <c r="T154" s="2"/>
      <c r="U154" s="2"/>
      <c r="V154" s="2"/>
      <c r="W154" s="2"/>
      <c r="X154" s="2"/>
    </row>
    <row r="155" spans="1:24" x14ac:dyDescent="0.25">
      <c r="A155" s="2"/>
      <c r="B155" s="37">
        <f t="shared" si="9"/>
        <v>155</v>
      </c>
      <c r="C155" s="37">
        <f t="shared" si="10"/>
        <v>146</v>
      </c>
      <c r="D155" s="2"/>
      <c r="E155" s="2" t="str">
        <f>структура!$AD$15</f>
        <v>внешнее электроснабжение</v>
      </c>
      <c r="F155" s="2"/>
      <c r="G155" s="32" t="s">
        <v>0</v>
      </c>
      <c r="H155" s="66" t="s">
        <v>121</v>
      </c>
      <c r="I155" s="32" t="s">
        <v>0</v>
      </c>
      <c r="J155" s="68">
        <v>8215</v>
      </c>
      <c r="K155" s="32" t="s">
        <v>0</v>
      </c>
      <c r="L155" s="68">
        <v>1</v>
      </c>
      <c r="M155" s="2"/>
      <c r="N155" s="69">
        <f t="shared" si="8"/>
        <v>8215</v>
      </c>
      <c r="O155" s="2"/>
      <c r="P155" s="2"/>
      <c r="Q155" s="2"/>
      <c r="R155" s="2"/>
      <c r="S155" s="2"/>
      <c r="T155" s="2"/>
      <c r="U155" s="2"/>
      <c r="V155" s="2"/>
      <c r="W155" s="2"/>
      <c r="X155" s="2"/>
    </row>
    <row r="156" spans="1:24" x14ac:dyDescent="0.25">
      <c r="A156" s="2"/>
      <c r="B156" s="37">
        <f t="shared" si="9"/>
        <v>156</v>
      </c>
      <c r="C156" s="37">
        <f t="shared" si="10"/>
        <v>147</v>
      </c>
      <c r="D156" s="2"/>
      <c r="E156" s="2" t="str">
        <f>структура!$AD$15</f>
        <v>внешнее электроснабжение</v>
      </c>
      <c r="F156" s="2"/>
      <c r="G156" s="32" t="s">
        <v>0</v>
      </c>
      <c r="H156" s="66" t="s">
        <v>151</v>
      </c>
      <c r="I156" s="32" t="s">
        <v>0</v>
      </c>
      <c r="J156" s="68">
        <v>50000</v>
      </c>
      <c r="K156" s="32" t="s">
        <v>0</v>
      </c>
      <c r="L156" s="68">
        <v>1</v>
      </c>
      <c r="M156" s="2"/>
      <c r="N156" s="69">
        <f t="shared" si="8"/>
        <v>50000</v>
      </c>
      <c r="O156" s="2"/>
      <c r="P156" s="2"/>
      <c r="Q156" s="2"/>
      <c r="R156" s="2"/>
      <c r="S156" s="2"/>
      <c r="T156" s="2"/>
      <c r="U156" s="2"/>
      <c r="V156" s="2"/>
      <c r="W156" s="2"/>
      <c r="X156" s="2"/>
    </row>
    <row r="157" spans="1:24" x14ac:dyDescent="0.25">
      <c r="A157" s="2"/>
      <c r="B157" s="37">
        <f t="shared" si="9"/>
        <v>157</v>
      </c>
      <c r="C157" s="37">
        <f t="shared" si="10"/>
        <v>148</v>
      </c>
      <c r="D157" s="2"/>
      <c r="E157" s="2" t="str">
        <f>структура!$AD$15</f>
        <v>внешнее электроснабжение</v>
      </c>
      <c r="F157" s="2"/>
      <c r="G157" s="32" t="s">
        <v>0</v>
      </c>
      <c r="H157" s="66" t="s">
        <v>144</v>
      </c>
      <c r="I157" s="32" t="s">
        <v>0</v>
      </c>
      <c r="J157" s="68">
        <v>100000</v>
      </c>
      <c r="K157" s="32" t="s">
        <v>0</v>
      </c>
      <c r="L157" s="68">
        <v>1</v>
      </c>
      <c r="M157" s="2"/>
      <c r="N157" s="69">
        <f t="shared" si="8"/>
        <v>100000</v>
      </c>
      <c r="O157" s="2"/>
      <c r="P157" s="2"/>
      <c r="Q157" s="2"/>
      <c r="R157" s="2"/>
      <c r="S157" s="2"/>
      <c r="T157" s="2"/>
      <c r="U157" s="2"/>
      <c r="V157" s="2"/>
      <c r="W157" s="2"/>
      <c r="X157" s="2"/>
    </row>
    <row r="158" spans="1:24" ht="12.6" thickBot="1" x14ac:dyDescent="0.3">
      <c r="A158" s="2"/>
      <c r="B158" s="72">
        <f t="shared" si="9"/>
        <v>158</v>
      </c>
      <c r="C158" s="72">
        <f t="shared" si="10"/>
        <v>149</v>
      </c>
      <c r="D158" s="73"/>
      <c r="E158" s="73" t="str">
        <f>структура!$AD$15</f>
        <v>внешнее электроснабжение</v>
      </c>
      <c r="F158" s="73"/>
      <c r="G158" s="74" t="s">
        <v>0</v>
      </c>
      <c r="H158" s="75"/>
      <c r="I158" s="74" t="s">
        <v>0</v>
      </c>
      <c r="J158" s="76"/>
      <c r="K158" s="74" t="s">
        <v>0</v>
      </c>
      <c r="L158" s="76"/>
      <c r="M158" s="73"/>
      <c r="N158" s="77">
        <f t="shared" si="8"/>
        <v>0</v>
      </c>
      <c r="O158" s="2"/>
      <c r="P158" s="2"/>
      <c r="Q158" s="2"/>
      <c r="R158" s="2"/>
      <c r="S158" s="2"/>
      <c r="T158" s="2"/>
      <c r="U158" s="2"/>
      <c r="V158" s="2"/>
      <c r="W158" s="2"/>
      <c r="X158" s="2"/>
    </row>
    <row r="159" spans="1:24" x14ac:dyDescent="0.25">
      <c r="A159" s="2"/>
      <c r="B159" s="78">
        <f t="shared" si="9"/>
        <v>159</v>
      </c>
      <c r="C159" s="78">
        <f t="shared" si="10"/>
        <v>150</v>
      </c>
      <c r="D159" s="79"/>
      <c r="E159" s="79" t="str">
        <f>структура!$AD$16</f>
        <v>парк веревочный</v>
      </c>
      <c r="F159" s="79"/>
      <c r="G159" s="80" t="s">
        <v>0</v>
      </c>
      <c r="H159" s="81"/>
      <c r="I159" s="80" t="s">
        <v>0</v>
      </c>
      <c r="J159" s="82">
        <f>3627879</f>
        <v>3627879</v>
      </c>
      <c r="K159" s="80" t="s">
        <v>0</v>
      </c>
      <c r="L159" s="82">
        <v>1</v>
      </c>
      <c r="M159" s="79"/>
      <c r="N159" s="83">
        <f t="shared" si="8"/>
        <v>3627879</v>
      </c>
      <c r="O159" s="2"/>
      <c r="P159" s="2"/>
      <c r="Q159" s="2"/>
      <c r="R159" s="2"/>
      <c r="S159" s="2"/>
      <c r="T159" s="2"/>
      <c r="U159" s="2"/>
      <c r="V159" s="2"/>
      <c r="W159" s="2"/>
      <c r="X159" s="2"/>
    </row>
    <row r="160" spans="1:24" x14ac:dyDescent="0.25">
      <c r="A160" s="2"/>
      <c r="B160" s="37">
        <f t="shared" si="9"/>
        <v>160</v>
      </c>
      <c r="C160" s="37">
        <f t="shared" si="10"/>
        <v>151</v>
      </c>
      <c r="D160" s="2"/>
      <c r="E160" s="2" t="str">
        <f>структура!$AD$16</f>
        <v>парк веревочный</v>
      </c>
      <c r="F160" s="2"/>
      <c r="G160" s="32" t="s">
        <v>0</v>
      </c>
      <c r="H160" s="66"/>
      <c r="I160" s="32" t="s">
        <v>0</v>
      </c>
      <c r="J160" s="68"/>
      <c r="K160" s="32" t="s">
        <v>0</v>
      </c>
      <c r="L160" s="68"/>
      <c r="M160" s="2"/>
      <c r="N160" s="69">
        <f t="shared" si="8"/>
        <v>0</v>
      </c>
      <c r="O160" s="2"/>
      <c r="P160" s="2"/>
      <c r="Q160" s="2"/>
      <c r="R160" s="2"/>
      <c r="S160" s="2"/>
      <c r="T160" s="2"/>
      <c r="U160" s="2"/>
      <c r="V160" s="2"/>
      <c r="W160" s="2"/>
      <c r="X160" s="2"/>
    </row>
    <row r="161" spans="1:24" x14ac:dyDescent="0.25">
      <c r="A161" s="2"/>
      <c r="B161" s="37">
        <f t="shared" si="9"/>
        <v>161</v>
      </c>
      <c r="C161" s="37">
        <f t="shared" si="10"/>
        <v>152</v>
      </c>
      <c r="D161" s="2"/>
      <c r="E161" s="2" t="str">
        <f>структура!$AD$16</f>
        <v>парк веревочный</v>
      </c>
      <c r="F161" s="2"/>
      <c r="G161" s="32" t="s">
        <v>0</v>
      </c>
      <c r="H161" s="66"/>
      <c r="I161" s="32" t="s">
        <v>0</v>
      </c>
      <c r="J161" s="68"/>
      <c r="K161" s="32" t="s">
        <v>0</v>
      </c>
      <c r="L161" s="68"/>
      <c r="M161" s="2"/>
      <c r="N161" s="69">
        <f t="shared" si="8"/>
        <v>0</v>
      </c>
      <c r="O161" s="2"/>
      <c r="P161" s="2"/>
      <c r="Q161" s="2"/>
      <c r="R161" s="2"/>
      <c r="S161" s="2"/>
      <c r="T161" s="2"/>
      <c r="U161" s="2"/>
      <c r="V161" s="2"/>
      <c r="W161" s="2"/>
      <c r="X161" s="2"/>
    </row>
    <row r="162" spans="1:24" x14ac:dyDescent="0.25">
      <c r="A162" s="2"/>
      <c r="B162" s="37">
        <f t="shared" si="9"/>
        <v>162</v>
      </c>
      <c r="C162" s="37">
        <f t="shared" si="10"/>
        <v>153</v>
      </c>
      <c r="D162" s="2"/>
      <c r="E162" s="2" t="str">
        <f>структура!$AD$16</f>
        <v>парк веревочный</v>
      </c>
      <c r="F162" s="2"/>
      <c r="G162" s="32" t="s">
        <v>0</v>
      </c>
      <c r="H162" s="66"/>
      <c r="I162" s="32" t="s">
        <v>0</v>
      </c>
      <c r="J162" s="68"/>
      <c r="K162" s="32" t="s">
        <v>0</v>
      </c>
      <c r="L162" s="68"/>
      <c r="M162" s="2"/>
      <c r="N162" s="69">
        <f t="shared" si="8"/>
        <v>0</v>
      </c>
      <c r="O162" s="2"/>
      <c r="P162" s="2"/>
      <c r="Q162" s="2"/>
      <c r="R162" s="2"/>
      <c r="S162" s="2"/>
      <c r="T162" s="2"/>
      <c r="U162" s="2"/>
      <c r="V162" s="2"/>
      <c r="W162" s="2"/>
      <c r="X162" s="2"/>
    </row>
    <row r="163" spans="1:24" x14ac:dyDescent="0.25">
      <c r="A163" s="2"/>
      <c r="B163" s="37">
        <f t="shared" si="9"/>
        <v>163</v>
      </c>
      <c r="C163" s="37">
        <f t="shared" si="10"/>
        <v>154</v>
      </c>
      <c r="D163" s="2"/>
      <c r="E163" s="2" t="str">
        <f>структура!$AD$16</f>
        <v>парк веревочный</v>
      </c>
      <c r="F163" s="2"/>
      <c r="G163" s="32" t="s">
        <v>0</v>
      </c>
      <c r="H163" s="66"/>
      <c r="I163" s="32" t="s">
        <v>0</v>
      </c>
      <c r="J163" s="68"/>
      <c r="K163" s="32" t="s">
        <v>0</v>
      </c>
      <c r="L163" s="68"/>
      <c r="M163" s="2"/>
      <c r="N163" s="69">
        <f t="shared" si="8"/>
        <v>0</v>
      </c>
      <c r="O163" s="2"/>
      <c r="P163" s="2"/>
      <c r="Q163" s="2"/>
      <c r="R163" s="2"/>
      <c r="S163" s="2"/>
      <c r="T163" s="2"/>
      <c r="U163" s="2"/>
      <c r="V163" s="2"/>
      <c r="W163" s="2"/>
      <c r="X163" s="2"/>
    </row>
    <row r="164" spans="1:24" x14ac:dyDescent="0.25">
      <c r="A164" s="2"/>
      <c r="B164" s="37">
        <f t="shared" si="9"/>
        <v>164</v>
      </c>
      <c r="C164" s="37">
        <f t="shared" si="10"/>
        <v>155</v>
      </c>
      <c r="D164" s="2"/>
      <c r="E164" s="2" t="str">
        <f>структура!$AD$16</f>
        <v>парк веревочный</v>
      </c>
      <c r="F164" s="2"/>
      <c r="G164" s="32" t="s">
        <v>0</v>
      </c>
      <c r="H164" s="66"/>
      <c r="I164" s="32" t="s">
        <v>0</v>
      </c>
      <c r="J164" s="68"/>
      <c r="K164" s="32" t="s">
        <v>0</v>
      </c>
      <c r="L164" s="68"/>
      <c r="M164" s="2"/>
      <c r="N164" s="69">
        <f t="shared" si="8"/>
        <v>0</v>
      </c>
      <c r="O164" s="2"/>
      <c r="P164" s="2"/>
      <c r="Q164" s="2"/>
      <c r="R164" s="2"/>
      <c r="S164" s="2"/>
      <c r="T164" s="2"/>
      <c r="U164" s="2"/>
      <c r="V164" s="2"/>
      <c r="W164" s="2"/>
      <c r="X164" s="2"/>
    </row>
    <row r="165" spans="1:24" x14ac:dyDescent="0.25">
      <c r="A165" s="2"/>
      <c r="B165" s="37">
        <f t="shared" si="9"/>
        <v>165</v>
      </c>
      <c r="C165" s="37">
        <f t="shared" si="10"/>
        <v>156</v>
      </c>
      <c r="D165" s="2"/>
      <c r="E165" s="2" t="str">
        <f>структура!$AD$16</f>
        <v>парк веревочный</v>
      </c>
      <c r="F165" s="2"/>
      <c r="G165" s="32" t="s">
        <v>0</v>
      </c>
      <c r="H165" s="66"/>
      <c r="I165" s="32" t="s">
        <v>0</v>
      </c>
      <c r="J165" s="68"/>
      <c r="K165" s="32" t="s">
        <v>0</v>
      </c>
      <c r="L165" s="68"/>
      <c r="M165" s="2"/>
      <c r="N165" s="69">
        <f t="shared" si="8"/>
        <v>0</v>
      </c>
      <c r="O165" s="2"/>
      <c r="P165" s="2"/>
      <c r="Q165" s="2"/>
      <c r="R165" s="2"/>
      <c r="S165" s="2"/>
      <c r="T165" s="2"/>
      <c r="U165" s="2"/>
      <c r="V165" s="2"/>
      <c r="W165" s="2"/>
      <c r="X165" s="2"/>
    </row>
    <row r="166" spans="1:24" x14ac:dyDescent="0.25">
      <c r="A166" s="2"/>
      <c r="B166" s="37">
        <f t="shared" si="9"/>
        <v>166</v>
      </c>
      <c r="C166" s="37">
        <f t="shared" si="10"/>
        <v>157</v>
      </c>
      <c r="D166" s="2"/>
      <c r="E166" s="2" t="str">
        <f>структура!$AD$16</f>
        <v>парк веревочный</v>
      </c>
      <c r="F166" s="2"/>
      <c r="G166" s="32" t="s">
        <v>0</v>
      </c>
      <c r="H166" s="66"/>
      <c r="I166" s="32" t="s">
        <v>0</v>
      </c>
      <c r="J166" s="68"/>
      <c r="K166" s="32" t="s">
        <v>0</v>
      </c>
      <c r="L166" s="68"/>
      <c r="M166" s="2"/>
      <c r="N166" s="69">
        <f t="shared" si="8"/>
        <v>0</v>
      </c>
      <c r="O166" s="2"/>
      <c r="P166" s="2"/>
      <c r="Q166" s="2"/>
      <c r="R166" s="2"/>
      <c r="S166" s="2"/>
      <c r="T166" s="2"/>
      <c r="U166" s="2"/>
      <c r="V166" s="2"/>
      <c r="W166" s="2"/>
      <c r="X166" s="2"/>
    </row>
    <row r="167" spans="1:24" ht="12.6" thickBot="1" x14ac:dyDescent="0.3">
      <c r="A167" s="2"/>
      <c r="B167" s="72">
        <f t="shared" si="9"/>
        <v>167</v>
      </c>
      <c r="C167" s="72">
        <f t="shared" si="10"/>
        <v>158</v>
      </c>
      <c r="D167" s="73"/>
      <c r="E167" s="73" t="str">
        <f>структура!$AD$16</f>
        <v>парк веревочный</v>
      </c>
      <c r="F167" s="73"/>
      <c r="G167" s="74" t="s">
        <v>0</v>
      </c>
      <c r="H167" s="75"/>
      <c r="I167" s="74" t="s">
        <v>0</v>
      </c>
      <c r="J167" s="76"/>
      <c r="K167" s="74" t="s">
        <v>0</v>
      </c>
      <c r="L167" s="76"/>
      <c r="M167" s="73"/>
      <c r="N167" s="77">
        <f t="shared" si="8"/>
        <v>0</v>
      </c>
      <c r="O167" s="2"/>
      <c r="P167" s="2"/>
      <c r="Q167" s="2"/>
      <c r="R167" s="2"/>
      <c r="S167" s="2"/>
      <c r="T167" s="2"/>
      <c r="U167" s="2"/>
      <c r="V167" s="2"/>
      <c r="W167" s="2"/>
      <c r="X167" s="2"/>
    </row>
    <row r="168" spans="1:24" x14ac:dyDescent="0.25">
      <c r="A168" s="2"/>
      <c r="B168" s="78">
        <f t="shared" si="9"/>
        <v>168</v>
      </c>
      <c r="C168" s="78">
        <f t="shared" si="10"/>
        <v>159</v>
      </c>
      <c r="D168" s="79"/>
      <c r="E168" s="79" t="str">
        <f>структура!$AD$17</f>
        <v>прочие технические</v>
      </c>
      <c r="F168" s="79"/>
      <c r="G168" s="80" t="s">
        <v>0</v>
      </c>
      <c r="H168" s="81"/>
      <c r="I168" s="80" t="s">
        <v>0</v>
      </c>
      <c r="J168" s="82"/>
      <c r="K168" s="80" t="s">
        <v>0</v>
      </c>
      <c r="L168" s="82"/>
      <c r="M168" s="79"/>
      <c r="N168" s="83">
        <f t="shared" si="8"/>
        <v>0</v>
      </c>
      <c r="O168" s="2"/>
      <c r="P168" s="2"/>
      <c r="Q168" s="2"/>
      <c r="R168" s="2"/>
      <c r="S168" s="2"/>
      <c r="T168" s="2"/>
      <c r="U168" s="2"/>
      <c r="V168" s="2"/>
      <c r="W168" s="2"/>
      <c r="X168" s="2"/>
    </row>
    <row r="169" spans="1:24" x14ac:dyDescent="0.25">
      <c r="A169" s="2"/>
      <c r="B169" s="37">
        <f t="shared" si="9"/>
        <v>169</v>
      </c>
      <c r="C169" s="37">
        <f t="shared" si="10"/>
        <v>160</v>
      </c>
      <c r="D169" s="2"/>
      <c r="E169" s="2" t="str">
        <f>структура!$AD$17</f>
        <v>прочие технические</v>
      </c>
      <c r="F169" s="2"/>
      <c r="G169" s="32" t="s">
        <v>0</v>
      </c>
      <c r="H169" s="66"/>
      <c r="I169" s="32" t="s">
        <v>0</v>
      </c>
      <c r="J169" s="68"/>
      <c r="K169" s="32" t="s">
        <v>0</v>
      </c>
      <c r="L169" s="68"/>
      <c r="M169" s="2"/>
      <c r="N169" s="69">
        <f t="shared" ref="N169:N215" si="11">J169*L169</f>
        <v>0</v>
      </c>
      <c r="O169" s="2"/>
      <c r="P169" s="2"/>
      <c r="Q169" s="2"/>
      <c r="R169" s="2"/>
      <c r="S169" s="2"/>
      <c r="T169" s="2"/>
      <c r="U169" s="2"/>
      <c r="V169" s="2"/>
      <c r="W169" s="2"/>
      <c r="X169" s="2"/>
    </row>
    <row r="170" spans="1:24" x14ac:dyDescent="0.25">
      <c r="A170" s="2"/>
      <c r="B170" s="37">
        <f t="shared" si="9"/>
        <v>170</v>
      </c>
      <c r="C170" s="37">
        <f t="shared" si="10"/>
        <v>161</v>
      </c>
      <c r="D170" s="2"/>
      <c r="E170" s="2" t="str">
        <f>структура!$AD$17</f>
        <v>прочие технические</v>
      </c>
      <c r="F170" s="2"/>
      <c r="G170" s="32" t="s">
        <v>0</v>
      </c>
      <c r="H170" s="66"/>
      <c r="I170" s="32" t="s">
        <v>0</v>
      </c>
      <c r="J170" s="68"/>
      <c r="K170" s="32" t="s">
        <v>0</v>
      </c>
      <c r="L170" s="68"/>
      <c r="M170" s="2"/>
      <c r="N170" s="69">
        <f t="shared" si="11"/>
        <v>0</v>
      </c>
      <c r="O170" s="2"/>
      <c r="P170" s="2"/>
      <c r="Q170" s="2"/>
      <c r="R170" s="2"/>
      <c r="S170" s="2"/>
      <c r="T170" s="2"/>
      <c r="U170" s="2"/>
      <c r="V170" s="2"/>
      <c r="W170" s="2"/>
      <c r="X170" s="2"/>
    </row>
    <row r="171" spans="1:24" x14ac:dyDescent="0.25">
      <c r="A171" s="2"/>
      <c r="B171" s="37">
        <f t="shared" si="9"/>
        <v>171</v>
      </c>
      <c r="C171" s="37">
        <f t="shared" si="10"/>
        <v>162</v>
      </c>
      <c r="D171" s="2"/>
      <c r="E171" s="2" t="str">
        <f>структура!$AD$17</f>
        <v>прочие технические</v>
      </c>
      <c r="F171" s="2"/>
      <c r="G171" s="32" t="s">
        <v>0</v>
      </c>
      <c r="H171" s="66"/>
      <c r="I171" s="32" t="s">
        <v>0</v>
      </c>
      <c r="J171" s="68"/>
      <c r="K171" s="32" t="s">
        <v>0</v>
      </c>
      <c r="L171" s="68"/>
      <c r="M171" s="2"/>
      <c r="N171" s="69">
        <f t="shared" si="11"/>
        <v>0</v>
      </c>
      <c r="O171" s="2"/>
      <c r="P171" s="2"/>
      <c r="Q171" s="2"/>
      <c r="R171" s="2"/>
      <c r="S171" s="2"/>
      <c r="T171" s="2"/>
      <c r="U171" s="2"/>
      <c r="V171" s="2"/>
      <c r="W171" s="2"/>
      <c r="X171" s="2"/>
    </row>
    <row r="172" spans="1:24" x14ac:dyDescent="0.25">
      <c r="A172" s="2"/>
      <c r="B172" s="37">
        <f t="shared" si="9"/>
        <v>172</v>
      </c>
      <c r="C172" s="37">
        <f t="shared" si="10"/>
        <v>163</v>
      </c>
      <c r="D172" s="2"/>
      <c r="E172" s="2" t="str">
        <f>структура!$AD$17</f>
        <v>прочие технические</v>
      </c>
      <c r="F172" s="2"/>
      <c r="G172" s="32" t="s">
        <v>0</v>
      </c>
      <c r="H172" s="66"/>
      <c r="I172" s="32" t="s">
        <v>0</v>
      </c>
      <c r="J172" s="68"/>
      <c r="K172" s="32" t="s">
        <v>0</v>
      </c>
      <c r="L172" s="68"/>
      <c r="M172" s="2"/>
      <c r="N172" s="69">
        <f t="shared" si="11"/>
        <v>0</v>
      </c>
      <c r="O172" s="2"/>
      <c r="P172" s="2"/>
      <c r="Q172" s="2"/>
      <c r="R172" s="2"/>
      <c r="S172" s="2"/>
      <c r="T172" s="2"/>
      <c r="U172" s="2"/>
      <c r="V172" s="2"/>
      <c r="W172" s="2"/>
      <c r="X172" s="2"/>
    </row>
    <row r="173" spans="1:24" x14ac:dyDescent="0.25">
      <c r="A173" s="2"/>
      <c r="B173" s="37">
        <f t="shared" si="9"/>
        <v>173</v>
      </c>
      <c r="C173" s="37">
        <f t="shared" si="10"/>
        <v>164</v>
      </c>
      <c r="D173" s="2"/>
      <c r="E173" s="2" t="str">
        <f>структура!$AD$17</f>
        <v>прочие технические</v>
      </c>
      <c r="F173" s="2"/>
      <c r="G173" s="32" t="s">
        <v>0</v>
      </c>
      <c r="H173" s="66"/>
      <c r="I173" s="32" t="s">
        <v>0</v>
      </c>
      <c r="J173" s="68"/>
      <c r="K173" s="32" t="s">
        <v>0</v>
      </c>
      <c r="L173" s="68"/>
      <c r="M173" s="2"/>
      <c r="N173" s="69">
        <f t="shared" si="11"/>
        <v>0</v>
      </c>
      <c r="O173" s="2"/>
      <c r="P173" s="2"/>
      <c r="Q173" s="2"/>
      <c r="R173" s="2"/>
      <c r="S173" s="2"/>
      <c r="T173" s="2"/>
      <c r="U173" s="2"/>
      <c r="V173" s="2"/>
      <c r="W173" s="2"/>
      <c r="X173" s="2"/>
    </row>
    <row r="174" spans="1:24" x14ac:dyDescent="0.25">
      <c r="A174" s="2"/>
      <c r="B174" s="37">
        <f t="shared" si="9"/>
        <v>174</v>
      </c>
      <c r="C174" s="37">
        <f t="shared" si="10"/>
        <v>165</v>
      </c>
      <c r="D174" s="2"/>
      <c r="E174" s="2" t="str">
        <f>структура!$AD$17</f>
        <v>прочие технические</v>
      </c>
      <c r="F174" s="2"/>
      <c r="G174" s="32" t="s">
        <v>0</v>
      </c>
      <c r="H174" s="66"/>
      <c r="I174" s="32" t="s">
        <v>0</v>
      </c>
      <c r="J174" s="68"/>
      <c r="K174" s="32" t="s">
        <v>0</v>
      </c>
      <c r="L174" s="68"/>
      <c r="M174" s="2"/>
      <c r="N174" s="69">
        <f t="shared" si="11"/>
        <v>0</v>
      </c>
      <c r="O174" s="2"/>
      <c r="P174" s="2"/>
      <c r="Q174" s="2"/>
      <c r="R174" s="2"/>
      <c r="S174" s="2"/>
      <c r="T174" s="2"/>
      <c r="U174" s="2"/>
      <c r="V174" s="2"/>
      <c r="W174" s="2"/>
      <c r="X174" s="2"/>
    </row>
    <row r="175" spans="1:24" x14ac:dyDescent="0.25">
      <c r="A175" s="2"/>
      <c r="B175" s="37">
        <f t="shared" si="9"/>
        <v>175</v>
      </c>
      <c r="C175" s="37">
        <f t="shared" si="10"/>
        <v>166</v>
      </c>
      <c r="D175" s="2"/>
      <c r="E175" s="2" t="str">
        <f>структура!$AD$17</f>
        <v>прочие технические</v>
      </c>
      <c r="F175" s="2"/>
      <c r="G175" s="32" t="s">
        <v>0</v>
      </c>
      <c r="H175" s="66"/>
      <c r="I175" s="32" t="s">
        <v>0</v>
      </c>
      <c r="J175" s="68"/>
      <c r="K175" s="32" t="s">
        <v>0</v>
      </c>
      <c r="L175" s="68"/>
      <c r="M175" s="2"/>
      <c r="N175" s="69">
        <f t="shared" si="11"/>
        <v>0</v>
      </c>
      <c r="O175" s="2"/>
      <c r="P175" s="2"/>
      <c r="Q175" s="2"/>
      <c r="R175" s="2"/>
      <c r="S175" s="2"/>
      <c r="T175" s="2"/>
      <c r="U175" s="2"/>
      <c r="V175" s="2"/>
      <c r="W175" s="2"/>
      <c r="X175" s="2"/>
    </row>
    <row r="176" spans="1:24" x14ac:dyDescent="0.25">
      <c r="A176" s="2"/>
      <c r="B176" s="37">
        <f t="shared" si="9"/>
        <v>176</v>
      </c>
      <c r="C176" s="37">
        <f t="shared" si="10"/>
        <v>167</v>
      </c>
      <c r="D176" s="2"/>
      <c r="E176" s="2" t="str">
        <f>структура!$AD$17</f>
        <v>прочие технические</v>
      </c>
      <c r="F176" s="2"/>
      <c r="G176" s="32" t="s">
        <v>0</v>
      </c>
      <c r="H176" s="66"/>
      <c r="I176" s="32" t="s">
        <v>0</v>
      </c>
      <c r="J176" s="68"/>
      <c r="K176" s="32" t="s">
        <v>0</v>
      </c>
      <c r="L176" s="68"/>
      <c r="M176" s="2"/>
      <c r="N176" s="69">
        <f t="shared" si="11"/>
        <v>0</v>
      </c>
      <c r="O176" s="2"/>
      <c r="P176" s="2"/>
      <c r="Q176" s="2"/>
      <c r="R176" s="2"/>
      <c r="S176" s="2"/>
      <c r="T176" s="2"/>
      <c r="U176" s="2"/>
      <c r="V176" s="2"/>
      <c r="W176" s="2"/>
      <c r="X176" s="2"/>
    </row>
    <row r="177" spans="1:24" ht="12.6" thickBot="1" x14ac:dyDescent="0.3">
      <c r="A177" s="2"/>
      <c r="B177" s="72">
        <f t="shared" si="9"/>
        <v>177</v>
      </c>
      <c r="C177" s="72">
        <f t="shared" si="10"/>
        <v>168</v>
      </c>
      <c r="D177" s="73"/>
      <c r="E177" s="73" t="str">
        <f>структура!$AD$17</f>
        <v>прочие технические</v>
      </c>
      <c r="F177" s="73"/>
      <c r="G177" s="74" t="s">
        <v>0</v>
      </c>
      <c r="H177" s="75"/>
      <c r="I177" s="74" t="s">
        <v>0</v>
      </c>
      <c r="J177" s="76"/>
      <c r="K177" s="74" t="s">
        <v>0</v>
      </c>
      <c r="L177" s="76"/>
      <c r="M177" s="73"/>
      <c r="N177" s="77">
        <f t="shared" si="11"/>
        <v>0</v>
      </c>
      <c r="O177" s="2"/>
      <c r="P177" s="2"/>
      <c r="Q177" s="2"/>
      <c r="R177" s="2"/>
      <c r="S177" s="2"/>
      <c r="T177" s="2"/>
      <c r="U177" s="2"/>
      <c r="V177" s="2"/>
      <c r="W177" s="2"/>
      <c r="X177" s="2"/>
    </row>
    <row r="178" spans="1:24" x14ac:dyDescent="0.25">
      <c r="A178" s="2"/>
      <c r="B178" s="78">
        <f t="shared" si="9"/>
        <v>178</v>
      </c>
      <c r="C178" s="78">
        <f t="shared" si="10"/>
        <v>169</v>
      </c>
      <c r="D178" s="79"/>
      <c r="E178" s="79" t="str">
        <f>структура!$AF$12</f>
        <v>беседка большая</v>
      </c>
      <c r="F178" s="79"/>
      <c r="G178" s="80" t="s">
        <v>0</v>
      </c>
      <c r="H178" s="81" t="s">
        <v>154</v>
      </c>
      <c r="I178" s="80" t="s">
        <v>0</v>
      </c>
      <c r="J178" s="82">
        <v>21000</v>
      </c>
      <c r="K178" s="80" t="s">
        <v>0</v>
      </c>
      <c r="L178" s="82">
        <v>1</v>
      </c>
      <c r="M178" s="79"/>
      <c r="N178" s="83">
        <f t="shared" si="11"/>
        <v>21000</v>
      </c>
      <c r="O178" s="2"/>
      <c r="P178" s="2"/>
      <c r="Q178" s="2"/>
      <c r="R178" s="2"/>
      <c r="S178" s="2"/>
      <c r="T178" s="2"/>
      <c r="U178" s="2"/>
      <c r="V178" s="2"/>
      <c r="W178" s="2"/>
      <c r="X178" s="2"/>
    </row>
    <row r="179" spans="1:24" x14ac:dyDescent="0.25">
      <c r="A179" s="2"/>
      <c r="B179" s="37">
        <f t="shared" si="9"/>
        <v>179</v>
      </c>
      <c r="C179" s="37">
        <f t="shared" si="10"/>
        <v>170</v>
      </c>
      <c r="D179" s="2"/>
      <c r="E179" s="2" t="str">
        <f>структура!$AF$12</f>
        <v>беседка большая</v>
      </c>
      <c r="F179" s="2"/>
      <c r="G179" s="32" t="s">
        <v>0</v>
      </c>
      <c r="H179" s="66" t="s">
        <v>155</v>
      </c>
      <c r="I179" s="32" t="s">
        <v>0</v>
      </c>
      <c r="J179" s="68">
        <v>14000</v>
      </c>
      <c r="K179" s="32" t="s">
        <v>0</v>
      </c>
      <c r="L179" s="68">
        <v>2</v>
      </c>
      <c r="M179" s="2"/>
      <c r="N179" s="69">
        <f t="shared" si="11"/>
        <v>28000</v>
      </c>
      <c r="O179" s="2"/>
      <c r="P179" s="2"/>
      <c r="Q179" s="2"/>
      <c r="R179" s="2"/>
      <c r="S179" s="2"/>
      <c r="T179" s="2"/>
      <c r="U179" s="2"/>
      <c r="V179" s="2"/>
      <c r="W179" s="2"/>
      <c r="X179" s="2"/>
    </row>
    <row r="180" spans="1:24" x14ac:dyDescent="0.25">
      <c r="A180" s="2"/>
      <c r="B180" s="37">
        <f t="shared" si="9"/>
        <v>180</v>
      </c>
      <c r="C180" s="37">
        <f t="shared" si="10"/>
        <v>171</v>
      </c>
      <c r="D180" s="2"/>
      <c r="E180" s="2" t="str">
        <f>структура!$AF$12</f>
        <v>беседка большая</v>
      </c>
      <c r="F180" s="2"/>
      <c r="G180" s="32" t="s">
        <v>0</v>
      </c>
      <c r="H180" s="66" t="s">
        <v>156</v>
      </c>
      <c r="I180" s="32" t="s">
        <v>0</v>
      </c>
      <c r="J180" s="68">
        <v>5000</v>
      </c>
      <c r="K180" s="32" t="s">
        <v>0</v>
      </c>
      <c r="L180" s="68">
        <v>2</v>
      </c>
      <c r="M180" s="2"/>
      <c r="N180" s="69">
        <f t="shared" si="11"/>
        <v>10000</v>
      </c>
      <c r="O180" s="2"/>
      <c r="P180" s="2"/>
      <c r="Q180" s="2"/>
      <c r="R180" s="2"/>
      <c r="S180" s="2"/>
      <c r="T180" s="2"/>
      <c r="U180" s="2"/>
      <c r="V180" s="2"/>
      <c r="W180" s="2"/>
      <c r="X180" s="2"/>
    </row>
    <row r="181" spans="1:24" x14ac:dyDescent="0.25">
      <c r="A181" s="2"/>
      <c r="B181" s="37">
        <f t="shared" si="9"/>
        <v>181</v>
      </c>
      <c r="C181" s="37">
        <f t="shared" si="10"/>
        <v>172</v>
      </c>
      <c r="D181" s="2"/>
      <c r="E181" s="2" t="str">
        <f>структура!$AF$12</f>
        <v>беседка большая</v>
      </c>
      <c r="F181" s="2"/>
      <c r="G181" s="32" t="s">
        <v>0</v>
      </c>
      <c r="H181" s="66" t="s">
        <v>157</v>
      </c>
      <c r="I181" s="32" t="s">
        <v>0</v>
      </c>
      <c r="J181" s="68">
        <v>6000</v>
      </c>
      <c r="K181" s="32" t="s">
        <v>0</v>
      </c>
      <c r="L181" s="68">
        <v>1</v>
      </c>
      <c r="M181" s="2"/>
      <c r="N181" s="69">
        <f t="shared" si="11"/>
        <v>6000</v>
      </c>
      <c r="O181" s="2"/>
      <c r="P181" s="2"/>
      <c r="Q181" s="2"/>
      <c r="R181" s="2"/>
      <c r="S181" s="2"/>
      <c r="T181" s="2"/>
      <c r="U181" s="2"/>
      <c r="V181" s="2"/>
      <c r="W181" s="2"/>
      <c r="X181" s="2"/>
    </row>
    <row r="182" spans="1:24" x14ac:dyDescent="0.25">
      <c r="A182" s="2"/>
      <c r="B182" s="37">
        <f t="shared" si="9"/>
        <v>182</v>
      </c>
      <c r="C182" s="37">
        <f t="shared" si="10"/>
        <v>173</v>
      </c>
      <c r="D182" s="2"/>
      <c r="E182" s="2" t="str">
        <f>структура!$AF$12</f>
        <v>беседка большая</v>
      </c>
      <c r="F182" s="2"/>
      <c r="G182" s="32" t="s">
        <v>0</v>
      </c>
      <c r="H182" s="66" t="s">
        <v>158</v>
      </c>
      <c r="I182" s="32" t="s">
        <v>0</v>
      </c>
      <c r="J182" s="68">
        <v>3000</v>
      </c>
      <c r="K182" s="32" t="s">
        <v>0</v>
      </c>
      <c r="L182" s="68">
        <v>1</v>
      </c>
      <c r="M182" s="2"/>
      <c r="N182" s="69">
        <f t="shared" si="11"/>
        <v>3000</v>
      </c>
      <c r="O182" s="2"/>
      <c r="P182" s="2"/>
      <c r="Q182" s="2"/>
      <c r="R182" s="2"/>
      <c r="S182" s="2"/>
      <c r="T182" s="2"/>
      <c r="U182" s="2"/>
      <c r="V182" s="2"/>
      <c r="W182" s="2"/>
      <c r="X182" s="2"/>
    </row>
    <row r="183" spans="1:24" x14ac:dyDescent="0.25">
      <c r="A183" s="2"/>
      <c r="B183" s="37">
        <f t="shared" si="9"/>
        <v>183</v>
      </c>
      <c r="C183" s="37">
        <f t="shared" si="10"/>
        <v>174</v>
      </c>
      <c r="D183" s="2"/>
      <c r="E183" s="2" t="str">
        <f>структура!$AF$12</f>
        <v>беседка большая</v>
      </c>
      <c r="F183" s="2"/>
      <c r="G183" s="32" t="s">
        <v>0</v>
      </c>
      <c r="H183" s="66" t="s">
        <v>159</v>
      </c>
      <c r="I183" s="32" t="s">
        <v>0</v>
      </c>
      <c r="J183" s="68">
        <v>1000</v>
      </c>
      <c r="K183" s="32" t="s">
        <v>0</v>
      </c>
      <c r="L183" s="68">
        <v>1</v>
      </c>
      <c r="M183" s="2"/>
      <c r="N183" s="69">
        <f t="shared" si="11"/>
        <v>1000</v>
      </c>
      <c r="O183" s="2"/>
      <c r="P183" s="2"/>
      <c r="Q183" s="2"/>
      <c r="R183" s="2"/>
      <c r="S183" s="2"/>
      <c r="T183" s="2"/>
      <c r="U183" s="2"/>
      <c r="V183" s="2"/>
      <c r="W183" s="2"/>
      <c r="X183" s="2"/>
    </row>
    <row r="184" spans="1:24" x14ac:dyDescent="0.25">
      <c r="A184" s="2"/>
      <c r="B184" s="37">
        <f t="shared" si="9"/>
        <v>184</v>
      </c>
      <c r="C184" s="37">
        <f t="shared" si="10"/>
        <v>175</v>
      </c>
      <c r="D184" s="2"/>
      <c r="E184" s="2" t="str">
        <f>структура!$AF$12</f>
        <v>беседка большая</v>
      </c>
      <c r="F184" s="2"/>
      <c r="G184" s="32" t="s">
        <v>0</v>
      </c>
      <c r="H184" s="66" t="s">
        <v>160</v>
      </c>
      <c r="I184" s="32" t="s">
        <v>0</v>
      </c>
      <c r="J184" s="68">
        <v>2000</v>
      </c>
      <c r="K184" s="32" t="s">
        <v>0</v>
      </c>
      <c r="L184" s="68">
        <v>1</v>
      </c>
      <c r="M184" s="2"/>
      <c r="N184" s="69">
        <f t="shared" si="11"/>
        <v>2000</v>
      </c>
      <c r="O184" s="2"/>
      <c r="P184" s="2"/>
      <c r="Q184" s="2"/>
      <c r="R184" s="2"/>
      <c r="S184" s="2"/>
      <c r="T184" s="2"/>
      <c r="U184" s="2"/>
      <c r="V184" s="2"/>
      <c r="W184" s="2"/>
      <c r="X184" s="2"/>
    </row>
    <row r="185" spans="1:24" x14ac:dyDescent="0.25">
      <c r="A185" s="2"/>
      <c r="B185" s="37">
        <f t="shared" si="9"/>
        <v>185</v>
      </c>
      <c r="C185" s="37">
        <f t="shared" si="10"/>
        <v>176</v>
      </c>
      <c r="D185" s="2"/>
      <c r="E185" s="2" t="str">
        <f>структура!$AF$12</f>
        <v>беседка большая</v>
      </c>
      <c r="F185" s="2"/>
      <c r="G185" s="32" t="s">
        <v>0</v>
      </c>
      <c r="H185" s="66" t="s">
        <v>161</v>
      </c>
      <c r="I185" s="32" t="s">
        <v>0</v>
      </c>
      <c r="J185" s="68">
        <v>5000</v>
      </c>
      <c r="K185" s="32" t="s">
        <v>0</v>
      </c>
      <c r="L185" s="68">
        <v>1</v>
      </c>
      <c r="M185" s="2"/>
      <c r="N185" s="69">
        <f t="shared" si="11"/>
        <v>5000</v>
      </c>
      <c r="O185" s="2"/>
      <c r="P185" s="2"/>
      <c r="Q185" s="2"/>
      <c r="R185" s="2"/>
      <c r="S185" s="2"/>
      <c r="T185" s="2"/>
      <c r="U185" s="2"/>
      <c r="V185" s="2"/>
      <c r="W185" s="2"/>
      <c r="X185" s="2"/>
    </row>
    <row r="186" spans="1:24" x14ac:dyDescent="0.25">
      <c r="A186" s="2"/>
      <c r="B186" s="37">
        <f t="shared" si="9"/>
        <v>186</v>
      </c>
      <c r="C186" s="37">
        <f t="shared" si="10"/>
        <v>177</v>
      </c>
      <c r="D186" s="2"/>
      <c r="E186" s="2" t="str">
        <f>структура!$AF$12</f>
        <v>беседка большая</v>
      </c>
      <c r="F186" s="2"/>
      <c r="G186" s="32" t="s">
        <v>0</v>
      </c>
      <c r="H186" s="66" t="s">
        <v>162</v>
      </c>
      <c r="I186" s="32" t="s">
        <v>0</v>
      </c>
      <c r="J186" s="68">
        <v>1700</v>
      </c>
      <c r="K186" s="32" t="s">
        <v>0</v>
      </c>
      <c r="L186" s="68">
        <v>6</v>
      </c>
      <c r="M186" s="2"/>
      <c r="N186" s="69">
        <f t="shared" si="11"/>
        <v>10200</v>
      </c>
      <c r="O186" s="2"/>
      <c r="P186" s="2"/>
      <c r="Q186" s="2"/>
      <c r="R186" s="2"/>
      <c r="S186" s="2"/>
      <c r="T186" s="2"/>
      <c r="U186" s="2"/>
      <c r="V186" s="2"/>
      <c r="W186" s="2"/>
      <c r="X186" s="2"/>
    </row>
    <row r="187" spans="1:24" x14ac:dyDescent="0.25">
      <c r="A187" s="2"/>
      <c r="B187" s="37">
        <f t="shared" si="9"/>
        <v>187</v>
      </c>
      <c r="C187" s="37">
        <f t="shared" si="10"/>
        <v>178</v>
      </c>
      <c r="D187" s="2"/>
      <c r="E187" s="2" t="str">
        <f>структура!$AF$12</f>
        <v>беседка большая</v>
      </c>
      <c r="F187" s="2"/>
      <c r="G187" s="32" t="s">
        <v>0</v>
      </c>
      <c r="H187" s="66" t="s">
        <v>163</v>
      </c>
      <c r="I187" s="32" t="s">
        <v>0</v>
      </c>
      <c r="J187" s="68">
        <v>500</v>
      </c>
      <c r="K187" s="32" t="s">
        <v>0</v>
      </c>
      <c r="L187" s="68">
        <v>8</v>
      </c>
      <c r="M187" s="2"/>
      <c r="N187" s="69">
        <f t="shared" si="11"/>
        <v>4000</v>
      </c>
      <c r="O187" s="2"/>
      <c r="P187" s="2"/>
      <c r="Q187" s="2"/>
      <c r="R187" s="2"/>
      <c r="S187" s="2"/>
      <c r="T187" s="2"/>
      <c r="U187" s="2"/>
      <c r="V187" s="2"/>
      <c r="W187" s="2"/>
      <c r="X187" s="2"/>
    </row>
    <row r="188" spans="1:24" x14ac:dyDescent="0.25">
      <c r="A188" s="2"/>
      <c r="B188" s="37">
        <f t="shared" si="9"/>
        <v>188</v>
      </c>
      <c r="C188" s="37">
        <f t="shared" si="10"/>
        <v>179</v>
      </c>
      <c r="D188" s="2"/>
      <c r="E188" s="2" t="str">
        <f>структура!$AF$12</f>
        <v>беседка большая</v>
      </c>
      <c r="F188" s="2"/>
      <c r="G188" s="32" t="s">
        <v>0</v>
      </c>
      <c r="H188" s="66" t="s">
        <v>124</v>
      </c>
      <c r="I188" s="32" t="s">
        <v>0</v>
      </c>
      <c r="J188" s="68">
        <v>200</v>
      </c>
      <c r="K188" s="32" t="s">
        <v>0</v>
      </c>
      <c r="L188" s="68">
        <v>4</v>
      </c>
      <c r="M188" s="2"/>
      <c r="N188" s="69">
        <f t="shared" si="11"/>
        <v>800</v>
      </c>
      <c r="O188" s="2"/>
      <c r="P188" s="2"/>
      <c r="Q188" s="2"/>
      <c r="R188" s="2"/>
      <c r="S188" s="2"/>
      <c r="T188" s="2"/>
      <c r="U188" s="2"/>
      <c r="V188" s="2"/>
      <c r="W188" s="2"/>
      <c r="X188" s="2"/>
    </row>
    <row r="189" spans="1:24" x14ac:dyDescent="0.25">
      <c r="A189" s="2"/>
      <c r="B189" s="37">
        <f t="shared" si="9"/>
        <v>189</v>
      </c>
      <c r="C189" s="37">
        <f t="shared" ref="C189:C200" si="12">C188+1</f>
        <v>180</v>
      </c>
      <c r="D189" s="2"/>
      <c r="E189" s="2" t="str">
        <f>структура!$AF$12</f>
        <v>беседка большая</v>
      </c>
      <c r="F189" s="2"/>
      <c r="G189" s="32" t="s">
        <v>0</v>
      </c>
      <c r="H189" s="66" t="s">
        <v>125</v>
      </c>
      <c r="I189" s="32" t="s">
        <v>0</v>
      </c>
      <c r="J189" s="68">
        <v>200</v>
      </c>
      <c r="K189" s="32" t="s">
        <v>0</v>
      </c>
      <c r="L189" s="68">
        <v>2</v>
      </c>
      <c r="M189" s="2"/>
      <c r="N189" s="69">
        <f t="shared" si="11"/>
        <v>400</v>
      </c>
      <c r="O189" s="2"/>
      <c r="P189" s="2"/>
      <c r="Q189" s="2"/>
      <c r="R189" s="2"/>
      <c r="S189" s="2"/>
      <c r="T189" s="2"/>
      <c r="U189" s="2"/>
      <c r="V189" s="2"/>
      <c r="W189" s="2"/>
      <c r="X189" s="2"/>
    </row>
    <row r="190" spans="1:24" x14ac:dyDescent="0.25">
      <c r="A190" s="2"/>
      <c r="B190" s="37">
        <f t="shared" si="9"/>
        <v>190</v>
      </c>
      <c r="C190" s="37">
        <f t="shared" si="12"/>
        <v>181</v>
      </c>
      <c r="D190" s="2"/>
      <c r="E190" s="2" t="str">
        <f>структура!$AF$12</f>
        <v>беседка большая</v>
      </c>
      <c r="F190" s="2"/>
      <c r="G190" s="32" t="s">
        <v>0</v>
      </c>
      <c r="H190" s="66" t="s">
        <v>144</v>
      </c>
      <c r="I190" s="32" t="s">
        <v>0</v>
      </c>
      <c r="J190" s="68">
        <v>10000</v>
      </c>
      <c r="K190" s="32" t="s">
        <v>0</v>
      </c>
      <c r="L190" s="68">
        <v>1</v>
      </c>
      <c r="M190" s="2"/>
      <c r="N190" s="69">
        <f t="shared" si="11"/>
        <v>10000</v>
      </c>
      <c r="O190" s="2"/>
      <c r="P190" s="2"/>
      <c r="Q190" s="2"/>
      <c r="R190" s="2"/>
      <c r="S190" s="2"/>
      <c r="T190" s="2"/>
      <c r="U190" s="2"/>
      <c r="V190" s="2"/>
      <c r="W190" s="2"/>
      <c r="X190" s="2"/>
    </row>
    <row r="191" spans="1:24" ht="12.6" thickBot="1" x14ac:dyDescent="0.3">
      <c r="A191" s="2"/>
      <c r="B191" s="72">
        <f t="shared" si="9"/>
        <v>191</v>
      </c>
      <c r="C191" s="72">
        <f t="shared" si="12"/>
        <v>182</v>
      </c>
      <c r="D191" s="73"/>
      <c r="E191" s="73" t="str">
        <f>структура!$AF$12</f>
        <v>беседка большая</v>
      </c>
      <c r="F191" s="73"/>
      <c r="G191" s="74" t="s">
        <v>0</v>
      </c>
      <c r="H191" s="75"/>
      <c r="I191" s="74" t="s">
        <v>0</v>
      </c>
      <c r="J191" s="76"/>
      <c r="K191" s="74" t="s">
        <v>0</v>
      </c>
      <c r="L191" s="76"/>
      <c r="M191" s="73"/>
      <c r="N191" s="77">
        <f t="shared" si="11"/>
        <v>0</v>
      </c>
      <c r="O191" s="2"/>
      <c r="P191" s="2"/>
      <c r="Q191" s="2"/>
      <c r="R191" s="2"/>
      <c r="S191" s="2"/>
      <c r="T191" s="2"/>
      <c r="U191" s="2"/>
      <c r="V191" s="2"/>
      <c r="W191" s="2"/>
      <c r="X191" s="2"/>
    </row>
    <row r="192" spans="1:24" x14ac:dyDescent="0.25">
      <c r="A192" s="2"/>
      <c r="B192" s="78">
        <f t="shared" si="9"/>
        <v>192</v>
      </c>
      <c r="C192" s="78">
        <f t="shared" si="12"/>
        <v>183</v>
      </c>
      <c r="D192" s="79"/>
      <c r="E192" s="79" t="str">
        <f>структура!$AF$13</f>
        <v>беседка малая</v>
      </c>
      <c r="F192" s="79"/>
      <c r="G192" s="80" t="s">
        <v>0</v>
      </c>
      <c r="H192" s="81" t="s">
        <v>164</v>
      </c>
      <c r="I192" s="80" t="s">
        <v>0</v>
      </c>
      <c r="J192" s="82">
        <v>15000</v>
      </c>
      <c r="K192" s="80" t="s">
        <v>0</v>
      </c>
      <c r="L192" s="82">
        <v>1</v>
      </c>
      <c r="M192" s="79"/>
      <c r="N192" s="83">
        <f t="shared" si="11"/>
        <v>15000</v>
      </c>
      <c r="O192" s="2"/>
      <c r="P192" s="2"/>
      <c r="Q192" s="2"/>
      <c r="R192" s="2"/>
      <c r="S192" s="2"/>
      <c r="T192" s="2"/>
      <c r="U192" s="2"/>
      <c r="V192" s="2"/>
      <c r="W192" s="2"/>
      <c r="X192" s="2"/>
    </row>
    <row r="193" spans="1:24" x14ac:dyDescent="0.25">
      <c r="A193" s="2"/>
      <c r="B193" s="37">
        <f t="shared" si="9"/>
        <v>193</v>
      </c>
      <c r="C193" s="37">
        <f t="shared" si="12"/>
        <v>184</v>
      </c>
      <c r="D193" s="2"/>
      <c r="E193" s="2" t="str">
        <f>структура!$AF$13</f>
        <v>беседка малая</v>
      </c>
      <c r="F193" s="2"/>
      <c r="G193" s="32" t="s">
        <v>0</v>
      </c>
      <c r="H193" s="66" t="s">
        <v>165</v>
      </c>
      <c r="I193" s="32" t="s">
        <v>0</v>
      </c>
      <c r="J193" s="68">
        <v>7000</v>
      </c>
      <c r="K193" s="32" t="s">
        <v>0</v>
      </c>
      <c r="L193" s="68">
        <v>2</v>
      </c>
      <c r="M193" s="2"/>
      <c r="N193" s="69">
        <f t="shared" si="11"/>
        <v>14000</v>
      </c>
      <c r="O193" s="2"/>
      <c r="P193" s="2"/>
      <c r="Q193" s="2"/>
      <c r="R193" s="2"/>
      <c r="S193" s="2"/>
      <c r="T193" s="2"/>
      <c r="U193" s="2"/>
      <c r="V193" s="2"/>
      <c r="W193" s="2"/>
      <c r="X193" s="2"/>
    </row>
    <row r="194" spans="1:24" x14ac:dyDescent="0.25">
      <c r="A194" s="2"/>
      <c r="B194" s="37">
        <f t="shared" si="9"/>
        <v>194</v>
      </c>
      <c r="C194" s="37">
        <f t="shared" si="12"/>
        <v>185</v>
      </c>
      <c r="D194" s="2"/>
      <c r="E194" s="2" t="str">
        <f>структура!$AF$13</f>
        <v>беседка малая</v>
      </c>
      <c r="F194" s="2"/>
      <c r="G194" s="32" t="s">
        <v>0</v>
      </c>
      <c r="H194" s="66" t="s">
        <v>156</v>
      </c>
      <c r="I194" s="32" t="s">
        <v>0</v>
      </c>
      <c r="J194" s="68">
        <v>5000</v>
      </c>
      <c r="K194" s="32" t="s">
        <v>0</v>
      </c>
      <c r="L194" s="68">
        <v>2</v>
      </c>
      <c r="M194" s="2"/>
      <c r="N194" s="69">
        <f t="shared" si="11"/>
        <v>10000</v>
      </c>
      <c r="O194" s="2"/>
      <c r="P194" s="2"/>
      <c r="Q194" s="2"/>
      <c r="R194" s="2"/>
      <c r="S194" s="2"/>
      <c r="T194" s="2"/>
      <c r="U194" s="2"/>
      <c r="V194" s="2"/>
      <c r="W194" s="2"/>
      <c r="X194" s="2"/>
    </row>
    <row r="195" spans="1:24" x14ac:dyDescent="0.25">
      <c r="A195" s="2"/>
      <c r="B195" s="37">
        <f t="shared" si="9"/>
        <v>195</v>
      </c>
      <c r="C195" s="37">
        <f t="shared" si="12"/>
        <v>186</v>
      </c>
      <c r="D195" s="2"/>
      <c r="E195" s="2" t="str">
        <f>структура!$AF$13</f>
        <v>беседка малая</v>
      </c>
      <c r="F195" s="2"/>
      <c r="G195" s="32" t="s">
        <v>0</v>
      </c>
      <c r="H195" s="66" t="s">
        <v>157</v>
      </c>
      <c r="I195" s="32" t="s">
        <v>0</v>
      </c>
      <c r="J195" s="68">
        <v>6000</v>
      </c>
      <c r="K195" s="32" t="s">
        <v>0</v>
      </c>
      <c r="L195" s="68">
        <v>1</v>
      </c>
      <c r="M195" s="2"/>
      <c r="N195" s="69">
        <f t="shared" si="11"/>
        <v>6000</v>
      </c>
      <c r="O195" s="2"/>
      <c r="P195" s="2"/>
      <c r="Q195" s="2"/>
      <c r="R195" s="2"/>
      <c r="S195" s="2"/>
      <c r="T195" s="2"/>
      <c r="U195" s="2"/>
      <c r="V195" s="2"/>
      <c r="W195" s="2"/>
      <c r="X195" s="2"/>
    </row>
    <row r="196" spans="1:24" x14ac:dyDescent="0.25">
      <c r="A196" s="2"/>
      <c r="B196" s="37">
        <f t="shared" si="9"/>
        <v>196</v>
      </c>
      <c r="C196" s="37">
        <f t="shared" si="12"/>
        <v>187</v>
      </c>
      <c r="D196" s="2"/>
      <c r="E196" s="2" t="str">
        <f>структура!$AF$13</f>
        <v>беседка малая</v>
      </c>
      <c r="F196" s="2"/>
      <c r="G196" s="32" t="s">
        <v>0</v>
      </c>
      <c r="H196" s="66" t="s">
        <v>158</v>
      </c>
      <c r="I196" s="32" t="s">
        <v>0</v>
      </c>
      <c r="J196" s="68">
        <v>3000</v>
      </c>
      <c r="K196" s="32" t="s">
        <v>0</v>
      </c>
      <c r="L196" s="68">
        <v>1</v>
      </c>
      <c r="M196" s="2"/>
      <c r="N196" s="69">
        <f t="shared" si="11"/>
        <v>3000</v>
      </c>
      <c r="O196" s="2"/>
      <c r="P196" s="2"/>
      <c r="Q196" s="2"/>
      <c r="R196" s="2"/>
      <c r="S196" s="2"/>
      <c r="T196" s="2"/>
      <c r="U196" s="2"/>
      <c r="V196" s="2"/>
      <c r="W196" s="2"/>
      <c r="X196" s="2"/>
    </row>
    <row r="197" spans="1:24" x14ac:dyDescent="0.25">
      <c r="A197" s="2"/>
      <c r="B197" s="37">
        <f t="shared" si="9"/>
        <v>197</v>
      </c>
      <c r="C197" s="37">
        <f t="shared" si="12"/>
        <v>188</v>
      </c>
      <c r="D197" s="2"/>
      <c r="E197" s="2" t="str">
        <f>структура!$AF$13</f>
        <v>беседка малая</v>
      </c>
      <c r="F197" s="2"/>
      <c r="G197" s="32" t="s">
        <v>0</v>
      </c>
      <c r="H197" s="66" t="s">
        <v>159</v>
      </c>
      <c r="I197" s="32" t="s">
        <v>0</v>
      </c>
      <c r="J197" s="68">
        <v>1000</v>
      </c>
      <c r="K197" s="32" t="s">
        <v>0</v>
      </c>
      <c r="L197" s="68">
        <v>1</v>
      </c>
      <c r="M197" s="2"/>
      <c r="N197" s="69">
        <f t="shared" si="11"/>
        <v>1000</v>
      </c>
      <c r="O197" s="2"/>
      <c r="P197" s="2"/>
      <c r="Q197" s="2"/>
      <c r="R197" s="2"/>
      <c r="S197" s="2"/>
      <c r="T197" s="2"/>
      <c r="U197" s="2"/>
      <c r="V197" s="2"/>
      <c r="W197" s="2"/>
      <c r="X197" s="2"/>
    </row>
    <row r="198" spans="1:24" x14ac:dyDescent="0.25">
      <c r="A198" s="2"/>
      <c r="B198" s="37">
        <f t="shared" si="9"/>
        <v>198</v>
      </c>
      <c r="C198" s="37">
        <f t="shared" si="12"/>
        <v>189</v>
      </c>
      <c r="D198" s="2"/>
      <c r="E198" s="2" t="str">
        <f>структура!$AF$13</f>
        <v>беседка малая</v>
      </c>
      <c r="F198" s="2"/>
      <c r="G198" s="32" t="s">
        <v>0</v>
      </c>
      <c r="H198" s="66" t="s">
        <v>160</v>
      </c>
      <c r="I198" s="32" t="s">
        <v>0</v>
      </c>
      <c r="J198" s="68">
        <v>2000</v>
      </c>
      <c r="K198" s="32" t="s">
        <v>0</v>
      </c>
      <c r="L198" s="68">
        <v>1</v>
      </c>
      <c r="M198" s="2"/>
      <c r="N198" s="69">
        <f t="shared" si="11"/>
        <v>2000</v>
      </c>
      <c r="O198" s="2"/>
      <c r="P198" s="2"/>
      <c r="Q198" s="2"/>
      <c r="R198" s="2"/>
      <c r="S198" s="2"/>
      <c r="T198" s="2"/>
      <c r="U198" s="2"/>
      <c r="V198" s="2"/>
      <c r="W198" s="2"/>
      <c r="X198" s="2"/>
    </row>
    <row r="199" spans="1:24" x14ac:dyDescent="0.25">
      <c r="A199" s="2"/>
      <c r="B199" s="37">
        <f t="shared" si="9"/>
        <v>199</v>
      </c>
      <c r="C199" s="37">
        <f t="shared" si="12"/>
        <v>190</v>
      </c>
      <c r="D199" s="2"/>
      <c r="E199" s="2" t="str">
        <f>структура!$AF$13</f>
        <v>беседка малая</v>
      </c>
      <c r="F199" s="2"/>
      <c r="G199" s="32" t="s">
        <v>0</v>
      </c>
      <c r="H199" s="66" t="s">
        <v>161</v>
      </c>
      <c r="I199" s="32" t="s">
        <v>0</v>
      </c>
      <c r="J199" s="68">
        <v>5000</v>
      </c>
      <c r="K199" s="32" t="s">
        <v>0</v>
      </c>
      <c r="L199" s="68">
        <v>1</v>
      </c>
      <c r="M199" s="2"/>
      <c r="N199" s="69">
        <f t="shared" si="11"/>
        <v>5000</v>
      </c>
      <c r="O199" s="2"/>
      <c r="P199" s="2"/>
      <c r="Q199" s="2"/>
      <c r="R199" s="2"/>
      <c r="S199" s="2"/>
      <c r="T199" s="2"/>
      <c r="U199" s="2"/>
      <c r="V199" s="2"/>
      <c r="W199" s="2"/>
      <c r="X199" s="2"/>
    </row>
    <row r="200" spans="1:24" x14ac:dyDescent="0.25">
      <c r="A200" s="2"/>
      <c r="B200" s="37">
        <f t="shared" si="9"/>
        <v>200</v>
      </c>
      <c r="C200" s="37">
        <f t="shared" si="12"/>
        <v>191</v>
      </c>
      <c r="D200" s="2"/>
      <c r="E200" s="2" t="str">
        <f>структура!$AF$13</f>
        <v>беседка малая</v>
      </c>
      <c r="F200" s="2"/>
      <c r="G200" s="32" t="s">
        <v>0</v>
      </c>
      <c r="H200" s="66" t="s">
        <v>162</v>
      </c>
      <c r="I200" s="32" t="s">
        <v>0</v>
      </c>
      <c r="J200" s="68">
        <v>1700</v>
      </c>
      <c r="K200" s="32" t="s">
        <v>0</v>
      </c>
      <c r="L200" s="68">
        <v>4</v>
      </c>
      <c r="M200" s="2"/>
      <c r="N200" s="69">
        <f t="shared" si="11"/>
        <v>6800</v>
      </c>
      <c r="O200" s="2"/>
      <c r="P200" s="2"/>
      <c r="Q200" s="2"/>
      <c r="R200" s="2"/>
      <c r="S200" s="2"/>
      <c r="T200" s="2"/>
      <c r="U200" s="2"/>
      <c r="V200" s="2"/>
      <c r="W200" s="2"/>
      <c r="X200" s="2"/>
    </row>
    <row r="201" spans="1:24" x14ac:dyDescent="0.25">
      <c r="A201" s="2"/>
      <c r="B201" s="37">
        <f t="shared" si="9"/>
        <v>201</v>
      </c>
      <c r="C201" s="37">
        <f t="shared" ref="C201:C215" si="13">C200+1</f>
        <v>192</v>
      </c>
      <c r="D201" s="2"/>
      <c r="E201" s="2" t="str">
        <f>структура!$AF$13</f>
        <v>беседка малая</v>
      </c>
      <c r="F201" s="2"/>
      <c r="G201" s="32" t="s">
        <v>0</v>
      </c>
      <c r="H201" s="66" t="s">
        <v>163</v>
      </c>
      <c r="I201" s="32" t="s">
        <v>0</v>
      </c>
      <c r="J201" s="68">
        <v>500</v>
      </c>
      <c r="K201" s="32" t="s">
        <v>0</v>
      </c>
      <c r="L201" s="68">
        <v>7</v>
      </c>
      <c r="M201" s="2"/>
      <c r="N201" s="69">
        <f t="shared" si="11"/>
        <v>3500</v>
      </c>
      <c r="O201" s="2"/>
      <c r="P201" s="2"/>
      <c r="Q201" s="2"/>
      <c r="R201" s="2"/>
      <c r="S201" s="2"/>
      <c r="T201" s="2"/>
      <c r="U201" s="2"/>
      <c r="V201" s="2"/>
      <c r="W201" s="2"/>
      <c r="X201" s="2"/>
    </row>
    <row r="202" spans="1:24" x14ac:dyDescent="0.25">
      <c r="A202" s="2"/>
      <c r="B202" s="37">
        <f t="shared" si="9"/>
        <v>202</v>
      </c>
      <c r="C202" s="37">
        <f t="shared" si="13"/>
        <v>193</v>
      </c>
      <c r="D202" s="2"/>
      <c r="E202" s="2" t="str">
        <f>структура!$AF$13</f>
        <v>беседка малая</v>
      </c>
      <c r="F202" s="2"/>
      <c r="G202" s="32" t="s">
        <v>0</v>
      </c>
      <c r="H202" s="66" t="s">
        <v>124</v>
      </c>
      <c r="I202" s="32" t="s">
        <v>0</v>
      </c>
      <c r="J202" s="68">
        <v>200</v>
      </c>
      <c r="K202" s="32" t="s">
        <v>0</v>
      </c>
      <c r="L202" s="68">
        <v>4</v>
      </c>
      <c r="M202" s="2"/>
      <c r="N202" s="69">
        <f t="shared" si="11"/>
        <v>800</v>
      </c>
      <c r="O202" s="2"/>
      <c r="P202" s="2"/>
      <c r="Q202" s="2"/>
      <c r="R202" s="2"/>
      <c r="S202" s="2"/>
      <c r="T202" s="2"/>
      <c r="U202" s="2"/>
      <c r="V202" s="2"/>
      <c r="W202" s="2"/>
      <c r="X202" s="2"/>
    </row>
    <row r="203" spans="1:24" x14ac:dyDescent="0.25">
      <c r="A203" s="2"/>
      <c r="B203" s="37">
        <f t="shared" si="9"/>
        <v>203</v>
      </c>
      <c r="C203" s="37">
        <f t="shared" si="13"/>
        <v>194</v>
      </c>
      <c r="D203" s="2"/>
      <c r="E203" s="2" t="str">
        <f>структура!$AF$13</f>
        <v>беседка малая</v>
      </c>
      <c r="F203" s="2"/>
      <c r="G203" s="32" t="s">
        <v>0</v>
      </c>
      <c r="H203" s="66" t="s">
        <v>125</v>
      </c>
      <c r="I203" s="32" t="s">
        <v>0</v>
      </c>
      <c r="J203" s="68">
        <v>200</v>
      </c>
      <c r="K203" s="32" t="s">
        <v>0</v>
      </c>
      <c r="L203" s="68">
        <v>2</v>
      </c>
      <c r="M203" s="2"/>
      <c r="N203" s="69">
        <f t="shared" si="11"/>
        <v>400</v>
      </c>
      <c r="O203" s="2"/>
      <c r="P203" s="2"/>
      <c r="Q203" s="2"/>
      <c r="R203" s="2"/>
      <c r="S203" s="2"/>
      <c r="T203" s="2"/>
      <c r="U203" s="2"/>
      <c r="V203" s="2"/>
      <c r="W203" s="2"/>
      <c r="X203" s="2"/>
    </row>
    <row r="204" spans="1:24" x14ac:dyDescent="0.25">
      <c r="A204" s="2"/>
      <c r="B204" s="37">
        <f t="shared" ref="B204:B215" si="14">ROW(A204)</f>
        <v>204</v>
      </c>
      <c r="C204" s="37">
        <f t="shared" si="13"/>
        <v>195</v>
      </c>
      <c r="D204" s="2"/>
      <c r="E204" s="2" t="str">
        <f>структура!$AF$13</f>
        <v>беседка малая</v>
      </c>
      <c r="F204" s="2"/>
      <c r="G204" s="32" t="s">
        <v>0</v>
      </c>
      <c r="H204" s="66" t="s">
        <v>144</v>
      </c>
      <c r="I204" s="32" t="s">
        <v>0</v>
      </c>
      <c r="J204" s="68">
        <v>10000</v>
      </c>
      <c r="K204" s="32" t="s">
        <v>0</v>
      </c>
      <c r="L204" s="68">
        <v>1</v>
      </c>
      <c r="M204" s="2"/>
      <c r="N204" s="69">
        <f t="shared" si="11"/>
        <v>10000</v>
      </c>
      <c r="O204" s="2"/>
      <c r="P204" s="2"/>
      <c r="Q204" s="2"/>
      <c r="R204" s="2"/>
      <c r="S204" s="2"/>
      <c r="T204" s="2"/>
      <c r="U204" s="2"/>
      <c r="V204" s="2"/>
      <c r="W204" s="2"/>
      <c r="X204" s="2"/>
    </row>
    <row r="205" spans="1:24" ht="12.6" thickBot="1" x14ac:dyDescent="0.3">
      <c r="A205" s="2"/>
      <c r="B205" s="72">
        <f t="shared" si="14"/>
        <v>205</v>
      </c>
      <c r="C205" s="72">
        <f t="shared" si="13"/>
        <v>196</v>
      </c>
      <c r="D205" s="73"/>
      <c r="E205" s="73" t="str">
        <f>структура!$AF$13</f>
        <v>беседка малая</v>
      </c>
      <c r="F205" s="73"/>
      <c r="G205" s="74" t="s">
        <v>0</v>
      </c>
      <c r="H205" s="75"/>
      <c r="I205" s="74" t="s">
        <v>0</v>
      </c>
      <c r="J205" s="76"/>
      <c r="K205" s="74" t="s">
        <v>0</v>
      </c>
      <c r="L205" s="76"/>
      <c r="M205" s="73"/>
      <c r="N205" s="77">
        <f t="shared" si="11"/>
        <v>0</v>
      </c>
      <c r="O205" s="2"/>
      <c r="P205" s="2"/>
      <c r="Q205" s="2"/>
      <c r="R205" s="2"/>
      <c r="S205" s="2"/>
      <c r="T205" s="2"/>
      <c r="U205" s="2"/>
      <c r="V205" s="2"/>
      <c r="W205" s="2"/>
      <c r="X205" s="2"/>
    </row>
    <row r="206" spans="1:24" x14ac:dyDescent="0.25">
      <c r="A206" s="2"/>
      <c r="B206" s="78">
        <f t="shared" si="14"/>
        <v>206</v>
      </c>
      <c r="C206" s="78">
        <f t="shared" si="13"/>
        <v>197</v>
      </c>
      <c r="D206" s="79"/>
      <c r="E206" s="79" t="str">
        <f>структура!$AF$14</f>
        <v>прочие для сдачи в аренду</v>
      </c>
      <c r="F206" s="79"/>
      <c r="G206" s="80" t="s">
        <v>0</v>
      </c>
      <c r="H206" s="81"/>
      <c r="I206" s="80" t="s">
        <v>0</v>
      </c>
      <c r="J206" s="82"/>
      <c r="K206" s="80" t="s">
        <v>0</v>
      </c>
      <c r="L206" s="82"/>
      <c r="M206" s="79"/>
      <c r="N206" s="83">
        <f t="shared" si="11"/>
        <v>0</v>
      </c>
      <c r="O206" s="2"/>
      <c r="P206" s="2"/>
      <c r="Q206" s="2"/>
      <c r="R206" s="2"/>
      <c r="S206" s="2"/>
      <c r="T206" s="2"/>
      <c r="U206" s="2"/>
      <c r="V206" s="2"/>
      <c r="W206" s="2"/>
      <c r="X206" s="2"/>
    </row>
    <row r="207" spans="1:24" x14ac:dyDescent="0.25">
      <c r="A207" s="2"/>
      <c r="B207" s="37">
        <f t="shared" si="14"/>
        <v>207</v>
      </c>
      <c r="C207" s="37">
        <f t="shared" si="13"/>
        <v>198</v>
      </c>
      <c r="D207" s="2"/>
      <c r="E207" s="2" t="str">
        <f>структура!$AF$14</f>
        <v>прочие для сдачи в аренду</v>
      </c>
      <c r="F207" s="2"/>
      <c r="G207" s="32" t="s">
        <v>0</v>
      </c>
      <c r="H207" s="66"/>
      <c r="I207" s="32" t="s">
        <v>0</v>
      </c>
      <c r="J207" s="68"/>
      <c r="K207" s="32" t="s">
        <v>0</v>
      </c>
      <c r="L207" s="68"/>
      <c r="M207" s="2"/>
      <c r="N207" s="69">
        <f t="shared" si="11"/>
        <v>0</v>
      </c>
      <c r="O207" s="2"/>
      <c r="P207" s="2"/>
      <c r="Q207" s="2"/>
      <c r="R207" s="2"/>
      <c r="S207" s="2"/>
      <c r="T207" s="2"/>
      <c r="U207" s="2"/>
      <c r="V207" s="2"/>
      <c r="W207" s="2"/>
      <c r="X207" s="2"/>
    </row>
    <row r="208" spans="1:24" x14ac:dyDescent="0.25">
      <c r="A208" s="2"/>
      <c r="B208" s="37">
        <f t="shared" si="14"/>
        <v>208</v>
      </c>
      <c r="C208" s="37">
        <f t="shared" si="13"/>
        <v>199</v>
      </c>
      <c r="D208" s="2"/>
      <c r="E208" s="2" t="str">
        <f>структура!$AF$14</f>
        <v>прочие для сдачи в аренду</v>
      </c>
      <c r="F208" s="2"/>
      <c r="G208" s="32" t="s">
        <v>0</v>
      </c>
      <c r="H208" s="66"/>
      <c r="I208" s="32" t="s">
        <v>0</v>
      </c>
      <c r="J208" s="68"/>
      <c r="K208" s="32" t="s">
        <v>0</v>
      </c>
      <c r="L208" s="68"/>
      <c r="M208" s="2"/>
      <c r="N208" s="69">
        <f t="shared" si="11"/>
        <v>0</v>
      </c>
      <c r="O208" s="2"/>
      <c r="P208" s="2"/>
      <c r="Q208" s="2"/>
      <c r="R208" s="2"/>
      <c r="S208" s="2"/>
      <c r="T208" s="2"/>
      <c r="U208" s="2"/>
      <c r="V208" s="2"/>
      <c r="W208" s="2"/>
      <c r="X208" s="2"/>
    </row>
    <row r="209" spans="1:24" x14ac:dyDescent="0.25">
      <c r="A209" s="2"/>
      <c r="B209" s="37">
        <f t="shared" si="14"/>
        <v>209</v>
      </c>
      <c r="C209" s="37">
        <f t="shared" si="13"/>
        <v>200</v>
      </c>
      <c r="D209" s="2"/>
      <c r="E209" s="2" t="str">
        <f>структура!$AF$14</f>
        <v>прочие для сдачи в аренду</v>
      </c>
      <c r="F209" s="2"/>
      <c r="G209" s="32" t="s">
        <v>0</v>
      </c>
      <c r="H209" s="66"/>
      <c r="I209" s="32" t="s">
        <v>0</v>
      </c>
      <c r="J209" s="68"/>
      <c r="K209" s="32" t="s">
        <v>0</v>
      </c>
      <c r="L209" s="68"/>
      <c r="M209" s="2"/>
      <c r="N209" s="69">
        <f t="shared" si="11"/>
        <v>0</v>
      </c>
      <c r="O209" s="2"/>
      <c r="P209" s="2"/>
      <c r="Q209" s="2"/>
      <c r="R209" s="2"/>
      <c r="S209" s="2"/>
      <c r="T209" s="2"/>
      <c r="U209" s="2"/>
      <c r="V209" s="2"/>
      <c r="W209" s="2"/>
      <c r="X209" s="2"/>
    </row>
    <row r="210" spans="1:24" x14ac:dyDescent="0.25">
      <c r="A210" s="2"/>
      <c r="B210" s="37">
        <f t="shared" si="14"/>
        <v>210</v>
      </c>
      <c r="C210" s="37">
        <f t="shared" si="13"/>
        <v>201</v>
      </c>
      <c r="D210" s="2"/>
      <c r="E210" s="2" t="str">
        <f>структура!$AF$14</f>
        <v>прочие для сдачи в аренду</v>
      </c>
      <c r="F210" s="2"/>
      <c r="G210" s="32" t="s">
        <v>0</v>
      </c>
      <c r="H210" s="66"/>
      <c r="I210" s="32" t="s">
        <v>0</v>
      </c>
      <c r="J210" s="68"/>
      <c r="K210" s="32" t="s">
        <v>0</v>
      </c>
      <c r="L210" s="68"/>
      <c r="M210" s="2"/>
      <c r="N210" s="69">
        <f t="shared" si="11"/>
        <v>0</v>
      </c>
      <c r="O210" s="2"/>
      <c r="P210" s="2"/>
      <c r="Q210" s="2"/>
      <c r="R210" s="2"/>
      <c r="S210" s="2"/>
      <c r="T210" s="2"/>
      <c r="U210" s="2"/>
      <c r="V210" s="2"/>
      <c r="W210" s="2"/>
      <c r="X210" s="2"/>
    </row>
    <row r="211" spans="1:24" ht="12.6" thickBot="1" x14ac:dyDescent="0.3">
      <c r="A211" s="2"/>
      <c r="B211" s="72">
        <f t="shared" si="14"/>
        <v>211</v>
      </c>
      <c r="C211" s="72">
        <f t="shared" si="13"/>
        <v>202</v>
      </c>
      <c r="D211" s="73"/>
      <c r="E211" s="73" t="str">
        <f>структура!$AF$14</f>
        <v>прочие для сдачи в аренду</v>
      </c>
      <c r="F211" s="73"/>
      <c r="G211" s="74" t="s">
        <v>0</v>
      </c>
      <c r="H211" s="75"/>
      <c r="I211" s="74" t="s">
        <v>0</v>
      </c>
      <c r="J211" s="76"/>
      <c r="K211" s="74" t="s">
        <v>0</v>
      </c>
      <c r="L211" s="76"/>
      <c r="M211" s="73"/>
      <c r="N211" s="77">
        <f t="shared" si="11"/>
        <v>0</v>
      </c>
      <c r="O211" s="2"/>
      <c r="P211" s="2"/>
      <c r="Q211" s="2"/>
      <c r="R211" s="2"/>
      <c r="S211" s="2"/>
      <c r="T211" s="2"/>
      <c r="U211" s="2"/>
      <c r="V211" s="2"/>
      <c r="W211" s="2"/>
      <c r="X211" s="2"/>
    </row>
    <row r="212" spans="1:24" x14ac:dyDescent="0.25">
      <c r="A212" s="2"/>
      <c r="B212" s="78">
        <f t="shared" si="14"/>
        <v>212</v>
      </c>
      <c r="C212" s="78">
        <f t="shared" si="13"/>
        <v>203</v>
      </c>
      <c r="D212" s="79"/>
      <c r="E212" s="79"/>
      <c r="F212" s="79"/>
      <c r="G212" s="80" t="s">
        <v>0</v>
      </c>
      <c r="H212" s="81"/>
      <c r="I212" s="80" t="s">
        <v>0</v>
      </c>
      <c r="J212" s="82"/>
      <c r="K212" s="80" t="s">
        <v>0</v>
      </c>
      <c r="L212" s="82"/>
      <c r="M212" s="79"/>
      <c r="N212" s="83">
        <f t="shared" si="11"/>
        <v>0</v>
      </c>
      <c r="O212" s="2"/>
      <c r="P212" s="2"/>
      <c r="Q212" s="2"/>
      <c r="R212" s="2"/>
      <c r="S212" s="2"/>
      <c r="T212" s="2"/>
      <c r="U212" s="2"/>
      <c r="V212" s="2"/>
      <c r="W212" s="2"/>
      <c r="X212" s="2"/>
    </row>
    <row r="213" spans="1:24" x14ac:dyDescent="0.25">
      <c r="A213" s="2"/>
      <c r="B213" s="37">
        <f t="shared" si="14"/>
        <v>213</v>
      </c>
      <c r="C213" s="37">
        <f t="shared" si="13"/>
        <v>204</v>
      </c>
      <c r="D213" s="2"/>
      <c r="E213" s="2"/>
      <c r="F213" s="2"/>
      <c r="G213" s="32" t="s">
        <v>0</v>
      </c>
      <c r="H213" s="66"/>
      <c r="I213" s="32" t="s">
        <v>0</v>
      </c>
      <c r="J213" s="68"/>
      <c r="K213" s="32" t="s">
        <v>0</v>
      </c>
      <c r="L213" s="68"/>
      <c r="M213" s="2"/>
      <c r="N213" s="69">
        <f t="shared" si="11"/>
        <v>0</v>
      </c>
      <c r="O213" s="2"/>
      <c r="P213" s="2"/>
      <c r="Q213" s="2"/>
      <c r="R213" s="2"/>
      <c r="S213" s="2"/>
      <c r="T213" s="2"/>
      <c r="U213" s="2"/>
      <c r="V213" s="2"/>
      <c r="W213" s="2"/>
      <c r="X213" s="2"/>
    </row>
    <row r="214" spans="1:24" x14ac:dyDescent="0.25">
      <c r="A214" s="2"/>
      <c r="B214" s="37">
        <f t="shared" si="14"/>
        <v>214</v>
      </c>
      <c r="C214" s="37">
        <f t="shared" si="13"/>
        <v>205</v>
      </c>
      <c r="D214" s="2"/>
      <c r="E214" s="2"/>
      <c r="F214" s="2"/>
      <c r="G214" s="32" t="s">
        <v>0</v>
      </c>
      <c r="H214" s="66"/>
      <c r="I214" s="32" t="s">
        <v>0</v>
      </c>
      <c r="J214" s="68"/>
      <c r="K214" s="32" t="s">
        <v>0</v>
      </c>
      <c r="L214" s="68"/>
      <c r="M214" s="2"/>
      <c r="N214" s="69">
        <f t="shared" si="11"/>
        <v>0</v>
      </c>
      <c r="O214" s="2"/>
      <c r="P214" s="2"/>
      <c r="Q214" s="2"/>
      <c r="R214" s="2"/>
      <c r="S214" s="2"/>
      <c r="T214" s="2"/>
      <c r="U214" s="2"/>
      <c r="V214" s="2"/>
      <c r="W214" s="2"/>
      <c r="X214" s="2"/>
    </row>
    <row r="215" spans="1:24" x14ac:dyDescent="0.25">
      <c r="A215" s="2"/>
      <c r="B215" s="37">
        <f t="shared" si="14"/>
        <v>215</v>
      </c>
      <c r="C215" s="37">
        <f t="shared" si="13"/>
        <v>206</v>
      </c>
      <c r="D215" s="2"/>
      <c r="E215" s="2"/>
      <c r="F215" s="2"/>
      <c r="G215" s="32" t="s">
        <v>0</v>
      </c>
      <c r="H215" s="66"/>
      <c r="I215" s="32" t="s">
        <v>0</v>
      </c>
      <c r="J215" s="68"/>
      <c r="K215" s="32" t="s">
        <v>0</v>
      </c>
      <c r="L215" s="68"/>
      <c r="M215" s="2"/>
      <c r="N215" s="69">
        <f t="shared" si="11"/>
        <v>0</v>
      </c>
      <c r="O215" s="2"/>
      <c r="P215" s="2"/>
      <c r="Q215" s="2"/>
      <c r="R215" s="2"/>
      <c r="S215" s="2"/>
      <c r="T215" s="2"/>
      <c r="U215" s="2"/>
      <c r="V215" s="2"/>
      <c r="W215" s="2"/>
      <c r="X215" s="2"/>
    </row>
    <row r="216" spans="1:24" x14ac:dyDescent="0.25">
      <c r="A216" s="2"/>
      <c r="B216" s="37"/>
      <c r="C216" s="37"/>
      <c r="D216" s="2"/>
      <c r="E216" s="2"/>
      <c r="F216" s="2"/>
      <c r="G216" s="2"/>
      <c r="H216" s="2"/>
      <c r="I216" s="2"/>
      <c r="J216" s="52"/>
      <c r="K216" s="2"/>
      <c r="L216" s="52"/>
      <c r="M216" s="2"/>
      <c r="N216" s="52"/>
      <c r="O216" s="2"/>
      <c r="P216" s="2"/>
      <c r="Q216" s="2"/>
      <c r="R216" s="2"/>
      <c r="S216" s="2"/>
      <c r="T216" s="2"/>
      <c r="U216" s="2"/>
      <c r="V216" s="2"/>
      <c r="W216" s="2"/>
      <c r="X216" s="2"/>
    </row>
    <row r="217" spans="1:24" x14ac:dyDescent="0.25">
      <c r="A217" s="2"/>
      <c r="B217" s="37"/>
      <c r="C217" s="37"/>
      <c r="D217" s="2"/>
      <c r="E217" s="2"/>
      <c r="F217" s="2"/>
      <c r="G217" s="2"/>
      <c r="H217" s="2"/>
      <c r="I217" s="2"/>
      <c r="J217" s="52"/>
      <c r="K217" s="2"/>
      <c r="L217" s="52"/>
      <c r="M217" s="2"/>
      <c r="N217" s="52"/>
      <c r="O217" s="2"/>
      <c r="P217" s="2"/>
      <c r="Q217" s="2"/>
      <c r="R217" s="2"/>
      <c r="S217" s="2"/>
      <c r="T217" s="2"/>
      <c r="U217" s="2"/>
      <c r="V217" s="2"/>
      <c r="W217" s="2"/>
      <c r="X217" s="2"/>
    </row>
  </sheetData>
  <conditionalFormatting sqref="H6 H17:H215 J17:J215 L17:L215">
    <cfRule type="containsBlanks" dxfId="11689" priority="42">
      <formula>LEN(TRIM(H6))=0</formula>
    </cfRule>
  </conditionalFormatting>
  <conditionalFormatting sqref="H10">
    <cfRule type="containsBlanks" dxfId="11688" priority="41">
      <formula>LEN(TRIM(H10))=0</formula>
    </cfRule>
  </conditionalFormatting>
  <conditionalFormatting sqref="J10">
    <cfRule type="containsBlanks" dxfId="11687" priority="39">
      <formula>LEN(TRIM(J10))=0</formula>
    </cfRule>
  </conditionalFormatting>
  <conditionalFormatting sqref="J6">
    <cfRule type="containsBlanks" dxfId="11686" priority="40">
      <formula>LEN(TRIM(J6))=0</formula>
    </cfRule>
  </conditionalFormatting>
  <conditionalFormatting sqref="H11">
    <cfRule type="containsBlanks" dxfId="11685" priority="38">
      <formula>LEN(TRIM(H11))=0</formula>
    </cfRule>
  </conditionalFormatting>
  <conditionalFormatting sqref="J11">
    <cfRule type="containsBlanks" dxfId="11684" priority="37">
      <formula>LEN(TRIM(J11))=0</formula>
    </cfRule>
  </conditionalFormatting>
  <conditionalFormatting sqref="H12">
    <cfRule type="containsBlanks" dxfId="11683" priority="36">
      <formula>LEN(TRIM(H12))=0</formula>
    </cfRule>
  </conditionalFormatting>
  <conditionalFormatting sqref="J12">
    <cfRule type="containsBlanks" dxfId="11682" priority="35">
      <formula>LEN(TRIM(J12))=0</formula>
    </cfRule>
  </conditionalFormatting>
  <conditionalFormatting sqref="H13">
    <cfRule type="containsBlanks" dxfId="11681" priority="34">
      <formula>LEN(TRIM(H13))=0</formula>
    </cfRule>
  </conditionalFormatting>
  <conditionalFormatting sqref="J13">
    <cfRule type="containsBlanks" dxfId="11680" priority="33">
      <formula>LEN(TRIM(J13))=0</formula>
    </cfRule>
  </conditionalFormatting>
  <conditionalFormatting sqref="H14">
    <cfRule type="containsBlanks" dxfId="11679" priority="32">
      <formula>LEN(TRIM(H14))=0</formula>
    </cfRule>
  </conditionalFormatting>
  <conditionalFormatting sqref="J14">
    <cfRule type="containsBlanks" dxfId="11678" priority="31">
      <formula>LEN(TRIM(J14))=0</formula>
    </cfRule>
  </conditionalFormatting>
  <conditionalFormatting sqref="H15">
    <cfRule type="containsBlanks" dxfId="11677" priority="30">
      <formula>LEN(TRIM(H15))=0</formula>
    </cfRule>
  </conditionalFormatting>
  <conditionalFormatting sqref="J16">
    <cfRule type="containsBlanks" dxfId="11676" priority="27">
      <formula>LEN(TRIM(J16))=0</formula>
    </cfRule>
  </conditionalFormatting>
  <conditionalFormatting sqref="J15">
    <cfRule type="containsBlanks" dxfId="11675" priority="29">
      <formula>LEN(TRIM(J15))=0</formula>
    </cfRule>
  </conditionalFormatting>
  <conditionalFormatting sqref="H16">
    <cfRule type="containsBlanks" dxfId="11674" priority="28">
      <formula>LEN(TRIM(H16))=0</formula>
    </cfRule>
  </conditionalFormatting>
  <conditionalFormatting sqref="L10">
    <cfRule type="containsBlanks" dxfId="11673" priority="23">
      <formula>LEN(TRIM(L10))=0</formula>
    </cfRule>
  </conditionalFormatting>
  <conditionalFormatting sqref="L6">
    <cfRule type="containsBlanks" dxfId="11672" priority="24">
      <formula>LEN(TRIM(L6))=0</formula>
    </cfRule>
  </conditionalFormatting>
  <conditionalFormatting sqref="L11">
    <cfRule type="containsBlanks" dxfId="11671" priority="22">
      <formula>LEN(TRIM(L11))=0</formula>
    </cfRule>
  </conditionalFormatting>
  <conditionalFormatting sqref="L12">
    <cfRule type="containsBlanks" dxfId="11670" priority="21">
      <formula>LEN(TRIM(L12))=0</formula>
    </cfRule>
  </conditionalFormatting>
  <conditionalFormatting sqref="L13">
    <cfRule type="containsBlanks" dxfId="11669" priority="20">
      <formula>LEN(TRIM(L13))=0</formula>
    </cfRule>
  </conditionalFormatting>
  <conditionalFormatting sqref="L14">
    <cfRule type="containsBlanks" dxfId="11668" priority="19">
      <formula>LEN(TRIM(L14))=0</formula>
    </cfRule>
  </conditionalFormatting>
  <conditionalFormatting sqref="L16">
    <cfRule type="containsBlanks" dxfId="11667" priority="17">
      <formula>LEN(TRIM(L16))=0</formula>
    </cfRule>
  </conditionalFormatting>
  <conditionalFormatting sqref="L15">
    <cfRule type="containsBlanks" dxfId="11666" priority="18">
      <formula>LEN(TRIM(L15))=0</formula>
    </cfRule>
  </conditionalFormatting>
  <conditionalFormatting sqref="N6">
    <cfRule type="containsBlanks" dxfId="11665" priority="15">
      <formula>LEN(TRIM(N6))=0</formula>
    </cfRule>
  </conditionalFormatting>
  <conditionalFormatting sqref="C2:C3">
    <cfRule type="cellIs" dxfId="11664" priority="2" operator="equal">
      <formula>0</formula>
    </cfRule>
  </conditionalFormatting>
  <conditionalFormatting sqref="C4:E5 D2:E3">
    <cfRule type="cellIs" dxfId="11663" priority="3" operator="equal">
      <formula>0</formula>
    </cfRule>
  </conditionalFormatting>
  <conditionalFormatting sqref="A1:D1">
    <cfRule type="cellIs" dxfId="11662" priority="1" operator="equal">
      <formula>0</formula>
    </cfRule>
  </conditionalFormatting>
  <hyperlinks>
    <hyperlink ref="A1:D1" location="оглавление!A1" tooltip="оглавление" display="оглавление"/>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N113"/>
  <sheetViews>
    <sheetView workbookViewId="0">
      <pane xSplit="14" ySplit="10" topLeftCell="O11" activePane="bottomRight" state="frozen"/>
      <selection pane="topRight" activeCell="O1" sqref="O1"/>
      <selection pane="bottomLeft" activeCell="A11" sqref="A11"/>
      <selection pane="bottomRight" activeCell="A2" sqref="A2"/>
    </sheetView>
  </sheetViews>
  <sheetFormatPr defaultColWidth="9.109375" defaultRowHeight="12" x14ac:dyDescent="0.25"/>
  <cols>
    <col min="1" max="1" width="2.6640625" style="151" customWidth="1"/>
    <col min="2" max="2" width="2.6640625" style="133" customWidth="1"/>
    <col min="3" max="3" width="2.6640625" style="1" customWidth="1"/>
    <col min="4" max="4" width="4"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tr">
        <f>операции!$M$1</f>
        <v>№года</v>
      </c>
      <c r="N1" s="42"/>
      <c r="O1" s="42"/>
      <c r="P1" s="43">
        <f>операции!P1</f>
        <v>1</v>
      </c>
      <c r="Q1" s="43">
        <f>операции!Q1</f>
        <v>2</v>
      </c>
      <c r="R1" s="43">
        <f>операции!R1</f>
        <v>3</v>
      </c>
      <c r="S1" s="43">
        <f>операции!S1</f>
        <v>4</v>
      </c>
      <c r="T1" s="43">
        <f>операции!T1</f>
        <v>5</v>
      </c>
      <c r="U1" s="43">
        <f>операции!U1</f>
        <v>6</v>
      </c>
      <c r="V1" s="43">
        <f>операции!V1</f>
        <v>7</v>
      </c>
      <c r="W1" s="43" t="str">
        <f>операции!W1</f>
        <v/>
      </c>
      <c r="X1" s="43" t="str">
        <f>операции!X1</f>
        <v/>
      </c>
      <c r="Y1" s="43" t="str">
        <f>операции!Y1</f>
        <v/>
      </c>
      <c r="Z1" s="43" t="str">
        <f>операции!Z1</f>
        <v/>
      </c>
      <c r="AA1" s="43" t="str">
        <f>операции!AA1</f>
        <v/>
      </c>
      <c r="AB1" s="2"/>
    </row>
    <row r="2" spans="1:28" x14ac:dyDescent="0.25">
      <c r="A2" s="149"/>
      <c r="B2" s="131"/>
      <c r="C2" s="2"/>
      <c r="D2" s="2"/>
      <c r="E2" s="2"/>
      <c r="F2" s="2"/>
      <c r="G2" s="2"/>
      <c r="H2" s="2"/>
      <c r="I2" s="28"/>
      <c r="J2" s="2"/>
      <c r="K2" s="28"/>
      <c r="L2" s="2"/>
      <c r="M2" s="52"/>
      <c r="N2" s="2"/>
      <c r="O2" s="2"/>
      <c r="P2" s="194">
        <v>1</v>
      </c>
      <c r="Q2" s="195">
        <f>P2+1</f>
        <v>2</v>
      </c>
      <c r="R2" s="195">
        <f t="shared" ref="R2:AA2" si="0">Q2+1</f>
        <v>3</v>
      </c>
      <c r="S2" s="195">
        <f t="shared" si="0"/>
        <v>4</v>
      </c>
      <c r="T2" s="195">
        <f t="shared" si="0"/>
        <v>5</v>
      </c>
      <c r="U2" s="195">
        <f t="shared" si="0"/>
        <v>6</v>
      </c>
      <c r="V2" s="195">
        <f t="shared" si="0"/>
        <v>7</v>
      </c>
      <c r="W2" s="195">
        <f t="shared" si="0"/>
        <v>8</v>
      </c>
      <c r="X2" s="195">
        <f t="shared" si="0"/>
        <v>9</v>
      </c>
      <c r="Y2" s="195">
        <f t="shared" si="0"/>
        <v>10</v>
      </c>
      <c r="Z2" s="195">
        <f t="shared" si="0"/>
        <v>11</v>
      </c>
      <c r="AA2" s="195">
        <f t="shared" si="0"/>
        <v>12</v>
      </c>
      <c r="AB2" s="2"/>
    </row>
    <row r="3" spans="1:28" x14ac:dyDescent="0.25">
      <c r="A3" s="149"/>
      <c r="B3" s="131"/>
      <c r="C3" s="89" t="str">
        <f>методология!$E$4</f>
        <v>Инвестмодель базы отдыха - Беседки &amp; Веревочный парк</v>
      </c>
      <c r="D3" s="20"/>
      <c r="E3" s="20"/>
      <c r="F3" s="2"/>
      <c r="G3" s="2"/>
      <c r="H3" s="2"/>
      <c r="I3" s="28"/>
      <c r="J3" s="2"/>
      <c r="K3" s="28"/>
      <c r="L3" s="2"/>
      <c r="M3" s="52"/>
      <c r="N3" s="2"/>
      <c r="O3" s="2"/>
      <c r="P3" s="2"/>
      <c r="Q3" s="2"/>
      <c r="R3" s="2"/>
      <c r="S3" s="2"/>
      <c r="T3" s="2"/>
      <c r="U3" s="2"/>
      <c r="V3" s="2"/>
      <c r="W3" s="2"/>
      <c r="X3" s="2"/>
      <c r="Y3" s="2"/>
      <c r="Z3" s="2"/>
      <c r="AA3" s="2"/>
      <c r="AB3" s="2"/>
    </row>
    <row r="4" spans="1:28" x14ac:dyDescent="0.25">
      <c r="A4" s="149"/>
      <c r="B4" s="131"/>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149"/>
      <c r="B5" s="131"/>
      <c r="C5" s="2"/>
      <c r="D5" s="2"/>
      <c r="E5" s="2"/>
      <c r="F5" s="2"/>
      <c r="G5" s="154" t="s">
        <v>309</v>
      </c>
      <c r="H5" s="2"/>
      <c r="I5" s="28"/>
      <c r="J5" s="2"/>
      <c r="K5" s="28"/>
      <c r="L5" s="2"/>
      <c r="M5" s="52"/>
      <c r="N5" s="2"/>
      <c r="O5" s="2"/>
      <c r="P5" s="2"/>
      <c r="Q5" s="2"/>
      <c r="R5" s="2"/>
      <c r="S5" s="2"/>
      <c r="T5" s="2"/>
      <c r="U5" s="2"/>
      <c r="V5" s="2"/>
      <c r="W5" s="2"/>
      <c r="X5" s="2"/>
      <c r="Y5" s="2"/>
      <c r="Z5" s="2"/>
      <c r="AA5" s="2"/>
      <c r="AB5" s="2"/>
    </row>
    <row r="6" spans="1:28" x14ac:dyDescent="0.25">
      <c r="A6" s="149"/>
      <c r="B6" s="131"/>
      <c r="C6" s="225" t="s">
        <v>343</v>
      </c>
      <c r="D6" s="210"/>
      <c r="E6" s="226"/>
      <c r="F6" s="2"/>
      <c r="G6" s="104" t="str">
        <f>сценарии!$J$7</f>
        <v>сценарий-1</v>
      </c>
      <c r="H6" s="2"/>
      <c r="I6" s="28"/>
      <c r="J6" s="2"/>
      <c r="K6" s="28"/>
      <c r="L6" s="2"/>
      <c r="M6" s="52"/>
      <c r="N6" s="2"/>
      <c r="O6" s="2"/>
      <c r="P6" s="96" t="str">
        <f>операции!P6</f>
        <v>2022г.</v>
      </c>
      <c r="Q6" s="96" t="str">
        <f>операции!Q6</f>
        <v>2023г.</v>
      </c>
      <c r="R6" s="96" t="str">
        <f>операции!R6</f>
        <v>2024г.</v>
      </c>
      <c r="S6" s="96" t="str">
        <f>операции!S6</f>
        <v>2025г.</v>
      </c>
      <c r="T6" s="96" t="str">
        <f>операции!T6</f>
        <v>2026г.</v>
      </c>
      <c r="U6" s="96" t="str">
        <f>операции!U6</f>
        <v>2027г.</v>
      </c>
      <c r="V6" s="96" t="str">
        <f>операции!V6</f>
        <v>2028г.</v>
      </c>
      <c r="W6" s="96" t="str">
        <f>операции!W6</f>
        <v/>
      </c>
      <c r="X6" s="96" t="str">
        <f>операции!X6</f>
        <v/>
      </c>
      <c r="Y6" s="96" t="str">
        <f>операции!Y6</f>
        <v/>
      </c>
      <c r="Z6" s="96" t="str">
        <f>операции!Z6</f>
        <v/>
      </c>
      <c r="AA6" s="96" t="str">
        <f>операции!AA6</f>
        <v/>
      </c>
      <c r="AB6" s="2"/>
    </row>
    <row r="7" spans="1:28" x14ac:dyDescent="0.25">
      <c r="A7" s="149"/>
      <c r="B7" s="182"/>
      <c r="C7" s="2"/>
      <c r="D7" s="2"/>
      <c r="E7" s="2"/>
      <c r="F7" s="2"/>
      <c r="G7" s="2"/>
      <c r="H7" s="2"/>
      <c r="I7" s="28"/>
      <c r="J7" s="2"/>
      <c r="K7" s="28"/>
      <c r="L7" s="2"/>
      <c r="M7" s="52"/>
      <c r="N7" s="2"/>
      <c r="O7" s="2"/>
      <c r="P7" s="94">
        <f>операции!P7</f>
        <v>44562</v>
      </c>
      <c r="Q7" s="94">
        <f>операции!Q7</f>
        <v>44927</v>
      </c>
      <c r="R7" s="94">
        <f>операции!R7</f>
        <v>45292</v>
      </c>
      <c r="S7" s="94">
        <f>операции!S7</f>
        <v>45658</v>
      </c>
      <c r="T7" s="94">
        <f>операции!T7</f>
        <v>46023</v>
      </c>
      <c r="U7" s="94">
        <f>операции!U7</f>
        <v>46388</v>
      </c>
      <c r="V7" s="94">
        <f>операции!V7</f>
        <v>46753</v>
      </c>
      <c r="W7" s="94" t="str">
        <f>операции!W7</f>
        <v/>
      </c>
      <c r="X7" s="94" t="str">
        <f>операции!X7</f>
        <v/>
      </c>
      <c r="Y7" s="94" t="str">
        <f>операции!Y7</f>
        <v/>
      </c>
      <c r="Z7" s="94" t="str">
        <f>операции!Z7</f>
        <v/>
      </c>
      <c r="AA7" s="94" t="str">
        <f>операции!AA7</f>
        <v/>
      </c>
      <c r="AB7" s="2"/>
    </row>
    <row r="8" spans="1:28" s="5" customFormat="1" x14ac:dyDescent="0.25">
      <c r="A8" s="150">
        <f>1</f>
        <v>1</v>
      </c>
      <c r="B8" s="182"/>
      <c r="C8" s="3"/>
      <c r="D8" s="3"/>
      <c r="E8" s="3" t="str">
        <f>KPI!$E$8</f>
        <v>KPI</v>
      </c>
      <c r="F8" s="3"/>
      <c r="G8" s="28" t="str">
        <f>KPI!$G$8</f>
        <v>ед.изм.</v>
      </c>
      <c r="H8" s="3"/>
      <c r="I8" s="28"/>
      <c r="J8" s="3"/>
      <c r="K8" s="28"/>
      <c r="L8" s="3"/>
      <c r="M8" s="53" t="str">
        <f>операции!M8</f>
        <v>итого</v>
      </c>
      <c r="N8" s="3"/>
      <c r="O8" s="3"/>
      <c r="P8" s="95">
        <f>операции!P8</f>
        <v>44926</v>
      </c>
      <c r="Q8" s="95">
        <f>операции!Q8</f>
        <v>45291</v>
      </c>
      <c r="R8" s="95">
        <f>операции!R8</f>
        <v>45657</v>
      </c>
      <c r="S8" s="95">
        <f>операции!S8</f>
        <v>46022</v>
      </c>
      <c r="T8" s="95">
        <f>операции!T8</f>
        <v>46387</v>
      </c>
      <c r="U8" s="95">
        <f>операции!U8</f>
        <v>46752</v>
      </c>
      <c r="V8" s="95">
        <f>операции!V8</f>
        <v>47118</v>
      </c>
      <c r="W8" s="95" t="str">
        <f>операции!W8</f>
        <v/>
      </c>
      <c r="X8" s="95" t="str">
        <f>операции!X8</f>
        <v/>
      </c>
      <c r="Y8" s="95" t="str">
        <f>операции!Y8</f>
        <v/>
      </c>
      <c r="Z8" s="95" t="str">
        <f>операции!Z8</f>
        <v/>
      </c>
      <c r="AA8" s="95" t="str">
        <f>операции!AA8</f>
        <v/>
      </c>
      <c r="AB8" s="3"/>
    </row>
    <row r="9" spans="1:28" ht="3.9" customHeight="1" x14ac:dyDescent="0.25">
      <c r="A9" s="149">
        <f>1</f>
        <v>1</v>
      </c>
      <c r="B9" s="131"/>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customHeight="1" x14ac:dyDescent="0.25">
      <c r="A10" s="149">
        <f>1</f>
        <v>1</v>
      </c>
      <c r="B10" s="131"/>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x14ac:dyDescent="0.25">
      <c r="A11" s="150">
        <f>1</f>
        <v>1</v>
      </c>
      <c r="B11" s="131"/>
      <c r="C11" s="3"/>
      <c r="D11" s="3"/>
      <c r="E11" s="3"/>
      <c r="F11" s="3"/>
      <c r="G11" s="3"/>
      <c r="H11" s="3"/>
      <c r="I11" s="28"/>
      <c r="J11" s="3"/>
      <c r="K11" s="28"/>
      <c r="L11" s="3"/>
      <c r="M11" s="55"/>
      <c r="N11" s="3"/>
      <c r="O11" s="3"/>
      <c r="P11" s="46"/>
      <c r="Q11" s="46"/>
      <c r="R11" s="46"/>
      <c r="S11" s="46"/>
      <c r="T11" s="46"/>
      <c r="U11" s="46"/>
      <c r="V11" s="46"/>
      <c r="W11" s="46"/>
      <c r="X11" s="46"/>
      <c r="Y11" s="46"/>
      <c r="Z11" s="46"/>
      <c r="AA11" s="46"/>
      <c r="AB11" s="3"/>
    </row>
    <row r="12" spans="1:28" ht="3.9" customHeight="1" x14ac:dyDescent="0.25">
      <c r="A12" s="149">
        <f>1</f>
        <v>1</v>
      </c>
      <c r="B12" s="131"/>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x14ac:dyDescent="0.25">
      <c r="A13" s="150">
        <f>1</f>
        <v>1</v>
      </c>
      <c r="B13" s="131"/>
      <c r="C13" s="3"/>
      <c r="D13" s="3"/>
      <c r="E13" s="181" t="s">
        <v>344</v>
      </c>
      <c r="F13" s="3"/>
      <c r="G13" s="3"/>
      <c r="H13" s="3"/>
      <c r="I13" s="28"/>
      <c r="J13" s="3"/>
      <c r="K13" s="28"/>
      <c r="L13" s="3"/>
      <c r="M13" s="55"/>
      <c r="N13" s="3"/>
      <c r="O13" s="3"/>
      <c r="P13" s="46"/>
      <c r="Q13" s="46"/>
      <c r="R13" s="46"/>
      <c r="S13" s="46"/>
      <c r="T13" s="46"/>
      <c r="U13" s="46"/>
      <c r="V13" s="46"/>
      <c r="W13" s="46"/>
      <c r="X13" s="46"/>
      <c r="Y13" s="46"/>
      <c r="Z13" s="46"/>
      <c r="AA13" s="46"/>
      <c r="AB13" s="3"/>
    </row>
    <row r="14" spans="1:28" ht="3.9" customHeight="1" x14ac:dyDescent="0.25">
      <c r="A14" s="149">
        <f>1</f>
        <v>1</v>
      </c>
      <c r="B14" s="131"/>
      <c r="C14" s="2"/>
      <c r="D14" s="2"/>
      <c r="E14" s="2"/>
      <c r="F14" s="2"/>
      <c r="G14" s="2"/>
      <c r="H14" s="2"/>
      <c r="I14" s="28"/>
      <c r="J14" s="2"/>
      <c r="K14" s="28"/>
      <c r="L14" s="2"/>
      <c r="M14" s="52"/>
      <c r="N14" s="2"/>
      <c r="O14" s="2"/>
      <c r="P14" s="36"/>
      <c r="Q14" s="36"/>
      <c r="R14" s="36"/>
      <c r="S14" s="36"/>
      <c r="T14" s="36"/>
      <c r="U14" s="36"/>
      <c r="V14" s="36"/>
      <c r="W14" s="36"/>
      <c r="X14" s="36"/>
      <c r="Y14" s="36"/>
      <c r="Z14" s="36"/>
      <c r="AA14" s="36"/>
      <c r="AB14" s="2"/>
    </row>
    <row r="15" spans="1:28" ht="8.1" customHeight="1" x14ac:dyDescent="0.25">
      <c r="A15" s="149">
        <f>1</f>
        <v>1</v>
      </c>
      <c r="B15" s="131"/>
      <c r="C15" s="2"/>
      <c r="D15" s="2"/>
      <c r="E15" s="2"/>
      <c r="F15" s="2"/>
      <c r="G15" s="2"/>
      <c r="H15" s="2"/>
      <c r="I15" s="28"/>
      <c r="J15" s="2"/>
      <c r="K15" s="28"/>
      <c r="L15" s="2"/>
      <c r="M15" s="52"/>
      <c r="N15" s="2"/>
      <c r="O15" s="2"/>
      <c r="P15" s="36"/>
      <c r="Q15" s="36"/>
      <c r="R15" s="36"/>
      <c r="S15" s="36"/>
      <c r="T15" s="36"/>
      <c r="U15" s="36"/>
      <c r="V15" s="36"/>
      <c r="W15" s="36"/>
      <c r="X15" s="36"/>
      <c r="Y15" s="36"/>
      <c r="Z15" s="36"/>
      <c r="AA15" s="36"/>
      <c r="AB15" s="2"/>
    </row>
    <row r="16" spans="1:28" ht="3.9" customHeight="1" x14ac:dyDescent="0.25">
      <c r="A16" s="149">
        <f>1</f>
        <v>1</v>
      </c>
      <c r="B16" s="131"/>
      <c r="C16" s="2"/>
      <c r="D16" s="2"/>
      <c r="E16" s="2"/>
      <c r="F16" s="2"/>
      <c r="G16" s="2"/>
      <c r="H16" s="2"/>
      <c r="I16" s="28"/>
      <c r="J16" s="2"/>
      <c r="K16" s="28"/>
      <c r="L16" s="2"/>
      <c r="M16" s="52"/>
      <c r="N16" s="2"/>
      <c r="O16" s="2"/>
      <c r="P16" s="36"/>
      <c r="Q16" s="36"/>
      <c r="R16" s="36"/>
      <c r="S16" s="36"/>
      <c r="T16" s="36"/>
      <c r="U16" s="36"/>
      <c r="V16" s="36"/>
      <c r="W16" s="36"/>
      <c r="X16" s="36"/>
      <c r="Y16" s="36"/>
      <c r="Z16" s="36"/>
      <c r="AA16" s="36"/>
      <c r="AB16" s="2"/>
    </row>
    <row r="17" spans="1:28" s="5" customFormat="1" x14ac:dyDescent="0.25">
      <c r="A17" s="150">
        <f>1</f>
        <v>1</v>
      </c>
      <c r="B17" s="129" t="str">
        <f>структура!$J$12</f>
        <v>ОСНО</v>
      </c>
      <c r="C17" s="3"/>
      <c r="D17" s="3"/>
      <c r="E17" s="146" t="str">
        <f>KPI!$E$108</f>
        <v>финпоток по арендной плате</v>
      </c>
      <c r="F17" s="146"/>
      <c r="G17" s="146" t="str">
        <f>IF($E17="","",INDEX(KPI!$G:$G,SUMIFS(KPI!$B:$B,KPI!$E:$E,$E17)))</f>
        <v>тыс.руб.</v>
      </c>
      <c r="H17" s="146"/>
      <c r="I17" s="177"/>
      <c r="J17" s="146"/>
      <c r="K17" s="177"/>
      <c r="L17" s="146"/>
      <c r="M17" s="178">
        <f>SUM($O17:$AB17)</f>
        <v>18260.548923382947</v>
      </c>
      <c r="N17" s="3"/>
      <c r="O17" s="3"/>
      <c r="P17" s="179">
        <f>операции!P250</f>
        <v>2608.6498461975639</v>
      </c>
      <c r="Q17" s="179">
        <f>операции!Q250</f>
        <v>2608.6498461975639</v>
      </c>
      <c r="R17" s="179">
        <f>операции!R250</f>
        <v>2608.6498461975639</v>
      </c>
      <c r="S17" s="179">
        <f>операции!S250</f>
        <v>2608.6498461975639</v>
      </c>
      <c r="T17" s="179">
        <f>операции!T250</f>
        <v>2608.6498461975639</v>
      </c>
      <c r="U17" s="179">
        <f>операции!U250</f>
        <v>2608.6498461975639</v>
      </c>
      <c r="V17" s="179">
        <f>операции!V250</f>
        <v>2608.6498461975639</v>
      </c>
      <c r="W17" s="179">
        <f>операции!W250</f>
        <v>0</v>
      </c>
      <c r="X17" s="179">
        <f>операции!X250</f>
        <v>0</v>
      </c>
      <c r="Y17" s="179">
        <f>операции!Y250</f>
        <v>0</v>
      </c>
      <c r="Z17" s="179">
        <f>операции!Z250</f>
        <v>0</v>
      </c>
      <c r="AA17" s="179">
        <f>операции!AA250</f>
        <v>0</v>
      </c>
      <c r="AB17" s="3"/>
    </row>
    <row r="18" spans="1:28" s="5" customFormat="1" ht="3.9" customHeight="1" x14ac:dyDescent="0.25">
      <c r="A18" s="150">
        <f>1</f>
        <v>1</v>
      </c>
      <c r="B18" s="128"/>
      <c r="C18" s="3"/>
      <c r="D18" s="3"/>
      <c r="E18" s="3"/>
      <c r="F18" s="3"/>
      <c r="G18" s="3"/>
      <c r="H18" s="3"/>
      <c r="I18" s="28"/>
      <c r="J18" s="3"/>
      <c r="K18" s="28"/>
      <c r="L18" s="3"/>
      <c r="M18" s="55"/>
      <c r="N18" s="3"/>
      <c r="O18" s="3"/>
      <c r="P18" s="46"/>
      <c r="Q18" s="46"/>
      <c r="R18" s="46"/>
      <c r="S18" s="46"/>
      <c r="T18" s="46"/>
      <c r="U18" s="46"/>
      <c r="V18" s="46"/>
      <c r="W18" s="46"/>
      <c r="X18" s="46"/>
      <c r="Y18" s="46"/>
      <c r="Z18" s="46"/>
      <c r="AA18" s="46"/>
      <c r="AB18" s="3"/>
    </row>
    <row r="19" spans="1:28" s="5" customFormat="1" x14ac:dyDescent="0.25">
      <c r="A19" s="150">
        <f>1</f>
        <v>1</v>
      </c>
      <c r="B19" s="129" t="str">
        <f>структура!$J$13</f>
        <v>УСН(6%)</v>
      </c>
      <c r="C19" s="3"/>
      <c r="D19" s="3"/>
      <c r="E19" s="146" t="str">
        <f>E17</f>
        <v>финпоток по арендной плате</v>
      </c>
      <c r="F19" s="146"/>
      <c r="G19" s="146" t="str">
        <f>IF($E19="","",INDEX(KPI!$G:$G,SUMIFS(KPI!$B:$B,KPI!$E:$E,$E19)))</f>
        <v>тыс.руб.</v>
      </c>
      <c r="H19" s="146"/>
      <c r="I19" s="177"/>
      <c r="J19" s="146"/>
      <c r="K19" s="177"/>
      <c r="L19" s="146"/>
      <c r="M19" s="178">
        <f>SUM($O19:$AB19)</f>
        <v>18260.548923382947</v>
      </c>
      <c r="N19" s="3"/>
      <c r="O19" s="3"/>
      <c r="P19" s="179">
        <f>операции!P250</f>
        <v>2608.6498461975639</v>
      </c>
      <c r="Q19" s="179">
        <f>операции!Q250</f>
        <v>2608.6498461975639</v>
      </c>
      <c r="R19" s="179">
        <f>операции!R250</f>
        <v>2608.6498461975639</v>
      </c>
      <c r="S19" s="179">
        <f>операции!S250</f>
        <v>2608.6498461975639</v>
      </c>
      <c r="T19" s="179">
        <f>операции!T250</f>
        <v>2608.6498461975639</v>
      </c>
      <c r="U19" s="179">
        <f>операции!U250</f>
        <v>2608.6498461975639</v>
      </c>
      <c r="V19" s="179">
        <f>операции!V250</f>
        <v>2608.6498461975639</v>
      </c>
      <c r="W19" s="179">
        <f>операции!W250</f>
        <v>0</v>
      </c>
      <c r="X19" s="179">
        <f>операции!X250</f>
        <v>0</v>
      </c>
      <c r="Y19" s="179">
        <f>операции!Y250</f>
        <v>0</v>
      </c>
      <c r="Z19" s="179">
        <f>операции!Z250</f>
        <v>0</v>
      </c>
      <c r="AA19" s="179">
        <f>операции!AA250</f>
        <v>0</v>
      </c>
      <c r="AB19" s="3"/>
    </row>
    <row r="20" spans="1:28" s="5" customFormat="1" ht="3.9" customHeight="1" x14ac:dyDescent="0.25">
      <c r="A20" s="150">
        <f>1</f>
        <v>1</v>
      </c>
      <c r="B20" s="128"/>
      <c r="C20" s="3"/>
      <c r="D20" s="3"/>
      <c r="E20" s="3"/>
      <c r="F20" s="3"/>
      <c r="G20" s="3"/>
      <c r="H20" s="3"/>
      <c r="I20" s="28"/>
      <c r="J20" s="3"/>
      <c r="K20" s="28"/>
      <c r="L20" s="3"/>
      <c r="M20" s="55"/>
      <c r="N20" s="3"/>
      <c r="O20" s="3"/>
      <c r="P20" s="46"/>
      <c r="Q20" s="46"/>
      <c r="R20" s="46"/>
      <c r="S20" s="46"/>
      <c r="T20" s="46"/>
      <c r="U20" s="46"/>
      <c r="V20" s="46"/>
      <c r="W20" s="46"/>
      <c r="X20" s="46"/>
      <c r="Y20" s="46"/>
      <c r="Z20" s="46"/>
      <c r="AA20" s="46"/>
      <c r="AB20" s="3"/>
    </row>
    <row r="21" spans="1:28" s="5" customFormat="1" x14ac:dyDescent="0.25">
      <c r="A21" s="150">
        <f>1</f>
        <v>1</v>
      </c>
      <c r="B21" s="129" t="str">
        <f>структура!$J$14</f>
        <v>УСН(15%)</v>
      </c>
      <c r="C21" s="3"/>
      <c r="D21" s="3"/>
      <c r="E21" s="146" t="str">
        <f>E17</f>
        <v>финпоток по арендной плате</v>
      </c>
      <c r="F21" s="146"/>
      <c r="G21" s="146" t="str">
        <f>IF($E21="","",INDEX(KPI!$G:$G,SUMIFS(KPI!$B:$B,KPI!$E:$E,$E21)))</f>
        <v>тыс.руб.</v>
      </c>
      <c r="H21" s="146"/>
      <c r="I21" s="177"/>
      <c r="J21" s="146"/>
      <c r="K21" s="177"/>
      <c r="L21" s="146"/>
      <c r="M21" s="178">
        <f>SUM($O21:$AB21)</f>
        <v>18260.548923382947</v>
      </c>
      <c r="N21" s="3"/>
      <c r="O21" s="3"/>
      <c r="P21" s="179">
        <f>операции!P250</f>
        <v>2608.6498461975639</v>
      </c>
      <c r="Q21" s="179">
        <f>операции!Q250</f>
        <v>2608.6498461975639</v>
      </c>
      <c r="R21" s="179">
        <f>операции!R250</f>
        <v>2608.6498461975639</v>
      </c>
      <c r="S21" s="179">
        <f>операции!S250</f>
        <v>2608.6498461975639</v>
      </c>
      <c r="T21" s="179">
        <f>операции!T250</f>
        <v>2608.6498461975639</v>
      </c>
      <c r="U21" s="179">
        <f>операции!U250</f>
        <v>2608.6498461975639</v>
      </c>
      <c r="V21" s="179">
        <f>операции!V250</f>
        <v>2608.6498461975639</v>
      </c>
      <c r="W21" s="179">
        <f>операции!W250</f>
        <v>0</v>
      </c>
      <c r="X21" s="179">
        <f>операции!X250</f>
        <v>0</v>
      </c>
      <c r="Y21" s="179">
        <f>операции!Y250</f>
        <v>0</v>
      </c>
      <c r="Z21" s="179">
        <f>операции!Z250</f>
        <v>0</v>
      </c>
      <c r="AA21" s="179">
        <f>операции!AA250</f>
        <v>0</v>
      </c>
      <c r="AB21" s="3"/>
    </row>
    <row r="22" spans="1:28" s="5" customFormat="1" ht="3.9" customHeight="1" x14ac:dyDescent="0.25">
      <c r="A22" s="150">
        <f>1</f>
        <v>1</v>
      </c>
      <c r="B22" s="128"/>
      <c r="C22" s="3"/>
      <c r="D22" s="3"/>
      <c r="E22" s="3"/>
      <c r="F22" s="3"/>
      <c r="G22" s="3"/>
      <c r="H22" s="3"/>
      <c r="I22" s="28"/>
      <c r="J22" s="3"/>
      <c r="K22" s="28"/>
      <c r="L22" s="3"/>
      <c r="M22" s="55"/>
      <c r="N22" s="3"/>
      <c r="O22" s="3"/>
      <c r="P22" s="46"/>
      <c r="Q22" s="46"/>
      <c r="R22" s="46"/>
      <c r="S22" s="46"/>
      <c r="T22" s="46"/>
      <c r="U22" s="46"/>
      <c r="V22" s="46"/>
      <c r="W22" s="46"/>
      <c r="X22" s="46"/>
      <c r="Y22" s="46"/>
      <c r="Z22" s="46"/>
      <c r="AA22" s="46"/>
      <c r="AB22" s="3"/>
    </row>
    <row r="23" spans="1:28" s="5" customFormat="1" x14ac:dyDescent="0.25">
      <c r="A23" s="150">
        <f>1</f>
        <v>1</v>
      </c>
      <c r="B23" s="129" t="str">
        <f>структура!$J$15</f>
        <v>УСН(6%)-ИП</v>
      </c>
      <c r="C23" s="3"/>
      <c r="D23" s="3"/>
      <c r="E23" s="146" t="str">
        <f>E17</f>
        <v>финпоток по арендной плате</v>
      </c>
      <c r="F23" s="146"/>
      <c r="G23" s="146" t="str">
        <f>IF($E23="","",INDEX(KPI!$G:$G,SUMIFS(KPI!$B:$B,KPI!$E:$E,$E23)))</f>
        <v>тыс.руб.</v>
      </c>
      <c r="H23" s="146"/>
      <c r="I23" s="177"/>
      <c r="J23" s="146"/>
      <c r="K23" s="177"/>
      <c r="L23" s="146"/>
      <c r="M23" s="178">
        <f>SUM($O23:$AB23)</f>
        <v>18260.548923382947</v>
      </c>
      <c r="N23" s="3"/>
      <c r="O23" s="3"/>
      <c r="P23" s="179">
        <f>операции!P250</f>
        <v>2608.6498461975639</v>
      </c>
      <c r="Q23" s="179">
        <f>операции!Q250</f>
        <v>2608.6498461975639</v>
      </c>
      <c r="R23" s="179">
        <f>операции!R250</f>
        <v>2608.6498461975639</v>
      </c>
      <c r="S23" s="179">
        <f>операции!S250</f>
        <v>2608.6498461975639</v>
      </c>
      <c r="T23" s="179">
        <f>операции!T250</f>
        <v>2608.6498461975639</v>
      </c>
      <c r="U23" s="179">
        <f>операции!U250</f>
        <v>2608.6498461975639</v>
      </c>
      <c r="V23" s="179">
        <f>операции!V250</f>
        <v>2608.6498461975639</v>
      </c>
      <c r="W23" s="179">
        <f>операции!W250</f>
        <v>0</v>
      </c>
      <c r="X23" s="179">
        <f>операции!X250</f>
        <v>0</v>
      </c>
      <c r="Y23" s="179">
        <f>операции!Y250</f>
        <v>0</v>
      </c>
      <c r="Z23" s="179">
        <f>операции!Z250</f>
        <v>0</v>
      </c>
      <c r="AA23" s="179">
        <f>операции!AA250</f>
        <v>0</v>
      </c>
      <c r="AB23" s="3"/>
    </row>
    <row r="24" spans="1:28" ht="3.9" customHeight="1" x14ac:dyDescent="0.25">
      <c r="A24" s="149">
        <f>1</f>
        <v>1</v>
      </c>
      <c r="B24" s="131"/>
      <c r="C24" s="2"/>
      <c r="D24" s="2"/>
      <c r="E24" s="119"/>
      <c r="F24" s="2"/>
      <c r="G24" s="119"/>
      <c r="H24" s="2"/>
      <c r="I24" s="28"/>
      <c r="J24" s="2"/>
      <c r="K24" s="28"/>
      <c r="L24" s="2"/>
      <c r="M24" s="142"/>
      <c r="N24" s="2"/>
      <c r="O24" s="2"/>
      <c r="P24" s="36"/>
      <c r="Q24" s="36"/>
      <c r="R24" s="36"/>
      <c r="S24" s="36"/>
      <c r="T24" s="36"/>
      <c r="U24" s="36"/>
      <c r="V24" s="36"/>
      <c r="W24" s="36"/>
      <c r="X24" s="36"/>
      <c r="Y24" s="36"/>
      <c r="Z24" s="36"/>
      <c r="AA24" s="36"/>
      <c r="AB24" s="2"/>
    </row>
    <row r="25" spans="1:28" ht="8.1" customHeight="1" x14ac:dyDescent="0.25">
      <c r="A25" s="149">
        <f>1</f>
        <v>1</v>
      </c>
      <c r="B25" s="131"/>
      <c r="C25" s="2"/>
      <c r="D25" s="2"/>
      <c r="E25" s="2"/>
      <c r="F25" s="2"/>
      <c r="G25" s="2"/>
      <c r="H25" s="2"/>
      <c r="I25" s="28"/>
      <c r="J25" s="2"/>
      <c r="K25" s="28"/>
      <c r="L25" s="2"/>
      <c r="M25" s="52"/>
      <c r="N25" s="2"/>
      <c r="O25" s="2"/>
      <c r="P25" s="36"/>
      <c r="Q25" s="36"/>
      <c r="R25" s="36"/>
      <c r="S25" s="36"/>
      <c r="T25" s="36"/>
      <c r="U25" s="36"/>
      <c r="V25" s="36"/>
      <c r="W25" s="36"/>
      <c r="X25" s="36"/>
      <c r="Y25" s="36"/>
      <c r="Z25" s="36"/>
      <c r="AA25" s="36"/>
      <c r="AB25" s="2"/>
    </row>
    <row r="26" spans="1:28" s="5" customFormat="1" x14ac:dyDescent="0.25">
      <c r="A26" s="150">
        <f>1</f>
        <v>1</v>
      </c>
      <c r="B26" s="131"/>
      <c r="C26" s="3"/>
      <c r="D26" s="3"/>
      <c r="E26" s="3"/>
      <c r="F26" s="3"/>
      <c r="G26" s="3"/>
      <c r="H26" s="3"/>
      <c r="I26" s="28"/>
      <c r="J26" s="3"/>
      <c r="K26" s="28"/>
      <c r="L26" s="3"/>
      <c r="M26" s="55"/>
      <c r="N26" s="3"/>
      <c r="O26" s="3"/>
      <c r="P26" s="46"/>
      <c r="Q26" s="46"/>
      <c r="R26" s="46"/>
      <c r="S26" s="46"/>
      <c r="T26" s="46"/>
      <c r="U26" s="46"/>
      <c r="V26" s="46"/>
      <c r="W26" s="46"/>
      <c r="X26" s="46"/>
      <c r="Y26" s="46"/>
      <c r="Z26" s="46"/>
      <c r="AA26" s="46"/>
      <c r="AB26" s="3"/>
    </row>
    <row r="27" spans="1:28" ht="3.9" customHeight="1" x14ac:dyDescent="0.25">
      <c r="A27" s="149">
        <f>1</f>
        <v>1</v>
      </c>
      <c r="B27" s="131"/>
      <c r="C27" s="2"/>
      <c r="D27" s="2"/>
      <c r="E27" s="2"/>
      <c r="F27" s="2"/>
      <c r="G27" s="2"/>
      <c r="H27" s="2"/>
      <c r="I27" s="28"/>
      <c r="J27" s="2"/>
      <c r="K27" s="28"/>
      <c r="L27" s="2"/>
      <c r="M27" s="52"/>
      <c r="N27" s="2"/>
      <c r="O27" s="2"/>
      <c r="P27" s="36"/>
      <c r="Q27" s="36"/>
      <c r="R27" s="36"/>
      <c r="S27" s="36"/>
      <c r="T27" s="36"/>
      <c r="U27" s="36"/>
      <c r="V27" s="36"/>
      <c r="W27" s="36"/>
      <c r="X27" s="36"/>
      <c r="Y27" s="36"/>
      <c r="Z27" s="36"/>
      <c r="AA27" s="36"/>
      <c r="AB27" s="2"/>
    </row>
    <row r="28" spans="1:28" s="5" customFormat="1" x14ac:dyDescent="0.25">
      <c r="A28" s="150">
        <f>1</f>
        <v>1</v>
      </c>
      <c r="B28" s="131"/>
      <c r="C28" s="3"/>
      <c r="D28" s="3"/>
      <c r="E28" s="181" t="s">
        <v>286</v>
      </c>
      <c r="F28" s="3"/>
      <c r="G28" s="3"/>
      <c r="H28" s="3"/>
      <c r="I28" s="28"/>
      <c r="J28" s="3"/>
      <c r="K28" s="28"/>
      <c r="L28" s="3"/>
      <c r="M28" s="55"/>
      <c r="N28" s="3"/>
      <c r="O28" s="3"/>
      <c r="P28" s="46"/>
      <c r="Q28" s="46"/>
      <c r="R28" s="46"/>
      <c r="S28" s="46"/>
      <c r="T28" s="46"/>
      <c r="U28" s="46"/>
      <c r="V28" s="46"/>
      <c r="W28" s="46"/>
      <c r="X28" s="46"/>
      <c r="Y28" s="46"/>
      <c r="Z28" s="46"/>
      <c r="AA28" s="46"/>
      <c r="AB28" s="3"/>
    </row>
    <row r="29" spans="1:28" ht="3.9" customHeight="1" x14ac:dyDescent="0.25">
      <c r="A29" s="149">
        <f>1</f>
        <v>1</v>
      </c>
      <c r="B29" s="131"/>
      <c r="C29" s="2"/>
      <c r="D29" s="2"/>
      <c r="E29" s="2"/>
      <c r="F29" s="2"/>
      <c r="G29" s="2"/>
      <c r="H29" s="2"/>
      <c r="I29" s="28"/>
      <c r="J29" s="2"/>
      <c r="K29" s="28"/>
      <c r="L29" s="2"/>
      <c r="M29" s="52"/>
      <c r="N29" s="2"/>
      <c r="O29" s="2"/>
      <c r="P29" s="36"/>
      <c r="Q29" s="36"/>
      <c r="R29" s="36"/>
      <c r="S29" s="36"/>
      <c r="T29" s="36"/>
      <c r="U29" s="36"/>
      <c r="V29" s="36"/>
      <c r="W29" s="36"/>
      <c r="X29" s="36"/>
      <c r="Y29" s="36"/>
      <c r="Z29" s="36"/>
      <c r="AA29" s="36"/>
      <c r="AB29" s="2"/>
    </row>
    <row r="30" spans="1:28" ht="8.1" customHeight="1" x14ac:dyDescent="0.25">
      <c r="A30" s="149">
        <f>1</f>
        <v>1</v>
      </c>
      <c r="B30" s="131"/>
      <c r="C30" s="2"/>
      <c r="D30" s="2"/>
      <c r="E30" s="2"/>
      <c r="F30" s="2"/>
      <c r="G30" s="2"/>
      <c r="H30" s="2"/>
      <c r="I30" s="28"/>
      <c r="J30" s="2"/>
      <c r="K30" s="28"/>
      <c r="L30" s="2"/>
      <c r="M30" s="52"/>
      <c r="N30" s="2"/>
      <c r="O30" s="2"/>
      <c r="P30" s="36"/>
      <c r="Q30" s="36"/>
      <c r="R30" s="36"/>
      <c r="S30" s="36"/>
      <c r="T30" s="36"/>
      <c r="U30" s="36"/>
      <c r="V30" s="36"/>
      <c r="W30" s="36"/>
      <c r="X30" s="36"/>
      <c r="Y30" s="36"/>
      <c r="Z30" s="36"/>
      <c r="AA30" s="36"/>
      <c r="AB30" s="2"/>
    </row>
    <row r="31" spans="1:28" ht="3.9" customHeight="1" thickBot="1" x14ac:dyDescent="0.3">
      <c r="A31" s="149">
        <f>1</f>
        <v>1</v>
      </c>
      <c r="B31" s="131"/>
      <c r="C31" s="2"/>
      <c r="D31" s="2"/>
      <c r="E31" s="2"/>
      <c r="F31" s="2"/>
      <c r="G31" s="2"/>
      <c r="H31" s="2"/>
      <c r="I31" s="28"/>
      <c r="J31" s="2"/>
      <c r="K31" s="28"/>
      <c r="L31" s="2"/>
      <c r="M31" s="52"/>
      <c r="N31" s="2"/>
      <c r="O31" s="2"/>
      <c r="P31" s="36"/>
      <c r="Q31" s="36"/>
      <c r="R31" s="36"/>
      <c r="S31" s="36"/>
      <c r="T31" s="36"/>
      <c r="U31" s="36"/>
      <c r="V31" s="36"/>
      <c r="W31" s="36"/>
      <c r="X31" s="36"/>
      <c r="Y31" s="36"/>
      <c r="Z31" s="36"/>
      <c r="AA31" s="36"/>
      <c r="AB31" s="2"/>
    </row>
    <row r="32" spans="1:28" s="5" customFormat="1" ht="12.6" thickBot="1" x14ac:dyDescent="0.3">
      <c r="A32" s="150">
        <f>1</f>
        <v>1</v>
      </c>
      <c r="B32" s="129"/>
      <c r="C32" s="3"/>
      <c r="D32" s="3"/>
      <c r="E32" s="183" t="str">
        <f>KPI!$E$98</f>
        <v>Инвестиционные вложения</v>
      </c>
      <c r="F32" s="183"/>
      <c r="G32" s="183" t="str">
        <f>IF($E32="","",INDEX(KPI!$G:$G,SUMIFS(KPI!$B:$B,KPI!$E:$E,$E32)))</f>
        <v>тыс.руб.</v>
      </c>
      <c r="H32" s="183"/>
      <c r="I32" s="184"/>
      <c r="J32" s="183"/>
      <c r="K32" s="184"/>
      <c r="L32" s="183"/>
      <c r="M32" s="186">
        <f>капитал!$J$20</f>
        <v>12700</v>
      </c>
      <c r="N32" s="3"/>
      <c r="O32" s="3"/>
      <c r="P32" s="293"/>
      <c r="Q32" s="46"/>
      <c r="R32" s="46"/>
      <c r="S32" s="46"/>
      <c r="T32" s="46"/>
      <c r="U32" s="46"/>
      <c r="V32" s="46"/>
      <c r="W32" s="46"/>
      <c r="X32" s="46"/>
      <c r="Y32" s="46"/>
      <c r="Z32" s="46"/>
      <c r="AA32" s="46"/>
      <c r="AB32" s="3"/>
    </row>
    <row r="33" spans="1:40" s="5" customFormat="1" x14ac:dyDescent="0.25">
      <c r="A33" s="3"/>
      <c r="B33" s="3"/>
      <c r="C33" s="3"/>
      <c r="D33" s="3"/>
      <c r="E33" s="286" t="str">
        <f>структура!$AA$12</f>
        <v>право аренды</v>
      </c>
      <c r="F33" s="286"/>
      <c r="G33" s="286" t="str">
        <f>G32</f>
        <v>тыс.руб.</v>
      </c>
      <c r="H33" s="286"/>
      <c r="I33" s="286"/>
      <c r="J33" s="286"/>
      <c r="K33" s="283"/>
      <c r="L33" s="286"/>
      <c r="M33" s="287">
        <f>капитал!J21</f>
        <v>10000</v>
      </c>
      <c r="N33" s="3"/>
      <c r="O33" s="3"/>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3"/>
    </row>
    <row r="34" spans="1:40" s="5" customFormat="1" x14ac:dyDescent="0.25">
      <c r="A34" s="3"/>
      <c r="B34" s="3"/>
      <c r="C34" s="3"/>
      <c r="D34" s="3"/>
      <c r="E34" s="288" t="str">
        <f>структура!$AA$13</f>
        <v>строительство ЛЭП</v>
      </c>
      <c r="F34" s="288"/>
      <c r="G34" s="288" t="str">
        <f>G32</f>
        <v>тыс.руб.</v>
      </c>
      <c r="H34" s="288"/>
      <c r="I34" s="288"/>
      <c r="J34" s="288"/>
      <c r="K34" s="284"/>
      <c r="L34" s="288"/>
      <c r="M34" s="289">
        <f>капитал!J22</f>
        <v>1500</v>
      </c>
      <c r="N34" s="3"/>
      <c r="O34" s="3"/>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3"/>
    </row>
    <row r="35" spans="1:40" s="5" customFormat="1" x14ac:dyDescent="0.25">
      <c r="A35" s="3"/>
      <c r="B35" s="3"/>
      <c r="C35" s="3"/>
      <c r="D35" s="3"/>
      <c r="E35" s="290" t="str">
        <f>структура!$AA$14</f>
        <v>доп/затраты</v>
      </c>
      <c r="F35" s="290"/>
      <c r="G35" s="290" t="str">
        <f>G32</f>
        <v>тыс.руб.</v>
      </c>
      <c r="H35" s="290"/>
      <c r="I35" s="290"/>
      <c r="J35" s="290"/>
      <c r="K35" s="285"/>
      <c r="L35" s="290"/>
      <c r="M35" s="291">
        <f>капитал!J23</f>
        <v>1200</v>
      </c>
      <c r="N35" s="3"/>
      <c r="O35" s="3"/>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3"/>
    </row>
    <row r="36" spans="1:40" ht="3.9" customHeight="1" x14ac:dyDescent="0.25">
      <c r="A36" s="149">
        <f>1</f>
        <v>1</v>
      </c>
      <c r="B36" s="131"/>
      <c r="C36" s="2"/>
      <c r="D36" s="2"/>
      <c r="E36" s="140"/>
      <c r="F36" s="2"/>
      <c r="G36" s="140"/>
      <c r="H36" s="2"/>
      <c r="I36" s="28"/>
      <c r="J36" s="2"/>
      <c r="K36" s="28"/>
      <c r="L36" s="2"/>
      <c r="M36" s="141"/>
      <c r="N36" s="2"/>
      <c r="O36" s="2"/>
      <c r="P36" s="36"/>
      <c r="Q36" s="36"/>
      <c r="R36" s="36"/>
      <c r="S36" s="36"/>
      <c r="T36" s="36"/>
      <c r="U36" s="36"/>
      <c r="V36" s="36"/>
      <c r="W36" s="36"/>
      <c r="X36" s="36"/>
      <c r="Y36" s="36"/>
      <c r="Z36" s="36"/>
      <c r="AA36" s="36"/>
      <c r="AB36" s="2"/>
    </row>
    <row r="37" spans="1:40" ht="8.1" customHeight="1" x14ac:dyDescent="0.25">
      <c r="A37" s="149">
        <f>1</f>
        <v>1</v>
      </c>
      <c r="B37" s="131"/>
      <c r="C37" s="2"/>
      <c r="D37" s="2"/>
      <c r="E37" s="2"/>
      <c r="F37" s="2"/>
      <c r="G37" s="2"/>
      <c r="H37" s="2"/>
      <c r="I37" s="28"/>
      <c r="J37" s="2"/>
      <c r="K37" s="28"/>
      <c r="L37" s="2"/>
      <c r="M37" s="52"/>
      <c r="N37" s="2"/>
      <c r="O37" s="2"/>
      <c r="P37" s="36"/>
      <c r="Q37" s="36"/>
      <c r="R37" s="36"/>
      <c r="S37" s="36"/>
      <c r="T37" s="36"/>
      <c r="U37" s="36"/>
      <c r="V37" s="36"/>
      <c r="W37" s="36"/>
      <c r="X37" s="36"/>
      <c r="Y37" s="36"/>
      <c r="Z37" s="36"/>
      <c r="AA37" s="36"/>
      <c r="AB37" s="2"/>
    </row>
    <row r="38" spans="1:40" ht="3.9" customHeight="1" thickBot="1" x14ac:dyDescent="0.3">
      <c r="A38" s="149">
        <f>1</f>
        <v>1</v>
      </c>
      <c r="B38" s="131"/>
      <c r="C38" s="2"/>
      <c r="D38" s="2"/>
      <c r="E38" s="2"/>
      <c r="F38" s="2"/>
      <c r="G38" s="2"/>
      <c r="H38" s="2"/>
      <c r="I38" s="28"/>
      <c r="J38" s="2"/>
      <c r="K38" s="28"/>
      <c r="L38" s="2"/>
      <c r="M38" s="52"/>
      <c r="N38" s="2"/>
      <c r="O38" s="2"/>
      <c r="P38" s="36"/>
      <c r="Q38" s="36"/>
      <c r="R38" s="36"/>
      <c r="S38" s="36"/>
      <c r="T38" s="36"/>
      <c r="U38" s="36"/>
      <c r="V38" s="36"/>
      <c r="W38" s="36"/>
      <c r="X38" s="36"/>
      <c r="Y38" s="36"/>
      <c r="Z38" s="36"/>
      <c r="AA38" s="36"/>
      <c r="AB38" s="2"/>
    </row>
    <row r="39" spans="1:40" s="5" customFormat="1" ht="12.6" thickBot="1" x14ac:dyDescent="0.3">
      <c r="A39" s="150">
        <f>1</f>
        <v>1</v>
      </c>
      <c r="B39" s="129"/>
      <c r="C39" s="3"/>
      <c r="D39" s="3"/>
      <c r="E39" s="183" t="str">
        <f>KPI!$E$106</f>
        <v>Расчет покрывающей аренд/ставки с уч.дисконтир.</v>
      </c>
      <c r="F39" s="183"/>
      <c r="G39" s="183" t="str">
        <f>IF($E39="","",INDEX(KPI!$G:$G,SUMIFS(KPI!$B:$B,KPI!$E:$E,$E39)))</f>
        <v>тыс.руб.</v>
      </c>
      <c r="H39" s="183"/>
      <c r="I39" s="184"/>
      <c r="J39" s="183"/>
      <c r="K39" s="184"/>
      <c r="L39" s="183"/>
      <c r="M39" s="186">
        <f>операции!$P$445*$M$32*POWER((1+операции!$P$445),операции!$J$16)/(POWER((1+операции!$P$445),операции!$J$16)-1)</f>
        <v>2608.6498461975634</v>
      </c>
      <c r="N39" s="3"/>
      <c r="O39" s="3"/>
      <c r="P39" s="46"/>
      <c r="Q39" s="46"/>
      <c r="R39" s="46"/>
      <c r="S39" s="46"/>
      <c r="T39" s="46"/>
      <c r="U39" s="46"/>
      <c r="V39" s="46"/>
      <c r="W39" s="46"/>
      <c r="X39" s="46"/>
      <c r="Y39" s="46"/>
      <c r="Z39" s="46"/>
      <c r="AA39" s="46"/>
      <c r="AB39" s="3"/>
    </row>
    <row r="40" spans="1:40" ht="3.9" customHeight="1" x14ac:dyDescent="0.25">
      <c r="A40" s="149">
        <f>1</f>
        <v>1</v>
      </c>
      <c r="B40" s="131"/>
      <c r="C40" s="2"/>
      <c r="D40" s="2"/>
      <c r="E40" s="2"/>
      <c r="F40" s="2"/>
      <c r="G40" s="2"/>
      <c r="H40" s="2"/>
      <c r="I40" s="28"/>
      <c r="J40" s="2"/>
      <c r="K40" s="28"/>
      <c r="L40" s="2"/>
      <c r="M40" s="52"/>
      <c r="N40" s="2"/>
      <c r="O40" s="2"/>
      <c r="P40" s="36"/>
      <c r="Q40" s="36"/>
      <c r="R40" s="36"/>
      <c r="S40" s="36"/>
      <c r="T40" s="36"/>
      <c r="U40" s="36"/>
      <c r="V40" s="36"/>
      <c r="W40" s="36"/>
      <c r="X40" s="36"/>
      <c r="Y40" s="36"/>
      <c r="Z40" s="36"/>
      <c r="AA40" s="36"/>
      <c r="AB40" s="2"/>
    </row>
    <row r="41" spans="1:40" s="5" customFormat="1" x14ac:dyDescent="0.25">
      <c r="A41" s="150">
        <f>1</f>
        <v>1</v>
      </c>
      <c r="B41" s="129"/>
      <c r="C41" s="3"/>
      <c r="D41" s="3"/>
      <c r="E41" s="296" t="str">
        <f>KPI!$E$111</f>
        <v>Площадь земли под беседки</v>
      </c>
      <c r="F41" s="296"/>
      <c r="G41" s="296" t="str">
        <f>IF($E41="","",INDEX(KPI!$G:$G,SUMIFS(KPI!$B:$B,KPI!$E:$E,$E41)))</f>
        <v>Га</v>
      </c>
      <c r="H41" s="296"/>
      <c r="I41" s="297"/>
      <c r="J41" s="296"/>
      <c r="K41" s="297"/>
      <c r="L41" s="296"/>
      <c r="M41" s="298">
        <v>1.1000000000000001</v>
      </c>
      <c r="N41" s="3"/>
      <c r="O41" s="3"/>
      <c r="P41" s="46"/>
      <c r="Q41" s="46"/>
      <c r="R41" s="46"/>
      <c r="S41" s="46"/>
      <c r="T41" s="46"/>
      <c r="U41" s="46"/>
      <c r="V41" s="46"/>
      <c r="W41" s="46"/>
      <c r="X41" s="46"/>
      <c r="Y41" s="46"/>
      <c r="Z41" s="46"/>
      <c r="AA41" s="46"/>
      <c r="AB41" s="3"/>
    </row>
    <row r="42" spans="1:40" ht="3.9" customHeight="1" x14ac:dyDescent="0.25">
      <c r="A42" s="149">
        <f>1</f>
        <v>1</v>
      </c>
      <c r="B42" s="131"/>
      <c r="C42" s="2"/>
      <c r="D42" s="2"/>
      <c r="E42" s="2"/>
      <c r="F42" s="2"/>
      <c r="G42" s="2"/>
      <c r="H42" s="2"/>
      <c r="I42" s="28"/>
      <c r="J42" s="2"/>
      <c r="K42" s="28"/>
      <c r="L42" s="2"/>
      <c r="M42" s="52"/>
      <c r="N42" s="2"/>
      <c r="O42" s="2"/>
      <c r="P42" s="36"/>
      <c r="Q42" s="36"/>
      <c r="R42" s="36"/>
      <c r="S42" s="36"/>
      <c r="T42" s="36"/>
      <c r="U42" s="36"/>
      <c r="V42" s="36"/>
      <c r="W42" s="36"/>
      <c r="X42" s="36"/>
      <c r="Y42" s="36"/>
      <c r="Z42" s="36"/>
      <c r="AA42" s="36"/>
      <c r="AB42" s="2"/>
    </row>
    <row r="43" spans="1:40" s="5" customFormat="1" x14ac:dyDescent="0.25">
      <c r="A43" s="150">
        <f>1</f>
        <v>1</v>
      </c>
      <c r="B43" s="129"/>
      <c r="C43" s="3"/>
      <c r="D43" s="3"/>
      <c r="E43" s="296" t="str">
        <f>KPI!$E$112</f>
        <v>Площадь земли под веревочный парк</v>
      </c>
      <c r="F43" s="296"/>
      <c r="G43" s="296" t="str">
        <f>IF($E43="","",INDEX(KPI!$G:$G,SUMIFS(KPI!$B:$B,KPI!$E:$E,$E43)))</f>
        <v>Га</v>
      </c>
      <c r="H43" s="296"/>
      <c r="I43" s="297"/>
      <c r="J43" s="296"/>
      <c r="K43" s="297"/>
      <c r="L43" s="296"/>
      <c r="M43" s="298">
        <v>1.1000000000000001</v>
      </c>
      <c r="N43" s="3"/>
      <c r="O43" s="3"/>
      <c r="P43" s="46"/>
      <c r="Q43" s="46"/>
      <c r="R43" s="46"/>
      <c r="S43" s="46"/>
      <c r="T43" s="46"/>
      <c r="U43" s="46"/>
      <c r="V43" s="46"/>
      <c r="W43" s="46"/>
      <c r="X43" s="46"/>
      <c r="Y43" s="46"/>
      <c r="Z43" s="46"/>
      <c r="AA43" s="46"/>
      <c r="AB43" s="3"/>
    </row>
    <row r="44" spans="1:40" ht="3.9" customHeight="1" thickBot="1" x14ac:dyDescent="0.3">
      <c r="A44" s="149">
        <f>1</f>
        <v>1</v>
      </c>
      <c r="B44" s="131"/>
      <c r="C44" s="2"/>
      <c r="D44" s="2"/>
      <c r="E44" s="2"/>
      <c r="F44" s="2"/>
      <c r="G44" s="2"/>
      <c r="H44" s="2"/>
      <c r="I44" s="28"/>
      <c r="J44" s="2"/>
      <c r="K44" s="28"/>
      <c r="L44" s="2"/>
      <c r="M44" s="52"/>
      <c r="N44" s="2"/>
      <c r="O44" s="2"/>
      <c r="P44" s="36"/>
      <c r="Q44" s="36"/>
      <c r="R44" s="36"/>
      <c r="S44" s="36"/>
      <c r="T44" s="36"/>
      <c r="U44" s="36"/>
      <c r="V44" s="36"/>
      <c r="W44" s="36"/>
      <c r="X44" s="36"/>
      <c r="Y44" s="36"/>
      <c r="Z44" s="36"/>
      <c r="AA44" s="36"/>
      <c r="AB44" s="2"/>
    </row>
    <row r="45" spans="1:40" s="5" customFormat="1" ht="12.6" thickBot="1" x14ac:dyDescent="0.3">
      <c r="A45" s="150">
        <f>1</f>
        <v>1</v>
      </c>
      <c r="B45" s="129"/>
      <c r="C45" s="3"/>
      <c r="D45" s="3"/>
      <c r="E45" s="296" t="str">
        <f>KPI!$E$113</f>
        <v>арендная ставка по земле под беседки</v>
      </c>
      <c r="F45" s="296"/>
      <c r="G45" s="296" t="str">
        <f>IF($E45="","",INDEX(KPI!$G:$G,SUMIFS(KPI!$B:$B,KPI!$E:$E,$E45)))</f>
        <v>тыс.руб.</v>
      </c>
      <c r="H45" s="296"/>
      <c r="I45" s="297"/>
      <c r="J45" s="296"/>
      <c r="K45" s="297"/>
      <c r="L45" s="296"/>
      <c r="M45" s="186">
        <f>IF(M41+M43=0,0,M39*M41/(M41+M43))</f>
        <v>1304.3249230987817</v>
      </c>
      <c r="N45" s="3"/>
      <c r="O45" s="3"/>
      <c r="P45" s="46"/>
      <c r="Q45" s="46"/>
      <c r="R45" s="46"/>
      <c r="S45" s="46"/>
      <c r="T45" s="46"/>
      <c r="U45" s="46"/>
      <c r="V45" s="46"/>
      <c r="W45" s="46"/>
      <c r="X45" s="46"/>
      <c r="Y45" s="46"/>
      <c r="Z45" s="46"/>
      <c r="AA45" s="46"/>
      <c r="AB45" s="3"/>
    </row>
    <row r="46" spans="1:40" ht="3.9" customHeight="1" thickBot="1" x14ac:dyDescent="0.3">
      <c r="A46" s="149">
        <f>1</f>
        <v>1</v>
      </c>
      <c r="B46" s="131"/>
      <c r="C46" s="2"/>
      <c r="D46" s="2"/>
      <c r="E46" s="2"/>
      <c r="F46" s="2"/>
      <c r="G46" s="2"/>
      <c r="H46" s="2"/>
      <c r="I46" s="28"/>
      <c r="J46" s="2"/>
      <c r="K46" s="28"/>
      <c r="L46" s="2"/>
      <c r="M46" s="52"/>
      <c r="N46" s="2"/>
      <c r="O46" s="2"/>
      <c r="P46" s="36"/>
      <c r="Q46" s="36"/>
      <c r="R46" s="36"/>
      <c r="S46" s="36"/>
      <c r="T46" s="36"/>
      <c r="U46" s="36"/>
      <c r="V46" s="36"/>
      <c r="W46" s="36"/>
      <c r="X46" s="36"/>
      <c r="Y46" s="36"/>
      <c r="Z46" s="36"/>
      <c r="AA46" s="36"/>
      <c r="AB46" s="2"/>
    </row>
    <row r="47" spans="1:40" s="5" customFormat="1" ht="12.6" thickBot="1" x14ac:dyDescent="0.3">
      <c r="A47" s="150">
        <f>1</f>
        <v>1</v>
      </c>
      <c r="B47" s="129"/>
      <c r="C47" s="3"/>
      <c r="D47" s="3"/>
      <c r="E47" s="296" t="str">
        <f>KPI!$E$114</f>
        <v>арендная ставка по земле под в/парк</v>
      </c>
      <c r="F47" s="296"/>
      <c r="G47" s="296" t="str">
        <f>IF($E47="","",INDEX(KPI!$G:$G,SUMIFS(KPI!$B:$B,KPI!$E:$E,$E47)))</f>
        <v>тыс.руб.</v>
      </c>
      <c r="H47" s="296"/>
      <c r="I47" s="297"/>
      <c r="J47" s="296"/>
      <c r="K47" s="297"/>
      <c r="L47" s="296"/>
      <c r="M47" s="186">
        <f>IF(M41+M43=0,0,M39*M43/(M41+M43))</f>
        <v>1304.3249230987817</v>
      </c>
      <c r="N47" s="3"/>
      <c r="O47" s="3"/>
      <c r="P47" s="46"/>
      <c r="Q47" s="46"/>
      <c r="R47" s="46"/>
      <c r="S47" s="46"/>
      <c r="T47" s="46"/>
      <c r="U47" s="46"/>
      <c r="V47" s="46"/>
      <c r="W47" s="46"/>
      <c r="X47" s="46"/>
      <c r="Y47" s="46"/>
      <c r="Z47" s="46"/>
      <c r="AA47" s="46"/>
      <c r="AB47" s="3"/>
    </row>
    <row r="48" spans="1:40" ht="3.9" customHeight="1" x14ac:dyDescent="0.25">
      <c r="A48" s="149">
        <f>1</f>
        <v>1</v>
      </c>
      <c r="B48" s="131"/>
      <c r="C48" s="2"/>
      <c r="D48" s="2"/>
      <c r="E48" s="299"/>
      <c r="F48" s="2"/>
      <c r="G48" s="299"/>
      <c r="H48" s="2"/>
      <c r="I48" s="28"/>
      <c r="J48" s="2"/>
      <c r="K48" s="28"/>
      <c r="L48" s="2"/>
      <c r="M48" s="300"/>
      <c r="N48" s="2"/>
      <c r="O48" s="2"/>
      <c r="P48" s="36"/>
      <c r="Q48" s="36"/>
      <c r="R48" s="36"/>
      <c r="S48" s="36"/>
      <c r="T48" s="36"/>
      <c r="U48" s="36"/>
      <c r="V48" s="36"/>
      <c r="W48" s="36"/>
      <c r="X48" s="36"/>
      <c r="Y48" s="36"/>
      <c r="Z48" s="36"/>
      <c r="AA48" s="36"/>
      <c r="AB48" s="2"/>
    </row>
    <row r="49" spans="1:28" ht="3.9" customHeight="1" x14ac:dyDescent="0.25">
      <c r="A49" s="149">
        <f>1</f>
        <v>1</v>
      </c>
      <c r="B49" s="131"/>
      <c r="C49" s="2"/>
      <c r="D49" s="2"/>
      <c r="E49" s="2"/>
      <c r="F49" s="2"/>
      <c r="G49" s="2"/>
      <c r="H49" s="2"/>
      <c r="I49" s="28"/>
      <c r="J49" s="2"/>
      <c r="K49" s="28"/>
      <c r="L49" s="2"/>
      <c r="M49" s="52"/>
      <c r="N49" s="2"/>
      <c r="O49" s="2"/>
      <c r="P49" s="36"/>
      <c r="Q49" s="36"/>
      <c r="R49" s="36"/>
      <c r="S49" s="36"/>
      <c r="T49" s="36"/>
      <c r="U49" s="36"/>
      <c r="V49" s="36"/>
      <c r="W49" s="36"/>
      <c r="X49" s="36"/>
      <c r="Y49" s="36"/>
      <c r="Z49" s="36"/>
      <c r="AA49" s="36"/>
      <c r="AB49" s="2"/>
    </row>
    <row r="50" spans="1:28" s="5" customFormat="1" x14ac:dyDescent="0.25">
      <c r="A50" s="150">
        <f>1</f>
        <v>1</v>
      </c>
      <c r="B50" s="129"/>
      <c r="C50" s="3"/>
      <c r="D50" s="3"/>
      <c r="E50" s="3" t="str">
        <f>KPI!$E$99</f>
        <v>Коэффициент дисконтиования</v>
      </c>
      <c r="F50" s="3"/>
      <c r="G50" s="3" t="str">
        <f>IF($E50="","",INDEX(KPI!$G:$G,SUMIFS(KPI!$B:$B,KPI!$E:$E,$E50)))</f>
        <v>%</v>
      </c>
      <c r="H50" s="3"/>
      <c r="I50" s="28"/>
      <c r="J50" s="3"/>
      <c r="K50" s="28"/>
      <c r="L50" s="3"/>
      <c r="M50" s="55"/>
      <c r="N50" s="3"/>
      <c r="O50" s="3"/>
      <c r="P50" s="185">
        <f>IF(P$1="",0,(1+операции!P$445))</f>
        <v>1.1000000000000001</v>
      </c>
      <c r="Q50" s="185">
        <f>IF(Q$1="",0,P50*(1+операции!Q$445))</f>
        <v>1.2100000000000002</v>
      </c>
      <c r="R50" s="185">
        <f>IF(R$1="",0,Q50*(1+операции!R$445))</f>
        <v>1.3310000000000004</v>
      </c>
      <c r="S50" s="185">
        <f>IF(S$1="",0,R50*(1+операции!S$445))</f>
        <v>1.4641000000000006</v>
      </c>
      <c r="T50" s="185">
        <f>IF(T$1="",0,S50*(1+операции!T$445))</f>
        <v>1.6105100000000008</v>
      </c>
      <c r="U50" s="185">
        <f>IF(U$1="",0,T50*(1+операции!U$445))</f>
        <v>1.7715610000000011</v>
      </c>
      <c r="V50" s="185">
        <f>IF(V$1="",0,U50*(1+операции!V$445))</f>
        <v>1.9487171000000014</v>
      </c>
      <c r="W50" s="185">
        <f>IF(W$1="",0,V50*(1+операции!W$445))</f>
        <v>0</v>
      </c>
      <c r="X50" s="185">
        <f>IF(X$1="",0,W50*(1+операции!X$445))</f>
        <v>0</v>
      </c>
      <c r="Y50" s="185">
        <f>IF(Y$1="",0,X50*(1+операции!Y$445))</f>
        <v>0</v>
      </c>
      <c r="Z50" s="185">
        <f>IF(Z$1="",0,Y50*(1+операции!Z$445))</f>
        <v>0</v>
      </c>
      <c r="AA50" s="185">
        <f>IF(AA$1="",0,Z50*(1+операции!AA$445))</f>
        <v>0</v>
      </c>
      <c r="AB50" s="3"/>
    </row>
    <row r="51" spans="1:28" s="5" customFormat="1" ht="3.9" customHeight="1" x14ac:dyDescent="0.25">
      <c r="A51" s="150">
        <f>1</f>
        <v>1</v>
      </c>
      <c r="B51" s="128"/>
      <c r="C51" s="3"/>
      <c r="D51" s="3"/>
      <c r="E51" s="3"/>
      <c r="F51" s="3"/>
      <c r="G51" s="3"/>
      <c r="H51" s="3"/>
      <c r="I51" s="28"/>
      <c r="J51" s="3"/>
      <c r="K51" s="28"/>
      <c r="L51" s="3"/>
      <c r="M51" s="55"/>
      <c r="N51" s="3"/>
      <c r="O51" s="3"/>
      <c r="P51" s="46"/>
      <c r="Q51" s="46"/>
      <c r="R51" s="46"/>
      <c r="S51" s="46"/>
      <c r="T51" s="46"/>
      <c r="U51" s="46"/>
      <c r="V51" s="46"/>
      <c r="W51" s="46"/>
      <c r="X51" s="46"/>
      <c r="Y51" s="46"/>
      <c r="Z51" s="46"/>
      <c r="AA51" s="46"/>
      <c r="AB51" s="3"/>
    </row>
    <row r="52" spans="1:28" ht="3.9" customHeight="1" x14ac:dyDescent="0.25">
      <c r="A52" s="149">
        <f>1</f>
        <v>1</v>
      </c>
      <c r="B52" s="131"/>
      <c r="C52" s="2"/>
      <c r="D52" s="2"/>
      <c r="E52" s="2"/>
      <c r="F52" s="2"/>
      <c r="G52" s="2"/>
      <c r="H52" s="2"/>
      <c r="I52" s="28"/>
      <c r="J52" s="2"/>
      <c r="K52" s="28"/>
      <c r="L52" s="2"/>
      <c r="M52" s="52"/>
      <c r="N52" s="2"/>
      <c r="O52" s="2"/>
      <c r="P52" s="36"/>
      <c r="Q52" s="36"/>
      <c r="R52" s="36"/>
      <c r="S52" s="36"/>
      <c r="T52" s="36"/>
      <c r="U52" s="36"/>
      <c r="V52" s="36"/>
      <c r="W52" s="36"/>
      <c r="X52" s="36"/>
      <c r="Y52" s="36"/>
      <c r="Z52" s="36"/>
      <c r="AA52" s="36"/>
      <c r="AB52" s="2"/>
    </row>
    <row r="53" spans="1:28" s="5" customFormat="1" x14ac:dyDescent="0.25">
      <c r="A53" s="150">
        <f>1</f>
        <v>1</v>
      </c>
      <c r="B53" s="129" t="str">
        <f>структура!$J$12</f>
        <v>ОСНО</v>
      </c>
      <c r="C53" s="3"/>
      <c r="D53" s="3"/>
      <c r="E53" s="146" t="str">
        <f>KPI!$E$109</f>
        <v>NPV финпотока по арендной плате</v>
      </c>
      <c r="F53" s="146"/>
      <c r="G53" s="146" t="str">
        <f>IF($E53="","",INDEX(KPI!$G:$G,SUMIFS(KPI!$B:$B,KPI!$E:$E,$E53)))</f>
        <v>тыс.руб.</v>
      </c>
      <c r="H53" s="146"/>
      <c r="I53" s="177"/>
      <c r="J53" s="146"/>
      <c r="K53" s="177"/>
      <c r="L53" s="146"/>
      <c r="M53" s="178">
        <f>SUM($O53:$AB53)</f>
        <v>12699.999999999989</v>
      </c>
      <c r="N53" s="3"/>
      <c r="O53" s="3"/>
      <c r="P53" s="179">
        <f t="shared" ref="P53:AA53" si="1">IF(P$1="",0,IF(P$50=0,0,P17/P$50))</f>
        <v>2371.4998601796033</v>
      </c>
      <c r="Q53" s="179">
        <f t="shared" si="1"/>
        <v>2155.9089637996394</v>
      </c>
      <c r="R53" s="179">
        <f t="shared" si="1"/>
        <v>1959.9172398178534</v>
      </c>
      <c r="S53" s="179">
        <f t="shared" si="1"/>
        <v>1781.7429452889576</v>
      </c>
      <c r="T53" s="179">
        <f t="shared" si="1"/>
        <v>1619.7663138990522</v>
      </c>
      <c r="U53" s="179">
        <f t="shared" si="1"/>
        <v>1472.51483081732</v>
      </c>
      <c r="V53" s="179">
        <f t="shared" si="1"/>
        <v>1338.6498461975634</v>
      </c>
      <c r="W53" s="179">
        <f t="shared" si="1"/>
        <v>0</v>
      </c>
      <c r="X53" s="179">
        <f t="shared" si="1"/>
        <v>0</v>
      </c>
      <c r="Y53" s="179">
        <f t="shared" si="1"/>
        <v>0</v>
      </c>
      <c r="Z53" s="179">
        <f t="shared" si="1"/>
        <v>0</v>
      </c>
      <c r="AA53" s="179">
        <f t="shared" si="1"/>
        <v>0</v>
      </c>
      <c r="AB53" s="3"/>
    </row>
    <row r="54" spans="1:28" s="5" customFormat="1" ht="3.9" customHeight="1" x14ac:dyDescent="0.25">
      <c r="A54" s="150">
        <f>1</f>
        <v>1</v>
      </c>
      <c r="B54" s="128"/>
      <c r="C54" s="3"/>
      <c r="D54" s="3"/>
      <c r="E54" s="3"/>
      <c r="F54" s="3"/>
      <c r="G54" s="3"/>
      <c r="H54" s="3"/>
      <c r="I54" s="28"/>
      <c r="J54" s="3"/>
      <c r="K54" s="28"/>
      <c r="L54" s="3"/>
      <c r="M54" s="55"/>
      <c r="N54" s="3"/>
      <c r="O54" s="3"/>
      <c r="P54" s="46"/>
      <c r="Q54" s="46"/>
      <c r="R54" s="46"/>
      <c r="S54" s="46"/>
      <c r="T54" s="46"/>
      <c r="U54" s="46"/>
      <c r="V54" s="46"/>
      <c r="W54" s="46"/>
      <c r="X54" s="46"/>
      <c r="Y54" s="46"/>
      <c r="Z54" s="46"/>
      <c r="AA54" s="46"/>
      <c r="AB54" s="3"/>
    </row>
    <row r="55" spans="1:28" s="5" customFormat="1" x14ac:dyDescent="0.25">
      <c r="A55" s="150">
        <f>1</f>
        <v>1</v>
      </c>
      <c r="B55" s="129" t="str">
        <f>структура!$J$13</f>
        <v>УСН(6%)</v>
      </c>
      <c r="C55" s="3"/>
      <c r="D55" s="3"/>
      <c r="E55" s="146" t="str">
        <f>E53</f>
        <v>NPV финпотока по арендной плате</v>
      </c>
      <c r="F55" s="146"/>
      <c r="G55" s="146" t="str">
        <f>IF($E55="","",INDEX(KPI!$G:$G,SUMIFS(KPI!$B:$B,KPI!$E:$E,$E55)))</f>
        <v>тыс.руб.</v>
      </c>
      <c r="H55" s="146"/>
      <c r="I55" s="177"/>
      <c r="J55" s="146"/>
      <c r="K55" s="177"/>
      <c r="L55" s="146"/>
      <c r="M55" s="178">
        <f>SUM($O55:$AB55)</f>
        <v>12699.999999999989</v>
      </c>
      <c r="N55" s="3"/>
      <c r="O55" s="3"/>
      <c r="P55" s="179">
        <f t="shared" ref="P55:AA55" si="2">IF(P$1="",0,IF(P$50=0,0,P19/P$50))</f>
        <v>2371.4998601796033</v>
      </c>
      <c r="Q55" s="179">
        <f t="shared" si="2"/>
        <v>2155.9089637996394</v>
      </c>
      <c r="R55" s="179">
        <f t="shared" si="2"/>
        <v>1959.9172398178534</v>
      </c>
      <c r="S55" s="179">
        <f t="shared" si="2"/>
        <v>1781.7429452889576</v>
      </c>
      <c r="T55" s="179">
        <f t="shared" si="2"/>
        <v>1619.7663138990522</v>
      </c>
      <c r="U55" s="179">
        <f t="shared" si="2"/>
        <v>1472.51483081732</v>
      </c>
      <c r="V55" s="179">
        <f t="shared" si="2"/>
        <v>1338.6498461975634</v>
      </c>
      <c r="W55" s="179">
        <f t="shared" si="2"/>
        <v>0</v>
      </c>
      <c r="X55" s="179">
        <f t="shared" si="2"/>
        <v>0</v>
      </c>
      <c r="Y55" s="179">
        <f t="shared" si="2"/>
        <v>0</v>
      </c>
      <c r="Z55" s="179">
        <f t="shared" si="2"/>
        <v>0</v>
      </c>
      <c r="AA55" s="179">
        <f t="shared" si="2"/>
        <v>0</v>
      </c>
      <c r="AB55" s="3"/>
    </row>
    <row r="56" spans="1:28" s="5" customFormat="1" ht="3.9" customHeight="1" x14ac:dyDescent="0.25">
      <c r="A56" s="150">
        <f>1</f>
        <v>1</v>
      </c>
      <c r="B56" s="128"/>
      <c r="C56" s="3"/>
      <c r="D56" s="3"/>
      <c r="E56" s="3"/>
      <c r="F56" s="3"/>
      <c r="G56" s="3"/>
      <c r="H56" s="3"/>
      <c r="I56" s="28"/>
      <c r="J56" s="3"/>
      <c r="K56" s="28"/>
      <c r="L56" s="3"/>
      <c r="M56" s="55"/>
      <c r="N56" s="3"/>
      <c r="O56" s="3"/>
      <c r="P56" s="46"/>
      <c r="Q56" s="46"/>
      <c r="R56" s="46"/>
      <c r="S56" s="46"/>
      <c r="T56" s="46"/>
      <c r="U56" s="46"/>
      <c r="V56" s="46"/>
      <c r="W56" s="46"/>
      <c r="X56" s="46"/>
      <c r="Y56" s="46"/>
      <c r="Z56" s="46"/>
      <c r="AA56" s="46"/>
      <c r="AB56" s="3"/>
    </row>
    <row r="57" spans="1:28" s="5" customFormat="1" x14ac:dyDescent="0.25">
      <c r="A57" s="150">
        <f>1</f>
        <v>1</v>
      </c>
      <c r="B57" s="129" t="str">
        <f>структура!$J$14</f>
        <v>УСН(15%)</v>
      </c>
      <c r="C57" s="3"/>
      <c r="D57" s="3"/>
      <c r="E57" s="146" t="str">
        <f>E53</f>
        <v>NPV финпотока по арендной плате</v>
      </c>
      <c r="F57" s="146"/>
      <c r="G57" s="146" t="str">
        <f>IF($E57="","",INDEX(KPI!$G:$G,SUMIFS(KPI!$B:$B,KPI!$E:$E,$E57)))</f>
        <v>тыс.руб.</v>
      </c>
      <c r="H57" s="146"/>
      <c r="I57" s="177"/>
      <c r="J57" s="146"/>
      <c r="K57" s="177"/>
      <c r="L57" s="146"/>
      <c r="M57" s="178">
        <f>SUM($O57:$AB57)</f>
        <v>12699.999999999989</v>
      </c>
      <c r="N57" s="3"/>
      <c r="O57" s="3"/>
      <c r="P57" s="179">
        <f t="shared" ref="P57:AA57" si="3">IF(P$1="",0,IF(P$50=0,0,P21/P$50))</f>
        <v>2371.4998601796033</v>
      </c>
      <c r="Q57" s="179">
        <f t="shared" si="3"/>
        <v>2155.9089637996394</v>
      </c>
      <c r="R57" s="179">
        <f t="shared" si="3"/>
        <v>1959.9172398178534</v>
      </c>
      <c r="S57" s="179">
        <f t="shared" si="3"/>
        <v>1781.7429452889576</v>
      </c>
      <c r="T57" s="179">
        <f t="shared" si="3"/>
        <v>1619.7663138990522</v>
      </c>
      <c r="U57" s="179">
        <f t="shared" si="3"/>
        <v>1472.51483081732</v>
      </c>
      <c r="V57" s="179">
        <f t="shared" si="3"/>
        <v>1338.6498461975634</v>
      </c>
      <c r="W57" s="179">
        <f t="shared" si="3"/>
        <v>0</v>
      </c>
      <c r="X57" s="179">
        <f t="shared" si="3"/>
        <v>0</v>
      </c>
      <c r="Y57" s="179">
        <f t="shared" si="3"/>
        <v>0</v>
      </c>
      <c r="Z57" s="179">
        <f t="shared" si="3"/>
        <v>0</v>
      </c>
      <c r="AA57" s="179">
        <f t="shared" si="3"/>
        <v>0</v>
      </c>
      <c r="AB57" s="3"/>
    </row>
    <row r="58" spans="1:28" s="5" customFormat="1" ht="3.9" customHeight="1" x14ac:dyDescent="0.25">
      <c r="A58" s="150">
        <f>1</f>
        <v>1</v>
      </c>
      <c r="B58" s="128"/>
      <c r="C58" s="3"/>
      <c r="D58" s="3"/>
      <c r="E58" s="3"/>
      <c r="F58" s="3"/>
      <c r="G58" s="3"/>
      <c r="H58" s="3"/>
      <c r="I58" s="28"/>
      <c r="J58" s="3"/>
      <c r="K58" s="28"/>
      <c r="L58" s="3"/>
      <c r="M58" s="55"/>
      <c r="N58" s="3"/>
      <c r="O58" s="3"/>
      <c r="P58" s="46"/>
      <c r="Q58" s="46"/>
      <c r="R58" s="46"/>
      <c r="S58" s="46"/>
      <c r="T58" s="46"/>
      <c r="U58" s="46"/>
      <c r="V58" s="46"/>
      <c r="W58" s="46"/>
      <c r="X58" s="46"/>
      <c r="Y58" s="46"/>
      <c r="Z58" s="46"/>
      <c r="AA58" s="46"/>
      <c r="AB58" s="3"/>
    </row>
    <row r="59" spans="1:28" s="5" customFormat="1" x14ac:dyDescent="0.25">
      <c r="A59" s="150">
        <f>1</f>
        <v>1</v>
      </c>
      <c r="B59" s="129" t="str">
        <f>структура!$J$15</f>
        <v>УСН(6%)-ИП</v>
      </c>
      <c r="C59" s="3"/>
      <c r="D59" s="3"/>
      <c r="E59" s="146" t="str">
        <f>E53</f>
        <v>NPV финпотока по арендной плате</v>
      </c>
      <c r="F59" s="146"/>
      <c r="G59" s="146" t="str">
        <f>IF($E59="","",INDEX(KPI!$G:$G,SUMIFS(KPI!$B:$B,KPI!$E:$E,$E59)))</f>
        <v>тыс.руб.</v>
      </c>
      <c r="H59" s="146"/>
      <c r="I59" s="177"/>
      <c r="J59" s="146"/>
      <c r="K59" s="177"/>
      <c r="L59" s="146"/>
      <c r="M59" s="178">
        <f>SUM($O59:$AB59)</f>
        <v>12699.999999999989</v>
      </c>
      <c r="N59" s="3"/>
      <c r="O59" s="3"/>
      <c r="P59" s="179">
        <f t="shared" ref="P59:AA59" si="4">IF(P$1="",0,IF(P$50=0,0,P23/P$50))</f>
        <v>2371.4998601796033</v>
      </c>
      <c r="Q59" s="179">
        <f t="shared" si="4"/>
        <v>2155.9089637996394</v>
      </c>
      <c r="R59" s="179">
        <f t="shared" si="4"/>
        <v>1959.9172398178534</v>
      </c>
      <c r="S59" s="179">
        <f t="shared" si="4"/>
        <v>1781.7429452889576</v>
      </c>
      <c r="T59" s="179">
        <f t="shared" si="4"/>
        <v>1619.7663138990522</v>
      </c>
      <c r="U59" s="179">
        <f t="shared" si="4"/>
        <v>1472.51483081732</v>
      </c>
      <c r="V59" s="179">
        <f t="shared" si="4"/>
        <v>1338.6498461975634</v>
      </c>
      <c r="W59" s="179">
        <f t="shared" si="4"/>
        <v>0</v>
      </c>
      <c r="X59" s="179">
        <f t="shared" si="4"/>
        <v>0</v>
      </c>
      <c r="Y59" s="179">
        <f t="shared" si="4"/>
        <v>0</v>
      </c>
      <c r="Z59" s="179">
        <f t="shared" si="4"/>
        <v>0</v>
      </c>
      <c r="AA59" s="179">
        <f t="shared" si="4"/>
        <v>0</v>
      </c>
      <c r="AB59" s="3"/>
    </row>
    <row r="60" spans="1:28" ht="3.9" customHeight="1" x14ac:dyDescent="0.25">
      <c r="A60" s="149">
        <f>1</f>
        <v>1</v>
      </c>
      <c r="B60" s="131"/>
      <c r="C60" s="2"/>
      <c r="D60" s="2"/>
      <c r="E60" s="119"/>
      <c r="F60" s="2"/>
      <c r="G60" s="119"/>
      <c r="H60" s="2"/>
      <c r="I60" s="28"/>
      <c r="J60" s="2"/>
      <c r="K60" s="28"/>
      <c r="L60" s="2"/>
      <c r="M60" s="142"/>
      <c r="N60" s="2"/>
      <c r="O60" s="2"/>
      <c r="P60" s="36"/>
      <c r="Q60" s="36"/>
      <c r="R60" s="36"/>
      <c r="S60" s="36"/>
      <c r="T60" s="36"/>
      <c r="U60" s="36"/>
      <c r="V60" s="36"/>
      <c r="W60" s="36"/>
      <c r="X60" s="36"/>
      <c r="Y60" s="36"/>
      <c r="Z60" s="36"/>
      <c r="AA60" s="36"/>
      <c r="AB60" s="2"/>
    </row>
    <row r="61" spans="1:28" ht="8.1" customHeight="1" x14ac:dyDescent="0.25">
      <c r="A61" s="149">
        <f>1</f>
        <v>1</v>
      </c>
      <c r="B61" s="131"/>
      <c r="C61" s="2"/>
      <c r="D61" s="2"/>
      <c r="E61" s="2"/>
      <c r="F61" s="2"/>
      <c r="G61" s="2"/>
      <c r="H61" s="2"/>
      <c r="I61" s="28"/>
      <c r="J61" s="2"/>
      <c r="K61" s="28"/>
      <c r="L61" s="2"/>
      <c r="M61" s="52"/>
      <c r="N61" s="2"/>
      <c r="O61" s="2"/>
      <c r="P61" s="36"/>
      <c r="Q61" s="36"/>
      <c r="R61" s="36"/>
      <c r="S61" s="36"/>
      <c r="T61" s="36"/>
      <c r="U61" s="36"/>
      <c r="V61" s="36"/>
      <c r="W61" s="36"/>
      <c r="X61" s="36"/>
      <c r="Y61" s="36"/>
      <c r="Z61" s="36"/>
      <c r="AA61" s="36"/>
      <c r="AB61" s="2"/>
    </row>
    <row r="62" spans="1:28" ht="3.9" customHeight="1" x14ac:dyDescent="0.25">
      <c r="A62" s="149">
        <f>1</f>
        <v>1</v>
      </c>
      <c r="B62" s="131"/>
      <c r="C62" s="2"/>
      <c r="D62" s="2"/>
      <c r="E62" s="2"/>
      <c r="F62" s="2"/>
      <c r="G62" s="2"/>
      <c r="H62" s="2"/>
      <c r="I62" s="28"/>
      <c r="J62" s="2"/>
      <c r="K62" s="28"/>
      <c r="L62" s="2"/>
      <c r="M62" s="52"/>
      <c r="N62" s="2"/>
      <c r="O62" s="2"/>
      <c r="P62" s="36"/>
      <c r="Q62" s="36"/>
      <c r="R62" s="36"/>
      <c r="S62" s="36"/>
      <c r="T62" s="36"/>
      <c r="U62" s="36"/>
      <c r="V62" s="36"/>
      <c r="W62" s="36"/>
      <c r="X62" s="36"/>
      <c r="Y62" s="36"/>
      <c r="Z62" s="36"/>
      <c r="AA62" s="36"/>
      <c r="AB62" s="2"/>
    </row>
    <row r="63" spans="1:28" s="5" customFormat="1" x14ac:dyDescent="0.25">
      <c r="A63" s="150">
        <f>1</f>
        <v>1</v>
      </c>
      <c r="B63" s="129" t="str">
        <f>структура!$J$12</f>
        <v>ОСНО</v>
      </c>
      <c r="C63" s="3"/>
      <c r="D63" s="3"/>
      <c r="E63" s="147" t="str">
        <f>KPI!$E$110</f>
        <v>NPV финпотока по арендной плате - Inv</v>
      </c>
      <c r="F63" s="147"/>
      <c r="G63" s="147" t="str">
        <f>IF($E63="","",INDEX(KPI!$G:$G,SUMIFS(KPI!$B:$B,KPI!$E:$E,$E63)))</f>
        <v>тыс.руб.</v>
      </c>
      <c r="H63" s="147"/>
      <c r="I63" s="170"/>
      <c r="J63" s="295" t="s">
        <v>350</v>
      </c>
      <c r="K63" s="170"/>
      <c r="L63" s="147"/>
      <c r="M63" s="171">
        <f>M53-M$32</f>
        <v>0</v>
      </c>
      <c r="N63" s="3"/>
      <c r="O63" s="3"/>
      <c r="P63" s="46"/>
      <c r="Q63" s="46"/>
      <c r="R63" s="46"/>
      <c r="S63" s="46"/>
      <c r="T63" s="46"/>
      <c r="U63" s="46"/>
      <c r="V63" s="46"/>
      <c r="W63" s="46"/>
      <c r="X63" s="46"/>
      <c r="Y63" s="46"/>
      <c r="Z63" s="46"/>
      <c r="AA63" s="46"/>
      <c r="AB63" s="3"/>
    </row>
    <row r="64" spans="1:28" s="5" customFormat="1" ht="3.9" customHeight="1" x14ac:dyDescent="0.25">
      <c r="A64" s="150">
        <f>1</f>
        <v>1</v>
      </c>
      <c r="B64" s="128"/>
      <c r="C64" s="3"/>
      <c r="D64" s="3"/>
      <c r="E64" s="3"/>
      <c r="F64" s="3"/>
      <c r="G64" s="3"/>
      <c r="H64" s="3"/>
      <c r="I64" s="28"/>
      <c r="J64" s="3"/>
      <c r="K64" s="28"/>
      <c r="L64" s="3"/>
      <c r="M64" s="55"/>
      <c r="N64" s="3"/>
      <c r="O64" s="3"/>
      <c r="P64" s="46"/>
      <c r="Q64" s="46"/>
      <c r="R64" s="46"/>
      <c r="S64" s="46"/>
      <c r="T64" s="46"/>
      <c r="U64" s="46"/>
      <c r="V64" s="46"/>
      <c r="W64" s="46"/>
      <c r="X64" s="46"/>
      <c r="Y64" s="46"/>
      <c r="Z64" s="46"/>
      <c r="AA64" s="46"/>
      <c r="AB64" s="3"/>
    </row>
    <row r="65" spans="1:28" s="5" customFormat="1" x14ac:dyDescent="0.25">
      <c r="A65" s="150">
        <f>1</f>
        <v>1</v>
      </c>
      <c r="B65" s="129" t="str">
        <f>структура!$J$13</f>
        <v>УСН(6%)</v>
      </c>
      <c r="C65" s="3"/>
      <c r="D65" s="3"/>
      <c r="E65" s="147" t="str">
        <f>E63</f>
        <v>NPV финпотока по арендной плате - Inv</v>
      </c>
      <c r="F65" s="147"/>
      <c r="G65" s="147" t="str">
        <f>IF($E65="","",INDEX(KPI!$G:$G,SUMIFS(KPI!$B:$B,KPI!$E:$E,$E65)))</f>
        <v>тыс.руб.</v>
      </c>
      <c r="H65" s="147"/>
      <c r="I65" s="170"/>
      <c r="J65" s="295" t="str">
        <f>J63</f>
        <v>д/б равен 0</v>
      </c>
      <c r="K65" s="170"/>
      <c r="L65" s="147"/>
      <c r="M65" s="171">
        <f>M55-M$32</f>
        <v>0</v>
      </c>
      <c r="N65" s="3"/>
      <c r="O65" s="3"/>
      <c r="P65" s="46"/>
      <c r="Q65" s="46"/>
      <c r="R65" s="46"/>
      <c r="S65" s="46"/>
      <c r="T65" s="46"/>
      <c r="U65" s="46"/>
      <c r="V65" s="46"/>
      <c r="W65" s="46"/>
      <c r="X65" s="46"/>
      <c r="Y65" s="46"/>
      <c r="Z65" s="46"/>
      <c r="AA65" s="46"/>
      <c r="AB65" s="3"/>
    </row>
    <row r="66" spans="1:28" s="5" customFormat="1" ht="3.9" customHeight="1" x14ac:dyDescent="0.25">
      <c r="A66" s="150">
        <f>1</f>
        <v>1</v>
      </c>
      <c r="B66" s="128"/>
      <c r="C66" s="3"/>
      <c r="D66" s="3"/>
      <c r="E66" s="3"/>
      <c r="F66" s="3"/>
      <c r="G66" s="3"/>
      <c r="H66" s="3"/>
      <c r="I66" s="28"/>
      <c r="J66" s="3"/>
      <c r="K66" s="28"/>
      <c r="L66" s="3"/>
      <c r="M66" s="55"/>
      <c r="N66" s="3"/>
      <c r="O66" s="3"/>
      <c r="P66" s="46"/>
      <c r="Q66" s="46"/>
      <c r="R66" s="46"/>
      <c r="S66" s="46"/>
      <c r="T66" s="46"/>
      <c r="U66" s="46"/>
      <c r="V66" s="46"/>
      <c r="W66" s="46"/>
      <c r="X66" s="46"/>
      <c r="Y66" s="46"/>
      <c r="Z66" s="46"/>
      <c r="AA66" s="46"/>
      <c r="AB66" s="3"/>
    </row>
    <row r="67" spans="1:28" s="5" customFormat="1" x14ac:dyDescent="0.25">
      <c r="A67" s="150">
        <f>1</f>
        <v>1</v>
      </c>
      <c r="B67" s="129" t="str">
        <f>структура!$J$14</f>
        <v>УСН(15%)</v>
      </c>
      <c r="C67" s="3"/>
      <c r="D67" s="3"/>
      <c r="E67" s="147" t="str">
        <f>E63</f>
        <v>NPV финпотока по арендной плате - Inv</v>
      </c>
      <c r="F67" s="147"/>
      <c r="G67" s="147" t="str">
        <f>IF($E67="","",INDEX(KPI!$G:$G,SUMIFS(KPI!$B:$B,KPI!$E:$E,$E67)))</f>
        <v>тыс.руб.</v>
      </c>
      <c r="H67" s="147"/>
      <c r="I67" s="170"/>
      <c r="J67" s="295" t="str">
        <f>J63</f>
        <v>д/б равен 0</v>
      </c>
      <c r="K67" s="170"/>
      <c r="L67" s="147"/>
      <c r="M67" s="171">
        <f>M57-M$32</f>
        <v>0</v>
      </c>
      <c r="N67" s="3"/>
      <c r="O67" s="3"/>
      <c r="P67" s="46"/>
      <c r="Q67" s="46"/>
      <c r="R67" s="46"/>
      <c r="S67" s="46"/>
      <c r="T67" s="46"/>
      <c r="U67" s="46"/>
      <c r="V67" s="46"/>
      <c r="W67" s="46"/>
      <c r="X67" s="46"/>
      <c r="Y67" s="46"/>
      <c r="Z67" s="46"/>
      <c r="AA67" s="46"/>
      <c r="AB67" s="3"/>
    </row>
    <row r="68" spans="1:28" s="5" customFormat="1" ht="3.9" customHeight="1" x14ac:dyDescent="0.25">
      <c r="A68" s="150">
        <f>1</f>
        <v>1</v>
      </c>
      <c r="B68" s="128"/>
      <c r="C68" s="3"/>
      <c r="D68" s="3"/>
      <c r="E68" s="3"/>
      <c r="F68" s="3"/>
      <c r="G68" s="3"/>
      <c r="H68" s="3"/>
      <c r="I68" s="28"/>
      <c r="J68" s="3"/>
      <c r="K68" s="28"/>
      <c r="L68" s="3"/>
      <c r="M68" s="55"/>
      <c r="N68" s="3"/>
      <c r="O68" s="3"/>
      <c r="P68" s="46"/>
      <c r="Q68" s="46"/>
      <c r="R68" s="46"/>
      <c r="S68" s="46"/>
      <c r="T68" s="46"/>
      <c r="U68" s="46"/>
      <c r="V68" s="46"/>
      <c r="W68" s="46"/>
      <c r="X68" s="46"/>
      <c r="Y68" s="46"/>
      <c r="Z68" s="46"/>
      <c r="AA68" s="46"/>
      <c r="AB68" s="3"/>
    </row>
    <row r="69" spans="1:28" s="5" customFormat="1" x14ac:dyDescent="0.25">
      <c r="A69" s="150">
        <f>1</f>
        <v>1</v>
      </c>
      <c r="B69" s="129" t="str">
        <f>структура!$J$15</f>
        <v>УСН(6%)-ИП</v>
      </c>
      <c r="C69" s="3"/>
      <c r="D69" s="3"/>
      <c r="E69" s="147" t="str">
        <f>E63</f>
        <v>NPV финпотока по арендной плате - Inv</v>
      </c>
      <c r="F69" s="147"/>
      <c r="G69" s="147" t="str">
        <f>IF($E69="","",INDEX(KPI!$G:$G,SUMIFS(KPI!$B:$B,KPI!$E:$E,$E69)))</f>
        <v>тыс.руб.</v>
      </c>
      <c r="H69" s="147"/>
      <c r="I69" s="170"/>
      <c r="J69" s="295" t="str">
        <f>J63</f>
        <v>д/б равен 0</v>
      </c>
      <c r="K69" s="170"/>
      <c r="L69" s="147"/>
      <c r="M69" s="171">
        <f>M59-M$32</f>
        <v>0</v>
      </c>
      <c r="N69" s="3"/>
      <c r="O69" s="3"/>
      <c r="P69" s="46"/>
      <c r="Q69" s="46"/>
      <c r="R69" s="46"/>
      <c r="S69" s="46"/>
      <c r="T69" s="46"/>
      <c r="U69" s="46"/>
      <c r="V69" s="46"/>
      <c r="W69" s="46"/>
      <c r="X69" s="46"/>
      <c r="Y69" s="46"/>
      <c r="Z69" s="46"/>
      <c r="AA69" s="46"/>
      <c r="AB69" s="3"/>
    </row>
    <row r="70" spans="1:28" ht="3.9" customHeight="1" x14ac:dyDescent="0.25">
      <c r="A70" s="149">
        <f>1</f>
        <v>1</v>
      </c>
      <c r="B70" s="131"/>
      <c r="C70" s="2"/>
      <c r="D70" s="2"/>
      <c r="E70" s="117"/>
      <c r="F70" s="2"/>
      <c r="G70" s="117"/>
      <c r="H70" s="2"/>
      <c r="I70" s="28"/>
      <c r="J70" s="2"/>
      <c r="K70" s="28"/>
      <c r="L70" s="2"/>
      <c r="M70" s="138"/>
      <c r="N70" s="2"/>
      <c r="O70" s="2"/>
      <c r="P70" s="36"/>
      <c r="Q70" s="36"/>
      <c r="R70" s="36"/>
      <c r="S70" s="36"/>
      <c r="T70" s="36"/>
      <c r="U70" s="36"/>
      <c r="V70" s="36"/>
      <c r="W70" s="36"/>
      <c r="X70" s="36"/>
      <c r="Y70" s="36"/>
      <c r="Z70" s="36"/>
      <c r="AA70" s="36"/>
      <c r="AB70" s="2"/>
    </row>
    <row r="71" spans="1:28" ht="8.1" customHeight="1" x14ac:dyDescent="0.25">
      <c r="A71" s="149">
        <f>1</f>
        <v>1</v>
      </c>
      <c r="B71" s="131"/>
      <c r="C71" s="2"/>
      <c r="D71" s="2"/>
      <c r="E71" s="2"/>
      <c r="F71" s="2"/>
      <c r="G71" s="2"/>
      <c r="H71" s="2"/>
      <c r="I71" s="28"/>
      <c r="J71" s="2"/>
      <c r="K71" s="28"/>
      <c r="L71" s="2"/>
      <c r="M71" s="52"/>
      <c r="N71" s="2"/>
      <c r="O71" s="2"/>
      <c r="P71" s="36"/>
      <c r="Q71" s="36"/>
      <c r="R71" s="36"/>
      <c r="S71" s="36"/>
      <c r="T71" s="36"/>
      <c r="U71" s="36"/>
      <c r="V71" s="36"/>
      <c r="W71" s="36"/>
      <c r="X71" s="36"/>
      <c r="Y71" s="36"/>
      <c r="Z71" s="36"/>
      <c r="AA71" s="36"/>
      <c r="AB71" s="2"/>
    </row>
    <row r="72" spans="1:28" ht="3.9" customHeight="1" x14ac:dyDescent="0.25">
      <c r="A72" s="149">
        <f>1</f>
        <v>1</v>
      </c>
      <c r="B72" s="131"/>
      <c r="C72" s="2"/>
      <c r="D72" s="2"/>
      <c r="E72" s="2"/>
      <c r="F72" s="2"/>
      <c r="G72" s="2"/>
      <c r="H72" s="2"/>
      <c r="I72" s="28"/>
      <c r="J72" s="2"/>
      <c r="K72" s="28"/>
      <c r="L72" s="2"/>
      <c r="M72" s="52"/>
      <c r="N72" s="2"/>
      <c r="O72" s="2"/>
      <c r="P72" s="36"/>
      <c r="Q72" s="36"/>
      <c r="R72" s="36"/>
      <c r="S72" s="36"/>
      <c r="T72" s="36"/>
      <c r="U72" s="36"/>
      <c r="V72" s="36"/>
      <c r="W72" s="36"/>
      <c r="X72" s="36"/>
      <c r="Y72" s="36"/>
      <c r="Z72" s="36"/>
      <c r="AA72" s="36"/>
      <c r="AB72" s="2"/>
    </row>
    <row r="73" spans="1:28" s="5" customFormat="1" x14ac:dyDescent="0.25">
      <c r="A73" s="150">
        <f>1</f>
        <v>1</v>
      </c>
      <c r="B73" s="129" t="str">
        <f>структура!$J$12</f>
        <v>ОСНО</v>
      </c>
      <c r="C73" s="3"/>
      <c r="D73" s="3"/>
      <c r="E73" s="147" t="str">
        <f>KPI!$E$102</f>
        <v>PI</v>
      </c>
      <c r="F73" s="147"/>
      <c r="G73" s="147" t="str">
        <f>IF($E73="","",INDEX(KPI!$G:$G,SUMIFS(KPI!$B:$B,KPI!$E:$E,$E73)))</f>
        <v>разы</v>
      </c>
      <c r="H73" s="147"/>
      <c r="I73" s="170"/>
      <c r="J73" s="147"/>
      <c r="K73" s="170"/>
      <c r="L73" s="147"/>
      <c r="M73" s="187">
        <f>IF(M$32=0,0,M53/M$32)</f>
        <v>0.99999999999999911</v>
      </c>
      <c r="N73" s="3"/>
      <c r="O73" s="3"/>
      <c r="P73" s="46"/>
      <c r="Q73" s="46"/>
      <c r="R73" s="46"/>
      <c r="S73" s="46"/>
      <c r="T73" s="46"/>
      <c r="U73" s="46"/>
      <c r="V73" s="46"/>
      <c r="W73" s="46"/>
      <c r="X73" s="46"/>
      <c r="Y73" s="46"/>
      <c r="Z73" s="46"/>
      <c r="AA73" s="46"/>
      <c r="AB73" s="3"/>
    </row>
    <row r="74" spans="1:28" s="5" customFormat="1" ht="3.9" customHeight="1" x14ac:dyDescent="0.25">
      <c r="A74" s="150">
        <f>1</f>
        <v>1</v>
      </c>
      <c r="B74" s="128"/>
      <c r="C74" s="3"/>
      <c r="D74" s="3"/>
      <c r="E74" s="3"/>
      <c r="F74" s="3"/>
      <c r="G74" s="3"/>
      <c r="H74" s="3"/>
      <c r="I74" s="28"/>
      <c r="J74" s="3"/>
      <c r="K74" s="28"/>
      <c r="L74" s="3"/>
      <c r="M74" s="55"/>
      <c r="N74" s="3"/>
      <c r="O74" s="3"/>
      <c r="P74" s="46"/>
      <c r="Q74" s="46"/>
      <c r="R74" s="46"/>
      <c r="S74" s="46"/>
      <c r="T74" s="46"/>
      <c r="U74" s="46"/>
      <c r="V74" s="46"/>
      <c r="W74" s="46"/>
      <c r="X74" s="46"/>
      <c r="Y74" s="46"/>
      <c r="Z74" s="46"/>
      <c r="AA74" s="46"/>
      <c r="AB74" s="3"/>
    </row>
    <row r="75" spans="1:28" s="5" customFormat="1" x14ac:dyDescent="0.25">
      <c r="A75" s="150">
        <f>1</f>
        <v>1</v>
      </c>
      <c r="B75" s="129" t="str">
        <f>структура!$J$13</f>
        <v>УСН(6%)</v>
      </c>
      <c r="C75" s="3"/>
      <c r="D75" s="3"/>
      <c r="E75" s="147" t="str">
        <f>E73</f>
        <v>PI</v>
      </c>
      <c r="F75" s="147"/>
      <c r="G75" s="147" t="str">
        <f>IF($E75="","",INDEX(KPI!$G:$G,SUMIFS(KPI!$B:$B,KPI!$E:$E,$E75)))</f>
        <v>разы</v>
      </c>
      <c r="H75" s="147"/>
      <c r="I75" s="170"/>
      <c r="J75" s="147"/>
      <c r="K75" s="170"/>
      <c r="L75" s="147"/>
      <c r="M75" s="187">
        <f>IF(M$32=0,0,M55/M$32)</f>
        <v>0.99999999999999911</v>
      </c>
      <c r="N75" s="3"/>
      <c r="O75" s="3"/>
      <c r="P75" s="46"/>
      <c r="Q75" s="46"/>
      <c r="R75" s="46"/>
      <c r="S75" s="46"/>
      <c r="T75" s="46"/>
      <c r="U75" s="46"/>
      <c r="V75" s="46"/>
      <c r="W75" s="46"/>
      <c r="X75" s="46"/>
      <c r="Y75" s="46"/>
      <c r="Z75" s="46"/>
      <c r="AA75" s="46"/>
      <c r="AB75" s="3"/>
    </row>
    <row r="76" spans="1:28" s="5" customFormat="1" ht="3.9" customHeight="1" x14ac:dyDescent="0.25">
      <c r="A76" s="150">
        <f>1</f>
        <v>1</v>
      </c>
      <c r="B76" s="128"/>
      <c r="C76" s="3"/>
      <c r="D76" s="3"/>
      <c r="E76" s="3"/>
      <c r="F76" s="3"/>
      <c r="G76" s="3"/>
      <c r="H76" s="3"/>
      <c r="I76" s="28"/>
      <c r="J76" s="3"/>
      <c r="K76" s="28"/>
      <c r="L76" s="3"/>
      <c r="M76" s="55"/>
      <c r="N76" s="3"/>
      <c r="O76" s="3"/>
      <c r="P76" s="46"/>
      <c r="Q76" s="46"/>
      <c r="R76" s="46"/>
      <c r="S76" s="46"/>
      <c r="T76" s="46"/>
      <c r="U76" s="46"/>
      <c r="V76" s="46"/>
      <c r="W76" s="46"/>
      <c r="X76" s="46"/>
      <c r="Y76" s="46"/>
      <c r="Z76" s="46"/>
      <c r="AA76" s="46"/>
      <c r="AB76" s="3"/>
    </row>
    <row r="77" spans="1:28" s="5" customFormat="1" x14ac:dyDescent="0.25">
      <c r="A77" s="150">
        <f>1</f>
        <v>1</v>
      </c>
      <c r="B77" s="129" t="str">
        <f>структура!$J$14</f>
        <v>УСН(15%)</v>
      </c>
      <c r="C77" s="3"/>
      <c r="D77" s="3"/>
      <c r="E77" s="147" t="str">
        <f>E73</f>
        <v>PI</v>
      </c>
      <c r="F77" s="147"/>
      <c r="G77" s="147" t="str">
        <f>IF($E77="","",INDEX(KPI!$G:$G,SUMIFS(KPI!$B:$B,KPI!$E:$E,$E77)))</f>
        <v>разы</v>
      </c>
      <c r="H77" s="147"/>
      <c r="I77" s="170"/>
      <c r="J77" s="147"/>
      <c r="K77" s="170"/>
      <c r="L77" s="147"/>
      <c r="M77" s="187">
        <f>IF(M$32=0,0,M57/M$32)</f>
        <v>0.99999999999999911</v>
      </c>
      <c r="N77" s="3"/>
      <c r="O77" s="3"/>
      <c r="P77" s="46"/>
      <c r="Q77" s="46"/>
      <c r="R77" s="46"/>
      <c r="S77" s="46"/>
      <c r="T77" s="46"/>
      <c r="U77" s="46"/>
      <c r="V77" s="46"/>
      <c r="W77" s="46"/>
      <c r="X77" s="46"/>
      <c r="Y77" s="46"/>
      <c r="Z77" s="46"/>
      <c r="AA77" s="46"/>
      <c r="AB77" s="3"/>
    </row>
    <row r="78" spans="1:28" s="5" customFormat="1" ht="3.9" customHeight="1" x14ac:dyDescent="0.25">
      <c r="A78" s="150">
        <f>1</f>
        <v>1</v>
      </c>
      <c r="B78" s="128"/>
      <c r="C78" s="3"/>
      <c r="D78" s="3"/>
      <c r="E78" s="3"/>
      <c r="F78" s="3"/>
      <c r="G78" s="3"/>
      <c r="H78" s="3"/>
      <c r="I78" s="28"/>
      <c r="J78" s="3"/>
      <c r="K78" s="28"/>
      <c r="L78" s="3"/>
      <c r="M78" s="55"/>
      <c r="N78" s="3"/>
      <c r="O78" s="3"/>
      <c r="P78" s="46"/>
      <c r="Q78" s="46"/>
      <c r="R78" s="46"/>
      <c r="S78" s="46"/>
      <c r="T78" s="46"/>
      <c r="U78" s="46"/>
      <c r="V78" s="46"/>
      <c r="W78" s="46"/>
      <c r="X78" s="46"/>
      <c r="Y78" s="46"/>
      <c r="Z78" s="46"/>
      <c r="AA78" s="46"/>
      <c r="AB78" s="3"/>
    </row>
    <row r="79" spans="1:28" s="5" customFormat="1" x14ac:dyDescent="0.25">
      <c r="A79" s="150">
        <f>1</f>
        <v>1</v>
      </c>
      <c r="B79" s="129" t="str">
        <f>структура!$J$15</f>
        <v>УСН(6%)-ИП</v>
      </c>
      <c r="C79" s="3"/>
      <c r="D79" s="3"/>
      <c r="E79" s="147" t="str">
        <f>E73</f>
        <v>PI</v>
      </c>
      <c r="F79" s="147"/>
      <c r="G79" s="147" t="str">
        <f>IF($E79="","",INDEX(KPI!$G:$G,SUMIFS(KPI!$B:$B,KPI!$E:$E,$E79)))</f>
        <v>разы</v>
      </c>
      <c r="H79" s="147"/>
      <c r="I79" s="170"/>
      <c r="J79" s="147"/>
      <c r="K79" s="170"/>
      <c r="L79" s="147"/>
      <c r="M79" s="187">
        <f>IF(M$32=0,0,M59/M$32)</f>
        <v>0.99999999999999911</v>
      </c>
      <c r="N79" s="3"/>
      <c r="O79" s="3"/>
      <c r="P79" s="46"/>
      <c r="Q79" s="46"/>
      <c r="R79" s="46"/>
      <c r="S79" s="46"/>
      <c r="T79" s="46"/>
      <c r="U79" s="46"/>
      <c r="V79" s="46"/>
      <c r="W79" s="46"/>
      <c r="X79" s="46"/>
      <c r="Y79" s="46"/>
      <c r="Z79" s="46"/>
      <c r="AA79" s="46"/>
      <c r="AB79" s="3"/>
    </row>
    <row r="80" spans="1:28" ht="3.9" customHeight="1" x14ac:dyDescent="0.25">
      <c r="A80" s="149">
        <f>1</f>
        <v>1</v>
      </c>
      <c r="B80" s="131"/>
      <c r="C80" s="2"/>
      <c r="D80" s="2"/>
      <c r="E80" s="117"/>
      <c r="F80" s="2"/>
      <c r="G80" s="117"/>
      <c r="H80" s="2"/>
      <c r="I80" s="28"/>
      <c r="J80" s="2"/>
      <c r="K80" s="28"/>
      <c r="L80" s="2"/>
      <c r="M80" s="138"/>
      <c r="N80" s="2"/>
      <c r="O80" s="2"/>
      <c r="P80" s="36"/>
      <c r="Q80" s="36"/>
      <c r="R80" s="36"/>
      <c r="S80" s="36"/>
      <c r="T80" s="36"/>
      <c r="U80" s="36"/>
      <c r="V80" s="36"/>
      <c r="W80" s="36"/>
      <c r="X80" s="36"/>
      <c r="Y80" s="36"/>
      <c r="Z80" s="36"/>
      <c r="AA80" s="36"/>
      <c r="AB80" s="2"/>
    </row>
    <row r="81" spans="1:28" ht="8.1" customHeight="1" x14ac:dyDescent="0.25">
      <c r="A81" s="149">
        <f>1</f>
        <v>1</v>
      </c>
      <c r="B81" s="131"/>
      <c r="C81" s="2"/>
      <c r="D81" s="2"/>
      <c r="E81" s="2"/>
      <c r="F81" s="2"/>
      <c r="G81" s="2"/>
      <c r="H81" s="2"/>
      <c r="I81" s="28"/>
      <c r="J81" s="2"/>
      <c r="K81" s="28"/>
      <c r="L81" s="2"/>
      <c r="M81" s="52"/>
      <c r="N81" s="2"/>
      <c r="O81" s="2"/>
      <c r="P81" s="36"/>
      <c r="Q81" s="36"/>
      <c r="R81" s="36"/>
      <c r="S81" s="36"/>
      <c r="T81" s="36"/>
      <c r="U81" s="36"/>
      <c r="V81" s="36"/>
      <c r="W81" s="36"/>
      <c r="X81" s="36"/>
      <c r="Y81" s="36"/>
      <c r="Z81" s="36"/>
      <c r="AA81" s="36"/>
      <c r="AB81" s="2"/>
    </row>
    <row r="82" spans="1:28" ht="3.9" customHeight="1" x14ac:dyDescent="0.25">
      <c r="A82" s="149">
        <f>1</f>
        <v>1</v>
      </c>
      <c r="B82" s="131"/>
      <c r="C82" s="2"/>
      <c r="D82" s="2"/>
      <c r="E82" s="2"/>
      <c r="F82" s="2"/>
      <c r="G82" s="2"/>
      <c r="H82" s="2"/>
      <c r="I82" s="28"/>
      <c r="J82" s="2"/>
      <c r="K82" s="28"/>
      <c r="L82" s="2"/>
      <c r="M82" s="52"/>
      <c r="N82" s="2"/>
      <c r="O82" s="2"/>
      <c r="P82" s="36"/>
      <c r="Q82" s="36"/>
      <c r="R82" s="36"/>
      <c r="S82" s="36"/>
      <c r="T82" s="36"/>
      <c r="U82" s="36"/>
      <c r="V82" s="36"/>
      <c r="W82" s="36"/>
      <c r="X82" s="36"/>
      <c r="Y82" s="36"/>
      <c r="Z82" s="36"/>
      <c r="AA82" s="36"/>
      <c r="AB82" s="2"/>
    </row>
    <row r="83" spans="1:28" s="5" customFormat="1" x14ac:dyDescent="0.25">
      <c r="A83" s="150">
        <f>1</f>
        <v>1</v>
      </c>
      <c r="B83" s="129" t="str">
        <f>структура!$J$12</f>
        <v>ОСНО</v>
      </c>
      <c r="C83" s="3"/>
      <c r="D83" s="3"/>
      <c r="E83" s="147" t="str">
        <f>KPI!$E$103</f>
        <v>ROI</v>
      </c>
      <c r="F83" s="147"/>
      <c r="G83" s="147" t="str">
        <f>IF($E83="","",INDEX(KPI!$G:$G,SUMIFS(KPI!$B:$B,KPI!$E:$E,$E83)))</f>
        <v>%</v>
      </c>
      <c r="H83" s="147"/>
      <c r="I83" s="170"/>
      <c r="J83" s="147"/>
      <c r="K83" s="170"/>
      <c r="L83" s="147"/>
      <c r="M83" s="188">
        <f>IF(M$32=0,0,M63/M$32)</f>
        <v>0</v>
      </c>
      <c r="N83" s="3"/>
      <c r="O83" s="3"/>
      <c r="P83" s="46"/>
      <c r="Q83" s="46"/>
      <c r="R83" s="46"/>
      <c r="S83" s="46"/>
      <c r="T83" s="46"/>
      <c r="U83" s="46"/>
      <c r="V83" s="46"/>
      <c r="W83" s="46"/>
      <c r="X83" s="46"/>
      <c r="Y83" s="46"/>
      <c r="Z83" s="46"/>
      <c r="AA83" s="46"/>
      <c r="AB83" s="3"/>
    </row>
    <row r="84" spans="1:28" s="5" customFormat="1" ht="3.9" customHeight="1" x14ac:dyDescent="0.25">
      <c r="A84" s="150">
        <f>1</f>
        <v>1</v>
      </c>
      <c r="B84" s="128"/>
      <c r="C84" s="3"/>
      <c r="D84" s="3"/>
      <c r="E84" s="3"/>
      <c r="F84" s="3"/>
      <c r="G84" s="3"/>
      <c r="H84" s="3"/>
      <c r="I84" s="28"/>
      <c r="J84" s="3"/>
      <c r="K84" s="28"/>
      <c r="L84" s="3"/>
      <c r="M84" s="55"/>
      <c r="N84" s="3"/>
      <c r="O84" s="3"/>
      <c r="P84" s="46"/>
      <c r="Q84" s="46"/>
      <c r="R84" s="46"/>
      <c r="S84" s="46"/>
      <c r="T84" s="46"/>
      <c r="U84" s="46"/>
      <c r="V84" s="46"/>
      <c r="W84" s="46"/>
      <c r="X84" s="46"/>
      <c r="Y84" s="46"/>
      <c r="Z84" s="46"/>
      <c r="AA84" s="46"/>
      <c r="AB84" s="3"/>
    </row>
    <row r="85" spans="1:28" s="5" customFormat="1" x14ac:dyDescent="0.25">
      <c r="A85" s="150">
        <f>1</f>
        <v>1</v>
      </c>
      <c r="B85" s="129" t="str">
        <f>структура!$J$13</f>
        <v>УСН(6%)</v>
      </c>
      <c r="C85" s="3"/>
      <c r="D85" s="3"/>
      <c r="E85" s="147" t="str">
        <f>E83</f>
        <v>ROI</v>
      </c>
      <c r="F85" s="147"/>
      <c r="G85" s="147" t="str">
        <f>IF($E85="","",INDEX(KPI!$G:$G,SUMIFS(KPI!$B:$B,KPI!$E:$E,$E85)))</f>
        <v>%</v>
      </c>
      <c r="H85" s="147"/>
      <c r="I85" s="170"/>
      <c r="J85" s="147"/>
      <c r="K85" s="170"/>
      <c r="L85" s="147"/>
      <c r="M85" s="188">
        <f>IF(M$32=0,0,M65/M$32)</f>
        <v>0</v>
      </c>
      <c r="N85" s="3"/>
      <c r="O85" s="3"/>
      <c r="P85" s="46"/>
      <c r="Q85" s="46"/>
      <c r="R85" s="46"/>
      <c r="S85" s="46"/>
      <c r="T85" s="46"/>
      <c r="U85" s="46"/>
      <c r="V85" s="46"/>
      <c r="W85" s="46"/>
      <c r="X85" s="46"/>
      <c r="Y85" s="46"/>
      <c r="Z85" s="46"/>
      <c r="AA85" s="46"/>
      <c r="AB85" s="3"/>
    </row>
    <row r="86" spans="1:28" s="5" customFormat="1" ht="3.9" customHeight="1" x14ac:dyDescent="0.25">
      <c r="A86" s="150">
        <f>1</f>
        <v>1</v>
      </c>
      <c r="B86" s="128"/>
      <c r="C86" s="3"/>
      <c r="D86" s="3"/>
      <c r="E86" s="3"/>
      <c r="F86" s="3"/>
      <c r="G86" s="3"/>
      <c r="H86" s="3"/>
      <c r="I86" s="28"/>
      <c r="J86" s="3"/>
      <c r="K86" s="28"/>
      <c r="L86" s="3"/>
      <c r="M86" s="55"/>
      <c r="N86" s="3"/>
      <c r="O86" s="3"/>
      <c r="P86" s="46"/>
      <c r="Q86" s="46"/>
      <c r="R86" s="46"/>
      <c r="S86" s="46"/>
      <c r="T86" s="46"/>
      <c r="U86" s="46"/>
      <c r="V86" s="46"/>
      <c r="W86" s="46"/>
      <c r="X86" s="46"/>
      <c r="Y86" s="46"/>
      <c r="Z86" s="46"/>
      <c r="AA86" s="46"/>
      <c r="AB86" s="3"/>
    </row>
    <row r="87" spans="1:28" s="5" customFormat="1" x14ac:dyDescent="0.25">
      <c r="A87" s="150">
        <f>1</f>
        <v>1</v>
      </c>
      <c r="B87" s="129" t="str">
        <f>структура!$J$14</f>
        <v>УСН(15%)</v>
      </c>
      <c r="C87" s="3"/>
      <c r="D87" s="3"/>
      <c r="E87" s="147" t="str">
        <f>E83</f>
        <v>ROI</v>
      </c>
      <c r="F87" s="147"/>
      <c r="G87" s="147" t="str">
        <f>IF($E87="","",INDEX(KPI!$G:$G,SUMIFS(KPI!$B:$B,KPI!$E:$E,$E87)))</f>
        <v>%</v>
      </c>
      <c r="H87" s="147"/>
      <c r="I87" s="170"/>
      <c r="J87" s="147"/>
      <c r="K87" s="170"/>
      <c r="L87" s="147"/>
      <c r="M87" s="188">
        <f>IF(M$32=0,0,M67/M$32)</f>
        <v>0</v>
      </c>
      <c r="N87" s="3"/>
      <c r="O87" s="3"/>
      <c r="P87" s="46"/>
      <c r="Q87" s="46"/>
      <c r="R87" s="46"/>
      <c r="S87" s="46"/>
      <c r="T87" s="46"/>
      <c r="U87" s="46"/>
      <c r="V87" s="46"/>
      <c r="W87" s="46"/>
      <c r="X87" s="46"/>
      <c r="Y87" s="46"/>
      <c r="Z87" s="46"/>
      <c r="AA87" s="46"/>
      <c r="AB87" s="3"/>
    </row>
    <row r="88" spans="1:28" s="5" customFormat="1" ht="3.9" customHeight="1" x14ac:dyDescent="0.25">
      <c r="A88" s="150">
        <f>1</f>
        <v>1</v>
      </c>
      <c r="B88" s="128"/>
      <c r="C88" s="3"/>
      <c r="D88" s="3"/>
      <c r="E88" s="3"/>
      <c r="F88" s="3"/>
      <c r="G88" s="3"/>
      <c r="H88" s="3"/>
      <c r="I88" s="28"/>
      <c r="J88" s="3"/>
      <c r="K88" s="28"/>
      <c r="L88" s="3"/>
      <c r="M88" s="55"/>
      <c r="N88" s="3"/>
      <c r="O88" s="3"/>
      <c r="P88" s="46"/>
      <c r="Q88" s="46"/>
      <c r="R88" s="46"/>
      <c r="S88" s="46"/>
      <c r="T88" s="46"/>
      <c r="U88" s="46"/>
      <c r="V88" s="46"/>
      <c r="W88" s="46"/>
      <c r="X88" s="46"/>
      <c r="Y88" s="46"/>
      <c r="Z88" s="46"/>
      <c r="AA88" s="46"/>
      <c r="AB88" s="3"/>
    </row>
    <row r="89" spans="1:28" s="5" customFormat="1" x14ac:dyDescent="0.25">
      <c r="A89" s="150">
        <f>1</f>
        <v>1</v>
      </c>
      <c r="B89" s="129" t="str">
        <f>структура!$J$15</f>
        <v>УСН(6%)-ИП</v>
      </c>
      <c r="C89" s="3"/>
      <c r="D89" s="3"/>
      <c r="E89" s="147" t="str">
        <f>E83</f>
        <v>ROI</v>
      </c>
      <c r="F89" s="147"/>
      <c r="G89" s="147" t="str">
        <f>IF($E89="","",INDEX(KPI!$G:$G,SUMIFS(KPI!$B:$B,KPI!$E:$E,$E89)))</f>
        <v>%</v>
      </c>
      <c r="H89" s="147"/>
      <c r="I89" s="170"/>
      <c r="J89" s="147"/>
      <c r="K89" s="170"/>
      <c r="L89" s="147"/>
      <c r="M89" s="188">
        <f>IF(M$32=0,0,M69/M$32)</f>
        <v>0</v>
      </c>
      <c r="N89" s="3"/>
      <c r="O89" s="3"/>
      <c r="P89" s="46"/>
      <c r="Q89" s="46"/>
      <c r="R89" s="46"/>
      <c r="S89" s="46"/>
      <c r="T89" s="46"/>
      <c r="U89" s="46"/>
      <c r="V89" s="46"/>
      <c r="W89" s="46"/>
      <c r="X89" s="46"/>
      <c r="Y89" s="46"/>
      <c r="Z89" s="46"/>
      <c r="AA89" s="46"/>
      <c r="AB89" s="3"/>
    </row>
    <row r="90" spans="1:28" ht="3.9" customHeight="1" x14ac:dyDescent="0.25">
      <c r="A90" s="149">
        <f>1</f>
        <v>1</v>
      </c>
      <c r="B90" s="131"/>
      <c r="C90" s="2"/>
      <c r="D90" s="2"/>
      <c r="E90" s="117"/>
      <c r="F90" s="2"/>
      <c r="G90" s="117"/>
      <c r="H90" s="2"/>
      <c r="I90" s="28"/>
      <c r="J90" s="2"/>
      <c r="K90" s="28"/>
      <c r="L90" s="2"/>
      <c r="M90" s="138"/>
      <c r="N90" s="2"/>
      <c r="O90" s="2"/>
      <c r="P90" s="36"/>
      <c r="Q90" s="36"/>
      <c r="R90" s="36"/>
      <c r="S90" s="36"/>
      <c r="T90" s="36"/>
      <c r="U90" s="36"/>
      <c r="V90" s="36"/>
      <c r="W90" s="36"/>
      <c r="X90" s="36"/>
      <c r="Y90" s="36"/>
      <c r="Z90" s="36"/>
      <c r="AA90" s="36"/>
      <c r="AB90" s="2"/>
    </row>
    <row r="91" spans="1:28" ht="8.1" customHeight="1" x14ac:dyDescent="0.25">
      <c r="A91" s="149">
        <f>1</f>
        <v>1</v>
      </c>
      <c r="B91" s="131"/>
      <c r="C91" s="2"/>
      <c r="D91" s="2"/>
      <c r="E91" s="2"/>
      <c r="F91" s="2"/>
      <c r="G91" s="2"/>
      <c r="H91" s="2"/>
      <c r="I91" s="28"/>
      <c r="J91" s="2"/>
      <c r="K91" s="28"/>
      <c r="L91" s="2"/>
      <c r="M91" s="52"/>
      <c r="N91" s="2"/>
      <c r="O91" s="2"/>
      <c r="P91" s="36"/>
      <c r="Q91" s="36"/>
      <c r="R91" s="36"/>
      <c r="S91" s="36"/>
      <c r="T91" s="36"/>
      <c r="U91" s="36"/>
      <c r="V91" s="36"/>
      <c r="W91" s="36"/>
      <c r="X91" s="36"/>
      <c r="Y91" s="36"/>
      <c r="Z91" s="36"/>
      <c r="AA91" s="36"/>
      <c r="AB91" s="2"/>
    </row>
    <row r="92" spans="1:28" ht="3.9" customHeight="1" x14ac:dyDescent="0.25">
      <c r="A92" s="149">
        <f>1</f>
        <v>1</v>
      </c>
      <c r="B92" s="131"/>
      <c r="C92" s="2"/>
      <c r="D92" s="2"/>
      <c r="E92" s="2"/>
      <c r="F92" s="2"/>
      <c r="G92" s="2"/>
      <c r="H92" s="2"/>
      <c r="I92" s="28"/>
      <c r="J92" s="2"/>
      <c r="K92" s="28"/>
      <c r="L92" s="2"/>
      <c r="M92" s="52"/>
      <c r="N92" s="2"/>
      <c r="O92" s="2"/>
      <c r="P92" s="36"/>
      <c r="Q92" s="36"/>
      <c r="R92" s="36"/>
      <c r="S92" s="36"/>
      <c r="T92" s="36"/>
      <c r="U92" s="36"/>
      <c r="V92" s="36"/>
      <c r="W92" s="36"/>
      <c r="X92" s="36"/>
      <c r="Y92" s="36"/>
      <c r="Z92" s="36"/>
      <c r="AA92" s="36"/>
      <c r="AB92" s="2"/>
    </row>
    <row r="93" spans="1:28" s="157" customFormat="1" x14ac:dyDescent="0.25">
      <c r="A93" s="155">
        <f>1</f>
        <v>1</v>
      </c>
      <c r="B93" s="156" t="str">
        <f>структура!$J$12</f>
        <v>ОСНО</v>
      </c>
      <c r="C93" s="155"/>
      <c r="D93" s="155"/>
      <c r="E93" s="189" t="str">
        <f>KPI!$E$104</f>
        <v>График возврата инвестиций (приведенный)</v>
      </c>
      <c r="F93" s="189"/>
      <c r="G93" s="189" t="str">
        <f>IF($E93="","",INDEX(KPI!$G:$G,SUMIFS(KPI!$B:$B,KPI!$E:$E,$E93)))</f>
        <v>тыс.руб.</v>
      </c>
      <c r="H93" s="189"/>
      <c r="I93" s="190"/>
      <c r="J93" s="189"/>
      <c r="K93" s="190"/>
      <c r="L93" s="189"/>
      <c r="M93" s="191">
        <f>SUM($O93:$AB93)</f>
        <v>12699.999999999989</v>
      </c>
      <c r="N93" s="155"/>
      <c r="O93" s="155"/>
      <c r="P93" s="192">
        <f>IF(P$1="",0,IF($M63&lt;0,0,IF(SUM($O93:O93)=$M$32,0,IF(SUM($O53:P53)&lt;=$M$32,P53,$M$32-SUM($O53:O53)))))</f>
        <v>2371.4998601796033</v>
      </c>
      <c r="Q93" s="192">
        <f>IF(Q$1="",0,IF($M63&lt;0,0,IF(SUM($O93:P93)=$M$32,0,IF(SUM($O53:Q53)&lt;=$M$32,Q53,$M$32-SUM($O53:P53)))))</f>
        <v>2155.9089637996394</v>
      </c>
      <c r="R93" s="192">
        <f>IF(R$1="",0,IF($M63&lt;0,0,IF(SUM($O93:Q93)=$M$32,0,IF(SUM($O53:R53)&lt;=$M$32,R53,$M$32-SUM($O53:Q53)))))</f>
        <v>1959.9172398178534</v>
      </c>
      <c r="S93" s="192">
        <f>IF(S$1="",0,IF($M63&lt;0,0,IF(SUM($O93:R93)=$M$32,0,IF(SUM($O53:S53)&lt;=$M$32,S53,$M$32-SUM($O53:R53)))))</f>
        <v>1781.7429452889576</v>
      </c>
      <c r="T93" s="192">
        <f>IF(T$1="",0,IF($M63&lt;0,0,IF(SUM($O93:S93)=$M$32,0,IF(SUM($O53:T53)&lt;=$M$32,T53,$M$32-SUM($O53:S53)))))</f>
        <v>1619.7663138990522</v>
      </c>
      <c r="U93" s="192">
        <f>IF(U$1="",0,IF($M63&lt;0,0,IF(SUM($O93:T93)=$M$32,0,IF(SUM($O53:U53)&lt;=$M$32,U53,$M$32-SUM($O53:T53)))))</f>
        <v>1472.51483081732</v>
      </c>
      <c r="V93" s="192">
        <f>IF(V$1="",0,IF($M63&lt;0,0,IF(SUM($O93:U93)=$M$32,0,IF(SUM($O53:V53)&lt;=$M$32,V53,$M$32-SUM($O53:U53)))))</f>
        <v>1338.6498461975634</v>
      </c>
      <c r="W93" s="192">
        <f>IF(W$1="",0,IF($M63&lt;0,0,IF(SUM($O93:V93)=$M$32,0,IF(SUM($O53:W53)&lt;=$M$32,W53,$M$32-SUM($O53:V53)))))</f>
        <v>0</v>
      </c>
      <c r="X93" s="192">
        <f>IF(X$1="",0,IF($M63&lt;0,0,IF(SUM($O93:W93)=$M$32,0,IF(SUM($O53:X53)&lt;=$M$32,X53,$M$32-SUM($O53:W53)))))</f>
        <v>0</v>
      </c>
      <c r="Y93" s="192">
        <f>IF(Y$1="",0,IF($M63&lt;0,0,IF(SUM($O93:X93)=$M$32,0,IF(SUM($O53:Y53)&lt;=$M$32,Y53,$M$32-SUM($O53:X53)))))</f>
        <v>0</v>
      </c>
      <c r="Z93" s="192">
        <f>IF(Z$1="",0,IF($M63&lt;0,0,IF(SUM($O93:Y93)=$M$32,0,IF(SUM($O53:Z53)&lt;=$M$32,Z53,$M$32-SUM($O53:Y53)))))</f>
        <v>0</v>
      </c>
      <c r="AA93" s="192">
        <f>IF(AA$1="",0,IF($M63&lt;0,0,IF(SUM($O93:Z93)=$M$32,0,IF(SUM($O53:AA53)&lt;=$M$32,AA53,$M$32-SUM($O53:Z53)))))</f>
        <v>0</v>
      </c>
      <c r="AB93" s="155"/>
    </row>
    <row r="94" spans="1:28" s="5" customFormat="1" ht="3.9" customHeight="1" x14ac:dyDescent="0.25">
      <c r="A94" s="150">
        <f>1</f>
        <v>1</v>
      </c>
      <c r="B94" s="128"/>
      <c r="C94" s="3"/>
      <c r="D94" s="3"/>
      <c r="E94" s="3"/>
      <c r="F94" s="3"/>
      <c r="G94" s="3"/>
      <c r="H94" s="3"/>
      <c r="I94" s="28"/>
      <c r="J94" s="3"/>
      <c r="K94" s="28"/>
      <c r="L94" s="3"/>
      <c r="M94" s="55"/>
      <c r="N94" s="3"/>
      <c r="O94" s="3"/>
      <c r="P94" s="46"/>
      <c r="Q94" s="46"/>
      <c r="R94" s="46"/>
      <c r="S94" s="46"/>
      <c r="T94" s="46"/>
      <c r="U94" s="46"/>
      <c r="V94" s="46"/>
      <c r="W94" s="46"/>
      <c r="X94" s="46"/>
      <c r="Y94" s="46"/>
      <c r="Z94" s="46"/>
      <c r="AA94" s="46"/>
      <c r="AB94" s="3"/>
    </row>
    <row r="95" spans="1:28" s="157" customFormat="1" x14ac:dyDescent="0.25">
      <c r="A95" s="155">
        <f>1</f>
        <v>1</v>
      </c>
      <c r="B95" s="156" t="str">
        <f>структура!$J$13</f>
        <v>УСН(6%)</v>
      </c>
      <c r="C95" s="155"/>
      <c r="D95" s="155"/>
      <c r="E95" s="189" t="str">
        <f>E93</f>
        <v>График возврата инвестиций (приведенный)</v>
      </c>
      <c r="F95" s="189"/>
      <c r="G95" s="189" t="str">
        <f>IF($E95="","",INDEX(KPI!$G:$G,SUMIFS(KPI!$B:$B,KPI!$E:$E,$E95)))</f>
        <v>тыс.руб.</v>
      </c>
      <c r="H95" s="189"/>
      <c r="I95" s="190"/>
      <c r="J95" s="189"/>
      <c r="K95" s="190"/>
      <c r="L95" s="189"/>
      <c r="M95" s="191">
        <f>SUM($O95:$AB95)</f>
        <v>12699.999999999989</v>
      </c>
      <c r="N95" s="155"/>
      <c r="O95" s="155"/>
      <c r="P95" s="192">
        <f>IF(P$1="",0,IF($M65&lt;0,0,IF(SUM($O95:O95)=$M$32,0,IF(SUM($O55:P55)&lt;=$M$32,P55,$M$32-SUM($O55:O55)))))</f>
        <v>2371.4998601796033</v>
      </c>
      <c r="Q95" s="192">
        <f>IF(Q$1="",0,IF($M65&lt;0,0,IF(SUM($O95:P95)=$M$32,0,IF(SUM($O55:Q55)&lt;=$M$32,Q55,$M$32-SUM($O55:P55)))))</f>
        <v>2155.9089637996394</v>
      </c>
      <c r="R95" s="192">
        <f>IF(R$1="",0,IF($M65&lt;0,0,IF(SUM($O95:Q95)=$M$32,0,IF(SUM($O55:R55)&lt;=$M$32,R55,$M$32-SUM($O55:Q55)))))</f>
        <v>1959.9172398178534</v>
      </c>
      <c r="S95" s="192">
        <f>IF(S$1="",0,IF($M65&lt;0,0,IF(SUM($O95:R95)=$M$32,0,IF(SUM($O55:S55)&lt;=$M$32,S55,$M$32-SUM($O55:R55)))))</f>
        <v>1781.7429452889576</v>
      </c>
      <c r="T95" s="192">
        <f>IF(T$1="",0,IF($M65&lt;0,0,IF(SUM($O95:S95)=$M$32,0,IF(SUM($O55:T55)&lt;=$M$32,T55,$M$32-SUM($O55:S55)))))</f>
        <v>1619.7663138990522</v>
      </c>
      <c r="U95" s="192">
        <f>IF(U$1="",0,IF($M65&lt;0,0,IF(SUM($O95:T95)=$M$32,0,IF(SUM($O55:U55)&lt;=$M$32,U55,$M$32-SUM($O55:T55)))))</f>
        <v>1472.51483081732</v>
      </c>
      <c r="V95" s="192">
        <f>IF(V$1="",0,IF($M65&lt;0,0,IF(SUM($O95:U95)=$M$32,0,IF(SUM($O55:V55)&lt;=$M$32,V55,$M$32-SUM($O55:U55)))))</f>
        <v>1338.6498461975634</v>
      </c>
      <c r="W95" s="192">
        <f>IF(W$1="",0,IF($M65&lt;0,0,IF(SUM($O95:V95)=$M$32,0,IF(SUM($O55:W55)&lt;=$M$32,W55,$M$32-SUM($O55:V55)))))</f>
        <v>0</v>
      </c>
      <c r="X95" s="192">
        <f>IF(X$1="",0,IF($M65&lt;0,0,IF(SUM($O95:W95)=$M$32,0,IF(SUM($O55:X55)&lt;=$M$32,X55,$M$32-SUM($O55:W55)))))</f>
        <v>0</v>
      </c>
      <c r="Y95" s="192">
        <f>IF(Y$1="",0,IF($M65&lt;0,0,IF(SUM($O95:X95)=$M$32,0,IF(SUM($O55:Y55)&lt;=$M$32,Y55,$M$32-SUM($O55:X55)))))</f>
        <v>0</v>
      </c>
      <c r="Z95" s="192">
        <f>IF(Z$1="",0,IF($M65&lt;0,0,IF(SUM($O95:Y95)=$M$32,0,IF(SUM($O55:Z55)&lt;=$M$32,Z55,$M$32-SUM($O55:Y55)))))</f>
        <v>0</v>
      </c>
      <c r="AA95" s="192">
        <f>IF(AA$1="",0,IF($M65&lt;0,0,IF(SUM($O95:Z95)=$M$32,0,IF(SUM($O55:AA55)&lt;=$M$32,AA55,$M$32-SUM($O55:Z55)))))</f>
        <v>0</v>
      </c>
      <c r="AB95" s="155"/>
    </row>
    <row r="96" spans="1:28" s="5" customFormat="1" ht="3.9" customHeight="1" x14ac:dyDescent="0.25">
      <c r="A96" s="150">
        <f>1</f>
        <v>1</v>
      </c>
      <c r="B96" s="128"/>
      <c r="C96" s="3"/>
      <c r="D96" s="3"/>
      <c r="E96" s="3"/>
      <c r="F96" s="3"/>
      <c r="G96" s="3"/>
      <c r="H96" s="3"/>
      <c r="I96" s="28"/>
      <c r="J96" s="3"/>
      <c r="K96" s="28"/>
      <c r="L96" s="3"/>
      <c r="M96" s="55"/>
      <c r="N96" s="3"/>
      <c r="O96" s="3"/>
      <c r="P96" s="46"/>
      <c r="Q96" s="46"/>
      <c r="R96" s="46"/>
      <c r="S96" s="46"/>
      <c r="T96" s="46"/>
      <c r="U96" s="46"/>
      <c r="V96" s="46"/>
      <c r="W96" s="46"/>
      <c r="X96" s="46"/>
      <c r="Y96" s="46"/>
      <c r="Z96" s="46"/>
      <c r="AA96" s="46"/>
      <c r="AB96" s="3"/>
    </row>
    <row r="97" spans="1:28" s="157" customFormat="1" x14ac:dyDescent="0.25">
      <c r="A97" s="155">
        <f>1</f>
        <v>1</v>
      </c>
      <c r="B97" s="156" t="str">
        <f>структура!$J$14</f>
        <v>УСН(15%)</v>
      </c>
      <c r="C97" s="155"/>
      <c r="D97" s="155"/>
      <c r="E97" s="189" t="str">
        <f>E93</f>
        <v>График возврата инвестиций (приведенный)</v>
      </c>
      <c r="F97" s="189"/>
      <c r="G97" s="189" t="str">
        <f>IF($E97="","",INDEX(KPI!$G:$G,SUMIFS(KPI!$B:$B,KPI!$E:$E,$E97)))</f>
        <v>тыс.руб.</v>
      </c>
      <c r="H97" s="189"/>
      <c r="I97" s="190"/>
      <c r="J97" s="189"/>
      <c r="K97" s="190"/>
      <c r="L97" s="189"/>
      <c r="M97" s="191">
        <f>SUM($O97:$AB97)</f>
        <v>12699.999999999989</v>
      </c>
      <c r="N97" s="155"/>
      <c r="O97" s="155"/>
      <c r="P97" s="192">
        <f>IF(P$1="",0,IF($M67&lt;0,0,IF(SUM($O97:O97)=$M$32,0,IF(SUM($O57:P57)&lt;=$M$32,P57,$M$32-SUM($O57:O57)))))</f>
        <v>2371.4998601796033</v>
      </c>
      <c r="Q97" s="192">
        <f>IF(Q$1="",0,IF($M67&lt;0,0,IF(SUM($O97:P97)=$M$32,0,IF(SUM($O57:Q57)&lt;=$M$32,Q57,$M$32-SUM($O57:P57)))))</f>
        <v>2155.9089637996394</v>
      </c>
      <c r="R97" s="192">
        <f>IF(R$1="",0,IF($M67&lt;0,0,IF(SUM($O97:Q97)=$M$32,0,IF(SUM($O57:R57)&lt;=$M$32,R57,$M$32-SUM($O57:Q57)))))</f>
        <v>1959.9172398178534</v>
      </c>
      <c r="S97" s="192">
        <f>IF(S$1="",0,IF($M67&lt;0,0,IF(SUM($O97:R97)=$M$32,0,IF(SUM($O57:S57)&lt;=$M$32,S57,$M$32-SUM($O57:R57)))))</f>
        <v>1781.7429452889576</v>
      </c>
      <c r="T97" s="192">
        <f>IF(T$1="",0,IF($M67&lt;0,0,IF(SUM($O97:S97)=$M$32,0,IF(SUM($O57:T57)&lt;=$M$32,T57,$M$32-SUM($O57:S57)))))</f>
        <v>1619.7663138990522</v>
      </c>
      <c r="U97" s="192">
        <f>IF(U$1="",0,IF($M67&lt;0,0,IF(SUM($O97:T97)=$M$32,0,IF(SUM($O57:U57)&lt;=$M$32,U57,$M$32-SUM($O57:T57)))))</f>
        <v>1472.51483081732</v>
      </c>
      <c r="V97" s="192">
        <f>IF(V$1="",0,IF($M67&lt;0,0,IF(SUM($O97:U97)=$M$32,0,IF(SUM($O57:V57)&lt;=$M$32,V57,$M$32-SUM($O57:U57)))))</f>
        <v>1338.6498461975634</v>
      </c>
      <c r="W97" s="192">
        <f>IF(W$1="",0,IF($M67&lt;0,0,IF(SUM($O97:V97)=$M$32,0,IF(SUM($O57:W57)&lt;=$M$32,W57,$M$32-SUM($O57:V57)))))</f>
        <v>0</v>
      </c>
      <c r="X97" s="192">
        <f>IF(X$1="",0,IF($M67&lt;0,0,IF(SUM($O97:W97)=$M$32,0,IF(SUM($O57:X57)&lt;=$M$32,X57,$M$32-SUM($O57:W57)))))</f>
        <v>0</v>
      </c>
      <c r="Y97" s="192">
        <f>IF(Y$1="",0,IF($M67&lt;0,0,IF(SUM($O97:X97)=$M$32,0,IF(SUM($O57:Y57)&lt;=$M$32,Y57,$M$32-SUM($O57:X57)))))</f>
        <v>0</v>
      </c>
      <c r="Z97" s="192">
        <f>IF(Z$1="",0,IF($M67&lt;0,0,IF(SUM($O97:Y97)=$M$32,0,IF(SUM($O57:Z57)&lt;=$M$32,Z57,$M$32-SUM($O57:Y57)))))</f>
        <v>0</v>
      </c>
      <c r="AA97" s="192">
        <f>IF(AA$1="",0,IF($M67&lt;0,0,IF(SUM($O97:Z97)=$M$32,0,IF(SUM($O57:AA57)&lt;=$M$32,AA57,$M$32-SUM($O57:Z57)))))</f>
        <v>0</v>
      </c>
      <c r="AB97" s="155"/>
    </row>
    <row r="98" spans="1:28" s="5" customFormat="1" ht="3.9" customHeight="1" x14ac:dyDescent="0.25">
      <c r="A98" s="150">
        <f>1</f>
        <v>1</v>
      </c>
      <c r="B98" s="128"/>
      <c r="C98" s="3"/>
      <c r="D98" s="3"/>
      <c r="E98" s="3"/>
      <c r="F98" s="3"/>
      <c r="G98" s="3"/>
      <c r="H98" s="3"/>
      <c r="I98" s="28"/>
      <c r="J98" s="3"/>
      <c r="K98" s="28"/>
      <c r="L98" s="3"/>
      <c r="M98" s="55"/>
      <c r="N98" s="3"/>
      <c r="O98" s="3"/>
      <c r="P98" s="46"/>
      <c r="Q98" s="46"/>
      <c r="R98" s="46"/>
      <c r="S98" s="46"/>
      <c r="T98" s="46"/>
      <c r="U98" s="46"/>
      <c r="V98" s="46"/>
      <c r="W98" s="46"/>
      <c r="X98" s="46"/>
      <c r="Y98" s="46"/>
      <c r="Z98" s="46"/>
      <c r="AA98" s="46"/>
      <c r="AB98" s="3"/>
    </row>
    <row r="99" spans="1:28" s="157" customFormat="1" x14ac:dyDescent="0.25">
      <c r="A99" s="155">
        <f>1</f>
        <v>1</v>
      </c>
      <c r="B99" s="156" t="str">
        <f>структура!$J$15</f>
        <v>УСН(6%)-ИП</v>
      </c>
      <c r="C99" s="155"/>
      <c r="D99" s="155"/>
      <c r="E99" s="189" t="str">
        <f>E93</f>
        <v>График возврата инвестиций (приведенный)</v>
      </c>
      <c r="F99" s="189"/>
      <c r="G99" s="189" t="str">
        <f>IF($E99="","",INDEX(KPI!$G:$G,SUMIFS(KPI!$B:$B,KPI!$E:$E,$E99)))</f>
        <v>тыс.руб.</v>
      </c>
      <c r="H99" s="189"/>
      <c r="I99" s="190"/>
      <c r="J99" s="189"/>
      <c r="K99" s="190"/>
      <c r="L99" s="189"/>
      <c r="M99" s="191">
        <f>SUM($O99:$AB99)</f>
        <v>12699.999999999989</v>
      </c>
      <c r="N99" s="155"/>
      <c r="O99" s="155"/>
      <c r="P99" s="192">
        <f>IF(P$1="",0,IF($M69&lt;0,0,IF(SUM($O99:O99)=$M$32,0,IF(SUM($O59:P59)&lt;=$M$32,P59,$M$32-SUM($O59:O59)))))</f>
        <v>2371.4998601796033</v>
      </c>
      <c r="Q99" s="192">
        <f>IF(Q$1="",0,IF($M69&lt;0,0,IF(SUM($O99:P99)=$M$32,0,IF(SUM($O59:Q59)&lt;=$M$32,Q59,$M$32-SUM($O59:P59)))))</f>
        <v>2155.9089637996394</v>
      </c>
      <c r="R99" s="192">
        <f>IF(R$1="",0,IF($M69&lt;0,0,IF(SUM($O99:Q99)=$M$32,0,IF(SUM($O59:R59)&lt;=$M$32,R59,$M$32-SUM($O59:Q59)))))</f>
        <v>1959.9172398178534</v>
      </c>
      <c r="S99" s="192">
        <f>IF(S$1="",0,IF($M69&lt;0,0,IF(SUM($O99:R99)=$M$32,0,IF(SUM($O59:S59)&lt;=$M$32,S59,$M$32-SUM($O59:R59)))))</f>
        <v>1781.7429452889576</v>
      </c>
      <c r="T99" s="192">
        <f>IF(T$1="",0,IF($M69&lt;0,0,IF(SUM($O99:S99)=$M$32,0,IF(SUM($O59:T59)&lt;=$M$32,T59,$M$32-SUM($O59:S59)))))</f>
        <v>1619.7663138990522</v>
      </c>
      <c r="U99" s="192">
        <f>IF(U$1="",0,IF($M69&lt;0,0,IF(SUM($O99:T99)=$M$32,0,IF(SUM($O59:U59)&lt;=$M$32,U59,$M$32-SUM($O59:T59)))))</f>
        <v>1472.51483081732</v>
      </c>
      <c r="V99" s="192">
        <f>IF(V$1="",0,IF($M69&lt;0,0,IF(SUM($O99:U99)=$M$32,0,IF(SUM($O59:V59)&lt;=$M$32,V59,$M$32-SUM($O59:U59)))))</f>
        <v>1338.6498461975634</v>
      </c>
      <c r="W99" s="192">
        <f>IF(W$1="",0,IF($M69&lt;0,0,IF(SUM($O99:V99)=$M$32,0,IF(SUM($O59:W59)&lt;=$M$32,W59,$M$32-SUM($O59:V59)))))</f>
        <v>0</v>
      </c>
      <c r="X99" s="192">
        <f>IF(X$1="",0,IF($M69&lt;0,0,IF(SUM($O99:W99)=$M$32,0,IF(SUM($O59:X59)&lt;=$M$32,X59,$M$32-SUM($O59:W59)))))</f>
        <v>0</v>
      </c>
      <c r="Y99" s="192">
        <f>IF(Y$1="",0,IF($M69&lt;0,0,IF(SUM($O99:X99)=$M$32,0,IF(SUM($O59:Y59)&lt;=$M$32,Y59,$M$32-SUM($O59:X59)))))</f>
        <v>0</v>
      </c>
      <c r="Z99" s="192">
        <f>IF(Z$1="",0,IF($M69&lt;0,0,IF(SUM($O99:Y99)=$M$32,0,IF(SUM($O59:Z59)&lt;=$M$32,Z59,$M$32-SUM($O59:Y59)))))</f>
        <v>0</v>
      </c>
      <c r="AA99" s="192">
        <f>IF(AA$1="",0,IF($M69&lt;0,0,IF(SUM($O99:Z99)=$M$32,0,IF(SUM($O59:AA59)&lt;=$M$32,AA59,$M$32-SUM($O59:Z59)))))</f>
        <v>0</v>
      </c>
      <c r="AB99" s="155"/>
    </row>
    <row r="100" spans="1:28" ht="3.9" customHeight="1" x14ac:dyDescent="0.25">
      <c r="A100" s="149">
        <f>1</f>
        <v>1</v>
      </c>
      <c r="B100" s="131"/>
      <c r="C100" s="2"/>
      <c r="D100" s="2"/>
      <c r="E100" s="119"/>
      <c r="F100" s="2"/>
      <c r="G100" s="119"/>
      <c r="H100" s="2"/>
      <c r="I100" s="28"/>
      <c r="J100" s="2"/>
      <c r="K100" s="28"/>
      <c r="L100" s="2"/>
      <c r="M100" s="142"/>
      <c r="N100" s="2"/>
      <c r="O100" s="2"/>
      <c r="P100" s="36"/>
      <c r="Q100" s="36"/>
      <c r="R100" s="36"/>
      <c r="S100" s="36"/>
      <c r="T100" s="36"/>
      <c r="U100" s="36"/>
      <c r="V100" s="36"/>
      <c r="W100" s="36"/>
      <c r="X100" s="36"/>
      <c r="Y100" s="36"/>
      <c r="Z100" s="36"/>
      <c r="AA100" s="36"/>
      <c r="AB100" s="2"/>
    </row>
    <row r="101" spans="1:28" ht="8.1" customHeight="1" x14ac:dyDescent="0.25">
      <c r="A101" s="149">
        <f>1</f>
        <v>1</v>
      </c>
      <c r="B101" s="131"/>
      <c r="C101" s="2"/>
      <c r="D101" s="2"/>
      <c r="E101" s="2"/>
      <c r="F101" s="2"/>
      <c r="G101" s="2"/>
      <c r="H101" s="2"/>
      <c r="I101" s="28"/>
      <c r="J101" s="2"/>
      <c r="K101" s="28"/>
      <c r="L101" s="2"/>
      <c r="M101" s="52"/>
      <c r="N101" s="2"/>
      <c r="O101" s="2"/>
      <c r="P101" s="36"/>
      <c r="Q101" s="36"/>
      <c r="R101" s="36"/>
      <c r="S101" s="36"/>
      <c r="T101" s="36"/>
      <c r="U101" s="36"/>
      <c r="V101" s="36"/>
      <c r="W101" s="36"/>
      <c r="X101" s="36"/>
      <c r="Y101" s="36"/>
      <c r="Z101" s="36"/>
      <c r="AA101" s="36"/>
      <c r="AB101" s="2"/>
    </row>
    <row r="102" spans="1:28" ht="3.9" customHeight="1" x14ac:dyDescent="0.25">
      <c r="A102" s="149">
        <f>1</f>
        <v>1</v>
      </c>
      <c r="B102" s="131"/>
      <c r="C102" s="2"/>
      <c r="D102" s="2"/>
      <c r="E102" s="2"/>
      <c r="F102" s="2"/>
      <c r="G102" s="2"/>
      <c r="H102" s="2"/>
      <c r="I102" s="28"/>
      <c r="J102" s="2"/>
      <c r="K102" s="28"/>
      <c r="L102" s="2"/>
      <c r="M102" s="52"/>
      <c r="N102" s="2"/>
      <c r="O102" s="2"/>
      <c r="P102" s="36"/>
      <c r="Q102" s="36"/>
      <c r="R102" s="36"/>
      <c r="S102" s="36"/>
      <c r="T102" s="36"/>
      <c r="U102" s="36"/>
      <c r="V102" s="36"/>
      <c r="W102" s="36"/>
      <c r="X102" s="36"/>
      <c r="Y102" s="36"/>
      <c r="Z102" s="36"/>
      <c r="AA102" s="36"/>
      <c r="AB102" s="2"/>
    </row>
    <row r="103" spans="1:28" s="5" customFormat="1" x14ac:dyDescent="0.25">
      <c r="A103" s="150">
        <f>1</f>
        <v>1</v>
      </c>
      <c r="B103" s="129" t="str">
        <f>структура!$J$12</f>
        <v>ОСНО</v>
      </c>
      <c r="C103" s="3"/>
      <c r="D103" s="3"/>
      <c r="E103" s="147" t="str">
        <f>KPI!$E$105</f>
        <v>приведенный средневзвешенный срок окуп-ти</v>
      </c>
      <c r="F103" s="147"/>
      <c r="G103" s="147" t="str">
        <f>IF($E103="","",INDEX(KPI!$G:$G,SUMIFS(KPI!$B:$B,KPI!$E:$E,$E103)))</f>
        <v>лет</v>
      </c>
      <c r="H103" s="147"/>
      <c r="I103" s="170"/>
      <c r="J103" s="147"/>
      <c r="K103" s="170"/>
      <c r="L103" s="147"/>
      <c r="M103" s="187">
        <f>IF(OR($M63&lt;0,$M93=0),"&gt;"&amp;MAX($1:$1),SUMPRODUCT($O$2:$AB$2,$O93:$AB93)/$M93)</f>
        <v>3.621615020958302</v>
      </c>
      <c r="N103" s="3"/>
      <c r="O103" s="3"/>
      <c r="P103" s="46"/>
      <c r="Q103" s="46"/>
      <c r="R103" s="46"/>
      <c r="S103" s="46"/>
      <c r="T103" s="46"/>
      <c r="U103" s="46"/>
      <c r="V103" s="46"/>
      <c r="W103" s="46"/>
      <c r="X103" s="46"/>
      <c r="Y103" s="46"/>
      <c r="Z103" s="46"/>
      <c r="AA103" s="46"/>
      <c r="AB103" s="3"/>
    </row>
    <row r="104" spans="1:28" s="5" customFormat="1" ht="3.9" customHeight="1" x14ac:dyDescent="0.25">
      <c r="A104" s="150">
        <f>1</f>
        <v>1</v>
      </c>
      <c r="B104" s="128"/>
      <c r="C104" s="3"/>
      <c r="D104" s="3"/>
      <c r="E104" s="3"/>
      <c r="F104" s="3"/>
      <c r="G104" s="3"/>
      <c r="H104" s="3"/>
      <c r="I104" s="28"/>
      <c r="J104" s="3"/>
      <c r="K104" s="28"/>
      <c r="L104" s="3"/>
      <c r="M104" s="55"/>
      <c r="N104" s="3"/>
      <c r="O104" s="3"/>
      <c r="P104" s="46"/>
      <c r="Q104" s="46"/>
      <c r="R104" s="46"/>
      <c r="S104" s="46"/>
      <c r="T104" s="46"/>
      <c r="U104" s="46"/>
      <c r="V104" s="46"/>
      <c r="W104" s="46"/>
      <c r="X104" s="46"/>
      <c r="Y104" s="46"/>
      <c r="Z104" s="46"/>
      <c r="AA104" s="46"/>
      <c r="AB104" s="3"/>
    </row>
    <row r="105" spans="1:28" s="5" customFormat="1" x14ac:dyDescent="0.25">
      <c r="A105" s="150">
        <f>1</f>
        <v>1</v>
      </c>
      <c r="B105" s="129" t="str">
        <f>структура!$J$13</f>
        <v>УСН(6%)</v>
      </c>
      <c r="C105" s="3"/>
      <c r="D105" s="3"/>
      <c r="E105" s="147" t="str">
        <f>E103</f>
        <v>приведенный средневзвешенный срок окуп-ти</v>
      </c>
      <c r="F105" s="147"/>
      <c r="G105" s="147" t="str">
        <f>IF($E105="","",INDEX(KPI!$G:$G,SUMIFS(KPI!$B:$B,KPI!$E:$E,$E105)))</f>
        <v>лет</v>
      </c>
      <c r="H105" s="147"/>
      <c r="I105" s="170"/>
      <c r="J105" s="147"/>
      <c r="K105" s="170"/>
      <c r="L105" s="147"/>
      <c r="M105" s="187">
        <f>IF(OR($M65&lt;0,$M95=0),"&gt;"&amp;MAX($1:$1),SUMPRODUCT($O$2:$AB$2,$O95:$AB95)/$M95)</f>
        <v>3.621615020958302</v>
      </c>
      <c r="N105" s="3"/>
      <c r="O105" s="3"/>
      <c r="P105" s="46"/>
      <c r="Q105" s="46"/>
      <c r="R105" s="46"/>
      <c r="S105" s="46"/>
      <c r="T105" s="46"/>
      <c r="U105" s="46"/>
      <c r="V105" s="46"/>
      <c r="W105" s="46"/>
      <c r="X105" s="46"/>
      <c r="Y105" s="46"/>
      <c r="Z105" s="46"/>
      <c r="AA105" s="46"/>
      <c r="AB105" s="3"/>
    </row>
    <row r="106" spans="1:28" s="5" customFormat="1" ht="3.9" customHeight="1" x14ac:dyDescent="0.25">
      <c r="A106" s="150">
        <f>1</f>
        <v>1</v>
      </c>
      <c r="B106" s="128"/>
      <c r="C106" s="3"/>
      <c r="D106" s="3"/>
      <c r="E106" s="3"/>
      <c r="F106" s="3"/>
      <c r="G106" s="3"/>
      <c r="H106" s="3"/>
      <c r="I106" s="28"/>
      <c r="J106" s="3"/>
      <c r="K106" s="28"/>
      <c r="L106" s="3"/>
      <c r="M106" s="55"/>
      <c r="N106" s="3"/>
      <c r="O106" s="3"/>
      <c r="P106" s="46"/>
      <c r="Q106" s="46"/>
      <c r="R106" s="46"/>
      <c r="S106" s="46"/>
      <c r="T106" s="46"/>
      <c r="U106" s="46"/>
      <c r="V106" s="46"/>
      <c r="W106" s="46"/>
      <c r="X106" s="46"/>
      <c r="Y106" s="46"/>
      <c r="Z106" s="46"/>
      <c r="AA106" s="46"/>
      <c r="AB106" s="3"/>
    </row>
    <row r="107" spans="1:28" s="5" customFormat="1" x14ac:dyDescent="0.25">
      <c r="A107" s="150">
        <f>1</f>
        <v>1</v>
      </c>
      <c r="B107" s="129" t="str">
        <f>структура!$J$14</f>
        <v>УСН(15%)</v>
      </c>
      <c r="C107" s="3"/>
      <c r="D107" s="3"/>
      <c r="E107" s="147" t="str">
        <f>E103</f>
        <v>приведенный средневзвешенный срок окуп-ти</v>
      </c>
      <c r="F107" s="147"/>
      <c r="G107" s="147" t="str">
        <f>IF($E107="","",INDEX(KPI!$G:$G,SUMIFS(KPI!$B:$B,KPI!$E:$E,$E107)))</f>
        <v>лет</v>
      </c>
      <c r="H107" s="147"/>
      <c r="I107" s="170"/>
      <c r="J107" s="147"/>
      <c r="K107" s="170"/>
      <c r="L107" s="147"/>
      <c r="M107" s="187">
        <f>IF(OR($M67&lt;0,$M97=0),"&gt;"&amp;MAX($1:$1),SUMPRODUCT($O$2:$AB$2,$O97:$AB97)/$M97)</f>
        <v>3.621615020958302</v>
      </c>
      <c r="N107" s="3"/>
      <c r="O107" s="3"/>
      <c r="P107" s="46"/>
      <c r="Q107" s="46"/>
      <c r="R107" s="46"/>
      <c r="S107" s="46"/>
      <c r="T107" s="46"/>
      <c r="U107" s="46"/>
      <c r="V107" s="46"/>
      <c r="W107" s="46"/>
      <c r="X107" s="46"/>
      <c r="Y107" s="46"/>
      <c r="Z107" s="46"/>
      <c r="AA107" s="46"/>
      <c r="AB107" s="3"/>
    </row>
    <row r="108" spans="1:28" s="5" customFormat="1" ht="3.9" customHeight="1" x14ac:dyDescent="0.25">
      <c r="A108" s="150">
        <f>1</f>
        <v>1</v>
      </c>
      <c r="B108" s="128"/>
      <c r="C108" s="3"/>
      <c r="D108" s="3"/>
      <c r="E108" s="3"/>
      <c r="F108" s="3"/>
      <c r="G108" s="3"/>
      <c r="H108" s="3"/>
      <c r="I108" s="28"/>
      <c r="J108" s="3"/>
      <c r="K108" s="28"/>
      <c r="L108" s="3"/>
      <c r="M108" s="55"/>
      <c r="N108" s="3"/>
      <c r="O108" s="3"/>
      <c r="P108" s="46"/>
      <c r="Q108" s="46"/>
      <c r="R108" s="46"/>
      <c r="S108" s="46"/>
      <c r="T108" s="46"/>
      <c r="U108" s="46"/>
      <c r="V108" s="46"/>
      <c r="W108" s="46"/>
      <c r="X108" s="46"/>
      <c r="Y108" s="46"/>
      <c r="Z108" s="46"/>
      <c r="AA108" s="46"/>
      <c r="AB108" s="3"/>
    </row>
    <row r="109" spans="1:28" s="5" customFormat="1" x14ac:dyDescent="0.25">
      <c r="A109" s="150">
        <f>1</f>
        <v>1</v>
      </c>
      <c r="B109" s="129" t="str">
        <f>структура!$J$15</f>
        <v>УСН(6%)-ИП</v>
      </c>
      <c r="C109" s="3"/>
      <c r="D109" s="3"/>
      <c r="E109" s="147" t="str">
        <f>E103</f>
        <v>приведенный средневзвешенный срок окуп-ти</v>
      </c>
      <c r="F109" s="147"/>
      <c r="G109" s="147" t="str">
        <f>IF($E109="","",INDEX(KPI!$G:$G,SUMIFS(KPI!$B:$B,KPI!$E:$E,$E109)))</f>
        <v>лет</v>
      </c>
      <c r="H109" s="147"/>
      <c r="I109" s="170"/>
      <c r="J109" s="147"/>
      <c r="K109" s="170"/>
      <c r="L109" s="147"/>
      <c r="M109" s="187">
        <f>IF(OR($M69&lt;0,$M99=0),"&gt;"&amp;MAX($1:$1),SUMPRODUCT($O$2:$AB$2,$O99:$AB99)/$M99)</f>
        <v>3.621615020958302</v>
      </c>
      <c r="N109" s="3"/>
      <c r="O109" s="3"/>
      <c r="P109" s="46"/>
      <c r="Q109" s="46"/>
      <c r="R109" s="46"/>
      <c r="S109" s="46"/>
      <c r="T109" s="46"/>
      <c r="U109" s="46"/>
      <c r="V109" s="46"/>
      <c r="W109" s="46"/>
      <c r="X109" s="46"/>
      <c r="Y109" s="46"/>
      <c r="Z109" s="46"/>
      <c r="AA109" s="46"/>
      <c r="AB109" s="3"/>
    </row>
    <row r="110" spans="1:28" ht="3.9" customHeight="1" x14ac:dyDescent="0.25">
      <c r="A110" s="149">
        <f>1</f>
        <v>1</v>
      </c>
      <c r="B110" s="131"/>
      <c r="C110" s="2"/>
      <c r="D110" s="2"/>
      <c r="E110" s="117"/>
      <c r="F110" s="2"/>
      <c r="G110" s="117"/>
      <c r="H110" s="2"/>
      <c r="I110" s="28"/>
      <c r="J110" s="2"/>
      <c r="K110" s="28"/>
      <c r="L110" s="2"/>
      <c r="M110" s="138"/>
      <c r="N110" s="2"/>
      <c r="O110" s="2"/>
      <c r="P110" s="36"/>
      <c r="Q110" s="36"/>
      <c r="R110" s="36"/>
      <c r="S110" s="36"/>
      <c r="T110" s="36"/>
      <c r="U110" s="36"/>
      <c r="V110" s="36"/>
      <c r="W110" s="36"/>
      <c r="X110" s="36"/>
      <c r="Y110" s="36"/>
      <c r="Z110" s="36"/>
      <c r="AA110" s="36"/>
      <c r="AB110" s="2"/>
    </row>
    <row r="111" spans="1:28" ht="8.1" customHeight="1" x14ac:dyDescent="0.25">
      <c r="A111" s="149">
        <f>1</f>
        <v>1</v>
      </c>
      <c r="B111" s="131"/>
      <c r="C111" s="2"/>
      <c r="D111" s="2"/>
      <c r="E111" s="2"/>
      <c r="F111" s="2"/>
      <c r="G111" s="2"/>
      <c r="H111" s="2"/>
      <c r="I111" s="28"/>
      <c r="J111" s="2"/>
      <c r="K111" s="28"/>
      <c r="L111" s="2"/>
      <c r="M111" s="52"/>
      <c r="N111" s="2"/>
      <c r="O111" s="2"/>
      <c r="P111" s="36"/>
      <c r="Q111" s="36"/>
      <c r="R111" s="36"/>
      <c r="S111" s="36"/>
      <c r="T111" s="36"/>
      <c r="U111" s="36"/>
      <c r="V111" s="36"/>
      <c r="W111" s="36"/>
      <c r="X111" s="36"/>
      <c r="Y111" s="36"/>
      <c r="Z111" s="36"/>
      <c r="AA111" s="36"/>
      <c r="AB111" s="2"/>
    </row>
    <row r="112" spans="1:28" s="5" customFormat="1" x14ac:dyDescent="0.25">
      <c r="A112" s="150">
        <f>1</f>
        <v>1</v>
      </c>
      <c r="B112" s="131"/>
      <c r="C112" s="3"/>
      <c r="D112" s="3"/>
      <c r="E112" s="3"/>
      <c r="F112" s="3"/>
      <c r="G112" s="3"/>
      <c r="H112" s="3"/>
      <c r="I112" s="28"/>
      <c r="J112" s="3"/>
      <c r="K112" s="28"/>
      <c r="L112" s="3"/>
      <c r="M112" s="55"/>
      <c r="N112" s="3"/>
      <c r="O112" s="3"/>
      <c r="P112" s="46"/>
      <c r="Q112" s="46"/>
      <c r="R112" s="46"/>
      <c r="S112" s="46"/>
      <c r="T112" s="46"/>
      <c r="U112" s="46"/>
      <c r="V112" s="46"/>
      <c r="W112" s="46"/>
      <c r="X112" s="46"/>
      <c r="Y112" s="46"/>
      <c r="Z112" s="46"/>
      <c r="AA112" s="46"/>
      <c r="AB112" s="3"/>
    </row>
    <row r="113" spans="1:28" ht="3.9" customHeight="1" x14ac:dyDescent="0.25">
      <c r="A113" s="149">
        <f>1</f>
        <v>1</v>
      </c>
      <c r="B113" s="131"/>
      <c r="C113" s="2"/>
      <c r="D113" s="2"/>
      <c r="E113" s="2"/>
      <c r="F113" s="2"/>
      <c r="G113" s="2"/>
      <c r="H113" s="2"/>
      <c r="I113" s="28"/>
      <c r="J113" s="2"/>
      <c r="K113" s="28"/>
      <c r="L113" s="2"/>
      <c r="M113" s="52"/>
      <c r="N113" s="2"/>
      <c r="O113" s="2"/>
      <c r="P113" s="36"/>
      <c r="Q113" s="36"/>
      <c r="R113" s="36"/>
      <c r="S113" s="36"/>
      <c r="T113" s="36"/>
      <c r="U113" s="36"/>
      <c r="V113" s="36"/>
      <c r="W113" s="36"/>
      <c r="X113" s="36"/>
      <c r="Y113" s="36"/>
      <c r="Z113" s="36"/>
      <c r="AA113" s="36"/>
      <c r="AB113" s="2"/>
    </row>
  </sheetData>
  <conditionalFormatting sqref="A2:XFD2 A3:B6 F3:XFD4 F5:F6 H5:XFD6 E1:XFD1 A7:XFD32 A36:XFD1048576">
    <cfRule type="cellIs" dxfId="11661" priority="1664" operator="equal">
      <formula>0</formula>
    </cfRule>
  </conditionalFormatting>
  <conditionalFormatting sqref="P17:AA17">
    <cfRule type="expression" dxfId="11660" priority="1454">
      <formula>P$1=""</formula>
    </cfRule>
  </conditionalFormatting>
  <conditionalFormatting sqref="P19:AA19">
    <cfRule type="expression" dxfId="11659" priority="1453">
      <formula>P$1=""</formula>
    </cfRule>
  </conditionalFormatting>
  <conditionalFormatting sqref="P21:AA21">
    <cfRule type="expression" dxfId="11658" priority="1452">
      <formula>P$1=""</formula>
    </cfRule>
  </conditionalFormatting>
  <conditionalFormatting sqref="P23:AA23">
    <cfRule type="expression" dxfId="11657" priority="1451">
      <formula>P$1=""</formula>
    </cfRule>
  </conditionalFormatting>
  <conditionalFormatting sqref="P19:AA19 P21:AA21 P23:AA23">
    <cfRule type="expression" dxfId="11656" priority="1450">
      <formula>P$1=""</formula>
    </cfRule>
  </conditionalFormatting>
  <conditionalFormatting sqref="P19:AA19 P21:AA21 P23:AA23">
    <cfRule type="expression" dxfId="11655" priority="1449">
      <formula>P$1=""</formula>
    </cfRule>
  </conditionalFormatting>
  <conditionalFormatting sqref="P19:AA19 P21:AA21 P23:AA23">
    <cfRule type="expression" dxfId="11654" priority="1448">
      <formula>P$1=""</formula>
    </cfRule>
  </conditionalFormatting>
  <conditionalFormatting sqref="P19:AA19 P21:AA21 P23:AA23">
    <cfRule type="expression" dxfId="11653" priority="1447">
      <formula>P$1=""</formula>
    </cfRule>
  </conditionalFormatting>
  <conditionalFormatting sqref="P19:AA19 P21:AA21 P23:AA23">
    <cfRule type="expression" dxfId="11652" priority="1446">
      <formula>P$1=""</formula>
    </cfRule>
  </conditionalFormatting>
  <conditionalFormatting sqref="P21:AA21 P23:AA23">
    <cfRule type="expression" dxfId="11651" priority="1445">
      <formula>P$1=""</formula>
    </cfRule>
  </conditionalFormatting>
  <conditionalFormatting sqref="P19:AA19">
    <cfRule type="expression" dxfId="11650" priority="1444">
      <formula>P$1=""</formula>
    </cfRule>
  </conditionalFormatting>
  <conditionalFormatting sqref="P21:AA21 P23:AA23">
    <cfRule type="expression" dxfId="11649" priority="1443">
      <formula>P$1=""</formula>
    </cfRule>
  </conditionalFormatting>
  <conditionalFormatting sqref="P21:AA21 P23:AA23">
    <cfRule type="expression" dxfId="11648" priority="1442">
      <formula>P$1=""</formula>
    </cfRule>
  </conditionalFormatting>
  <conditionalFormatting sqref="P23:AA23">
    <cfRule type="expression" dxfId="11647" priority="1441">
      <formula>P$1=""</formula>
    </cfRule>
  </conditionalFormatting>
  <conditionalFormatting sqref="P23:AA23">
    <cfRule type="expression" dxfId="11646" priority="1440">
      <formula>P$1=""</formula>
    </cfRule>
  </conditionalFormatting>
  <conditionalFormatting sqref="P23:AA23">
    <cfRule type="expression" dxfId="11645" priority="1439">
      <formula>P$1=""</formula>
    </cfRule>
  </conditionalFormatting>
  <conditionalFormatting sqref="P23:AA23">
    <cfRule type="expression" dxfId="11644" priority="1438">
      <formula>P$1=""</formula>
    </cfRule>
  </conditionalFormatting>
  <conditionalFormatting sqref="P17:AA17">
    <cfRule type="expression" dxfId="11643" priority="1437">
      <formula>P$1=""</formula>
    </cfRule>
  </conditionalFormatting>
  <conditionalFormatting sqref="P17:AA17">
    <cfRule type="expression" dxfId="11642" priority="1436">
      <formula>P$1=""</formula>
    </cfRule>
  </conditionalFormatting>
  <conditionalFormatting sqref="P17:AA17">
    <cfRule type="expression" dxfId="11641" priority="1435">
      <formula>P$1=""</formula>
    </cfRule>
  </conditionalFormatting>
  <conditionalFormatting sqref="P17:AA17">
    <cfRule type="expression" dxfId="11640" priority="1434">
      <formula>P$1=""</formula>
    </cfRule>
  </conditionalFormatting>
  <conditionalFormatting sqref="P17:AA17">
    <cfRule type="expression" dxfId="11639" priority="1433">
      <formula>P$1=""</formula>
    </cfRule>
  </conditionalFormatting>
  <conditionalFormatting sqref="P17:AA17">
    <cfRule type="expression" dxfId="11638" priority="1432">
      <formula>P$1=""</formula>
    </cfRule>
  </conditionalFormatting>
  <conditionalFormatting sqref="P17:AA17">
    <cfRule type="expression" dxfId="11637" priority="1431">
      <formula>P$1=""</formula>
    </cfRule>
  </conditionalFormatting>
  <conditionalFormatting sqref="P21:AA21 P23:AA23">
    <cfRule type="expression" dxfId="11636" priority="1430">
      <formula>P$1=""</formula>
    </cfRule>
  </conditionalFormatting>
  <conditionalFormatting sqref="P21:AA21 P23:AA23">
    <cfRule type="expression" dxfId="11635" priority="1429">
      <formula>P$1=""</formula>
    </cfRule>
  </conditionalFormatting>
  <conditionalFormatting sqref="P21:AA21 P23:AA23">
    <cfRule type="expression" dxfId="11634" priority="1428">
      <formula>P$1=""</formula>
    </cfRule>
  </conditionalFormatting>
  <conditionalFormatting sqref="P21:AA21 P23:AA23">
    <cfRule type="expression" dxfId="11633" priority="1427">
      <formula>P$1=""</formula>
    </cfRule>
  </conditionalFormatting>
  <conditionalFormatting sqref="P19:AA19 P21:AA21 P23:AA23">
    <cfRule type="expression" dxfId="11632" priority="1426">
      <formula>P$1=""</formula>
    </cfRule>
  </conditionalFormatting>
  <conditionalFormatting sqref="P19:AA19 P21:AA21 P23:AA23">
    <cfRule type="expression" dxfId="11631" priority="1425">
      <formula>P$1=""</formula>
    </cfRule>
  </conditionalFormatting>
  <conditionalFormatting sqref="P19:AA19 P21:AA21 P23:AA23">
    <cfRule type="expression" dxfId="11630" priority="1424">
      <formula>P$1=""</formula>
    </cfRule>
  </conditionalFormatting>
  <conditionalFormatting sqref="P19:AA19 P21:AA21 P23:AA23">
    <cfRule type="expression" dxfId="11629" priority="1423">
      <formula>P$1=""</formula>
    </cfRule>
  </conditionalFormatting>
  <conditionalFormatting sqref="P19:AA19 P21:AA21 P23:AA23">
    <cfRule type="expression" dxfId="11628" priority="1422">
      <formula>P$1=""</formula>
    </cfRule>
  </conditionalFormatting>
  <conditionalFormatting sqref="P19:AA19 P21:AA21 P23:AA23">
    <cfRule type="expression" dxfId="11627" priority="1421">
      <formula>P$1=""</formula>
    </cfRule>
  </conditionalFormatting>
  <conditionalFormatting sqref="P19:AA19 P21:AA21 P23:AA23">
    <cfRule type="expression" dxfId="11626" priority="1420">
      <formula>P$1=""</formula>
    </cfRule>
  </conditionalFormatting>
  <conditionalFormatting sqref="P19:AA19 P21:AA21 P23:AA23">
    <cfRule type="expression" dxfId="11625" priority="1419">
      <formula>P$1=""</formula>
    </cfRule>
  </conditionalFormatting>
  <conditionalFormatting sqref="Q19:AA19">
    <cfRule type="expression" dxfId="11624" priority="1418">
      <formula>Q$1=""</formula>
    </cfRule>
  </conditionalFormatting>
  <conditionalFormatting sqref="Q19:AA19">
    <cfRule type="expression" dxfId="11623" priority="1417">
      <formula>Q$1=""</formula>
    </cfRule>
  </conditionalFormatting>
  <conditionalFormatting sqref="Q19:AA19">
    <cfRule type="expression" dxfId="11622" priority="1416">
      <formula>Q$1=""</formula>
    </cfRule>
  </conditionalFormatting>
  <conditionalFormatting sqref="Q19:AA19">
    <cfRule type="expression" dxfId="11621" priority="1415">
      <formula>Q$1=""</formula>
    </cfRule>
  </conditionalFormatting>
  <conditionalFormatting sqref="Q19:AA19">
    <cfRule type="expression" dxfId="11620" priority="1414">
      <formula>Q$1=""</formula>
    </cfRule>
  </conditionalFormatting>
  <conditionalFormatting sqref="Q19:AA19">
    <cfRule type="expression" dxfId="11619" priority="1413">
      <formula>Q$1=""</formula>
    </cfRule>
  </conditionalFormatting>
  <conditionalFormatting sqref="Q19:AA19">
    <cfRule type="expression" dxfId="11618" priority="1412">
      <formula>Q$1=""</formula>
    </cfRule>
  </conditionalFormatting>
  <conditionalFormatting sqref="Q19:AA19">
    <cfRule type="expression" dxfId="11617" priority="1411">
      <formula>Q$1=""</formula>
    </cfRule>
  </conditionalFormatting>
  <conditionalFormatting sqref="Q21:AA21 Q23:AA23">
    <cfRule type="expression" dxfId="11616" priority="1410">
      <formula>Q$1=""</formula>
    </cfRule>
  </conditionalFormatting>
  <conditionalFormatting sqref="Q21:AA21 Q23:AA23">
    <cfRule type="expression" dxfId="11615" priority="1409">
      <formula>Q$1=""</formula>
    </cfRule>
  </conditionalFormatting>
  <conditionalFormatting sqref="Q21:AA21 Q23:AA23">
    <cfRule type="expression" dxfId="11614" priority="1408">
      <formula>Q$1=""</formula>
    </cfRule>
  </conditionalFormatting>
  <conditionalFormatting sqref="Q21:AA21 Q23:AA23">
    <cfRule type="expression" dxfId="11613" priority="1407">
      <formula>Q$1=""</formula>
    </cfRule>
  </conditionalFormatting>
  <conditionalFormatting sqref="Q21:AA21 Q23:AA23">
    <cfRule type="expression" dxfId="11612" priority="1406">
      <formula>Q$1=""</formula>
    </cfRule>
  </conditionalFormatting>
  <conditionalFormatting sqref="Q21:AA21 Q23:AA23">
    <cfRule type="expression" dxfId="11611" priority="1405">
      <formula>Q$1=""</formula>
    </cfRule>
  </conditionalFormatting>
  <conditionalFormatting sqref="Q21:AA21 Q23:AA23">
    <cfRule type="expression" dxfId="11610" priority="1404">
      <formula>Q$1=""</formula>
    </cfRule>
  </conditionalFormatting>
  <conditionalFormatting sqref="Q21:AA21 Q23:AA23">
    <cfRule type="expression" dxfId="11609" priority="1403">
      <formula>Q$1=""</formula>
    </cfRule>
  </conditionalFormatting>
  <conditionalFormatting sqref="Q21:AA21 Q23:AA23">
    <cfRule type="expression" dxfId="11608" priority="1402">
      <formula>Q$1=""</formula>
    </cfRule>
  </conditionalFormatting>
  <conditionalFormatting sqref="Q21:AA21 Q23:AA23">
    <cfRule type="expression" dxfId="11607" priority="1401">
      <formula>Q$1=""</formula>
    </cfRule>
  </conditionalFormatting>
  <conditionalFormatting sqref="P21:AA21 P23:AA23 P17:AA17">
    <cfRule type="expression" dxfId="11606" priority="1400">
      <formula>P$1=""</formula>
    </cfRule>
  </conditionalFormatting>
  <conditionalFormatting sqref="P17:AA17">
    <cfRule type="expression" dxfId="11605" priority="1399">
      <formula>P$1=""</formula>
    </cfRule>
  </conditionalFormatting>
  <conditionalFormatting sqref="P17:AA17">
    <cfRule type="expression" dxfId="11604" priority="1398">
      <formula>P$1=""</formula>
    </cfRule>
  </conditionalFormatting>
  <conditionalFormatting sqref="P17:AA17">
    <cfRule type="expression" dxfId="11603" priority="1397">
      <formula>P$1=""</formula>
    </cfRule>
  </conditionalFormatting>
  <conditionalFormatting sqref="P17:AA17">
    <cfRule type="expression" dxfId="11602" priority="1396">
      <formula>P$1=""</formula>
    </cfRule>
  </conditionalFormatting>
  <conditionalFormatting sqref="P17:AA17">
    <cfRule type="expression" dxfId="11601" priority="1395">
      <formula>P$1=""</formula>
    </cfRule>
  </conditionalFormatting>
  <conditionalFormatting sqref="P21:AA21 P23:AA23 P17:AA17">
    <cfRule type="expression" dxfId="11600" priority="1394">
      <formula>P$1=""</formula>
    </cfRule>
  </conditionalFormatting>
  <conditionalFormatting sqref="P17:AA17">
    <cfRule type="expression" dxfId="11599" priority="1393">
      <formula>P$1=""</formula>
    </cfRule>
  </conditionalFormatting>
  <conditionalFormatting sqref="P17:AA17">
    <cfRule type="expression" dxfId="11598" priority="1392">
      <formula>P$1=""</formula>
    </cfRule>
  </conditionalFormatting>
  <conditionalFormatting sqref="P17:AA17">
    <cfRule type="expression" dxfId="11597" priority="1391">
      <formula>P$1=""</formula>
    </cfRule>
  </conditionalFormatting>
  <conditionalFormatting sqref="P17:AA17">
    <cfRule type="expression" dxfId="11596" priority="1390">
      <formula>P$1=""</formula>
    </cfRule>
  </conditionalFormatting>
  <conditionalFormatting sqref="P17:AA17">
    <cfRule type="expression" dxfId="11595" priority="1389">
      <formula>P$1=""</formula>
    </cfRule>
  </conditionalFormatting>
  <conditionalFormatting sqref="P17:AA17">
    <cfRule type="expression" dxfId="11594" priority="1388">
      <formula>P$1=""</formula>
    </cfRule>
  </conditionalFormatting>
  <conditionalFormatting sqref="P17:AA17">
    <cfRule type="expression" dxfId="11593" priority="1387">
      <formula>P$1=""</formula>
    </cfRule>
  </conditionalFormatting>
  <conditionalFormatting sqref="P17:AA17">
    <cfRule type="expression" dxfId="11592" priority="1386">
      <formula>P$1=""</formula>
    </cfRule>
  </conditionalFormatting>
  <conditionalFormatting sqref="P19:AA19 P21:AA21 P23:AA23">
    <cfRule type="expression" dxfId="11591" priority="492">
      <formula>P$1=""</formula>
    </cfRule>
  </conditionalFormatting>
  <conditionalFormatting sqref="P19:AA19 P21:AA21 P23:AA23">
    <cfRule type="expression" dxfId="11590" priority="491">
      <formula>P$1=""</formula>
    </cfRule>
  </conditionalFormatting>
  <conditionalFormatting sqref="P19:AA19 P21:AA21 P23:AA23">
    <cfRule type="expression" dxfId="11589" priority="490">
      <formula>P$1=""</formula>
    </cfRule>
  </conditionalFormatting>
  <conditionalFormatting sqref="P19:AA19 P21:AA21 P23:AA23">
    <cfRule type="expression" dxfId="11588" priority="489">
      <formula>P$1=""</formula>
    </cfRule>
  </conditionalFormatting>
  <conditionalFormatting sqref="P19:AA19 P21:AA21 P23:AA23">
    <cfRule type="expression" dxfId="11587" priority="488">
      <formula>P$1=""</formula>
    </cfRule>
  </conditionalFormatting>
  <conditionalFormatting sqref="P19:AA19 P21:AA21 P23:AA23">
    <cfRule type="expression" dxfId="11586" priority="487">
      <formula>P$1=""</formula>
    </cfRule>
  </conditionalFormatting>
  <conditionalFormatting sqref="P19:AA19 P21:AA21 P23:AA23">
    <cfRule type="expression" dxfId="11585" priority="486">
      <formula>P$1=""</formula>
    </cfRule>
  </conditionalFormatting>
  <conditionalFormatting sqref="P19:AA19 P21:AA21 P23:AA23">
    <cfRule type="expression" dxfId="11584" priority="485">
      <formula>P$1=""</formula>
    </cfRule>
  </conditionalFormatting>
  <conditionalFormatting sqref="P19:AA19">
    <cfRule type="expression" dxfId="11583" priority="484">
      <formula>P$1=""</formula>
    </cfRule>
  </conditionalFormatting>
  <conditionalFormatting sqref="P19:AA19 P21:AA21 P23:AA23">
    <cfRule type="expression" dxfId="11582" priority="483">
      <formula>P$1=""</formula>
    </cfRule>
  </conditionalFormatting>
  <conditionalFormatting sqref="P19:AA19 P21:AA21 P23:AA23">
    <cfRule type="expression" dxfId="11581" priority="482">
      <formula>P$1=""</formula>
    </cfRule>
  </conditionalFormatting>
  <conditionalFormatting sqref="P19:AA19 P21:AA21 P23:AA23">
    <cfRule type="expression" dxfId="11580" priority="481">
      <formula>P$1=""</formula>
    </cfRule>
  </conditionalFormatting>
  <conditionalFormatting sqref="P19:AA19 P21:AA21 P23:AA23">
    <cfRule type="expression" dxfId="11579" priority="480">
      <formula>P$1=""</formula>
    </cfRule>
  </conditionalFormatting>
  <conditionalFormatting sqref="P19:AA19 P21:AA21 P23:AA23">
    <cfRule type="expression" dxfId="11578" priority="479">
      <formula>P$1=""</formula>
    </cfRule>
  </conditionalFormatting>
  <conditionalFormatting sqref="P19:AA19">
    <cfRule type="expression" dxfId="11577" priority="478">
      <formula>P$1=""</formula>
    </cfRule>
  </conditionalFormatting>
  <conditionalFormatting sqref="P19:AA19 P21:AA21 P23:AA23">
    <cfRule type="expression" dxfId="11576" priority="477">
      <formula>P$1=""</formula>
    </cfRule>
  </conditionalFormatting>
  <conditionalFormatting sqref="P19:AA19 P21:AA21 P23:AA23">
    <cfRule type="expression" dxfId="11575" priority="476">
      <formula>P$1=""</formula>
    </cfRule>
  </conditionalFormatting>
  <conditionalFormatting sqref="P19:AA19 P21:AA21 P23:AA23">
    <cfRule type="expression" dxfId="11574" priority="475">
      <formula>P$1=""</formula>
    </cfRule>
  </conditionalFormatting>
  <conditionalFormatting sqref="P19:AA19 P21:AA21 P23:AA23">
    <cfRule type="expression" dxfId="11573" priority="474">
      <formula>P$1=""</formula>
    </cfRule>
  </conditionalFormatting>
  <conditionalFormatting sqref="P19:AA19 P21:AA21 P23:AA23">
    <cfRule type="expression" dxfId="11572" priority="473">
      <formula>P$1=""</formula>
    </cfRule>
  </conditionalFormatting>
  <conditionalFormatting sqref="P19:AA19 P21:AA21 P23:AA23">
    <cfRule type="expression" dxfId="11571" priority="472">
      <formula>P$1=""</formula>
    </cfRule>
  </conditionalFormatting>
  <conditionalFormatting sqref="P19:AA19 P21:AA21 P23:AA23">
    <cfRule type="expression" dxfId="11570" priority="471">
      <formula>P$1=""</formula>
    </cfRule>
  </conditionalFormatting>
  <conditionalFormatting sqref="P19:AA19 P21:AA21 P23:AA23">
    <cfRule type="expression" dxfId="11569" priority="470">
      <formula>P$1=""</formula>
    </cfRule>
  </conditionalFormatting>
  <conditionalFormatting sqref="P23:AA23 P21:AA21">
    <cfRule type="expression" dxfId="11568" priority="469">
      <formula>P$1=""</formula>
    </cfRule>
  </conditionalFormatting>
  <conditionalFormatting sqref="P23:AA23 P21:AA21">
    <cfRule type="expression" dxfId="11567" priority="468">
      <formula>P$1=""</formula>
    </cfRule>
  </conditionalFormatting>
  <conditionalFormatting sqref="Q23:AA23 Q21:AA21">
    <cfRule type="expression" dxfId="11566" priority="467">
      <formula>Q$1=""</formula>
    </cfRule>
  </conditionalFormatting>
  <conditionalFormatting sqref="Q23:AA23 Q21:AA21">
    <cfRule type="expression" dxfId="11565" priority="466">
      <formula>Q$1=""</formula>
    </cfRule>
  </conditionalFormatting>
  <conditionalFormatting sqref="Q23:AA23 Q21:AA21">
    <cfRule type="expression" dxfId="11564" priority="465">
      <formula>Q$1=""</formula>
    </cfRule>
  </conditionalFormatting>
  <conditionalFormatting sqref="Q23:AA23 Q21:AA21">
    <cfRule type="expression" dxfId="11563" priority="464">
      <formula>Q$1=""</formula>
    </cfRule>
  </conditionalFormatting>
  <conditionalFormatting sqref="Q23:AA23 Q21:AA21">
    <cfRule type="expression" dxfId="11562" priority="463">
      <formula>Q$1=""</formula>
    </cfRule>
  </conditionalFormatting>
  <conditionalFormatting sqref="Q23:AA23 Q21:AA21">
    <cfRule type="expression" dxfId="11561" priority="462">
      <formula>Q$1=""</formula>
    </cfRule>
  </conditionalFormatting>
  <conditionalFormatting sqref="Q23:AA23 Q21:AA21">
    <cfRule type="expression" dxfId="11560" priority="461">
      <formula>Q$1=""</formula>
    </cfRule>
  </conditionalFormatting>
  <conditionalFormatting sqref="Q23:AA23 Q21:AA21">
    <cfRule type="expression" dxfId="11559" priority="460">
      <formula>Q$1=""</formula>
    </cfRule>
  </conditionalFormatting>
  <conditionalFormatting sqref="P23:AA23 P21:AA21">
    <cfRule type="expression" dxfId="11558" priority="459">
      <formula>P$1=""</formula>
    </cfRule>
  </conditionalFormatting>
  <conditionalFormatting sqref="P23:AA23 P21:AA21">
    <cfRule type="expression" dxfId="11557" priority="458">
      <formula>P$1=""</formula>
    </cfRule>
  </conditionalFormatting>
  <conditionalFormatting sqref="P50:AA50">
    <cfRule type="expression" dxfId="11556" priority="434">
      <formula>P$1=""</formula>
    </cfRule>
  </conditionalFormatting>
  <conditionalFormatting sqref="P50:AA50">
    <cfRule type="expression" dxfId="11555" priority="433">
      <formula>P$1=""</formula>
    </cfRule>
  </conditionalFormatting>
  <conditionalFormatting sqref="P50:AA50">
    <cfRule type="expression" dxfId="11554" priority="432">
      <formula>P$1=""</formula>
    </cfRule>
  </conditionalFormatting>
  <conditionalFormatting sqref="P50:AA50">
    <cfRule type="expression" dxfId="11553" priority="431">
      <formula>P$1=""</formula>
    </cfRule>
  </conditionalFormatting>
  <conditionalFormatting sqref="P50:AA50">
    <cfRule type="expression" dxfId="11552" priority="430">
      <formula>P$1=""</formula>
    </cfRule>
  </conditionalFormatting>
  <conditionalFormatting sqref="P50:AA50">
    <cfRule type="expression" dxfId="11551" priority="429">
      <formula>P$1=""</formula>
    </cfRule>
  </conditionalFormatting>
  <conditionalFormatting sqref="P50:AA50">
    <cfRule type="expression" dxfId="11550" priority="428">
      <formula>P$1=""</formula>
    </cfRule>
  </conditionalFormatting>
  <conditionalFormatting sqref="P50:AA50">
    <cfRule type="expression" dxfId="11549" priority="427">
      <formula>P$1=""</formula>
    </cfRule>
  </conditionalFormatting>
  <conditionalFormatting sqref="P63:AA63">
    <cfRule type="expression" dxfId="11548" priority="426">
      <formula>P$1=""</formula>
    </cfRule>
  </conditionalFormatting>
  <conditionalFormatting sqref="P65:AA65">
    <cfRule type="expression" dxfId="11547" priority="425">
      <formula>P$1=""</formula>
    </cfRule>
  </conditionalFormatting>
  <conditionalFormatting sqref="P67:AA67">
    <cfRule type="expression" dxfId="11546" priority="424">
      <formula>P$1=""</formula>
    </cfRule>
  </conditionalFormatting>
  <conditionalFormatting sqref="P69:AA69">
    <cfRule type="expression" dxfId="11545" priority="423">
      <formula>P$1=""</formula>
    </cfRule>
  </conditionalFormatting>
  <conditionalFormatting sqref="P65:AA65 P67:AA67 P69:AA69">
    <cfRule type="expression" dxfId="11544" priority="422">
      <formula>P$1=""</formula>
    </cfRule>
  </conditionalFormatting>
  <conditionalFormatting sqref="P65:AA65 P67:AA67 P69:AA69">
    <cfRule type="expression" dxfId="11543" priority="421">
      <formula>P$1=""</formula>
    </cfRule>
  </conditionalFormatting>
  <conditionalFormatting sqref="P65:AA65 P67:AA67 P69:AA69">
    <cfRule type="expression" dxfId="11542" priority="420">
      <formula>P$1=""</formula>
    </cfRule>
  </conditionalFormatting>
  <conditionalFormatting sqref="P65:AA65 P67:AA67 P69:AA69">
    <cfRule type="expression" dxfId="11541" priority="419">
      <formula>P$1=""</formula>
    </cfRule>
  </conditionalFormatting>
  <conditionalFormatting sqref="P65:AA65 P67:AA67 P69:AA69">
    <cfRule type="expression" dxfId="11540" priority="418">
      <formula>P$1=""</formula>
    </cfRule>
  </conditionalFormatting>
  <conditionalFormatting sqref="P67:AA67 P69:AA69">
    <cfRule type="expression" dxfId="11539" priority="417">
      <formula>P$1=""</formula>
    </cfRule>
  </conditionalFormatting>
  <conditionalFormatting sqref="P65:AA65">
    <cfRule type="expression" dxfId="11538" priority="416">
      <formula>P$1=""</formula>
    </cfRule>
  </conditionalFormatting>
  <conditionalFormatting sqref="P67:AA67 P69:AA69">
    <cfRule type="expression" dxfId="11537" priority="415">
      <formula>P$1=""</formula>
    </cfRule>
  </conditionalFormatting>
  <conditionalFormatting sqref="P67:AA67 P69:AA69">
    <cfRule type="expression" dxfId="11536" priority="414">
      <formula>P$1=""</formula>
    </cfRule>
  </conditionalFormatting>
  <conditionalFormatting sqref="P69:AA69">
    <cfRule type="expression" dxfId="11535" priority="413">
      <formula>P$1=""</formula>
    </cfRule>
  </conditionalFormatting>
  <conditionalFormatting sqref="P69:AA69">
    <cfRule type="expression" dxfId="11534" priority="412">
      <formula>P$1=""</formula>
    </cfRule>
  </conditionalFormatting>
  <conditionalFormatting sqref="P69:AA69">
    <cfRule type="expression" dxfId="11533" priority="411">
      <formula>P$1=""</formula>
    </cfRule>
  </conditionalFormatting>
  <conditionalFormatting sqref="P69:AA69">
    <cfRule type="expression" dxfId="11532" priority="410">
      <formula>P$1=""</formula>
    </cfRule>
  </conditionalFormatting>
  <conditionalFormatting sqref="P63:AA63">
    <cfRule type="expression" dxfId="11531" priority="409">
      <formula>P$1=""</formula>
    </cfRule>
  </conditionalFormatting>
  <conditionalFormatting sqref="P63:AA63">
    <cfRule type="expression" dxfId="11530" priority="408">
      <formula>P$1=""</formula>
    </cfRule>
  </conditionalFormatting>
  <conditionalFormatting sqref="P63:AA63">
    <cfRule type="expression" dxfId="11529" priority="407">
      <formula>P$1=""</formula>
    </cfRule>
  </conditionalFormatting>
  <conditionalFormatting sqref="P63:AA63">
    <cfRule type="expression" dxfId="11528" priority="406">
      <formula>P$1=""</formula>
    </cfRule>
  </conditionalFormatting>
  <conditionalFormatting sqref="P63:AA63">
    <cfRule type="expression" dxfId="11527" priority="405">
      <formula>P$1=""</formula>
    </cfRule>
  </conditionalFormatting>
  <conditionalFormatting sqref="P63:AA63">
    <cfRule type="expression" dxfId="11526" priority="404">
      <formula>P$1=""</formula>
    </cfRule>
  </conditionalFormatting>
  <conditionalFormatting sqref="P63:AA63">
    <cfRule type="expression" dxfId="11525" priority="403">
      <formula>P$1=""</formula>
    </cfRule>
  </conditionalFormatting>
  <conditionalFormatting sqref="P67:AA67 P69:AA69">
    <cfRule type="expression" dxfId="11524" priority="402">
      <formula>P$1=""</formula>
    </cfRule>
  </conditionalFormatting>
  <conditionalFormatting sqref="P67:AA67 P69:AA69">
    <cfRule type="expression" dxfId="11523" priority="401">
      <formula>P$1=""</formula>
    </cfRule>
  </conditionalFormatting>
  <conditionalFormatting sqref="P67:AA67 P69:AA69">
    <cfRule type="expression" dxfId="11522" priority="400">
      <formula>P$1=""</formula>
    </cfRule>
  </conditionalFormatting>
  <conditionalFormatting sqref="P67:AA67 P69:AA69">
    <cfRule type="expression" dxfId="11521" priority="399">
      <formula>P$1=""</formula>
    </cfRule>
  </conditionalFormatting>
  <conditionalFormatting sqref="P69 P67 P65">
    <cfRule type="expression" dxfId="11520" priority="398">
      <formula>P$1=""</formula>
    </cfRule>
  </conditionalFormatting>
  <conditionalFormatting sqref="P69 P67 P65">
    <cfRule type="expression" dxfId="11519" priority="397">
      <formula>P$1=""</formula>
    </cfRule>
  </conditionalFormatting>
  <conditionalFormatting sqref="P69 P67 P65">
    <cfRule type="expression" dxfId="11518" priority="396">
      <formula>P$1=""</formula>
    </cfRule>
  </conditionalFormatting>
  <conditionalFormatting sqref="P93:AA93">
    <cfRule type="expression" dxfId="11517" priority="395">
      <formula>P$1=""</formula>
    </cfRule>
  </conditionalFormatting>
  <conditionalFormatting sqref="P95:AA95">
    <cfRule type="expression" dxfId="11516" priority="394">
      <formula>P$1=""</formula>
    </cfRule>
  </conditionalFormatting>
  <conditionalFormatting sqref="P97:AA97">
    <cfRule type="expression" dxfId="11515" priority="393">
      <formula>P$1=""</formula>
    </cfRule>
  </conditionalFormatting>
  <conditionalFormatting sqref="P99:AA99">
    <cfRule type="expression" dxfId="11514" priority="392">
      <formula>P$1=""</formula>
    </cfRule>
  </conditionalFormatting>
  <conditionalFormatting sqref="P95:AA95 P97:AA97 P99:AA99">
    <cfRule type="expression" dxfId="11513" priority="391">
      <formula>P$1=""</formula>
    </cfRule>
  </conditionalFormatting>
  <conditionalFormatting sqref="P95:AA95 P97:AA97 P99:AA99">
    <cfRule type="expression" dxfId="11512" priority="390">
      <formula>P$1=""</formula>
    </cfRule>
  </conditionalFormatting>
  <conditionalFormatting sqref="P95:AA95 P97:AA97 P99:AA99">
    <cfRule type="expression" dxfId="11511" priority="389">
      <formula>P$1=""</formula>
    </cfRule>
  </conditionalFormatting>
  <conditionalFormatting sqref="P95:AA95 P97:AA97 P99:AA99">
    <cfRule type="expression" dxfId="11510" priority="388">
      <formula>P$1=""</formula>
    </cfRule>
  </conditionalFormatting>
  <conditionalFormatting sqref="P95:AA95 P97:AA97 P99:AA99">
    <cfRule type="expression" dxfId="11509" priority="387">
      <formula>P$1=""</formula>
    </cfRule>
  </conditionalFormatting>
  <conditionalFormatting sqref="P97:AA97 P99:AA99">
    <cfRule type="expression" dxfId="11508" priority="386">
      <formula>P$1=""</formula>
    </cfRule>
  </conditionalFormatting>
  <conditionalFormatting sqref="P95:AA95">
    <cfRule type="expression" dxfId="11507" priority="385">
      <formula>P$1=""</formula>
    </cfRule>
  </conditionalFormatting>
  <conditionalFormatting sqref="P97:AA97 P99:AA99">
    <cfRule type="expression" dxfId="11506" priority="384">
      <formula>P$1=""</formula>
    </cfRule>
  </conditionalFormatting>
  <conditionalFormatting sqref="P97:AA97 P99:AA99">
    <cfRule type="expression" dxfId="11505" priority="383">
      <formula>P$1=""</formula>
    </cfRule>
  </conditionalFormatting>
  <conditionalFormatting sqref="P99:AA99">
    <cfRule type="expression" dxfId="11504" priority="382">
      <formula>P$1=""</formula>
    </cfRule>
  </conditionalFormatting>
  <conditionalFormatting sqref="P99:AA99">
    <cfRule type="expression" dxfId="11503" priority="381">
      <formula>P$1=""</formula>
    </cfRule>
  </conditionalFormatting>
  <conditionalFormatting sqref="P99:AA99">
    <cfRule type="expression" dxfId="11502" priority="380">
      <formula>P$1=""</formula>
    </cfRule>
  </conditionalFormatting>
  <conditionalFormatting sqref="P99:AA99">
    <cfRule type="expression" dxfId="11501" priority="379">
      <formula>P$1=""</formula>
    </cfRule>
  </conditionalFormatting>
  <conditionalFormatting sqref="P93:AA93">
    <cfRule type="expression" dxfId="11500" priority="378">
      <formula>P$1=""</formula>
    </cfRule>
  </conditionalFormatting>
  <conditionalFormatting sqref="P93:AA93">
    <cfRule type="expression" dxfId="11499" priority="377">
      <formula>P$1=""</formula>
    </cfRule>
  </conditionalFormatting>
  <conditionalFormatting sqref="P93:AA93">
    <cfRule type="expression" dxfId="11498" priority="376">
      <formula>P$1=""</formula>
    </cfRule>
  </conditionalFormatting>
  <conditionalFormatting sqref="P93:AA93">
    <cfRule type="expression" dxfId="11497" priority="375">
      <formula>P$1=""</formula>
    </cfRule>
  </conditionalFormatting>
  <conditionalFormatting sqref="P93:AA93">
    <cfRule type="expression" dxfId="11496" priority="374">
      <formula>P$1=""</formula>
    </cfRule>
  </conditionalFormatting>
  <conditionalFormatting sqref="P93:AA93">
    <cfRule type="expression" dxfId="11495" priority="373">
      <formula>P$1=""</formula>
    </cfRule>
  </conditionalFormatting>
  <conditionalFormatting sqref="P93:AA93">
    <cfRule type="expression" dxfId="11494" priority="372">
      <formula>P$1=""</formula>
    </cfRule>
  </conditionalFormatting>
  <conditionalFormatting sqref="P97:AA97 P99:AA99">
    <cfRule type="expression" dxfId="11493" priority="371">
      <formula>P$1=""</formula>
    </cfRule>
  </conditionalFormatting>
  <conditionalFormatting sqref="P97:AA97 P99:AA99">
    <cfRule type="expression" dxfId="11492" priority="370">
      <formula>P$1=""</formula>
    </cfRule>
  </conditionalFormatting>
  <conditionalFormatting sqref="P97:AA97 P99:AA99">
    <cfRule type="expression" dxfId="11491" priority="369">
      <formula>P$1=""</formula>
    </cfRule>
  </conditionalFormatting>
  <conditionalFormatting sqref="P97:AA97 P99:AA99">
    <cfRule type="expression" dxfId="11490" priority="368">
      <formula>P$1=""</formula>
    </cfRule>
  </conditionalFormatting>
  <conditionalFormatting sqref="P95:AA95 P97:AA97 P99:AA99">
    <cfRule type="expression" dxfId="11489" priority="367">
      <formula>P$1=""</formula>
    </cfRule>
  </conditionalFormatting>
  <conditionalFormatting sqref="P95:AA95 P97:AA97 P99:AA99">
    <cfRule type="expression" dxfId="11488" priority="366">
      <formula>P$1=""</formula>
    </cfRule>
  </conditionalFormatting>
  <conditionalFormatting sqref="P95:AA95 P97:AA97 P99:AA99">
    <cfRule type="expression" dxfId="11487" priority="365">
      <formula>P$1=""</formula>
    </cfRule>
  </conditionalFormatting>
  <conditionalFormatting sqref="P95:AA95 P97:AA97 P99:AA99">
    <cfRule type="expression" dxfId="11486" priority="364">
      <formula>P$1=""</formula>
    </cfRule>
  </conditionalFormatting>
  <conditionalFormatting sqref="P95:AA95 P97:AA97 P99:AA99">
    <cfRule type="expression" dxfId="11485" priority="363">
      <formula>P$1=""</formula>
    </cfRule>
  </conditionalFormatting>
  <conditionalFormatting sqref="P95:AA95 P97:AA97 P99:AA99">
    <cfRule type="expression" dxfId="11484" priority="362">
      <formula>P$1=""</formula>
    </cfRule>
  </conditionalFormatting>
  <conditionalFormatting sqref="P95:AA95 P97:AA97 P99:AA99">
    <cfRule type="expression" dxfId="11483" priority="361">
      <formula>P$1=""</formula>
    </cfRule>
  </conditionalFormatting>
  <conditionalFormatting sqref="P95:AA95 P97:AA97 P99:AA99">
    <cfRule type="expression" dxfId="11482" priority="360">
      <formula>P$1=""</formula>
    </cfRule>
  </conditionalFormatting>
  <conditionalFormatting sqref="Q95:AA95">
    <cfRule type="expression" dxfId="11481" priority="359">
      <formula>Q$1=""</formula>
    </cfRule>
  </conditionalFormatting>
  <conditionalFormatting sqref="Q95:AA95">
    <cfRule type="expression" dxfId="11480" priority="358">
      <formula>Q$1=""</formula>
    </cfRule>
  </conditionalFormatting>
  <conditionalFormatting sqref="Q95:AA95">
    <cfRule type="expression" dxfId="11479" priority="357">
      <formula>Q$1=""</formula>
    </cfRule>
  </conditionalFormatting>
  <conditionalFormatting sqref="Q95:AA95">
    <cfRule type="expression" dxfId="11478" priority="356">
      <formula>Q$1=""</formula>
    </cfRule>
  </conditionalFormatting>
  <conditionalFormatting sqref="Q95:AA95">
    <cfRule type="expression" dxfId="11477" priority="355">
      <formula>Q$1=""</formula>
    </cfRule>
  </conditionalFormatting>
  <conditionalFormatting sqref="Q95:AA95">
    <cfRule type="expression" dxfId="11476" priority="354">
      <formula>Q$1=""</formula>
    </cfRule>
  </conditionalFormatting>
  <conditionalFormatting sqref="Q95:AA95">
    <cfRule type="expression" dxfId="11475" priority="353">
      <formula>Q$1=""</formula>
    </cfRule>
  </conditionalFormatting>
  <conditionalFormatting sqref="Q95:AA95">
    <cfRule type="expression" dxfId="11474" priority="352">
      <formula>Q$1=""</formula>
    </cfRule>
  </conditionalFormatting>
  <conditionalFormatting sqref="Q97:AA97 Q99:AA99">
    <cfRule type="expression" dxfId="11473" priority="351">
      <formula>Q$1=""</formula>
    </cfRule>
  </conditionalFormatting>
  <conditionalFormatting sqref="Q97:AA97 Q99:AA99">
    <cfRule type="expression" dxfId="11472" priority="350">
      <formula>Q$1=""</formula>
    </cfRule>
  </conditionalFormatting>
  <conditionalFormatting sqref="Q97:AA97 Q99:AA99">
    <cfRule type="expression" dxfId="11471" priority="349">
      <formula>Q$1=""</formula>
    </cfRule>
  </conditionalFormatting>
  <conditionalFormatting sqref="Q97:AA97 Q99:AA99">
    <cfRule type="expression" dxfId="11470" priority="348">
      <formula>Q$1=""</formula>
    </cfRule>
  </conditionalFormatting>
  <conditionalFormatting sqref="Q97:AA97 Q99:AA99">
    <cfRule type="expression" dxfId="11469" priority="347">
      <formula>Q$1=""</formula>
    </cfRule>
  </conditionalFormatting>
  <conditionalFormatting sqref="Q97:AA97 Q99:AA99">
    <cfRule type="expression" dxfId="11468" priority="346">
      <formula>Q$1=""</formula>
    </cfRule>
  </conditionalFormatting>
  <conditionalFormatting sqref="Q97:AA97 Q99:AA99">
    <cfRule type="expression" dxfId="11467" priority="345">
      <formula>Q$1=""</formula>
    </cfRule>
  </conditionalFormatting>
  <conditionalFormatting sqref="Q97:AA97 Q99:AA99">
    <cfRule type="expression" dxfId="11466" priority="344">
      <formula>Q$1=""</formula>
    </cfRule>
  </conditionalFormatting>
  <conditionalFormatting sqref="Q97:AA97 Q99:AA99">
    <cfRule type="expression" dxfId="11465" priority="343">
      <formula>Q$1=""</formula>
    </cfRule>
  </conditionalFormatting>
  <conditionalFormatting sqref="Q97:AA97 Q99:AA99">
    <cfRule type="expression" dxfId="11464" priority="342">
      <formula>Q$1=""</formula>
    </cfRule>
  </conditionalFormatting>
  <conditionalFormatting sqref="P93:AA93 P97:AA97 P99:AA99">
    <cfRule type="expression" dxfId="11463" priority="341">
      <formula>P$1=""</formula>
    </cfRule>
  </conditionalFormatting>
  <conditionalFormatting sqref="P93:AA93">
    <cfRule type="expression" dxfId="11462" priority="340">
      <formula>P$1=""</formula>
    </cfRule>
  </conditionalFormatting>
  <conditionalFormatting sqref="P93:AA93">
    <cfRule type="expression" dxfId="11461" priority="339">
      <formula>P$1=""</formula>
    </cfRule>
  </conditionalFormatting>
  <conditionalFormatting sqref="P93:AA93">
    <cfRule type="expression" dxfId="11460" priority="338">
      <formula>P$1=""</formula>
    </cfRule>
  </conditionalFormatting>
  <conditionalFormatting sqref="P93:AA93">
    <cfRule type="expression" dxfId="11459" priority="337">
      <formula>P$1=""</formula>
    </cfRule>
  </conditionalFormatting>
  <conditionalFormatting sqref="P93:AA93">
    <cfRule type="expression" dxfId="11458" priority="336">
      <formula>P$1=""</formula>
    </cfRule>
  </conditionalFormatting>
  <conditionalFormatting sqref="P93:AA93 P97:AA97 P99:AA99">
    <cfRule type="expression" dxfId="11457" priority="335">
      <formula>P$1=""</formula>
    </cfRule>
  </conditionalFormatting>
  <conditionalFormatting sqref="P93:AA93">
    <cfRule type="expression" dxfId="11456" priority="334">
      <formula>P$1=""</formula>
    </cfRule>
  </conditionalFormatting>
  <conditionalFormatting sqref="P93:AA93">
    <cfRule type="expression" dxfId="11455" priority="333">
      <formula>P$1=""</formula>
    </cfRule>
  </conditionalFormatting>
  <conditionalFormatting sqref="P93:AA93">
    <cfRule type="expression" dxfId="11454" priority="332">
      <formula>P$1=""</formula>
    </cfRule>
  </conditionalFormatting>
  <conditionalFormatting sqref="P93:AA93">
    <cfRule type="expression" dxfId="11453" priority="331">
      <formula>P$1=""</formula>
    </cfRule>
  </conditionalFormatting>
  <conditionalFormatting sqref="P93:AA93">
    <cfRule type="expression" dxfId="11452" priority="330">
      <formula>P$1=""</formula>
    </cfRule>
  </conditionalFormatting>
  <conditionalFormatting sqref="P93:AA93">
    <cfRule type="expression" dxfId="11451" priority="329">
      <formula>P$1=""</formula>
    </cfRule>
  </conditionalFormatting>
  <conditionalFormatting sqref="P93:AA93">
    <cfRule type="expression" dxfId="11450" priority="328">
      <formula>P$1=""</formula>
    </cfRule>
  </conditionalFormatting>
  <conditionalFormatting sqref="P93:AA93">
    <cfRule type="expression" dxfId="11449" priority="327">
      <formula>P$1=""</formula>
    </cfRule>
  </conditionalFormatting>
  <conditionalFormatting sqref="P95:AA95 P97:AA97 P99:AA99">
    <cfRule type="expression" dxfId="11448" priority="326">
      <formula>P$1=""</formula>
    </cfRule>
  </conditionalFormatting>
  <conditionalFormatting sqref="P95:AA95 P97:AA97 P99:AA99">
    <cfRule type="expression" dxfId="11447" priority="325">
      <formula>P$1=""</formula>
    </cfRule>
  </conditionalFormatting>
  <conditionalFormatting sqref="P95:AA95 P97:AA97 P99:AA99">
    <cfRule type="expression" dxfId="11446" priority="324">
      <formula>P$1=""</formula>
    </cfRule>
  </conditionalFormatting>
  <conditionalFormatting sqref="P95:AA95 P97:AA97 P99:AA99">
    <cfRule type="expression" dxfId="11445" priority="323">
      <formula>P$1=""</formula>
    </cfRule>
  </conditionalFormatting>
  <conditionalFormatting sqref="P95:AA95 P97:AA97 P99:AA99">
    <cfRule type="expression" dxfId="11444" priority="322">
      <formula>P$1=""</formula>
    </cfRule>
  </conditionalFormatting>
  <conditionalFormatting sqref="P95:AA95 P97:AA97 P99:AA99">
    <cfRule type="expression" dxfId="11443" priority="321">
      <formula>P$1=""</formula>
    </cfRule>
  </conditionalFormatting>
  <conditionalFormatting sqref="P95:AA95 P97:AA97 P99:AA99">
    <cfRule type="expression" dxfId="11442" priority="320">
      <formula>P$1=""</formula>
    </cfRule>
  </conditionalFormatting>
  <conditionalFormatting sqref="P95:AA95 P97:AA97 P99:AA99">
    <cfRule type="expression" dxfId="11441" priority="319">
      <formula>P$1=""</formula>
    </cfRule>
  </conditionalFormatting>
  <conditionalFormatting sqref="P95:AA95">
    <cfRule type="expression" dxfId="11440" priority="318">
      <formula>P$1=""</formula>
    </cfRule>
  </conditionalFormatting>
  <conditionalFormatting sqref="P95:AA95 P97:AA97 P99:AA99">
    <cfRule type="expression" dxfId="11439" priority="317">
      <formula>P$1=""</formula>
    </cfRule>
  </conditionalFormatting>
  <conditionalFormatting sqref="P95:AA95 P97:AA97 P99:AA99">
    <cfRule type="expression" dxfId="11438" priority="316">
      <formula>P$1=""</formula>
    </cfRule>
  </conditionalFormatting>
  <conditionalFormatting sqref="P95:AA95 P97:AA97 P99:AA99">
    <cfRule type="expression" dxfId="11437" priority="315">
      <formula>P$1=""</formula>
    </cfRule>
  </conditionalFormatting>
  <conditionalFormatting sqref="P95:AA95 P97:AA97 P99:AA99">
    <cfRule type="expression" dxfId="11436" priority="314">
      <formula>P$1=""</formula>
    </cfRule>
  </conditionalFormatting>
  <conditionalFormatting sqref="P95:AA95 P97:AA97 P99:AA99">
    <cfRule type="expression" dxfId="11435" priority="313">
      <formula>P$1=""</formula>
    </cfRule>
  </conditionalFormatting>
  <conditionalFormatting sqref="P95:AA95">
    <cfRule type="expression" dxfId="11434" priority="312">
      <formula>P$1=""</formula>
    </cfRule>
  </conditionalFormatting>
  <conditionalFormatting sqref="P95:AA95 P97:AA97 P99:AA99">
    <cfRule type="expression" dxfId="11433" priority="311">
      <formula>P$1=""</formula>
    </cfRule>
  </conditionalFormatting>
  <conditionalFormatting sqref="P95:AA95 P97:AA97 P99:AA99">
    <cfRule type="expression" dxfId="11432" priority="310">
      <formula>P$1=""</formula>
    </cfRule>
  </conditionalFormatting>
  <conditionalFormatting sqref="P95:AA95 P97:AA97 P99:AA99">
    <cfRule type="expression" dxfId="11431" priority="309">
      <formula>P$1=""</formula>
    </cfRule>
  </conditionalFormatting>
  <conditionalFormatting sqref="P95:AA95 P97:AA97 P99:AA99">
    <cfRule type="expression" dxfId="11430" priority="308">
      <formula>P$1=""</formula>
    </cfRule>
  </conditionalFormatting>
  <conditionalFormatting sqref="P95:AA95 P97:AA97 P99:AA99">
    <cfRule type="expression" dxfId="11429" priority="307">
      <formula>P$1=""</formula>
    </cfRule>
  </conditionalFormatting>
  <conditionalFormatting sqref="P95:AA95 P97:AA97 P99:AA99">
    <cfRule type="expression" dxfId="11428" priority="306">
      <formula>P$1=""</formula>
    </cfRule>
  </conditionalFormatting>
  <conditionalFormatting sqref="P95:AA95 P97:AA97 P99:AA99">
    <cfRule type="expression" dxfId="11427" priority="305">
      <formula>P$1=""</formula>
    </cfRule>
  </conditionalFormatting>
  <conditionalFormatting sqref="P95:AA95 P97:AA97 P99:AA99">
    <cfRule type="expression" dxfId="11426" priority="304">
      <formula>P$1=""</formula>
    </cfRule>
  </conditionalFormatting>
  <conditionalFormatting sqref="P99:AA99 P97:AA97">
    <cfRule type="expression" dxfId="11425" priority="303">
      <formula>P$1=""</formula>
    </cfRule>
  </conditionalFormatting>
  <conditionalFormatting sqref="P99:AA99 P97:AA97">
    <cfRule type="expression" dxfId="11424" priority="302">
      <formula>P$1=""</formula>
    </cfRule>
  </conditionalFormatting>
  <conditionalFormatting sqref="Q99:AA99 Q97:AA97">
    <cfRule type="expression" dxfId="11423" priority="301">
      <formula>Q$1=""</formula>
    </cfRule>
  </conditionalFormatting>
  <conditionalFormatting sqref="Q99:AA99 Q97:AA97">
    <cfRule type="expression" dxfId="11422" priority="300">
      <formula>Q$1=""</formula>
    </cfRule>
  </conditionalFormatting>
  <conditionalFormatting sqref="Q99:AA99 Q97:AA97">
    <cfRule type="expression" dxfId="11421" priority="299">
      <formula>Q$1=""</formula>
    </cfRule>
  </conditionalFormatting>
  <conditionalFormatting sqref="Q99:AA99 Q97:AA97">
    <cfRule type="expression" dxfId="11420" priority="298">
      <formula>Q$1=""</formula>
    </cfRule>
  </conditionalFormatting>
  <conditionalFormatting sqref="Q99:AA99 Q97:AA97">
    <cfRule type="expression" dxfId="11419" priority="297">
      <formula>Q$1=""</formula>
    </cfRule>
  </conditionalFormatting>
  <conditionalFormatting sqref="Q99:AA99 Q97:AA97">
    <cfRule type="expression" dxfId="11418" priority="296">
      <formula>Q$1=""</formula>
    </cfRule>
  </conditionalFormatting>
  <conditionalFormatting sqref="Q99:AA99 Q97:AA97">
    <cfRule type="expression" dxfId="11417" priority="295">
      <formula>Q$1=""</formula>
    </cfRule>
  </conditionalFormatting>
  <conditionalFormatting sqref="Q99:AA99 Q97:AA97">
    <cfRule type="expression" dxfId="11416" priority="294">
      <formula>Q$1=""</formula>
    </cfRule>
  </conditionalFormatting>
  <conditionalFormatting sqref="P99:AA99 P97:AA97">
    <cfRule type="expression" dxfId="11415" priority="293">
      <formula>P$1=""</formula>
    </cfRule>
  </conditionalFormatting>
  <conditionalFormatting sqref="P99:AA99 P97:AA97">
    <cfRule type="expression" dxfId="11414" priority="292">
      <formula>P$1=""</formula>
    </cfRule>
  </conditionalFormatting>
  <conditionalFormatting sqref="P53:AA53">
    <cfRule type="expression" dxfId="11413" priority="291">
      <formula>P$1=""</formula>
    </cfRule>
  </conditionalFormatting>
  <conditionalFormatting sqref="P55:AA55">
    <cfRule type="expression" dxfId="11412" priority="290">
      <formula>P$1=""</formula>
    </cfRule>
  </conditionalFormatting>
  <conditionalFormatting sqref="P57:AA57">
    <cfRule type="expression" dxfId="11411" priority="289">
      <formula>P$1=""</formula>
    </cfRule>
  </conditionalFormatting>
  <conditionalFormatting sqref="P59:AA59">
    <cfRule type="expression" dxfId="11410" priority="288">
      <formula>P$1=""</formula>
    </cfRule>
  </conditionalFormatting>
  <conditionalFormatting sqref="P55:AA55 P57:AA57 P59:AA59">
    <cfRule type="expression" dxfId="11409" priority="287">
      <formula>P$1=""</formula>
    </cfRule>
  </conditionalFormatting>
  <conditionalFormatting sqref="P55:AA55 P57:AA57 P59:AA59">
    <cfRule type="expression" dxfId="11408" priority="286">
      <formula>P$1=""</formula>
    </cfRule>
  </conditionalFormatting>
  <conditionalFormatting sqref="P55:AA55 P57:AA57 P59:AA59">
    <cfRule type="expression" dxfId="11407" priority="285">
      <formula>P$1=""</formula>
    </cfRule>
  </conditionalFormatting>
  <conditionalFormatting sqref="P55:AA55 P57:AA57 P59:AA59">
    <cfRule type="expression" dxfId="11406" priority="284">
      <formula>P$1=""</formula>
    </cfRule>
  </conditionalFormatting>
  <conditionalFormatting sqref="P55:AA55 P57:AA57 P59:AA59">
    <cfRule type="expression" dxfId="11405" priority="283">
      <formula>P$1=""</formula>
    </cfRule>
  </conditionalFormatting>
  <conditionalFormatting sqref="P57:AA57 P59:AA59">
    <cfRule type="expression" dxfId="11404" priority="282">
      <formula>P$1=""</formula>
    </cfRule>
  </conditionalFormatting>
  <conditionalFormatting sqref="P55:AA55">
    <cfRule type="expression" dxfId="11403" priority="281">
      <formula>P$1=""</formula>
    </cfRule>
  </conditionalFormatting>
  <conditionalFormatting sqref="P57:AA57 P59:AA59">
    <cfRule type="expression" dxfId="11402" priority="280">
      <formula>P$1=""</formula>
    </cfRule>
  </conditionalFormatting>
  <conditionalFormatting sqref="P57:AA57 P59:AA59">
    <cfRule type="expression" dxfId="11401" priority="279">
      <formula>P$1=""</formula>
    </cfRule>
  </conditionalFormatting>
  <conditionalFormatting sqref="P59:AA59">
    <cfRule type="expression" dxfId="11400" priority="278">
      <formula>P$1=""</formula>
    </cfRule>
  </conditionalFormatting>
  <conditionalFormatting sqref="P59:AA59">
    <cfRule type="expression" dxfId="11399" priority="277">
      <formula>P$1=""</formula>
    </cfRule>
  </conditionalFormatting>
  <conditionalFormatting sqref="P59:AA59">
    <cfRule type="expression" dxfId="11398" priority="276">
      <formula>P$1=""</formula>
    </cfRule>
  </conditionalFormatting>
  <conditionalFormatting sqref="P59:AA59">
    <cfRule type="expression" dxfId="11397" priority="275">
      <formula>P$1=""</formula>
    </cfRule>
  </conditionalFormatting>
  <conditionalFormatting sqref="P53:AA53">
    <cfRule type="expression" dxfId="11396" priority="274">
      <formula>P$1=""</formula>
    </cfRule>
  </conditionalFormatting>
  <conditionalFormatting sqref="P53:AA53">
    <cfRule type="expression" dxfId="11395" priority="273">
      <formula>P$1=""</formula>
    </cfRule>
  </conditionalFormatting>
  <conditionalFormatting sqref="P53:AA53">
    <cfRule type="expression" dxfId="11394" priority="272">
      <formula>P$1=""</formula>
    </cfRule>
  </conditionalFormatting>
  <conditionalFormatting sqref="P53:AA53">
    <cfRule type="expression" dxfId="11393" priority="271">
      <formula>P$1=""</formula>
    </cfRule>
  </conditionalFormatting>
  <conditionalFormatting sqref="P53:AA53">
    <cfRule type="expression" dxfId="11392" priority="270">
      <formula>P$1=""</formula>
    </cfRule>
  </conditionalFormatting>
  <conditionalFormatting sqref="P53:AA53">
    <cfRule type="expression" dxfId="11391" priority="269">
      <formula>P$1=""</formula>
    </cfRule>
  </conditionalFormatting>
  <conditionalFormatting sqref="P53:AA53">
    <cfRule type="expression" dxfId="11390" priority="268">
      <formula>P$1=""</formula>
    </cfRule>
  </conditionalFormatting>
  <conditionalFormatting sqref="P57:AA57 P59:AA59">
    <cfRule type="expression" dxfId="11389" priority="267">
      <formula>P$1=""</formula>
    </cfRule>
  </conditionalFormatting>
  <conditionalFormatting sqref="P57:AA57 P59:AA59">
    <cfRule type="expression" dxfId="11388" priority="266">
      <formula>P$1=""</formula>
    </cfRule>
  </conditionalFormatting>
  <conditionalFormatting sqref="P57:AA57 P59:AA59">
    <cfRule type="expression" dxfId="11387" priority="265">
      <formula>P$1=""</formula>
    </cfRule>
  </conditionalFormatting>
  <conditionalFormatting sqref="P57:AA57 P59:AA59">
    <cfRule type="expression" dxfId="11386" priority="264">
      <formula>P$1=""</formula>
    </cfRule>
  </conditionalFormatting>
  <conditionalFormatting sqref="P55:AA55 P57:AA57 P59:AA59">
    <cfRule type="expression" dxfId="11385" priority="263">
      <formula>P$1=""</formula>
    </cfRule>
  </conditionalFormatting>
  <conditionalFormatting sqref="P55:AA55 P57:AA57 P59:AA59">
    <cfRule type="expression" dxfId="11384" priority="262">
      <formula>P$1=""</formula>
    </cfRule>
  </conditionalFormatting>
  <conditionalFormatting sqref="P55:AA55 P57:AA57 P59:AA59">
    <cfRule type="expression" dxfId="11383" priority="261">
      <formula>P$1=""</formula>
    </cfRule>
  </conditionalFormatting>
  <conditionalFormatting sqref="P55:AA55 P57:AA57 P59:AA59">
    <cfRule type="expression" dxfId="11382" priority="260">
      <formula>P$1=""</formula>
    </cfRule>
  </conditionalFormatting>
  <conditionalFormatting sqref="P55:AA55 P57:AA57 P59:AA59">
    <cfRule type="expression" dxfId="11381" priority="259">
      <formula>P$1=""</formula>
    </cfRule>
  </conditionalFormatting>
  <conditionalFormatting sqref="P55:AA55 P57:AA57 P59:AA59">
    <cfRule type="expression" dxfId="11380" priority="258">
      <formula>P$1=""</formula>
    </cfRule>
  </conditionalFormatting>
  <conditionalFormatting sqref="P55:AA55 P57:AA57 P59:AA59">
    <cfRule type="expression" dxfId="11379" priority="257">
      <formula>P$1=""</formula>
    </cfRule>
  </conditionalFormatting>
  <conditionalFormatting sqref="P55:AA55 P57:AA57 P59:AA59">
    <cfRule type="expression" dxfId="11378" priority="256">
      <formula>P$1=""</formula>
    </cfRule>
  </conditionalFormatting>
  <conditionalFormatting sqref="Q55:AA55">
    <cfRule type="expression" dxfId="11377" priority="255">
      <formula>Q$1=""</formula>
    </cfRule>
  </conditionalFormatting>
  <conditionalFormatting sqref="Q55:AA55">
    <cfRule type="expression" dxfId="11376" priority="254">
      <formula>Q$1=""</formula>
    </cfRule>
  </conditionalFormatting>
  <conditionalFormatting sqref="Q55:AA55">
    <cfRule type="expression" dxfId="11375" priority="253">
      <formula>Q$1=""</formula>
    </cfRule>
  </conditionalFormatting>
  <conditionalFormatting sqref="Q55:AA55">
    <cfRule type="expression" dxfId="11374" priority="252">
      <formula>Q$1=""</formula>
    </cfRule>
  </conditionalFormatting>
  <conditionalFormatting sqref="Q55:AA55">
    <cfRule type="expression" dxfId="11373" priority="251">
      <formula>Q$1=""</formula>
    </cfRule>
  </conditionalFormatting>
  <conditionalFormatting sqref="Q55:AA55">
    <cfRule type="expression" dxfId="11372" priority="250">
      <formula>Q$1=""</formula>
    </cfRule>
  </conditionalFormatting>
  <conditionalFormatting sqref="Q55:AA55">
    <cfRule type="expression" dxfId="11371" priority="249">
      <formula>Q$1=""</formula>
    </cfRule>
  </conditionalFormatting>
  <conditionalFormatting sqref="Q55:AA55">
    <cfRule type="expression" dxfId="11370" priority="248">
      <formula>Q$1=""</formula>
    </cfRule>
  </conditionalFormatting>
  <conditionalFormatting sqref="Q57:AA57 Q59:AA59">
    <cfRule type="expression" dxfId="11369" priority="247">
      <formula>Q$1=""</formula>
    </cfRule>
  </conditionalFormatting>
  <conditionalFormatting sqref="Q57:AA57 Q59:AA59">
    <cfRule type="expression" dxfId="11368" priority="246">
      <formula>Q$1=""</formula>
    </cfRule>
  </conditionalFormatting>
  <conditionalFormatting sqref="Q57:AA57 Q59:AA59">
    <cfRule type="expression" dxfId="11367" priority="245">
      <formula>Q$1=""</formula>
    </cfRule>
  </conditionalFormatting>
  <conditionalFormatting sqref="Q57:AA57 Q59:AA59">
    <cfRule type="expression" dxfId="11366" priority="244">
      <formula>Q$1=""</formula>
    </cfRule>
  </conditionalFormatting>
  <conditionalFormatting sqref="Q57:AA57 Q59:AA59">
    <cfRule type="expression" dxfId="11365" priority="243">
      <formula>Q$1=""</formula>
    </cfRule>
  </conditionalFormatting>
  <conditionalFormatting sqref="Q57:AA57 Q59:AA59">
    <cfRule type="expression" dxfId="11364" priority="242">
      <formula>Q$1=""</formula>
    </cfRule>
  </conditionalFormatting>
  <conditionalFormatting sqref="Q57:AA57 Q59:AA59">
    <cfRule type="expression" dxfId="11363" priority="241">
      <formula>Q$1=""</formula>
    </cfRule>
  </conditionalFormatting>
  <conditionalFormatting sqref="Q57:AA57 Q59:AA59">
    <cfRule type="expression" dxfId="11362" priority="240">
      <formula>Q$1=""</formula>
    </cfRule>
  </conditionalFormatting>
  <conditionalFormatting sqref="Q57:AA57 Q59:AA59">
    <cfRule type="expression" dxfId="11361" priority="239">
      <formula>Q$1=""</formula>
    </cfRule>
  </conditionalFormatting>
  <conditionalFormatting sqref="Q57:AA57 Q59:AA59">
    <cfRule type="expression" dxfId="11360" priority="238">
      <formula>Q$1=""</formula>
    </cfRule>
  </conditionalFormatting>
  <conditionalFormatting sqref="P53:AA53 P57:AA57 P59:AA59">
    <cfRule type="expression" dxfId="11359" priority="237">
      <formula>P$1=""</formula>
    </cfRule>
  </conditionalFormatting>
  <conditionalFormatting sqref="P53:AA53">
    <cfRule type="expression" dxfId="11358" priority="236">
      <formula>P$1=""</formula>
    </cfRule>
  </conditionalFormatting>
  <conditionalFormatting sqref="P53:AA53">
    <cfRule type="expression" dxfId="11357" priority="235">
      <formula>P$1=""</formula>
    </cfRule>
  </conditionalFormatting>
  <conditionalFormatting sqref="P53:AA53">
    <cfRule type="expression" dxfId="11356" priority="234">
      <formula>P$1=""</formula>
    </cfRule>
  </conditionalFormatting>
  <conditionalFormatting sqref="P53:AA53">
    <cfRule type="expression" dxfId="11355" priority="233">
      <formula>P$1=""</formula>
    </cfRule>
  </conditionalFormatting>
  <conditionalFormatting sqref="P53:AA53">
    <cfRule type="expression" dxfId="11354" priority="232">
      <formula>P$1=""</formula>
    </cfRule>
  </conditionalFormatting>
  <conditionalFormatting sqref="P53:AA53 P57:AA57 P59:AA59">
    <cfRule type="expression" dxfId="11353" priority="231">
      <formula>P$1=""</formula>
    </cfRule>
  </conditionalFormatting>
  <conditionalFormatting sqref="P53:AA53">
    <cfRule type="expression" dxfId="11352" priority="230">
      <formula>P$1=""</formula>
    </cfRule>
  </conditionalFormatting>
  <conditionalFormatting sqref="P53:AA53">
    <cfRule type="expression" dxfId="11351" priority="229">
      <formula>P$1=""</formula>
    </cfRule>
  </conditionalFormatting>
  <conditionalFormatting sqref="P53:AA53">
    <cfRule type="expression" dxfId="11350" priority="228">
      <formula>P$1=""</formula>
    </cfRule>
  </conditionalFormatting>
  <conditionalFormatting sqref="P53:AA53">
    <cfRule type="expression" dxfId="11349" priority="227">
      <formula>P$1=""</formula>
    </cfRule>
  </conditionalFormatting>
  <conditionalFormatting sqref="P53:AA53">
    <cfRule type="expression" dxfId="11348" priority="226">
      <formula>P$1=""</formula>
    </cfRule>
  </conditionalFormatting>
  <conditionalFormatting sqref="P53:AA53">
    <cfRule type="expression" dxfId="11347" priority="225">
      <formula>P$1=""</formula>
    </cfRule>
  </conditionalFormatting>
  <conditionalFormatting sqref="P53:AA53">
    <cfRule type="expression" dxfId="11346" priority="224">
      <formula>P$1=""</formula>
    </cfRule>
  </conditionalFormatting>
  <conditionalFormatting sqref="P53:AA53">
    <cfRule type="expression" dxfId="11345" priority="223">
      <formula>P$1=""</formula>
    </cfRule>
  </conditionalFormatting>
  <conditionalFormatting sqref="P55:AA55 P57:AA57 P59:AA59">
    <cfRule type="expression" dxfId="11344" priority="222">
      <formula>P$1=""</formula>
    </cfRule>
  </conditionalFormatting>
  <conditionalFormatting sqref="P55:AA55 P57:AA57 P59:AA59">
    <cfRule type="expression" dxfId="11343" priority="221">
      <formula>P$1=""</formula>
    </cfRule>
  </conditionalFormatting>
  <conditionalFormatting sqref="P55:AA55 P57:AA57 P59:AA59">
    <cfRule type="expression" dxfId="11342" priority="220">
      <formula>P$1=""</formula>
    </cfRule>
  </conditionalFormatting>
  <conditionalFormatting sqref="P55:AA55 P57:AA57 P59:AA59">
    <cfRule type="expression" dxfId="11341" priority="219">
      <formula>P$1=""</formula>
    </cfRule>
  </conditionalFormatting>
  <conditionalFormatting sqref="P55:AA55 P57:AA57 P59:AA59">
    <cfRule type="expression" dxfId="11340" priority="218">
      <formula>P$1=""</formula>
    </cfRule>
  </conditionalFormatting>
  <conditionalFormatting sqref="P55:AA55 P57:AA57 P59:AA59">
    <cfRule type="expression" dxfId="11339" priority="217">
      <formula>P$1=""</formula>
    </cfRule>
  </conditionalFormatting>
  <conditionalFormatting sqref="P55:AA55 P57:AA57 P59:AA59">
    <cfRule type="expression" dxfId="11338" priority="216">
      <formula>P$1=""</formula>
    </cfRule>
  </conditionalFormatting>
  <conditionalFormatting sqref="P55:AA55 P57:AA57 P59:AA59">
    <cfRule type="expression" dxfId="11337" priority="215">
      <formula>P$1=""</formula>
    </cfRule>
  </conditionalFormatting>
  <conditionalFormatting sqref="P55:AA55">
    <cfRule type="expression" dxfId="11336" priority="214">
      <formula>P$1=""</formula>
    </cfRule>
  </conditionalFormatting>
  <conditionalFormatting sqref="P55:AA55 P57:AA57 P59:AA59">
    <cfRule type="expression" dxfId="11335" priority="213">
      <formula>P$1=""</formula>
    </cfRule>
  </conditionalFormatting>
  <conditionalFormatting sqref="P55:AA55 P57:AA57 P59:AA59">
    <cfRule type="expression" dxfId="11334" priority="212">
      <formula>P$1=""</formula>
    </cfRule>
  </conditionalFormatting>
  <conditionalFormatting sqref="P55:AA55 P57:AA57 P59:AA59">
    <cfRule type="expression" dxfId="11333" priority="211">
      <formula>P$1=""</formula>
    </cfRule>
  </conditionalFormatting>
  <conditionalFormatting sqref="P55:AA55 P57:AA57 P59:AA59">
    <cfRule type="expression" dxfId="11332" priority="210">
      <formula>P$1=""</formula>
    </cfRule>
  </conditionalFormatting>
  <conditionalFormatting sqref="P55:AA55 P57:AA57 P59:AA59">
    <cfRule type="expression" dxfId="11331" priority="209">
      <formula>P$1=""</formula>
    </cfRule>
  </conditionalFormatting>
  <conditionalFormatting sqref="P55:AA55">
    <cfRule type="expression" dxfId="11330" priority="208">
      <formula>P$1=""</formula>
    </cfRule>
  </conditionalFormatting>
  <conditionalFormatting sqref="P55:AA55 P57:AA57 P59:AA59">
    <cfRule type="expression" dxfId="11329" priority="207">
      <formula>P$1=""</formula>
    </cfRule>
  </conditionalFormatting>
  <conditionalFormatting sqref="P55:AA55 P57:AA57 P59:AA59">
    <cfRule type="expression" dxfId="11328" priority="206">
      <formula>P$1=""</formula>
    </cfRule>
  </conditionalFormatting>
  <conditionalFormatting sqref="P55:AA55 P57:AA57 P59:AA59">
    <cfRule type="expression" dxfId="11327" priority="205">
      <formula>P$1=""</formula>
    </cfRule>
  </conditionalFormatting>
  <conditionalFormatting sqref="P55:AA55 P57:AA57 P59:AA59">
    <cfRule type="expression" dxfId="11326" priority="204">
      <formula>P$1=""</formula>
    </cfRule>
  </conditionalFormatting>
  <conditionalFormatting sqref="P55:AA55 P57:AA57 P59:AA59">
    <cfRule type="expression" dxfId="11325" priority="203">
      <formula>P$1=""</formula>
    </cfRule>
  </conditionalFormatting>
  <conditionalFormatting sqref="P55:AA55 P57:AA57 P59:AA59">
    <cfRule type="expression" dxfId="11324" priority="202">
      <formula>P$1=""</formula>
    </cfRule>
  </conditionalFormatting>
  <conditionalFormatting sqref="P55:AA55 P57:AA57 P59:AA59">
    <cfRule type="expression" dxfId="11323" priority="201">
      <formula>P$1=""</formula>
    </cfRule>
  </conditionalFormatting>
  <conditionalFormatting sqref="P55:AA55 P57:AA57 P59:AA59">
    <cfRule type="expression" dxfId="11322" priority="200">
      <formula>P$1=""</formula>
    </cfRule>
  </conditionalFormatting>
  <conditionalFormatting sqref="P59:AA59 P57:AA57">
    <cfRule type="expression" dxfId="11321" priority="199">
      <formula>P$1=""</formula>
    </cfRule>
  </conditionalFormatting>
  <conditionalFormatting sqref="P59:AA59 P57:AA57">
    <cfRule type="expression" dxfId="11320" priority="198">
      <formula>P$1=""</formula>
    </cfRule>
  </conditionalFormatting>
  <conditionalFormatting sqref="Q59:AA59 Q57:AA57">
    <cfRule type="expression" dxfId="11319" priority="197">
      <formula>Q$1=""</formula>
    </cfRule>
  </conditionalFormatting>
  <conditionalFormatting sqref="Q59:AA59 Q57:AA57">
    <cfRule type="expression" dxfId="11318" priority="196">
      <formula>Q$1=""</formula>
    </cfRule>
  </conditionalFormatting>
  <conditionalFormatting sqref="Q59:AA59 Q57:AA57">
    <cfRule type="expression" dxfId="11317" priority="195">
      <formula>Q$1=""</formula>
    </cfRule>
  </conditionalFormatting>
  <conditionalFormatting sqref="Q59:AA59 Q57:AA57">
    <cfRule type="expression" dxfId="11316" priority="194">
      <formula>Q$1=""</formula>
    </cfRule>
  </conditionalFormatting>
  <conditionalFormatting sqref="Q59:AA59 Q57:AA57">
    <cfRule type="expression" dxfId="11315" priority="193">
      <formula>Q$1=""</formula>
    </cfRule>
  </conditionalFormatting>
  <conditionalFormatting sqref="Q59:AA59 Q57:AA57">
    <cfRule type="expression" dxfId="11314" priority="192">
      <formula>Q$1=""</formula>
    </cfRule>
  </conditionalFormatting>
  <conditionalFormatting sqref="Q59:AA59 Q57:AA57">
    <cfRule type="expression" dxfId="11313" priority="191">
      <formula>Q$1=""</formula>
    </cfRule>
  </conditionalFormatting>
  <conditionalFormatting sqref="Q59:AA59 Q57:AA57">
    <cfRule type="expression" dxfId="11312" priority="190">
      <formula>Q$1=""</formula>
    </cfRule>
  </conditionalFormatting>
  <conditionalFormatting sqref="P59:AA59 P57:AA57">
    <cfRule type="expression" dxfId="11311" priority="189">
      <formula>P$1=""</formula>
    </cfRule>
  </conditionalFormatting>
  <conditionalFormatting sqref="P59:AA59 P57:AA57">
    <cfRule type="expression" dxfId="11310" priority="188">
      <formula>P$1=""</formula>
    </cfRule>
  </conditionalFormatting>
  <conditionalFormatting sqref="P59:AA59 P57:AA57 P55:AA55">
    <cfRule type="expression" dxfId="11309" priority="187">
      <formula>P$1=""</formula>
    </cfRule>
  </conditionalFormatting>
  <conditionalFormatting sqref="P59:AA59 P57:AA57 P55:AA55">
    <cfRule type="expression" dxfId="11308" priority="186">
      <formula>P$1=""</formula>
    </cfRule>
  </conditionalFormatting>
  <conditionalFormatting sqref="P59:AA59 P57:AA57 P55:AA55">
    <cfRule type="expression" dxfId="11307" priority="185">
      <formula>P$1=""</formula>
    </cfRule>
  </conditionalFormatting>
  <conditionalFormatting sqref="P59:AA59 P57:AA57 P55:AA55">
    <cfRule type="expression" dxfId="11306" priority="184">
      <formula>P$1=""</formula>
    </cfRule>
  </conditionalFormatting>
  <conditionalFormatting sqref="P59:AA59 P57:AA57 P55:AA55">
    <cfRule type="expression" dxfId="11305" priority="183">
      <formula>P$1=""</formula>
    </cfRule>
  </conditionalFormatting>
  <conditionalFormatting sqref="P59:AA59 P57:AA57 P55:AA55">
    <cfRule type="expression" dxfId="11304" priority="182">
      <formula>P$1=""</formula>
    </cfRule>
  </conditionalFormatting>
  <conditionalFormatting sqref="P59:AA59 P57:AA57 P55:AA55">
    <cfRule type="expression" dxfId="11303" priority="181">
      <formula>P$1=""</formula>
    </cfRule>
  </conditionalFormatting>
  <conditionalFormatting sqref="P59:AA59 P57:AA57 P55:AA55">
    <cfRule type="expression" dxfId="11302" priority="180">
      <formula>P$1=""</formula>
    </cfRule>
  </conditionalFormatting>
  <conditionalFormatting sqref="P55:AA55">
    <cfRule type="expression" dxfId="11301" priority="179">
      <formula>P$1=""</formula>
    </cfRule>
  </conditionalFormatting>
  <conditionalFormatting sqref="P59:AA59 P57:AA57 P55:AA55">
    <cfRule type="expression" dxfId="11300" priority="178">
      <formula>P$1=""</formula>
    </cfRule>
  </conditionalFormatting>
  <conditionalFormatting sqref="P59:AA59 P57:AA57 P55:AA55">
    <cfRule type="expression" dxfId="11299" priority="177">
      <formula>P$1=""</formula>
    </cfRule>
  </conditionalFormatting>
  <conditionalFormatting sqref="P59:AA59 P57:AA57 P55:AA55">
    <cfRule type="expression" dxfId="11298" priority="176">
      <formula>P$1=""</formula>
    </cfRule>
  </conditionalFormatting>
  <conditionalFormatting sqref="P59:AA59 P57:AA57 P55:AA55">
    <cfRule type="expression" dxfId="11297" priority="175">
      <formula>P$1=""</formula>
    </cfRule>
  </conditionalFormatting>
  <conditionalFormatting sqref="P59:AA59 P57:AA57 P55:AA55">
    <cfRule type="expression" dxfId="11296" priority="174">
      <formula>P$1=""</formula>
    </cfRule>
  </conditionalFormatting>
  <conditionalFormatting sqref="P55:AA55">
    <cfRule type="expression" dxfId="11295" priority="173">
      <formula>P$1=""</formula>
    </cfRule>
  </conditionalFormatting>
  <conditionalFormatting sqref="P59:AA59 P57:AA57 P55:AA55">
    <cfRule type="expression" dxfId="11294" priority="172">
      <formula>P$1=""</formula>
    </cfRule>
  </conditionalFormatting>
  <conditionalFormatting sqref="P59:AA59 P57:AA57 P55:AA55">
    <cfRule type="expression" dxfId="11293" priority="171">
      <formula>P$1=""</formula>
    </cfRule>
  </conditionalFormatting>
  <conditionalFormatting sqref="P59:AA59 P57:AA57 P55:AA55">
    <cfRule type="expression" dxfId="11292" priority="170">
      <formula>P$1=""</formula>
    </cfRule>
  </conditionalFormatting>
  <conditionalFormatting sqref="P59:AA59 P57:AA57 P55:AA55">
    <cfRule type="expression" dxfId="11291" priority="169">
      <formula>P$1=""</formula>
    </cfRule>
  </conditionalFormatting>
  <conditionalFormatting sqref="P59:AA59 P57:AA57 P55:AA55">
    <cfRule type="expression" dxfId="11290" priority="168">
      <formula>P$1=""</formula>
    </cfRule>
  </conditionalFormatting>
  <conditionalFormatting sqref="P59:AA59 P57:AA57 P55:AA55">
    <cfRule type="expression" dxfId="11289" priority="167">
      <formula>P$1=""</formula>
    </cfRule>
  </conditionalFormatting>
  <conditionalFormatting sqref="P59:AA59 P57:AA57 P55:AA55">
    <cfRule type="expression" dxfId="11288" priority="166">
      <formula>P$1=""</formula>
    </cfRule>
  </conditionalFormatting>
  <conditionalFormatting sqref="P59:AA59 P57:AA57 P55:AA55">
    <cfRule type="expression" dxfId="11287" priority="165">
      <formula>P$1=""</formula>
    </cfRule>
  </conditionalFormatting>
  <conditionalFormatting sqref="P73:AA73">
    <cfRule type="expression" dxfId="11286" priority="164">
      <formula>P$1=""</formula>
    </cfRule>
  </conditionalFormatting>
  <conditionalFormatting sqref="P75:AA75">
    <cfRule type="expression" dxfId="11285" priority="163">
      <formula>P$1=""</formula>
    </cfRule>
  </conditionalFormatting>
  <conditionalFormatting sqref="P77:AA77">
    <cfRule type="expression" dxfId="11284" priority="162">
      <formula>P$1=""</formula>
    </cfRule>
  </conditionalFormatting>
  <conditionalFormatting sqref="P79:AA79">
    <cfRule type="expression" dxfId="11283" priority="161">
      <formula>P$1=""</formula>
    </cfRule>
  </conditionalFormatting>
  <conditionalFormatting sqref="P75:AA75 P77:AA77 P79:AA79">
    <cfRule type="expression" dxfId="11282" priority="160">
      <formula>P$1=""</formula>
    </cfRule>
  </conditionalFormatting>
  <conditionalFormatting sqref="P75:AA75 P77:AA77 P79:AA79">
    <cfRule type="expression" dxfId="11281" priority="159">
      <formula>P$1=""</formula>
    </cfRule>
  </conditionalFormatting>
  <conditionalFormatting sqref="P75:AA75 P77:AA77 P79:AA79">
    <cfRule type="expression" dxfId="11280" priority="158">
      <formula>P$1=""</formula>
    </cfRule>
  </conditionalFormatting>
  <conditionalFormatting sqref="P75:AA75 P77:AA77 P79:AA79">
    <cfRule type="expression" dxfId="11279" priority="157">
      <formula>P$1=""</formula>
    </cfRule>
  </conditionalFormatting>
  <conditionalFormatting sqref="P75:AA75 P77:AA77 P79:AA79">
    <cfRule type="expression" dxfId="11278" priority="156">
      <formula>P$1=""</formula>
    </cfRule>
  </conditionalFormatting>
  <conditionalFormatting sqref="P77:AA77 P79:AA79">
    <cfRule type="expression" dxfId="11277" priority="155">
      <formula>P$1=""</formula>
    </cfRule>
  </conditionalFormatting>
  <conditionalFormatting sqref="P75:AA75">
    <cfRule type="expression" dxfId="11276" priority="154">
      <formula>P$1=""</formula>
    </cfRule>
  </conditionalFormatting>
  <conditionalFormatting sqref="P77:AA77 P79:AA79">
    <cfRule type="expression" dxfId="11275" priority="153">
      <formula>P$1=""</formula>
    </cfRule>
  </conditionalFormatting>
  <conditionalFormatting sqref="P77:AA77 P79:AA79">
    <cfRule type="expression" dxfId="11274" priority="152">
      <formula>P$1=""</formula>
    </cfRule>
  </conditionalFormatting>
  <conditionalFormatting sqref="P79:AA79">
    <cfRule type="expression" dxfId="11273" priority="151">
      <formula>P$1=""</formula>
    </cfRule>
  </conditionalFormatting>
  <conditionalFormatting sqref="P79:AA79">
    <cfRule type="expression" dxfId="11272" priority="150">
      <formula>P$1=""</formula>
    </cfRule>
  </conditionalFormatting>
  <conditionalFormatting sqref="P79:AA79">
    <cfRule type="expression" dxfId="11271" priority="149">
      <formula>P$1=""</formula>
    </cfRule>
  </conditionalFormatting>
  <conditionalFormatting sqref="P79:AA79">
    <cfRule type="expression" dxfId="11270" priority="148">
      <formula>P$1=""</formula>
    </cfRule>
  </conditionalFormatting>
  <conditionalFormatting sqref="P73:AA73">
    <cfRule type="expression" dxfId="11269" priority="147">
      <formula>P$1=""</formula>
    </cfRule>
  </conditionalFormatting>
  <conditionalFormatting sqref="P73:AA73">
    <cfRule type="expression" dxfId="11268" priority="146">
      <formula>P$1=""</formula>
    </cfRule>
  </conditionalFormatting>
  <conditionalFormatting sqref="P73:AA73">
    <cfRule type="expression" dxfId="11267" priority="145">
      <formula>P$1=""</formula>
    </cfRule>
  </conditionalFormatting>
  <conditionalFormatting sqref="P73:AA73">
    <cfRule type="expression" dxfId="11266" priority="144">
      <formula>P$1=""</formula>
    </cfRule>
  </conditionalFormatting>
  <conditionalFormatting sqref="P73:AA73">
    <cfRule type="expression" dxfId="11265" priority="143">
      <formula>P$1=""</formula>
    </cfRule>
  </conditionalFormatting>
  <conditionalFormatting sqref="P73:AA73">
    <cfRule type="expression" dxfId="11264" priority="142">
      <formula>P$1=""</formula>
    </cfRule>
  </conditionalFormatting>
  <conditionalFormatting sqref="P73:AA73">
    <cfRule type="expression" dxfId="11263" priority="141">
      <formula>P$1=""</formula>
    </cfRule>
  </conditionalFormatting>
  <conditionalFormatting sqref="P77:AA77 P79:AA79">
    <cfRule type="expression" dxfId="11262" priority="140">
      <formula>P$1=""</formula>
    </cfRule>
  </conditionalFormatting>
  <conditionalFormatting sqref="P77:AA77 P79:AA79">
    <cfRule type="expression" dxfId="11261" priority="139">
      <formula>P$1=""</formula>
    </cfRule>
  </conditionalFormatting>
  <conditionalFormatting sqref="P77:AA77 P79:AA79">
    <cfRule type="expression" dxfId="11260" priority="138">
      <formula>P$1=""</formula>
    </cfRule>
  </conditionalFormatting>
  <conditionalFormatting sqref="P77:AA77 P79:AA79">
    <cfRule type="expression" dxfId="11259" priority="137">
      <formula>P$1=""</formula>
    </cfRule>
  </conditionalFormatting>
  <conditionalFormatting sqref="P79 P77 P75">
    <cfRule type="expression" dxfId="11258" priority="136">
      <formula>P$1=""</formula>
    </cfRule>
  </conditionalFormatting>
  <conditionalFormatting sqref="P79 P77 P75">
    <cfRule type="expression" dxfId="11257" priority="135">
      <formula>P$1=""</formula>
    </cfRule>
  </conditionalFormatting>
  <conditionalFormatting sqref="P79 P77 P75">
    <cfRule type="expression" dxfId="11256" priority="134">
      <formula>P$1=""</formula>
    </cfRule>
  </conditionalFormatting>
  <conditionalFormatting sqref="P83:AA83">
    <cfRule type="expression" dxfId="11255" priority="133">
      <formula>P$1=""</formula>
    </cfRule>
  </conditionalFormatting>
  <conditionalFormatting sqref="P85:AA85">
    <cfRule type="expression" dxfId="11254" priority="132">
      <formula>P$1=""</formula>
    </cfRule>
  </conditionalFormatting>
  <conditionalFormatting sqref="P87:AA87">
    <cfRule type="expression" dxfId="11253" priority="131">
      <formula>P$1=""</formula>
    </cfRule>
  </conditionalFormatting>
  <conditionalFormatting sqref="P89:AA89">
    <cfRule type="expression" dxfId="11252" priority="130">
      <formula>P$1=""</formula>
    </cfRule>
  </conditionalFormatting>
  <conditionalFormatting sqref="P85:AA85 P87:AA87 P89:AA89">
    <cfRule type="expression" dxfId="11251" priority="129">
      <formula>P$1=""</formula>
    </cfRule>
  </conditionalFormatting>
  <conditionalFormatting sqref="P85:AA85 P87:AA87 P89:AA89">
    <cfRule type="expression" dxfId="11250" priority="128">
      <formula>P$1=""</formula>
    </cfRule>
  </conditionalFormatting>
  <conditionalFormatting sqref="P85:AA85 P87:AA87 P89:AA89">
    <cfRule type="expression" dxfId="11249" priority="127">
      <formula>P$1=""</formula>
    </cfRule>
  </conditionalFormatting>
  <conditionalFormatting sqref="P85:AA85 P87:AA87 P89:AA89">
    <cfRule type="expression" dxfId="11248" priority="126">
      <formula>P$1=""</formula>
    </cfRule>
  </conditionalFormatting>
  <conditionalFormatting sqref="P85:AA85 P87:AA87 P89:AA89">
    <cfRule type="expression" dxfId="11247" priority="125">
      <formula>P$1=""</formula>
    </cfRule>
  </conditionalFormatting>
  <conditionalFormatting sqref="P87:AA87 P89:AA89">
    <cfRule type="expression" dxfId="11246" priority="124">
      <formula>P$1=""</formula>
    </cfRule>
  </conditionalFormatting>
  <conditionalFormatting sqref="P85:AA85">
    <cfRule type="expression" dxfId="11245" priority="123">
      <formula>P$1=""</formula>
    </cfRule>
  </conditionalFormatting>
  <conditionalFormatting sqref="P87:AA87 P89:AA89">
    <cfRule type="expression" dxfId="11244" priority="122">
      <formula>P$1=""</formula>
    </cfRule>
  </conditionalFormatting>
  <conditionalFormatting sqref="P87:AA87 P89:AA89">
    <cfRule type="expression" dxfId="11243" priority="121">
      <formula>P$1=""</formula>
    </cfRule>
  </conditionalFormatting>
  <conditionalFormatting sqref="P89:AA89">
    <cfRule type="expression" dxfId="11242" priority="120">
      <formula>P$1=""</formula>
    </cfRule>
  </conditionalFormatting>
  <conditionalFormatting sqref="P89:AA89">
    <cfRule type="expression" dxfId="11241" priority="119">
      <formula>P$1=""</formula>
    </cfRule>
  </conditionalFormatting>
  <conditionalFormatting sqref="P89:AA89">
    <cfRule type="expression" dxfId="11240" priority="118">
      <formula>P$1=""</formula>
    </cfRule>
  </conditionalFormatting>
  <conditionalFormatting sqref="P89:AA89">
    <cfRule type="expression" dxfId="11239" priority="117">
      <formula>P$1=""</formula>
    </cfRule>
  </conditionalFormatting>
  <conditionalFormatting sqref="P83:AA83">
    <cfRule type="expression" dxfId="11238" priority="116">
      <formula>P$1=""</formula>
    </cfRule>
  </conditionalFormatting>
  <conditionalFormatting sqref="P83:AA83">
    <cfRule type="expression" dxfId="11237" priority="115">
      <formula>P$1=""</formula>
    </cfRule>
  </conditionalFormatting>
  <conditionalFormatting sqref="P83:AA83">
    <cfRule type="expression" dxfId="11236" priority="114">
      <formula>P$1=""</formula>
    </cfRule>
  </conditionalFormatting>
  <conditionalFormatting sqref="P83:AA83">
    <cfRule type="expression" dxfId="11235" priority="113">
      <formula>P$1=""</formula>
    </cfRule>
  </conditionalFormatting>
  <conditionalFormatting sqref="P83:AA83">
    <cfRule type="expression" dxfId="11234" priority="112">
      <formula>P$1=""</formula>
    </cfRule>
  </conditionalFormatting>
  <conditionalFormatting sqref="P83:AA83">
    <cfRule type="expression" dxfId="11233" priority="111">
      <formula>P$1=""</formula>
    </cfRule>
  </conditionalFormatting>
  <conditionalFormatting sqref="P83:AA83">
    <cfRule type="expression" dxfId="11232" priority="110">
      <formula>P$1=""</formula>
    </cfRule>
  </conditionalFormatting>
  <conditionalFormatting sqref="P87:AA87 P89:AA89">
    <cfRule type="expression" dxfId="11231" priority="109">
      <formula>P$1=""</formula>
    </cfRule>
  </conditionalFormatting>
  <conditionalFormatting sqref="P87:AA87 P89:AA89">
    <cfRule type="expression" dxfId="11230" priority="108">
      <formula>P$1=""</formula>
    </cfRule>
  </conditionalFormatting>
  <conditionalFormatting sqref="P87:AA87 P89:AA89">
    <cfRule type="expression" dxfId="11229" priority="107">
      <formula>P$1=""</formula>
    </cfRule>
  </conditionalFormatting>
  <conditionalFormatting sqref="P87:AA87 P89:AA89">
    <cfRule type="expression" dxfId="11228" priority="106">
      <formula>P$1=""</formula>
    </cfRule>
  </conditionalFormatting>
  <conditionalFormatting sqref="P89 P87 P85">
    <cfRule type="expression" dxfId="11227" priority="105">
      <formula>P$1=""</formula>
    </cfRule>
  </conditionalFormatting>
  <conditionalFormatting sqref="P89 P87 P85">
    <cfRule type="expression" dxfId="11226" priority="104">
      <formula>P$1=""</formula>
    </cfRule>
  </conditionalFormatting>
  <conditionalFormatting sqref="P89 P87 P85">
    <cfRule type="expression" dxfId="11225" priority="103">
      <formula>P$1=""</formula>
    </cfRule>
  </conditionalFormatting>
  <conditionalFormatting sqref="P95:AA95">
    <cfRule type="expression" dxfId="11224" priority="102">
      <formula>P$1=""</formula>
    </cfRule>
  </conditionalFormatting>
  <conditionalFormatting sqref="P95:AA95">
    <cfRule type="expression" dxfId="11223" priority="101">
      <formula>P$1=""</formula>
    </cfRule>
  </conditionalFormatting>
  <conditionalFormatting sqref="P95:AA95">
    <cfRule type="expression" dxfId="11222" priority="100">
      <formula>P$1=""</formula>
    </cfRule>
  </conditionalFormatting>
  <conditionalFormatting sqref="P95:AA95">
    <cfRule type="expression" dxfId="11221" priority="99">
      <formula>P$1=""</formula>
    </cfRule>
  </conditionalFormatting>
  <conditionalFormatting sqref="P95:AA95">
    <cfRule type="expression" dxfId="11220" priority="98">
      <formula>P$1=""</formula>
    </cfRule>
  </conditionalFormatting>
  <conditionalFormatting sqref="P95:AA95">
    <cfRule type="expression" dxfId="11219" priority="97">
      <formula>P$1=""</formula>
    </cfRule>
  </conditionalFormatting>
  <conditionalFormatting sqref="P95:AA95">
    <cfRule type="expression" dxfId="11218" priority="96">
      <formula>P$1=""</formula>
    </cfRule>
  </conditionalFormatting>
  <conditionalFormatting sqref="P95:AA95">
    <cfRule type="expression" dxfId="11217" priority="95">
      <formula>P$1=""</formula>
    </cfRule>
  </conditionalFormatting>
  <conditionalFormatting sqref="P95:AA95">
    <cfRule type="expression" dxfId="11216" priority="94">
      <formula>P$1=""</formula>
    </cfRule>
  </conditionalFormatting>
  <conditionalFormatting sqref="P95:AA95">
    <cfRule type="expression" dxfId="11215" priority="93">
      <formula>P$1=""</formula>
    </cfRule>
  </conditionalFormatting>
  <conditionalFormatting sqref="P95:AA95">
    <cfRule type="expression" dxfId="11214" priority="92">
      <formula>P$1=""</formula>
    </cfRule>
  </conditionalFormatting>
  <conditionalFormatting sqref="P95:AA95">
    <cfRule type="expression" dxfId="11213" priority="91">
      <formula>P$1=""</formula>
    </cfRule>
  </conditionalFormatting>
  <conditionalFormatting sqref="P95:AA95">
    <cfRule type="expression" dxfId="11212" priority="90">
      <formula>P$1=""</formula>
    </cfRule>
  </conditionalFormatting>
  <conditionalFormatting sqref="P95:AA95">
    <cfRule type="expression" dxfId="11211" priority="89">
      <formula>P$1=""</formula>
    </cfRule>
  </conditionalFormatting>
  <conditionalFormatting sqref="P95:AA95">
    <cfRule type="expression" dxfId="11210" priority="88">
      <formula>P$1=""</formula>
    </cfRule>
  </conditionalFormatting>
  <conditionalFormatting sqref="P95:AA95">
    <cfRule type="expression" dxfId="11209" priority="87">
      <formula>P$1=""</formula>
    </cfRule>
  </conditionalFormatting>
  <conditionalFormatting sqref="P95:AA95">
    <cfRule type="expression" dxfId="11208" priority="86">
      <formula>P$1=""</formula>
    </cfRule>
  </conditionalFormatting>
  <conditionalFormatting sqref="P95:AA95">
    <cfRule type="expression" dxfId="11207" priority="85">
      <formula>P$1=""</formula>
    </cfRule>
  </conditionalFormatting>
  <conditionalFormatting sqref="P95:AA95">
    <cfRule type="expression" dxfId="11206" priority="84">
      <formula>P$1=""</formula>
    </cfRule>
  </conditionalFormatting>
  <conditionalFormatting sqref="P95:AA95">
    <cfRule type="expression" dxfId="11205" priority="83">
      <formula>P$1=""</formula>
    </cfRule>
  </conditionalFormatting>
  <conditionalFormatting sqref="P95:AA95">
    <cfRule type="expression" dxfId="11204" priority="82">
      <formula>P$1=""</formula>
    </cfRule>
  </conditionalFormatting>
  <conditionalFormatting sqref="P95:AA95">
    <cfRule type="expression" dxfId="11203" priority="81">
      <formula>P$1=""</formula>
    </cfRule>
  </conditionalFormatting>
  <conditionalFormatting sqref="P95:AA95">
    <cfRule type="expression" dxfId="11202" priority="80">
      <formula>P$1=""</formula>
    </cfRule>
  </conditionalFormatting>
  <conditionalFormatting sqref="P97:AA97">
    <cfRule type="expression" dxfId="11201" priority="79">
      <formula>P$1=""</formula>
    </cfRule>
  </conditionalFormatting>
  <conditionalFormatting sqref="P97:AA97">
    <cfRule type="expression" dxfId="11200" priority="78">
      <formula>P$1=""</formula>
    </cfRule>
  </conditionalFormatting>
  <conditionalFormatting sqref="P97:AA97">
    <cfRule type="expression" dxfId="11199" priority="77">
      <formula>P$1=""</formula>
    </cfRule>
  </conditionalFormatting>
  <conditionalFormatting sqref="P97:AA97">
    <cfRule type="expression" dxfId="11198" priority="76">
      <formula>P$1=""</formula>
    </cfRule>
  </conditionalFormatting>
  <conditionalFormatting sqref="P97:AA97">
    <cfRule type="expression" dxfId="11197" priority="75">
      <formula>P$1=""</formula>
    </cfRule>
  </conditionalFormatting>
  <conditionalFormatting sqref="P97:AA97">
    <cfRule type="expression" dxfId="11196" priority="74">
      <formula>P$1=""</formula>
    </cfRule>
  </conditionalFormatting>
  <conditionalFormatting sqref="P97:AA97">
    <cfRule type="expression" dxfId="11195" priority="73">
      <formula>P$1=""</formula>
    </cfRule>
  </conditionalFormatting>
  <conditionalFormatting sqref="P97:AA97">
    <cfRule type="expression" dxfId="11194" priority="72">
      <formula>P$1=""</formula>
    </cfRule>
  </conditionalFormatting>
  <conditionalFormatting sqref="P97:AA97">
    <cfRule type="expression" dxfId="11193" priority="71">
      <formula>P$1=""</formula>
    </cfRule>
  </conditionalFormatting>
  <conditionalFormatting sqref="P97:AA97">
    <cfRule type="expression" dxfId="11192" priority="70">
      <formula>P$1=""</formula>
    </cfRule>
  </conditionalFormatting>
  <conditionalFormatting sqref="P97:AA97">
    <cfRule type="expression" dxfId="11191" priority="69">
      <formula>P$1=""</formula>
    </cfRule>
  </conditionalFormatting>
  <conditionalFormatting sqref="P97:AA97">
    <cfRule type="expression" dxfId="11190" priority="68">
      <formula>P$1=""</formula>
    </cfRule>
  </conditionalFormatting>
  <conditionalFormatting sqref="P97:AA97">
    <cfRule type="expression" dxfId="11189" priority="67">
      <formula>P$1=""</formula>
    </cfRule>
  </conditionalFormatting>
  <conditionalFormatting sqref="P97:AA97">
    <cfRule type="expression" dxfId="11188" priority="66">
      <formula>P$1=""</formula>
    </cfRule>
  </conditionalFormatting>
  <conditionalFormatting sqref="P97:AA97">
    <cfRule type="expression" dxfId="11187" priority="65">
      <formula>P$1=""</formula>
    </cfRule>
  </conditionalFormatting>
  <conditionalFormatting sqref="P97:AA97">
    <cfRule type="expression" dxfId="11186" priority="64">
      <formula>P$1=""</formula>
    </cfRule>
  </conditionalFormatting>
  <conditionalFormatting sqref="P97:AA97">
    <cfRule type="expression" dxfId="11185" priority="63">
      <formula>P$1=""</formula>
    </cfRule>
  </conditionalFormatting>
  <conditionalFormatting sqref="P97:AA97">
    <cfRule type="expression" dxfId="11184" priority="62">
      <formula>P$1=""</formula>
    </cfRule>
  </conditionalFormatting>
  <conditionalFormatting sqref="P97:AA97">
    <cfRule type="expression" dxfId="11183" priority="61">
      <formula>P$1=""</formula>
    </cfRule>
  </conditionalFormatting>
  <conditionalFormatting sqref="P97:AA97">
    <cfRule type="expression" dxfId="11182" priority="60">
      <formula>P$1=""</formula>
    </cfRule>
  </conditionalFormatting>
  <conditionalFormatting sqref="P97:AA97">
    <cfRule type="expression" dxfId="11181" priority="59">
      <formula>P$1=""</formula>
    </cfRule>
  </conditionalFormatting>
  <conditionalFormatting sqref="P99:AA99">
    <cfRule type="expression" dxfId="11180" priority="58">
      <formula>P$1=""</formula>
    </cfRule>
  </conditionalFormatting>
  <conditionalFormatting sqref="P99:AA99">
    <cfRule type="expression" dxfId="11179" priority="57">
      <formula>P$1=""</formula>
    </cfRule>
  </conditionalFormatting>
  <conditionalFormatting sqref="P99:AA99">
    <cfRule type="expression" dxfId="11178" priority="56">
      <formula>P$1=""</formula>
    </cfRule>
  </conditionalFormatting>
  <conditionalFormatting sqref="P99:AA99">
    <cfRule type="expression" dxfId="11177" priority="55">
      <formula>P$1=""</formula>
    </cfRule>
  </conditionalFormatting>
  <conditionalFormatting sqref="P99:AA99">
    <cfRule type="expression" dxfId="11176" priority="54">
      <formula>P$1=""</formula>
    </cfRule>
  </conditionalFormatting>
  <conditionalFormatting sqref="P99:AA99">
    <cfRule type="expression" dxfId="11175" priority="53">
      <formula>P$1=""</formula>
    </cfRule>
  </conditionalFormatting>
  <conditionalFormatting sqref="P99:AA99">
    <cfRule type="expression" dxfId="11174" priority="52">
      <formula>P$1=""</formula>
    </cfRule>
  </conditionalFormatting>
  <conditionalFormatting sqref="P99:AA99">
    <cfRule type="expression" dxfId="11173" priority="51">
      <formula>P$1=""</formula>
    </cfRule>
  </conditionalFormatting>
  <conditionalFormatting sqref="P99:AA99">
    <cfRule type="expression" dxfId="11172" priority="50">
      <formula>P$1=""</formula>
    </cfRule>
  </conditionalFormatting>
  <conditionalFormatting sqref="P99:AA99">
    <cfRule type="expression" dxfId="11171" priority="49">
      <formula>P$1=""</formula>
    </cfRule>
  </conditionalFormatting>
  <conditionalFormatting sqref="P99:AA99">
    <cfRule type="expression" dxfId="11170" priority="48">
      <formula>P$1=""</formula>
    </cfRule>
  </conditionalFormatting>
  <conditionalFormatting sqref="P99:AA99">
    <cfRule type="expression" dxfId="11169" priority="47">
      <formula>P$1=""</formula>
    </cfRule>
  </conditionalFormatting>
  <conditionalFormatting sqref="P99:AA99">
    <cfRule type="expression" dxfId="11168" priority="46">
      <formula>P$1=""</formula>
    </cfRule>
  </conditionalFormatting>
  <conditionalFormatting sqref="P99:AA99">
    <cfRule type="expression" dxfId="11167" priority="45">
      <formula>P$1=""</formula>
    </cfRule>
  </conditionalFormatting>
  <conditionalFormatting sqref="P99:AA99">
    <cfRule type="expression" dxfId="11166" priority="44">
      <formula>P$1=""</formula>
    </cfRule>
  </conditionalFormatting>
  <conditionalFormatting sqref="P99:AA99">
    <cfRule type="expression" dxfId="11165" priority="43">
      <formula>P$1=""</formula>
    </cfRule>
  </conditionalFormatting>
  <conditionalFormatting sqref="P99:AA99">
    <cfRule type="expression" dxfId="11164" priority="42">
      <formula>P$1=""</formula>
    </cfRule>
  </conditionalFormatting>
  <conditionalFormatting sqref="P99:AA99">
    <cfRule type="expression" dxfId="11163" priority="41">
      <formula>P$1=""</formula>
    </cfRule>
  </conditionalFormatting>
  <conditionalFormatting sqref="P99:AA99">
    <cfRule type="expression" dxfId="11162" priority="40">
      <formula>P$1=""</formula>
    </cfRule>
  </conditionalFormatting>
  <conditionalFormatting sqref="P99:AA99">
    <cfRule type="expression" dxfId="11161" priority="39">
      <formula>P$1=""</formula>
    </cfRule>
  </conditionalFormatting>
  <conditionalFormatting sqref="P99:AA99">
    <cfRule type="expression" dxfId="11160" priority="38">
      <formula>P$1=""</formula>
    </cfRule>
  </conditionalFormatting>
  <conditionalFormatting sqref="P103:AA103">
    <cfRule type="expression" dxfId="11159" priority="37">
      <formula>P$1=""</formula>
    </cfRule>
  </conditionalFormatting>
  <conditionalFormatting sqref="P105:AA105">
    <cfRule type="expression" dxfId="11158" priority="36">
      <formula>P$1=""</formula>
    </cfRule>
  </conditionalFormatting>
  <conditionalFormatting sqref="P107:AA107">
    <cfRule type="expression" dxfId="11157" priority="35">
      <formula>P$1=""</formula>
    </cfRule>
  </conditionalFormatting>
  <conditionalFormatting sqref="P109:AA109">
    <cfRule type="expression" dxfId="11156" priority="34">
      <formula>P$1=""</formula>
    </cfRule>
  </conditionalFormatting>
  <conditionalFormatting sqref="P105:AA105 P107:AA107 P109:AA109">
    <cfRule type="expression" dxfId="11155" priority="33">
      <formula>P$1=""</formula>
    </cfRule>
  </conditionalFormatting>
  <conditionalFormatting sqref="P105:AA105 P107:AA107 P109:AA109">
    <cfRule type="expression" dxfId="11154" priority="32">
      <formula>P$1=""</formula>
    </cfRule>
  </conditionalFormatting>
  <conditionalFormatting sqref="P105:AA105 P107:AA107 P109:AA109">
    <cfRule type="expression" dxfId="11153" priority="31">
      <formula>P$1=""</formula>
    </cfRule>
  </conditionalFormatting>
  <conditionalFormatting sqref="P105:AA105 P107:AA107 P109:AA109">
    <cfRule type="expression" dxfId="11152" priority="30">
      <formula>P$1=""</formula>
    </cfRule>
  </conditionalFormatting>
  <conditionalFormatting sqref="P105:AA105 P107:AA107 P109:AA109">
    <cfRule type="expression" dxfId="11151" priority="29">
      <formula>P$1=""</formula>
    </cfRule>
  </conditionalFormatting>
  <conditionalFormatting sqref="P107:AA107 P109:AA109">
    <cfRule type="expression" dxfId="11150" priority="28">
      <formula>P$1=""</formula>
    </cfRule>
  </conditionalFormatting>
  <conditionalFormatting sqref="P105:AA105">
    <cfRule type="expression" dxfId="11149" priority="27">
      <formula>P$1=""</formula>
    </cfRule>
  </conditionalFormatting>
  <conditionalFormatting sqref="P107:AA107 P109:AA109">
    <cfRule type="expression" dxfId="11148" priority="26">
      <formula>P$1=""</formula>
    </cfRule>
  </conditionalFormatting>
  <conditionalFormatting sqref="P107:AA107 P109:AA109">
    <cfRule type="expression" dxfId="11147" priority="25">
      <formula>P$1=""</formula>
    </cfRule>
  </conditionalFormatting>
  <conditionalFormatting sqref="P109:AA109">
    <cfRule type="expression" dxfId="11146" priority="24">
      <formula>P$1=""</formula>
    </cfRule>
  </conditionalFormatting>
  <conditionalFormatting sqref="P109:AA109">
    <cfRule type="expression" dxfId="11145" priority="23">
      <formula>P$1=""</formula>
    </cfRule>
  </conditionalFormatting>
  <conditionalFormatting sqref="P109:AA109">
    <cfRule type="expression" dxfId="11144" priority="22">
      <formula>P$1=""</formula>
    </cfRule>
  </conditionalFormatting>
  <conditionalFormatting sqref="P109:AA109">
    <cfRule type="expression" dxfId="11143" priority="21">
      <formula>P$1=""</formula>
    </cfRule>
  </conditionalFormatting>
  <conditionalFormatting sqref="P103:AA103">
    <cfRule type="expression" dxfId="11142" priority="20">
      <formula>P$1=""</formula>
    </cfRule>
  </conditionalFormatting>
  <conditionalFormatting sqref="P103:AA103">
    <cfRule type="expression" dxfId="11141" priority="19">
      <formula>P$1=""</formula>
    </cfRule>
  </conditionalFormatting>
  <conditionalFormatting sqref="P103:AA103">
    <cfRule type="expression" dxfId="11140" priority="18">
      <formula>P$1=""</formula>
    </cfRule>
  </conditionalFormatting>
  <conditionalFormatting sqref="P103:AA103">
    <cfRule type="expression" dxfId="11139" priority="17">
      <formula>P$1=""</formula>
    </cfRule>
  </conditionalFormatting>
  <conditionalFormatting sqref="P103:AA103">
    <cfRule type="expression" dxfId="11138" priority="16">
      <formula>P$1=""</formula>
    </cfRule>
  </conditionalFormatting>
  <conditionalFormatting sqref="P103:AA103">
    <cfRule type="expression" dxfId="11137" priority="15">
      <formula>P$1=""</formula>
    </cfRule>
  </conditionalFormatting>
  <conditionalFormatting sqref="P103:AA103">
    <cfRule type="expression" dxfId="11136" priority="14">
      <formula>P$1=""</formula>
    </cfRule>
  </conditionalFormatting>
  <conditionalFormatting sqref="P107:AA107 P109:AA109">
    <cfRule type="expression" dxfId="11135" priority="13">
      <formula>P$1=""</formula>
    </cfRule>
  </conditionalFormatting>
  <conditionalFormatting sqref="P107:AA107 P109:AA109">
    <cfRule type="expression" dxfId="11134" priority="12">
      <formula>P$1=""</formula>
    </cfRule>
  </conditionalFormatting>
  <conditionalFormatting sqref="P107:AA107 P109:AA109">
    <cfRule type="expression" dxfId="11133" priority="11">
      <formula>P$1=""</formula>
    </cfRule>
  </conditionalFormatting>
  <conditionalFormatting sqref="P107:AA107 P109:AA109">
    <cfRule type="expression" dxfId="11132" priority="10">
      <formula>P$1=""</formula>
    </cfRule>
  </conditionalFormatting>
  <conditionalFormatting sqref="P109 P107 P105">
    <cfRule type="expression" dxfId="11131" priority="9">
      <formula>P$1=""</formula>
    </cfRule>
  </conditionalFormatting>
  <conditionalFormatting sqref="P109 P107 P105">
    <cfRule type="expression" dxfId="11130" priority="8">
      <formula>P$1=""</formula>
    </cfRule>
  </conditionalFormatting>
  <conditionalFormatting sqref="P109 P107 P105">
    <cfRule type="expression" dxfId="11129" priority="7">
      <formula>P$1=""</formula>
    </cfRule>
  </conditionalFormatting>
  <conditionalFormatting sqref="C3:E6">
    <cfRule type="cellIs" dxfId="11128" priority="6" operator="equal">
      <formula>0</formula>
    </cfRule>
  </conditionalFormatting>
  <conditionalFormatting sqref="G5:G6">
    <cfRule type="cellIs" dxfId="11127" priority="5" operator="equal">
      <formula>0</formula>
    </cfRule>
  </conditionalFormatting>
  <conditionalFormatting sqref="A1:D1">
    <cfRule type="cellIs" dxfId="11126" priority="4" operator="equal">
      <formula>0</formula>
    </cfRule>
  </conditionalFormatting>
  <conditionalFormatting sqref="A33:D35 F33:XFD35">
    <cfRule type="cellIs" dxfId="11125" priority="2" operator="equal">
      <formula>0</formula>
    </cfRule>
  </conditionalFormatting>
  <conditionalFormatting sqref="E33:E35">
    <cfRule type="cellIs" dxfId="11124" priority="1" operator="equal">
      <formula>0</formula>
    </cfRule>
  </conditionalFormatting>
  <hyperlinks>
    <hyperlink ref="A1:D1" location="оглавление!A1" tooltip="оглавление" display="оглавление"/>
  </hyperlinks>
  <pageMargins left="0.7" right="0.7" top="0.75" bottom="0.75" header="0.3" footer="0.3"/>
  <pageSetup paperSize="0"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B156"/>
  <sheetViews>
    <sheetView showGridLines="0" workbookViewId="0">
      <pane xSplit="14" ySplit="10" topLeftCell="O11" activePane="bottomRight" state="frozen"/>
      <selection pane="topRight" activeCell="O1" sqref="O1"/>
      <selection pane="bottomLeft" activeCell="A11" sqref="A11"/>
      <selection pane="bottomRight" activeCell="A2" sqref="A2"/>
    </sheetView>
  </sheetViews>
  <sheetFormatPr defaultColWidth="9.109375" defaultRowHeight="12" x14ac:dyDescent="0.25"/>
  <cols>
    <col min="1" max="4" width="2.6640625"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10.5546875" style="56" customWidth="1"/>
    <col min="14" max="14" width="2.6640625" style="1" customWidth="1"/>
    <col min="15" max="15" width="2.6640625" style="198" customWidth="1"/>
    <col min="16" max="27" width="12.44140625" style="1" customWidth="1"/>
    <col min="28" max="28" width="2.6640625" style="1" customWidth="1"/>
    <col min="29" max="16384" width="9.109375" style="1"/>
  </cols>
  <sheetData>
    <row r="1" spans="1:28" ht="14.4" thickTop="1" x14ac:dyDescent="0.3">
      <c r="A1" s="281" t="s">
        <v>341</v>
      </c>
      <c r="B1" s="281"/>
      <c r="C1" s="281"/>
      <c r="D1" s="281"/>
      <c r="E1" s="2"/>
      <c r="F1" s="2"/>
      <c r="G1" s="2"/>
      <c r="H1" s="2"/>
      <c r="I1" s="28"/>
      <c r="J1" s="233" t="s">
        <v>299</v>
      </c>
      <c r="K1" s="28"/>
      <c r="L1" s="2"/>
      <c r="M1" s="51" t="str">
        <f>операции!$M$1</f>
        <v>№года</v>
      </c>
      <c r="N1" s="42"/>
      <c r="O1" s="196"/>
      <c r="P1" s="43">
        <f>операции!P1</f>
        <v>1</v>
      </c>
      <c r="Q1" s="43">
        <f>операции!Q1</f>
        <v>2</v>
      </c>
      <c r="R1" s="43">
        <f>операции!R1</f>
        <v>3</v>
      </c>
      <c r="S1" s="43">
        <f>операции!S1</f>
        <v>4</v>
      </c>
      <c r="T1" s="43">
        <f>операции!T1</f>
        <v>5</v>
      </c>
      <c r="U1" s="43">
        <f>операции!U1</f>
        <v>6</v>
      </c>
      <c r="V1" s="43">
        <f>операции!V1</f>
        <v>7</v>
      </c>
      <c r="W1" s="43" t="str">
        <f>операции!W1</f>
        <v/>
      </c>
      <c r="X1" s="43" t="str">
        <f>операции!X1</f>
        <v/>
      </c>
      <c r="Y1" s="43" t="str">
        <f>операции!Y1</f>
        <v/>
      </c>
      <c r="Z1" s="43" t="str">
        <f>операции!Z1</f>
        <v/>
      </c>
      <c r="AA1" s="43" t="str">
        <f>операции!AA1</f>
        <v/>
      </c>
      <c r="AB1" s="2"/>
    </row>
    <row r="2" spans="1:28" x14ac:dyDescent="0.25">
      <c r="A2" s="2"/>
      <c r="B2" s="2"/>
      <c r="C2" s="2"/>
      <c r="D2" s="2"/>
      <c r="E2" s="2"/>
      <c r="F2" s="2"/>
      <c r="G2" s="96"/>
      <c r="H2" s="96" t="str">
        <f>структура!$J$8</f>
        <v>системы налогообложения</v>
      </c>
      <c r="I2" s="6" t="s">
        <v>0</v>
      </c>
      <c r="J2" s="203" t="s">
        <v>259</v>
      </c>
      <c r="K2" s="30" t="s">
        <v>9</v>
      </c>
      <c r="L2" s="2"/>
      <c r="M2" s="52"/>
      <c r="N2" s="2"/>
      <c r="O2" s="196"/>
      <c r="P2" s="149">
        <v>1</v>
      </c>
      <c r="Q2" s="193">
        <f>P2+1</f>
        <v>2</v>
      </c>
      <c r="R2" s="149">
        <f t="shared" ref="R2:AA2" si="0">Q2+1</f>
        <v>3</v>
      </c>
      <c r="S2" s="149">
        <f t="shared" si="0"/>
        <v>4</v>
      </c>
      <c r="T2" s="149">
        <f t="shared" si="0"/>
        <v>5</v>
      </c>
      <c r="U2" s="149">
        <f t="shared" si="0"/>
        <v>6</v>
      </c>
      <c r="V2" s="149">
        <f t="shared" si="0"/>
        <v>7</v>
      </c>
      <c r="W2" s="149">
        <f t="shared" si="0"/>
        <v>8</v>
      </c>
      <c r="X2" s="149">
        <f t="shared" si="0"/>
        <v>9</v>
      </c>
      <c r="Y2" s="149">
        <f t="shared" si="0"/>
        <v>10</v>
      </c>
      <c r="Z2" s="149">
        <f t="shared" si="0"/>
        <v>11</v>
      </c>
      <c r="AA2" s="149">
        <f t="shared" si="0"/>
        <v>12</v>
      </c>
      <c r="AB2" s="2"/>
    </row>
    <row r="3" spans="1:28" x14ac:dyDescent="0.25">
      <c r="A3" s="2"/>
      <c r="B3" s="3" t="str">
        <f>методология!$E$4</f>
        <v>Инвестмодель базы отдыха - Беседки &amp; Веревочный парк</v>
      </c>
      <c r="C3" s="2"/>
      <c r="D3" s="2"/>
      <c r="E3" s="2"/>
      <c r="F3" s="2"/>
      <c r="G3" s="96"/>
      <c r="H3" s="96" t="str">
        <f>структура!$P$8</f>
        <v>инвест показатели</v>
      </c>
      <c r="I3" s="6" t="s">
        <v>0</v>
      </c>
      <c r="J3" s="232" t="s">
        <v>298</v>
      </c>
      <c r="K3" s="30" t="s">
        <v>9</v>
      </c>
      <c r="L3" s="2"/>
      <c r="M3" s="52"/>
      <c r="N3" s="2"/>
      <c r="O3" s="196"/>
      <c r="P3" s="2"/>
      <c r="Q3" s="2"/>
      <c r="R3" s="2"/>
      <c r="S3" s="2"/>
      <c r="T3" s="2"/>
      <c r="U3" s="2"/>
      <c r="V3" s="2"/>
      <c r="W3" s="2"/>
      <c r="X3" s="2"/>
      <c r="Y3" s="2"/>
      <c r="Z3" s="2"/>
      <c r="AA3" s="2"/>
      <c r="AB3" s="2"/>
    </row>
    <row r="4" spans="1:28" x14ac:dyDescent="0.25">
      <c r="A4" s="2"/>
      <c r="B4" s="3" t="str">
        <f>методология!$E$5</f>
        <v>Со сценарным анализом</v>
      </c>
      <c r="C4" s="2"/>
      <c r="D4" s="2"/>
      <c r="E4" s="2"/>
      <c r="F4" s="206"/>
      <c r="G4" s="207" t="str">
        <f>$J$3</f>
        <v>NPV(CF)-Inv</v>
      </c>
      <c r="H4" s="206"/>
      <c r="I4" s="208" t="s">
        <v>301</v>
      </c>
      <c r="J4" s="209" t="str">
        <f>структура!M12</f>
        <v>сценарий-1</v>
      </c>
      <c r="K4" s="208"/>
      <c r="L4" s="206"/>
      <c r="M4" s="231">
        <f>SUMIFS(отч1!$M:$M,отч1!$B:$B,$J$2,отч1!$E:$E,$J$3)</f>
        <v>12232.723880431851</v>
      </c>
      <c r="N4" s="2"/>
      <c r="O4" s="196"/>
      <c r="P4" s="2"/>
      <c r="Q4" s="2"/>
      <c r="R4" s="2"/>
      <c r="S4" s="2"/>
      <c r="T4" s="2"/>
      <c r="U4" s="2"/>
      <c r="V4" s="2"/>
      <c r="W4" s="2"/>
      <c r="X4" s="2"/>
      <c r="Y4" s="2"/>
      <c r="Z4" s="2"/>
      <c r="AA4" s="2"/>
      <c r="AB4" s="2"/>
    </row>
    <row r="5" spans="1:28" x14ac:dyDescent="0.25">
      <c r="A5" s="2"/>
      <c r="B5" s="2"/>
      <c r="C5" s="2"/>
      <c r="D5" s="2"/>
      <c r="E5" s="2"/>
      <c r="F5" s="210"/>
      <c r="G5" s="211" t="str">
        <f t="shared" ref="G5:G6" si="1">$J$3</f>
        <v>NPV(CF)-Inv</v>
      </c>
      <c r="H5" s="210"/>
      <c r="I5" s="212" t="s">
        <v>301</v>
      </c>
      <c r="J5" s="213" t="str">
        <f>структура!M13</f>
        <v>сценарий-2</v>
      </c>
      <c r="K5" s="212"/>
      <c r="L5" s="210"/>
      <c r="M5" s="231">
        <f>SUMIFS(отч2!$M:$M,отч2!$B:$B,$J$2,отч2!$E:$E,$J$3)</f>
        <v>24049.363588641125</v>
      </c>
      <c r="N5" s="2"/>
      <c r="O5" s="196"/>
      <c r="P5" s="2"/>
      <c r="Q5" s="2"/>
      <c r="R5" s="2"/>
      <c r="S5" s="2"/>
      <c r="T5" s="2"/>
      <c r="U5" s="2"/>
      <c r="V5" s="2"/>
      <c r="W5" s="2"/>
      <c r="X5" s="2"/>
      <c r="Y5" s="2"/>
      <c r="Z5" s="2"/>
      <c r="AA5" s="2"/>
      <c r="AB5" s="2"/>
    </row>
    <row r="6" spans="1:28" x14ac:dyDescent="0.25">
      <c r="A6" s="2"/>
      <c r="B6" s="257" t="s">
        <v>331</v>
      </c>
      <c r="C6" s="227"/>
      <c r="D6" s="227"/>
      <c r="E6" s="227"/>
      <c r="F6" s="214"/>
      <c r="G6" s="215" t="str">
        <f t="shared" si="1"/>
        <v>NPV(CF)-Inv</v>
      </c>
      <c r="H6" s="214"/>
      <c r="I6" s="216" t="s">
        <v>301</v>
      </c>
      <c r="J6" s="217" t="str">
        <f>структура!M14</f>
        <v>сценарий-3</v>
      </c>
      <c r="K6" s="216"/>
      <c r="L6" s="214"/>
      <c r="M6" s="231">
        <f>SUMIFS(отч3!$M:$M,отч3!$B:$B,$J$2,отч3!$E:$E,$J$3)</f>
        <v>34464.173357894106</v>
      </c>
      <c r="N6" s="2"/>
      <c r="O6" s="196"/>
      <c r="P6" s="96" t="str">
        <f>операции!P6</f>
        <v>2022г.</v>
      </c>
      <c r="Q6" s="96" t="str">
        <f>операции!Q6</f>
        <v>2023г.</v>
      </c>
      <c r="R6" s="96" t="str">
        <f>операции!R6</f>
        <v>2024г.</v>
      </c>
      <c r="S6" s="96" t="str">
        <f>операции!S6</f>
        <v>2025г.</v>
      </c>
      <c r="T6" s="96" t="str">
        <f>операции!T6</f>
        <v>2026г.</v>
      </c>
      <c r="U6" s="96" t="str">
        <f>операции!U6</f>
        <v>2027г.</v>
      </c>
      <c r="V6" s="96" t="str">
        <f>операции!V6</f>
        <v>2028г.</v>
      </c>
      <c r="W6" s="96" t="str">
        <f>операции!W6</f>
        <v/>
      </c>
      <c r="X6" s="96" t="str">
        <f>операции!X6</f>
        <v/>
      </c>
      <c r="Y6" s="96" t="str">
        <f>операции!Y6</f>
        <v/>
      </c>
      <c r="Z6" s="96" t="str">
        <f>операции!Z6</f>
        <v/>
      </c>
      <c r="AA6" s="96" t="str">
        <f>операции!AA6</f>
        <v/>
      </c>
      <c r="AB6" s="2"/>
    </row>
    <row r="7" spans="1:28" x14ac:dyDescent="0.25">
      <c r="A7" s="2"/>
      <c r="B7" s="2"/>
      <c r="C7" s="2"/>
      <c r="D7" s="2"/>
      <c r="E7" s="2"/>
      <c r="F7" s="2"/>
      <c r="G7" s="2"/>
      <c r="H7" s="228" t="str">
        <f>структура!$M$8</f>
        <v>выбор итогового сценария</v>
      </c>
      <c r="I7" s="6" t="s">
        <v>0</v>
      </c>
      <c r="J7" s="205" t="s">
        <v>293</v>
      </c>
      <c r="K7" s="30" t="s">
        <v>9</v>
      </c>
      <c r="L7" s="2"/>
      <c r="M7" s="52"/>
      <c r="N7" s="2"/>
      <c r="O7" s="196"/>
      <c r="P7" s="94">
        <f>операции!P7</f>
        <v>44562</v>
      </c>
      <c r="Q7" s="94">
        <f>операции!Q7</f>
        <v>44927</v>
      </c>
      <c r="R7" s="94">
        <f>операции!R7</f>
        <v>45292</v>
      </c>
      <c r="S7" s="94">
        <f>операции!S7</f>
        <v>45658</v>
      </c>
      <c r="T7" s="94">
        <f>операции!T7</f>
        <v>46023</v>
      </c>
      <c r="U7" s="94">
        <f>операции!U7</f>
        <v>46388</v>
      </c>
      <c r="V7" s="94">
        <f>операции!V7</f>
        <v>46753</v>
      </c>
      <c r="W7" s="94" t="str">
        <f>операции!W7</f>
        <v/>
      </c>
      <c r="X7" s="94" t="str">
        <f>операции!X7</f>
        <v/>
      </c>
      <c r="Y7" s="94" t="str">
        <f>операции!Y7</f>
        <v/>
      </c>
      <c r="Z7" s="94" t="str">
        <f>операции!Z7</f>
        <v/>
      </c>
      <c r="AA7" s="94" t="str">
        <f>операции!AA7</f>
        <v/>
      </c>
      <c r="AB7" s="2"/>
    </row>
    <row r="8" spans="1:28" s="5" customFormat="1" x14ac:dyDescent="0.25">
      <c r="A8" s="3"/>
      <c r="B8" s="3"/>
      <c r="C8" s="3"/>
      <c r="D8" s="3"/>
      <c r="E8" s="3" t="str">
        <f>KPI!$E$8</f>
        <v>KPI</v>
      </c>
      <c r="F8" s="3"/>
      <c r="G8" s="28" t="str">
        <f>KPI!$G$8</f>
        <v>ед.изм.</v>
      </c>
      <c r="H8" s="3"/>
      <c r="I8" s="28"/>
      <c r="J8" s="3"/>
      <c r="K8" s="28"/>
      <c r="L8" s="3"/>
      <c r="M8" s="53" t="str">
        <f>операции!M8</f>
        <v>итого</v>
      </c>
      <c r="N8" s="3"/>
      <c r="O8" s="32"/>
      <c r="P8" s="95">
        <f>операции!P8</f>
        <v>44926</v>
      </c>
      <c r="Q8" s="95">
        <f>операции!Q8</f>
        <v>45291</v>
      </c>
      <c r="R8" s="95">
        <f>операции!R8</f>
        <v>45657</v>
      </c>
      <c r="S8" s="95">
        <f>операции!S8</f>
        <v>46022</v>
      </c>
      <c r="T8" s="95">
        <f>операции!T8</f>
        <v>46387</v>
      </c>
      <c r="U8" s="95">
        <f>операции!U8</f>
        <v>46752</v>
      </c>
      <c r="V8" s="95">
        <f>операции!V8</f>
        <v>47118</v>
      </c>
      <c r="W8" s="95" t="str">
        <f>операции!W8</f>
        <v/>
      </c>
      <c r="X8" s="95" t="str">
        <f>операции!X8</f>
        <v/>
      </c>
      <c r="Y8" s="95" t="str">
        <f>операции!Y8</f>
        <v/>
      </c>
      <c r="Z8" s="95" t="str">
        <f>операции!Z8</f>
        <v/>
      </c>
      <c r="AA8" s="95" t="str">
        <f>операции!AA8</f>
        <v/>
      </c>
      <c r="AB8" s="3"/>
    </row>
    <row r="9" spans="1:28" ht="3.9" customHeight="1" x14ac:dyDescent="0.25">
      <c r="A9" s="2"/>
      <c r="B9" s="2"/>
      <c r="C9" s="2"/>
      <c r="D9" s="21"/>
      <c r="E9" s="21"/>
      <c r="F9" s="2"/>
      <c r="G9" s="21"/>
      <c r="H9" s="2"/>
      <c r="I9" s="28"/>
      <c r="J9" s="2"/>
      <c r="K9" s="28"/>
      <c r="L9" s="2"/>
      <c r="M9" s="54"/>
      <c r="N9" s="2"/>
      <c r="O9" s="196"/>
      <c r="P9" s="21"/>
      <c r="Q9" s="21"/>
      <c r="R9" s="21"/>
      <c r="S9" s="21"/>
      <c r="T9" s="21"/>
      <c r="U9" s="21"/>
      <c r="V9" s="21"/>
      <c r="W9" s="21"/>
      <c r="X9" s="21"/>
      <c r="Y9" s="21"/>
      <c r="Z9" s="21"/>
      <c r="AA9" s="21"/>
      <c r="AB9" s="2"/>
    </row>
    <row r="10" spans="1:28" ht="8.1" customHeight="1" x14ac:dyDescent="0.25">
      <c r="A10" s="2"/>
      <c r="B10" s="2"/>
      <c r="C10" s="2"/>
      <c r="D10" s="2"/>
      <c r="E10" s="2"/>
      <c r="F10" s="2"/>
      <c r="G10" s="2"/>
      <c r="H10" s="2"/>
      <c r="I10" s="28"/>
      <c r="J10" s="2"/>
      <c r="K10" s="28"/>
      <c r="L10" s="2"/>
      <c r="M10" s="52"/>
      <c r="N10" s="2"/>
      <c r="O10" s="196"/>
      <c r="P10" s="2"/>
      <c r="Q10" s="2"/>
      <c r="R10" s="2"/>
      <c r="S10" s="2"/>
      <c r="T10" s="2"/>
      <c r="U10" s="2"/>
      <c r="V10" s="2"/>
      <c r="W10" s="2"/>
      <c r="X10" s="2"/>
      <c r="Y10" s="2"/>
      <c r="Z10" s="2"/>
      <c r="AA10" s="2"/>
      <c r="AB10" s="2"/>
    </row>
    <row r="11" spans="1:28" ht="8.1" customHeight="1" x14ac:dyDescent="0.25">
      <c r="A11" s="2"/>
      <c r="B11" s="2"/>
      <c r="C11" s="2"/>
      <c r="D11" s="2"/>
      <c r="E11" s="2"/>
      <c r="F11" s="2"/>
      <c r="G11" s="2"/>
      <c r="H11" s="2"/>
      <c r="I11" s="28"/>
      <c r="J11" s="2"/>
      <c r="K11" s="28"/>
      <c r="L11" s="2"/>
      <c r="M11" s="52"/>
      <c r="N11" s="2"/>
      <c r="O11" s="196"/>
      <c r="P11" s="36"/>
      <c r="Q11" s="36"/>
      <c r="R11" s="36"/>
      <c r="S11" s="36"/>
      <c r="T11" s="36"/>
      <c r="U11" s="36"/>
      <c r="V11" s="36"/>
      <c r="W11" s="36"/>
      <c r="X11" s="36"/>
      <c r="Y11" s="36"/>
      <c r="Z11" s="36"/>
      <c r="AA11" s="36"/>
      <c r="AB11" s="2"/>
    </row>
    <row r="12" spans="1:28" s="5" customFormat="1" x14ac:dyDescent="0.25">
      <c r="A12" s="3"/>
      <c r="B12" s="3"/>
      <c r="C12" s="3"/>
      <c r="D12" s="3"/>
      <c r="E12" s="3" t="str">
        <f>KPI!$E$31</f>
        <v>наполняемость арендаторами</v>
      </c>
      <c r="F12" s="3"/>
      <c r="G12" s="3" t="str">
        <f>IF($E12="","",INDEX(KPI!$G:$G,SUMIFS(KPI!$B:$B,KPI!$E:$E,$E12)))</f>
        <v>%</v>
      </c>
      <c r="H12" s="3"/>
      <c r="I12" s="28"/>
      <c r="J12" s="44"/>
      <c r="K12" s="28"/>
      <c r="L12" s="3"/>
      <c r="M12" s="202" t="str">
        <f>структура!$M$12</f>
        <v>сценарий-1</v>
      </c>
      <c r="N12" s="3"/>
      <c r="O12" s="32"/>
      <c r="P12" s="104"/>
      <c r="Q12" s="46"/>
      <c r="R12" s="46"/>
      <c r="S12" s="46"/>
      <c r="T12" s="46"/>
      <c r="U12" s="46"/>
      <c r="V12" s="46"/>
      <c r="W12" s="46"/>
      <c r="X12" s="46"/>
      <c r="Y12" s="46"/>
      <c r="Z12" s="46"/>
      <c r="AA12" s="46"/>
      <c r="AB12" s="3"/>
    </row>
    <row r="13" spans="1:28" s="23" customFormat="1" ht="10.199999999999999" x14ac:dyDescent="0.2">
      <c r="A13" s="22"/>
      <c r="B13" s="22"/>
      <c r="C13" s="22"/>
      <c r="D13" s="22"/>
      <c r="E13" s="22" t="str">
        <f>E12</f>
        <v>наполняемость арендаторами</v>
      </c>
      <c r="F13" s="22"/>
      <c r="G13" s="22" t="str">
        <f>IF($E13="","",INDEX(KPI!$G:$G,SUMIFS(KPI!$B:$B,KPI!$E:$E,$E13)))</f>
        <v>%</v>
      </c>
      <c r="H13" s="100">
        <f>структура!$V$12</f>
        <v>1</v>
      </c>
      <c r="I13" s="31"/>
      <c r="J13" s="98" t="str">
        <f>структура!$X$12</f>
        <v>янв</v>
      </c>
      <c r="K13" s="99"/>
      <c r="L13" s="22"/>
      <c r="M13" s="60" t="str">
        <f>структура!$M$12</f>
        <v>сценарий-1</v>
      </c>
      <c r="N13" s="22"/>
      <c r="O13" s="197" t="s">
        <v>0</v>
      </c>
      <c r="P13" s="199">
        <v>0.2</v>
      </c>
      <c r="Q13" s="199">
        <v>0.2</v>
      </c>
      <c r="R13" s="199">
        <v>0.2</v>
      </c>
      <c r="S13" s="199">
        <v>0.2</v>
      </c>
      <c r="T13" s="199">
        <v>0.2</v>
      </c>
      <c r="U13" s="199">
        <v>0.2</v>
      </c>
      <c r="V13" s="199">
        <v>0.2</v>
      </c>
      <c r="W13" s="199">
        <f>30%</f>
        <v>0.3</v>
      </c>
      <c r="X13" s="199">
        <f>30%</f>
        <v>0.3</v>
      </c>
      <c r="Y13" s="199">
        <f>30%</f>
        <v>0.3</v>
      </c>
      <c r="Z13" s="199">
        <f>30%</f>
        <v>0.3</v>
      </c>
      <c r="AA13" s="199">
        <f>30%</f>
        <v>0.3</v>
      </c>
      <c r="AB13" s="22"/>
    </row>
    <row r="14" spans="1:28" s="23" customFormat="1" ht="10.199999999999999" x14ac:dyDescent="0.2">
      <c r="A14" s="22"/>
      <c r="B14" s="22"/>
      <c r="C14" s="22"/>
      <c r="D14" s="22"/>
      <c r="E14" s="22" t="str">
        <f>E12</f>
        <v>наполняемость арендаторами</v>
      </c>
      <c r="F14" s="22"/>
      <c r="G14" s="22" t="str">
        <f>IF($E14="","",INDEX(KPI!$G:$G,SUMIFS(KPI!$B:$B,KPI!$E:$E,$E14)))</f>
        <v>%</v>
      </c>
      <c r="H14" s="100">
        <f>структура!$V$13</f>
        <v>2</v>
      </c>
      <c r="I14" s="31"/>
      <c r="J14" s="98" t="str">
        <f>структура!$X$13</f>
        <v>фев</v>
      </c>
      <c r="K14" s="99"/>
      <c r="L14" s="22"/>
      <c r="M14" s="60" t="str">
        <f>структура!$M$12</f>
        <v>сценарий-1</v>
      </c>
      <c r="N14" s="22"/>
      <c r="O14" s="197" t="s">
        <v>0</v>
      </c>
      <c r="P14" s="199">
        <v>0.2</v>
      </c>
      <c r="Q14" s="199">
        <v>0.2</v>
      </c>
      <c r="R14" s="199">
        <v>0.2</v>
      </c>
      <c r="S14" s="199">
        <v>0.2</v>
      </c>
      <c r="T14" s="199">
        <v>0.2</v>
      </c>
      <c r="U14" s="199">
        <v>0.2</v>
      </c>
      <c r="V14" s="199">
        <v>0.2</v>
      </c>
      <c r="W14" s="199">
        <f>30%</f>
        <v>0.3</v>
      </c>
      <c r="X14" s="199">
        <f>30%</f>
        <v>0.3</v>
      </c>
      <c r="Y14" s="199">
        <f>30%</f>
        <v>0.3</v>
      </c>
      <c r="Z14" s="199">
        <f>30%</f>
        <v>0.3</v>
      </c>
      <c r="AA14" s="199">
        <f>30%</f>
        <v>0.3</v>
      </c>
      <c r="AB14" s="22"/>
    </row>
    <row r="15" spans="1:28" s="23" customFormat="1" ht="10.199999999999999" x14ac:dyDescent="0.2">
      <c r="A15" s="22"/>
      <c r="B15" s="22"/>
      <c r="C15" s="22"/>
      <c r="D15" s="22"/>
      <c r="E15" s="22" t="str">
        <f>E12</f>
        <v>наполняемость арендаторами</v>
      </c>
      <c r="F15" s="22"/>
      <c r="G15" s="22" t="str">
        <f>IF($E15="","",INDEX(KPI!$G:$G,SUMIFS(KPI!$B:$B,KPI!$E:$E,$E15)))</f>
        <v>%</v>
      </c>
      <c r="H15" s="100">
        <f>структура!$V$14</f>
        <v>3</v>
      </c>
      <c r="I15" s="31"/>
      <c r="J15" s="98" t="str">
        <f>структура!$X$14</f>
        <v>мар</v>
      </c>
      <c r="K15" s="99"/>
      <c r="L15" s="22"/>
      <c r="M15" s="60" t="str">
        <f>структура!$M$12</f>
        <v>сценарий-1</v>
      </c>
      <c r="N15" s="22"/>
      <c r="O15" s="197" t="s">
        <v>0</v>
      </c>
      <c r="P15" s="199">
        <v>0.25</v>
      </c>
      <c r="Q15" s="199">
        <v>0.25</v>
      </c>
      <c r="R15" s="199">
        <v>0.25</v>
      </c>
      <c r="S15" s="199">
        <v>0.25</v>
      </c>
      <c r="T15" s="199">
        <v>0.25</v>
      </c>
      <c r="U15" s="199">
        <v>0.25</v>
      </c>
      <c r="V15" s="199">
        <v>0.25</v>
      </c>
      <c r="W15" s="199">
        <f>30%</f>
        <v>0.3</v>
      </c>
      <c r="X15" s="199">
        <f>30%</f>
        <v>0.3</v>
      </c>
      <c r="Y15" s="199">
        <f>30%</f>
        <v>0.3</v>
      </c>
      <c r="Z15" s="199">
        <f>30%</f>
        <v>0.3</v>
      </c>
      <c r="AA15" s="199">
        <f>30%</f>
        <v>0.3</v>
      </c>
      <c r="AB15" s="22"/>
    </row>
    <row r="16" spans="1:28" s="23" customFormat="1" ht="10.199999999999999" x14ac:dyDescent="0.2">
      <c r="A16" s="22"/>
      <c r="B16" s="22"/>
      <c r="C16" s="22"/>
      <c r="D16" s="22"/>
      <c r="E16" s="22" t="str">
        <f>E12</f>
        <v>наполняемость арендаторами</v>
      </c>
      <c r="F16" s="22"/>
      <c r="G16" s="22" t="str">
        <f>IF($E16="","",INDEX(KPI!$G:$G,SUMIFS(KPI!$B:$B,KPI!$E:$E,$E16)))</f>
        <v>%</v>
      </c>
      <c r="H16" s="100">
        <f>структура!$V$15</f>
        <v>4</v>
      </c>
      <c r="I16" s="31"/>
      <c r="J16" s="98" t="str">
        <f>структура!$X$15</f>
        <v>апр</v>
      </c>
      <c r="K16" s="99"/>
      <c r="L16" s="22"/>
      <c r="M16" s="60" t="str">
        <f>структура!$M$12</f>
        <v>сценарий-1</v>
      </c>
      <c r="N16" s="22"/>
      <c r="O16" s="197" t="s">
        <v>0</v>
      </c>
      <c r="P16" s="199">
        <v>0.3</v>
      </c>
      <c r="Q16" s="199">
        <v>0.3</v>
      </c>
      <c r="R16" s="199">
        <v>0.3</v>
      </c>
      <c r="S16" s="199">
        <v>0.3</v>
      </c>
      <c r="T16" s="199">
        <v>0.3</v>
      </c>
      <c r="U16" s="199">
        <v>0.3</v>
      </c>
      <c r="V16" s="199">
        <v>0.3</v>
      </c>
      <c r="W16" s="199">
        <f>30%</f>
        <v>0.3</v>
      </c>
      <c r="X16" s="199">
        <f>30%</f>
        <v>0.3</v>
      </c>
      <c r="Y16" s="199">
        <f>30%</f>
        <v>0.3</v>
      </c>
      <c r="Z16" s="199">
        <f>30%</f>
        <v>0.3</v>
      </c>
      <c r="AA16" s="199">
        <f>30%</f>
        <v>0.3</v>
      </c>
      <c r="AB16" s="22"/>
    </row>
    <row r="17" spans="1:28" s="23" customFormat="1" ht="10.199999999999999" x14ac:dyDescent="0.2">
      <c r="A17" s="22"/>
      <c r="B17" s="22"/>
      <c r="C17" s="22"/>
      <c r="D17" s="22"/>
      <c r="E17" s="22" t="str">
        <f>E12</f>
        <v>наполняемость арендаторами</v>
      </c>
      <c r="F17" s="22"/>
      <c r="G17" s="22" t="str">
        <f>IF($E17="","",INDEX(KPI!$G:$G,SUMIFS(KPI!$B:$B,KPI!$E:$E,$E17)))</f>
        <v>%</v>
      </c>
      <c r="H17" s="100">
        <f>структура!$V$16</f>
        <v>5</v>
      </c>
      <c r="I17" s="31"/>
      <c r="J17" s="98" t="str">
        <f>структура!$X$16</f>
        <v>май</v>
      </c>
      <c r="K17" s="99"/>
      <c r="L17" s="22"/>
      <c r="M17" s="60" t="str">
        <f>структура!$M$12</f>
        <v>сценарий-1</v>
      </c>
      <c r="N17" s="22"/>
      <c r="O17" s="197" t="s">
        <v>0</v>
      </c>
      <c r="P17" s="199">
        <v>0.3</v>
      </c>
      <c r="Q17" s="199">
        <v>0.3</v>
      </c>
      <c r="R17" s="199">
        <v>0.3</v>
      </c>
      <c r="S17" s="199">
        <v>0.3</v>
      </c>
      <c r="T17" s="199">
        <v>0.3</v>
      </c>
      <c r="U17" s="199">
        <v>0.3</v>
      </c>
      <c r="V17" s="199">
        <v>0.3</v>
      </c>
      <c r="W17" s="199">
        <f>30%</f>
        <v>0.3</v>
      </c>
      <c r="X17" s="199">
        <f>30%</f>
        <v>0.3</v>
      </c>
      <c r="Y17" s="199">
        <f>30%</f>
        <v>0.3</v>
      </c>
      <c r="Z17" s="199">
        <f>30%</f>
        <v>0.3</v>
      </c>
      <c r="AA17" s="199">
        <f>30%</f>
        <v>0.3</v>
      </c>
      <c r="AB17" s="22"/>
    </row>
    <row r="18" spans="1:28" s="23" customFormat="1" ht="10.199999999999999" x14ac:dyDescent="0.2">
      <c r="A18" s="22"/>
      <c r="B18" s="22"/>
      <c r="C18" s="22"/>
      <c r="D18" s="22"/>
      <c r="E18" s="22" t="str">
        <f>E12</f>
        <v>наполняемость арендаторами</v>
      </c>
      <c r="F18" s="22"/>
      <c r="G18" s="22" t="str">
        <f>IF($E18="","",INDEX(KPI!$G:$G,SUMIFS(KPI!$B:$B,KPI!$E:$E,$E18)))</f>
        <v>%</v>
      </c>
      <c r="H18" s="100">
        <f>структура!$V$17</f>
        <v>6</v>
      </c>
      <c r="I18" s="31"/>
      <c r="J18" s="98" t="str">
        <f>структура!$X$17</f>
        <v>июн</v>
      </c>
      <c r="K18" s="99"/>
      <c r="L18" s="22"/>
      <c r="M18" s="60" t="str">
        <f>структура!$M$12</f>
        <v>сценарий-1</v>
      </c>
      <c r="N18" s="22"/>
      <c r="O18" s="197" t="s">
        <v>0</v>
      </c>
      <c r="P18" s="199">
        <v>0.4</v>
      </c>
      <c r="Q18" s="199">
        <v>0.4</v>
      </c>
      <c r="R18" s="199">
        <v>0.4</v>
      </c>
      <c r="S18" s="199">
        <v>0.4</v>
      </c>
      <c r="T18" s="199">
        <v>0.4</v>
      </c>
      <c r="U18" s="199">
        <v>0.4</v>
      </c>
      <c r="V18" s="199">
        <v>0.4</v>
      </c>
      <c r="W18" s="199">
        <f>30%</f>
        <v>0.3</v>
      </c>
      <c r="X18" s="199">
        <f>30%</f>
        <v>0.3</v>
      </c>
      <c r="Y18" s="199">
        <f>30%</f>
        <v>0.3</v>
      </c>
      <c r="Z18" s="199">
        <f>30%</f>
        <v>0.3</v>
      </c>
      <c r="AA18" s="199">
        <f>30%</f>
        <v>0.3</v>
      </c>
      <c r="AB18" s="22"/>
    </row>
    <row r="19" spans="1:28" s="23" customFormat="1" ht="10.199999999999999" x14ac:dyDescent="0.2">
      <c r="A19" s="22"/>
      <c r="B19" s="22"/>
      <c r="C19" s="22"/>
      <c r="D19" s="22"/>
      <c r="E19" s="22" t="str">
        <f>E12</f>
        <v>наполняемость арендаторами</v>
      </c>
      <c r="F19" s="22"/>
      <c r="G19" s="22" t="str">
        <f>IF($E19="","",INDEX(KPI!$G:$G,SUMIFS(KPI!$B:$B,KPI!$E:$E,$E19)))</f>
        <v>%</v>
      </c>
      <c r="H19" s="100">
        <f>структура!$V$18</f>
        <v>7</v>
      </c>
      <c r="I19" s="31"/>
      <c r="J19" s="98" t="str">
        <f>структура!$X$18</f>
        <v>июл</v>
      </c>
      <c r="K19" s="99"/>
      <c r="L19" s="22"/>
      <c r="M19" s="60" t="str">
        <f>структура!$M$12</f>
        <v>сценарий-1</v>
      </c>
      <c r="N19" s="22"/>
      <c r="O19" s="197" t="s">
        <v>0</v>
      </c>
      <c r="P19" s="199">
        <v>0.4</v>
      </c>
      <c r="Q19" s="199">
        <v>0.4</v>
      </c>
      <c r="R19" s="199">
        <v>0.4</v>
      </c>
      <c r="S19" s="199">
        <v>0.4</v>
      </c>
      <c r="T19" s="199">
        <v>0.4</v>
      </c>
      <c r="U19" s="199">
        <v>0.4</v>
      </c>
      <c r="V19" s="199">
        <v>0.4</v>
      </c>
      <c r="W19" s="199">
        <f>30%</f>
        <v>0.3</v>
      </c>
      <c r="X19" s="199">
        <f>30%</f>
        <v>0.3</v>
      </c>
      <c r="Y19" s="199">
        <f>30%</f>
        <v>0.3</v>
      </c>
      <c r="Z19" s="199">
        <f>30%</f>
        <v>0.3</v>
      </c>
      <c r="AA19" s="199">
        <f>30%</f>
        <v>0.3</v>
      </c>
      <c r="AB19" s="22"/>
    </row>
    <row r="20" spans="1:28" s="23" customFormat="1" ht="10.199999999999999" x14ac:dyDescent="0.2">
      <c r="A20" s="22"/>
      <c r="B20" s="22"/>
      <c r="C20" s="22"/>
      <c r="D20" s="22"/>
      <c r="E20" s="22" t="str">
        <f>E12</f>
        <v>наполняемость арендаторами</v>
      </c>
      <c r="F20" s="22"/>
      <c r="G20" s="22" t="str">
        <f>IF($E20="","",INDEX(KPI!$G:$G,SUMIFS(KPI!$B:$B,KPI!$E:$E,$E20)))</f>
        <v>%</v>
      </c>
      <c r="H20" s="100">
        <f>структура!$V$19</f>
        <v>8</v>
      </c>
      <c r="I20" s="31"/>
      <c r="J20" s="98" t="str">
        <f>структура!$X$19</f>
        <v>авг</v>
      </c>
      <c r="K20" s="99"/>
      <c r="L20" s="22"/>
      <c r="M20" s="60" t="str">
        <f>структура!$M$12</f>
        <v>сценарий-1</v>
      </c>
      <c r="N20" s="22"/>
      <c r="O20" s="197" t="s">
        <v>0</v>
      </c>
      <c r="P20" s="199">
        <v>0.4</v>
      </c>
      <c r="Q20" s="199">
        <v>0.4</v>
      </c>
      <c r="R20" s="199">
        <v>0.4</v>
      </c>
      <c r="S20" s="199">
        <v>0.4</v>
      </c>
      <c r="T20" s="199">
        <v>0.4</v>
      </c>
      <c r="U20" s="199">
        <v>0.4</v>
      </c>
      <c r="V20" s="199">
        <v>0.4</v>
      </c>
      <c r="W20" s="199">
        <f>30%</f>
        <v>0.3</v>
      </c>
      <c r="X20" s="199">
        <f>30%</f>
        <v>0.3</v>
      </c>
      <c r="Y20" s="199">
        <f>30%</f>
        <v>0.3</v>
      </c>
      <c r="Z20" s="199">
        <f>30%</f>
        <v>0.3</v>
      </c>
      <c r="AA20" s="199">
        <f>30%</f>
        <v>0.3</v>
      </c>
      <c r="AB20" s="22"/>
    </row>
    <row r="21" spans="1:28" s="23" customFormat="1" ht="10.199999999999999" x14ac:dyDescent="0.2">
      <c r="A21" s="22"/>
      <c r="B21" s="22"/>
      <c r="C21" s="22"/>
      <c r="D21" s="22"/>
      <c r="E21" s="22" t="str">
        <f>E12</f>
        <v>наполняемость арендаторами</v>
      </c>
      <c r="F21" s="22"/>
      <c r="G21" s="22" t="str">
        <f>IF($E21="","",INDEX(KPI!$G:$G,SUMIFS(KPI!$B:$B,KPI!$E:$E,$E21)))</f>
        <v>%</v>
      </c>
      <c r="H21" s="100">
        <f>структура!$V$20</f>
        <v>9</v>
      </c>
      <c r="I21" s="31"/>
      <c r="J21" s="98" t="str">
        <f>структура!$X$20</f>
        <v>сен</v>
      </c>
      <c r="K21" s="99"/>
      <c r="L21" s="22"/>
      <c r="M21" s="60" t="str">
        <f>структура!$M$12</f>
        <v>сценарий-1</v>
      </c>
      <c r="N21" s="22"/>
      <c r="O21" s="197" t="s">
        <v>0</v>
      </c>
      <c r="P21" s="199">
        <v>0.35</v>
      </c>
      <c r="Q21" s="199">
        <v>0.35</v>
      </c>
      <c r="R21" s="199">
        <v>0.35</v>
      </c>
      <c r="S21" s="199">
        <v>0.35</v>
      </c>
      <c r="T21" s="199">
        <v>0.35</v>
      </c>
      <c r="U21" s="199">
        <v>0.35</v>
      </c>
      <c r="V21" s="199">
        <v>0.35</v>
      </c>
      <c r="W21" s="199">
        <f>30%</f>
        <v>0.3</v>
      </c>
      <c r="X21" s="199">
        <f>30%</f>
        <v>0.3</v>
      </c>
      <c r="Y21" s="199">
        <f>30%</f>
        <v>0.3</v>
      </c>
      <c r="Z21" s="199">
        <f>30%</f>
        <v>0.3</v>
      </c>
      <c r="AA21" s="199">
        <f>30%</f>
        <v>0.3</v>
      </c>
      <c r="AB21" s="22"/>
    </row>
    <row r="22" spans="1:28" s="23" customFormat="1" ht="10.199999999999999" x14ac:dyDescent="0.2">
      <c r="A22" s="22"/>
      <c r="B22" s="22"/>
      <c r="C22" s="22"/>
      <c r="D22" s="22"/>
      <c r="E22" s="22" t="str">
        <f>E12</f>
        <v>наполняемость арендаторами</v>
      </c>
      <c r="F22" s="22"/>
      <c r="G22" s="22" t="str">
        <f>IF($E22="","",INDEX(KPI!$G:$G,SUMIFS(KPI!$B:$B,KPI!$E:$E,$E22)))</f>
        <v>%</v>
      </c>
      <c r="H22" s="100">
        <f>структура!$V$21</f>
        <v>10</v>
      </c>
      <c r="I22" s="31"/>
      <c r="J22" s="98" t="str">
        <f>структура!$X$21</f>
        <v>окт</v>
      </c>
      <c r="K22" s="99"/>
      <c r="L22" s="22"/>
      <c r="M22" s="60" t="str">
        <f>структура!$M$12</f>
        <v>сценарий-1</v>
      </c>
      <c r="N22" s="22"/>
      <c r="O22" s="197" t="s">
        <v>0</v>
      </c>
      <c r="P22" s="199">
        <v>0.28000000000000003</v>
      </c>
      <c r="Q22" s="199">
        <v>0.28000000000000003</v>
      </c>
      <c r="R22" s="199">
        <v>0.28000000000000003</v>
      </c>
      <c r="S22" s="199">
        <v>0.28000000000000003</v>
      </c>
      <c r="T22" s="199">
        <v>0.28000000000000003</v>
      </c>
      <c r="U22" s="199">
        <v>0.28000000000000003</v>
      </c>
      <c r="V22" s="199">
        <v>0.28000000000000003</v>
      </c>
      <c r="W22" s="199">
        <f>30%</f>
        <v>0.3</v>
      </c>
      <c r="X22" s="199">
        <f>30%</f>
        <v>0.3</v>
      </c>
      <c r="Y22" s="199">
        <f>30%</f>
        <v>0.3</v>
      </c>
      <c r="Z22" s="199">
        <f>30%</f>
        <v>0.3</v>
      </c>
      <c r="AA22" s="199">
        <f>30%</f>
        <v>0.3</v>
      </c>
      <c r="AB22" s="22"/>
    </row>
    <row r="23" spans="1:28" s="23" customFormat="1" ht="10.199999999999999" x14ac:dyDescent="0.2">
      <c r="A23" s="22"/>
      <c r="B23" s="22"/>
      <c r="C23" s="22"/>
      <c r="D23" s="22"/>
      <c r="E23" s="22" t="str">
        <f>E12</f>
        <v>наполняемость арендаторами</v>
      </c>
      <c r="F23" s="22"/>
      <c r="G23" s="22" t="str">
        <f>IF($E23="","",INDEX(KPI!$G:$G,SUMIFS(KPI!$B:$B,KPI!$E:$E,$E23)))</f>
        <v>%</v>
      </c>
      <c r="H23" s="100">
        <f>структура!$V$22</f>
        <v>11</v>
      </c>
      <c r="I23" s="31"/>
      <c r="J23" s="98" t="str">
        <f>структура!$X$22</f>
        <v>ноя</v>
      </c>
      <c r="K23" s="99"/>
      <c r="L23" s="22"/>
      <c r="M23" s="60" t="str">
        <f>структура!$M$12</f>
        <v>сценарий-1</v>
      </c>
      <c r="N23" s="22"/>
      <c r="O23" s="197" t="s">
        <v>0</v>
      </c>
      <c r="P23" s="199">
        <v>0.25</v>
      </c>
      <c r="Q23" s="199">
        <v>0.25</v>
      </c>
      <c r="R23" s="199">
        <v>0.25</v>
      </c>
      <c r="S23" s="199">
        <v>0.25</v>
      </c>
      <c r="T23" s="199">
        <v>0.25</v>
      </c>
      <c r="U23" s="199">
        <v>0.25</v>
      </c>
      <c r="V23" s="199">
        <v>0.25</v>
      </c>
      <c r="W23" s="199">
        <f>30%</f>
        <v>0.3</v>
      </c>
      <c r="X23" s="199">
        <f>30%</f>
        <v>0.3</v>
      </c>
      <c r="Y23" s="199">
        <f>30%</f>
        <v>0.3</v>
      </c>
      <c r="Z23" s="199">
        <f>30%</f>
        <v>0.3</v>
      </c>
      <c r="AA23" s="199">
        <f>30%</f>
        <v>0.3</v>
      </c>
      <c r="AB23" s="22"/>
    </row>
    <row r="24" spans="1:28" s="23" customFormat="1" ht="10.199999999999999" x14ac:dyDescent="0.2">
      <c r="A24" s="22"/>
      <c r="B24" s="22"/>
      <c r="C24" s="22"/>
      <c r="D24" s="22"/>
      <c r="E24" s="22" t="str">
        <f>E12</f>
        <v>наполняемость арендаторами</v>
      </c>
      <c r="F24" s="22"/>
      <c r="G24" s="22" t="str">
        <f>IF($E24="","",INDEX(KPI!$G:$G,SUMIFS(KPI!$B:$B,KPI!$E:$E,$E24)))</f>
        <v>%</v>
      </c>
      <c r="H24" s="100">
        <f>структура!$V$23</f>
        <v>12</v>
      </c>
      <c r="I24" s="31"/>
      <c r="J24" s="98" t="str">
        <f>структура!$X$23</f>
        <v>дек</v>
      </c>
      <c r="K24" s="99"/>
      <c r="L24" s="22"/>
      <c r="M24" s="60" t="str">
        <f>структура!$M$12</f>
        <v>сценарий-1</v>
      </c>
      <c r="N24" s="22"/>
      <c r="O24" s="197" t="s">
        <v>0</v>
      </c>
      <c r="P24" s="199">
        <v>0.2</v>
      </c>
      <c r="Q24" s="199">
        <v>0.2</v>
      </c>
      <c r="R24" s="199">
        <v>0.2</v>
      </c>
      <c r="S24" s="199">
        <v>0.2</v>
      </c>
      <c r="T24" s="199">
        <v>0.2</v>
      </c>
      <c r="U24" s="199">
        <v>0.2</v>
      </c>
      <c r="V24" s="199">
        <v>0.2</v>
      </c>
      <c r="W24" s="199">
        <f>30%</f>
        <v>0.3</v>
      </c>
      <c r="X24" s="199">
        <f>30%</f>
        <v>0.3</v>
      </c>
      <c r="Y24" s="199">
        <f>30%</f>
        <v>0.3</v>
      </c>
      <c r="Z24" s="199">
        <f>30%</f>
        <v>0.3</v>
      </c>
      <c r="AA24" s="199">
        <f>30%</f>
        <v>0.3</v>
      </c>
      <c r="AB24" s="22"/>
    </row>
    <row r="25" spans="1:28" ht="3.9" customHeight="1" x14ac:dyDescent="0.25">
      <c r="A25" s="2"/>
      <c r="B25" s="2"/>
      <c r="C25" s="2"/>
      <c r="D25" s="2"/>
      <c r="E25" s="21"/>
      <c r="F25" s="2"/>
      <c r="G25" s="21"/>
      <c r="H25" s="2"/>
      <c r="I25" s="28"/>
      <c r="J25" s="21"/>
      <c r="K25" s="28"/>
      <c r="L25" s="2"/>
      <c r="M25" s="201"/>
      <c r="N25" s="2"/>
      <c r="O25" s="196"/>
      <c r="P25" s="36"/>
      <c r="Q25" s="36"/>
      <c r="R25" s="36"/>
      <c r="S25" s="36"/>
      <c r="T25" s="36"/>
      <c r="U25" s="36"/>
      <c r="V25" s="36"/>
      <c r="W25" s="36"/>
      <c r="X25" s="36"/>
      <c r="Y25" s="36"/>
      <c r="Z25" s="36"/>
      <c r="AA25" s="36"/>
      <c r="AB25" s="2"/>
    </row>
    <row r="26" spans="1:28" ht="8.1" customHeight="1" x14ac:dyDescent="0.25">
      <c r="A26" s="2"/>
      <c r="B26" s="2"/>
      <c r="C26" s="2"/>
      <c r="D26" s="2"/>
      <c r="E26" s="2"/>
      <c r="F26" s="2"/>
      <c r="G26" s="2"/>
      <c r="H26" s="2"/>
      <c r="I26" s="28"/>
      <c r="J26" s="2"/>
      <c r="K26" s="28"/>
      <c r="L26" s="2"/>
      <c r="M26" s="201"/>
      <c r="N26" s="2"/>
      <c r="O26" s="196"/>
      <c r="P26" s="36"/>
      <c r="Q26" s="36"/>
      <c r="R26" s="36"/>
      <c r="S26" s="36"/>
      <c r="T26" s="36"/>
      <c r="U26" s="36"/>
      <c r="V26" s="36"/>
      <c r="W26" s="36"/>
      <c r="X26" s="36"/>
      <c r="Y26" s="36"/>
      <c r="Z26" s="36"/>
      <c r="AA26" s="36"/>
      <c r="AB26" s="2"/>
    </row>
    <row r="27" spans="1:28" s="5" customFormat="1" x14ac:dyDescent="0.25">
      <c r="A27" s="3"/>
      <c r="B27" s="3"/>
      <c r="C27" s="3"/>
      <c r="D27" s="3"/>
      <c r="E27" s="3" t="str">
        <f>KPI!$E$37</f>
        <v>средняя наполняемость одного объекта</v>
      </c>
      <c r="F27" s="3"/>
      <c r="G27" s="3" t="str">
        <f>IF($E27="","",INDEX(KPI!$G:$G,SUMIFS(KPI!$B:$B,KPI!$E:$E,$E27)))</f>
        <v>чел</v>
      </c>
      <c r="H27" s="3"/>
      <c r="I27" s="28"/>
      <c r="J27" s="103"/>
      <c r="K27" s="28"/>
      <c r="L27" s="3"/>
      <c r="M27" s="153" t="str">
        <f>структура!$M$12</f>
        <v>сценарий-1</v>
      </c>
      <c r="N27" s="3"/>
      <c r="O27" s="32"/>
      <c r="P27" s="46"/>
      <c r="Q27" s="46"/>
      <c r="R27" s="46"/>
      <c r="S27" s="46"/>
      <c r="T27" s="46"/>
      <c r="U27" s="46"/>
      <c r="V27" s="46"/>
      <c r="W27" s="46"/>
      <c r="X27" s="46"/>
      <c r="Y27" s="46"/>
      <c r="Z27" s="46"/>
      <c r="AA27" s="46"/>
      <c r="AB27" s="3"/>
    </row>
    <row r="28" spans="1:28" ht="3.9" customHeight="1" x14ac:dyDescent="0.25">
      <c r="A28" s="2"/>
      <c r="B28" s="2"/>
      <c r="C28" s="2"/>
      <c r="D28" s="2"/>
      <c r="E28" s="2"/>
      <c r="F28" s="2"/>
      <c r="G28" s="2"/>
      <c r="H28" s="2"/>
      <c r="I28" s="28"/>
      <c r="J28" s="2"/>
      <c r="K28" s="28"/>
      <c r="L28" s="2"/>
      <c r="M28" s="201"/>
      <c r="N28" s="2"/>
      <c r="O28" s="196"/>
      <c r="P28" s="36"/>
      <c r="Q28" s="36"/>
      <c r="R28" s="36"/>
      <c r="S28" s="36"/>
      <c r="T28" s="36"/>
      <c r="U28" s="36"/>
      <c r="V28" s="36"/>
      <c r="W28" s="36"/>
      <c r="X28" s="36"/>
      <c r="Y28" s="36"/>
      <c r="Z28" s="36"/>
      <c r="AA28" s="36"/>
      <c r="AB28" s="2"/>
    </row>
    <row r="29" spans="1:28" x14ac:dyDescent="0.25">
      <c r="A29" s="2"/>
      <c r="B29" s="2"/>
      <c r="C29" s="2"/>
      <c r="D29" s="2"/>
      <c r="E29" s="48" t="str">
        <f>структура!$AF$12</f>
        <v>беседка большая</v>
      </c>
      <c r="F29" s="2"/>
      <c r="G29" s="2" t="str">
        <f>G27</f>
        <v>чел</v>
      </c>
      <c r="H29" s="2"/>
      <c r="I29" s="6" t="s">
        <v>0</v>
      </c>
      <c r="J29" s="200">
        <v>12</v>
      </c>
      <c r="K29" s="105" t="str">
        <f>IF(J29&gt;операции!$J$75,структура!$AL$19,"")</f>
        <v/>
      </c>
      <c r="L29" s="2"/>
      <c r="M29" s="201" t="str">
        <f>структура!$M$12</f>
        <v>сценарий-1</v>
      </c>
      <c r="N29" s="2"/>
      <c r="O29" s="196"/>
      <c r="P29" s="36"/>
      <c r="Q29" s="36"/>
      <c r="R29" s="36"/>
      <c r="S29" s="36"/>
      <c r="T29" s="36"/>
      <c r="U29" s="36"/>
      <c r="V29" s="36"/>
      <c r="W29" s="36"/>
      <c r="X29" s="36"/>
      <c r="Y29" s="36"/>
      <c r="Z29" s="36"/>
      <c r="AA29" s="36"/>
      <c r="AB29" s="2"/>
    </row>
    <row r="30" spans="1:28" x14ac:dyDescent="0.25">
      <c r="A30" s="2"/>
      <c r="B30" s="2"/>
      <c r="C30" s="2"/>
      <c r="D30" s="2"/>
      <c r="E30" s="49" t="str">
        <f>структура!$AF$13</f>
        <v>беседка малая</v>
      </c>
      <c r="F30" s="2"/>
      <c r="G30" s="2" t="str">
        <f>G27</f>
        <v>чел</v>
      </c>
      <c r="H30" s="2"/>
      <c r="I30" s="6" t="s">
        <v>0</v>
      </c>
      <c r="J30" s="200">
        <v>7</v>
      </c>
      <c r="K30" s="105" t="str">
        <f>IF(J30&gt;операции!$J$76,структура!$AL$19,"")</f>
        <v/>
      </c>
      <c r="L30" s="2"/>
      <c r="M30" s="201" t="str">
        <f>структура!$M$12</f>
        <v>сценарий-1</v>
      </c>
      <c r="N30" s="2"/>
      <c r="O30" s="196"/>
      <c r="P30" s="36"/>
      <c r="Q30" s="36"/>
      <c r="R30" s="36"/>
      <c r="S30" s="36"/>
      <c r="T30" s="36"/>
      <c r="U30" s="36"/>
      <c r="V30" s="36"/>
      <c r="W30" s="36"/>
      <c r="X30" s="36"/>
      <c r="Y30" s="36"/>
      <c r="Z30" s="36"/>
      <c r="AA30" s="36"/>
      <c r="AB30" s="2"/>
    </row>
    <row r="31" spans="1:28" x14ac:dyDescent="0.25">
      <c r="A31" s="2"/>
      <c r="B31" s="2"/>
      <c r="C31" s="2"/>
      <c r="D31" s="2"/>
      <c r="E31" s="49" t="str">
        <f>структура!$AF$14</f>
        <v>прочие для сдачи в аренду</v>
      </c>
      <c r="F31" s="2"/>
      <c r="G31" s="2" t="str">
        <f>G27</f>
        <v>чел</v>
      </c>
      <c r="H31" s="2"/>
      <c r="I31" s="6" t="s">
        <v>0</v>
      </c>
      <c r="J31" s="200"/>
      <c r="K31" s="28"/>
      <c r="L31" s="2"/>
      <c r="M31" s="201" t="str">
        <f>структура!$M$12</f>
        <v>сценарий-1</v>
      </c>
      <c r="N31" s="2"/>
      <c r="O31" s="196"/>
      <c r="P31" s="36"/>
      <c r="Q31" s="36"/>
      <c r="R31" s="36"/>
      <c r="S31" s="36"/>
      <c r="T31" s="36"/>
      <c r="U31" s="36"/>
      <c r="V31" s="36"/>
      <c r="W31" s="36"/>
      <c r="X31" s="36"/>
      <c r="Y31" s="36"/>
      <c r="Z31" s="36"/>
      <c r="AA31" s="36"/>
      <c r="AB31" s="2"/>
    </row>
    <row r="32" spans="1:28" ht="3.9" customHeight="1" x14ac:dyDescent="0.25">
      <c r="A32" s="2"/>
      <c r="B32" s="2"/>
      <c r="C32" s="2"/>
      <c r="D32" s="2"/>
      <c r="E32" s="50"/>
      <c r="F32" s="2"/>
      <c r="G32" s="2"/>
      <c r="H32" s="2"/>
      <c r="I32" s="28"/>
      <c r="J32" s="2"/>
      <c r="K32" s="28"/>
      <c r="L32" s="2"/>
      <c r="M32" s="201"/>
      <c r="N32" s="2"/>
      <c r="O32" s="196"/>
      <c r="P32" s="36"/>
      <c r="Q32" s="36"/>
      <c r="R32" s="36"/>
      <c r="S32" s="36"/>
      <c r="T32" s="36"/>
      <c r="U32" s="36"/>
      <c r="V32" s="36"/>
      <c r="W32" s="36"/>
      <c r="X32" s="36"/>
      <c r="Y32" s="36"/>
      <c r="Z32" s="36"/>
      <c r="AA32" s="36"/>
      <c r="AB32" s="2"/>
    </row>
    <row r="33" spans="1:28" ht="3.9" customHeight="1" x14ac:dyDescent="0.25">
      <c r="A33" s="2"/>
      <c r="B33" s="2"/>
      <c r="C33" s="2"/>
      <c r="D33" s="2"/>
      <c r="E33" s="2"/>
      <c r="F33" s="2"/>
      <c r="G33" s="2"/>
      <c r="H33" s="2"/>
      <c r="I33" s="28"/>
      <c r="J33" s="2"/>
      <c r="K33" s="28"/>
      <c r="L33" s="2"/>
      <c r="M33" s="201"/>
      <c r="N33" s="2"/>
      <c r="O33" s="196"/>
      <c r="P33" s="36"/>
      <c r="Q33" s="36"/>
      <c r="R33" s="36"/>
      <c r="S33" s="36"/>
      <c r="T33" s="36"/>
      <c r="U33" s="36"/>
      <c r="V33" s="36"/>
      <c r="W33" s="36"/>
      <c r="X33" s="36"/>
      <c r="Y33" s="36"/>
      <c r="Z33" s="36"/>
      <c r="AA33" s="36"/>
      <c r="AB33" s="2"/>
    </row>
    <row r="34" spans="1:28" ht="8.1" customHeight="1" x14ac:dyDescent="0.25">
      <c r="A34" s="2"/>
      <c r="B34" s="2"/>
      <c r="C34" s="2"/>
      <c r="D34" s="2"/>
      <c r="E34" s="2"/>
      <c r="F34" s="2"/>
      <c r="G34" s="2"/>
      <c r="H34" s="2"/>
      <c r="I34" s="28"/>
      <c r="J34" s="2"/>
      <c r="K34" s="28"/>
      <c r="L34" s="2"/>
      <c r="M34" s="201"/>
      <c r="N34" s="2"/>
      <c r="O34" s="196"/>
      <c r="P34" s="36"/>
      <c r="Q34" s="36"/>
      <c r="R34" s="36"/>
      <c r="S34" s="36"/>
      <c r="T34" s="36"/>
      <c r="U34" s="36"/>
      <c r="V34" s="36"/>
      <c r="W34" s="36"/>
      <c r="X34" s="36"/>
      <c r="Y34" s="36"/>
      <c r="Z34" s="36"/>
      <c r="AA34" s="36"/>
      <c r="AB34" s="2"/>
    </row>
    <row r="35" spans="1:28" s="5" customFormat="1" x14ac:dyDescent="0.25">
      <c r="A35" s="3"/>
      <c r="B35" s="3"/>
      <c r="C35" s="3"/>
      <c r="D35" s="3"/>
      <c r="E35" s="3" t="str">
        <f>KPI!$E$41</f>
        <v>%-нт прироста "безарендного" траффика</v>
      </c>
      <c r="F35" s="3"/>
      <c r="G35" s="3" t="str">
        <f>IF($E35="","",INDEX(KPI!$G:$G,SUMIFS(KPI!$B:$B,KPI!$E:$E,$E35)))</f>
        <v>%</v>
      </c>
      <c r="H35" s="3"/>
      <c r="I35" s="6" t="s">
        <v>0</v>
      </c>
      <c r="J35" s="107">
        <v>0.1</v>
      </c>
      <c r="K35" s="28"/>
      <c r="L35" s="103"/>
      <c r="M35" s="153" t="str">
        <f>структура!$M$12</f>
        <v>сценарий-1</v>
      </c>
      <c r="N35" s="3"/>
      <c r="O35" s="32"/>
      <c r="P35" s="46"/>
      <c r="Q35" s="46"/>
      <c r="R35" s="46"/>
      <c r="S35" s="46"/>
      <c r="T35" s="46"/>
      <c r="U35" s="46"/>
      <c r="V35" s="46"/>
      <c r="W35" s="46"/>
      <c r="X35" s="46"/>
      <c r="Y35" s="46"/>
      <c r="Z35" s="46"/>
      <c r="AA35" s="46"/>
      <c r="AB35" s="3"/>
    </row>
    <row r="36" spans="1:28" ht="3.9" customHeight="1" x14ac:dyDescent="0.25">
      <c r="A36" s="2"/>
      <c r="B36" s="2"/>
      <c r="C36" s="2"/>
      <c r="D36" s="2"/>
      <c r="E36" s="2"/>
      <c r="F36" s="2"/>
      <c r="G36" s="2"/>
      <c r="H36" s="2"/>
      <c r="I36" s="28"/>
      <c r="J36" s="2"/>
      <c r="K36" s="28"/>
      <c r="L36" s="2"/>
      <c r="M36" s="201"/>
      <c r="N36" s="2"/>
      <c r="O36" s="196"/>
      <c r="P36" s="36"/>
      <c r="Q36" s="36"/>
      <c r="R36" s="36"/>
      <c r="S36" s="36"/>
      <c r="T36" s="36"/>
      <c r="U36" s="36"/>
      <c r="V36" s="36"/>
      <c r="W36" s="36"/>
      <c r="X36" s="36"/>
      <c r="Y36" s="36"/>
      <c r="Z36" s="36"/>
      <c r="AA36" s="36"/>
      <c r="AB36" s="2"/>
    </row>
    <row r="37" spans="1:28" ht="8.1" customHeight="1" x14ac:dyDescent="0.25">
      <c r="A37" s="2"/>
      <c r="B37" s="2"/>
      <c r="C37" s="2"/>
      <c r="D37" s="2"/>
      <c r="E37" s="2"/>
      <c r="F37" s="2"/>
      <c r="G37" s="2"/>
      <c r="H37" s="2"/>
      <c r="I37" s="28"/>
      <c r="J37" s="2"/>
      <c r="K37" s="28"/>
      <c r="L37" s="2"/>
      <c r="M37" s="201"/>
      <c r="N37" s="2"/>
      <c r="O37" s="196"/>
      <c r="P37" s="36"/>
      <c r="Q37" s="36"/>
      <c r="R37" s="36"/>
      <c r="S37" s="36"/>
      <c r="T37" s="36"/>
      <c r="U37" s="36"/>
      <c r="V37" s="36"/>
      <c r="W37" s="36"/>
      <c r="X37" s="36"/>
      <c r="Y37" s="36"/>
      <c r="Z37" s="36"/>
      <c r="AA37" s="36"/>
      <c r="AB37" s="2"/>
    </row>
    <row r="38" spans="1:28" ht="3.9" customHeight="1" x14ac:dyDescent="0.25">
      <c r="A38" s="2"/>
      <c r="B38" s="2"/>
      <c r="C38" s="2"/>
      <c r="D38" s="2"/>
      <c r="E38" s="21"/>
      <c r="F38" s="2"/>
      <c r="G38" s="21"/>
      <c r="H38" s="2"/>
      <c r="I38" s="28"/>
      <c r="J38" s="21"/>
      <c r="K38" s="28"/>
      <c r="L38" s="2"/>
      <c r="M38" s="201"/>
      <c r="N38" s="2"/>
      <c r="O38" s="196"/>
      <c r="P38" s="36"/>
      <c r="Q38" s="36"/>
      <c r="R38" s="36"/>
      <c r="S38" s="36"/>
      <c r="T38" s="36"/>
      <c r="U38" s="36"/>
      <c r="V38" s="36"/>
      <c r="W38" s="36"/>
      <c r="X38" s="36"/>
      <c r="Y38" s="36"/>
      <c r="Z38" s="36"/>
      <c r="AA38" s="36"/>
      <c r="AB38" s="2"/>
    </row>
    <row r="39" spans="1:28" ht="8.1" customHeight="1" x14ac:dyDescent="0.25">
      <c r="A39" s="2"/>
      <c r="B39" s="2"/>
      <c r="C39" s="2"/>
      <c r="D39" s="2"/>
      <c r="E39" s="2"/>
      <c r="F39" s="2"/>
      <c r="G39" s="2"/>
      <c r="H39" s="2"/>
      <c r="I39" s="28"/>
      <c r="J39" s="2"/>
      <c r="K39" s="28"/>
      <c r="L39" s="2"/>
      <c r="M39" s="201"/>
      <c r="N39" s="2"/>
      <c r="O39" s="196"/>
      <c r="P39" s="36"/>
      <c r="Q39" s="36"/>
      <c r="R39" s="36"/>
      <c r="S39" s="36"/>
      <c r="T39" s="36"/>
      <c r="U39" s="36"/>
      <c r="V39" s="36"/>
      <c r="W39" s="36"/>
      <c r="X39" s="36"/>
      <c r="Y39" s="36"/>
      <c r="Z39" s="36"/>
      <c r="AA39" s="36"/>
      <c r="AB39" s="2"/>
    </row>
    <row r="40" spans="1:28" s="5" customFormat="1" x14ac:dyDescent="0.25">
      <c r="A40" s="3"/>
      <c r="B40" s="3"/>
      <c r="C40" s="3"/>
      <c r="D40" s="3"/>
      <c r="E40" s="3" t="str">
        <f>KPI!$E$40</f>
        <v>конверсия в покупку одной услуги проката</v>
      </c>
      <c r="F40" s="3"/>
      <c r="G40" s="3" t="str">
        <f>IF($E40="","",INDEX(KPI!$G:$G,SUMIFS(KPI!$B:$B,KPI!$E:$E,$E40)))</f>
        <v>%</v>
      </c>
      <c r="H40" s="3"/>
      <c r="I40" s="28"/>
      <c r="J40" s="44"/>
      <c r="K40" s="28"/>
      <c r="L40" s="3"/>
      <c r="M40" s="153" t="str">
        <f>структура!$M$12</f>
        <v>сценарий-1</v>
      </c>
      <c r="N40" s="3"/>
      <c r="O40" s="32"/>
      <c r="P40" s="104"/>
      <c r="Q40" s="46"/>
      <c r="R40" s="46"/>
      <c r="S40" s="46"/>
      <c r="T40" s="46"/>
      <c r="U40" s="46"/>
      <c r="V40" s="46"/>
      <c r="W40" s="46"/>
      <c r="X40" s="46"/>
      <c r="Y40" s="46"/>
      <c r="Z40" s="46"/>
      <c r="AA40" s="46"/>
      <c r="AB40" s="3"/>
    </row>
    <row r="41" spans="1:28" s="23" customFormat="1" ht="10.199999999999999" x14ac:dyDescent="0.2">
      <c r="A41" s="22"/>
      <c r="B41" s="22"/>
      <c r="C41" s="22"/>
      <c r="D41" s="22"/>
      <c r="E41" s="22" t="str">
        <f>E40</f>
        <v>конверсия в покупку одной услуги проката</v>
      </c>
      <c r="F41" s="22"/>
      <c r="G41" s="22" t="str">
        <f>IF($E41="","",INDEX(KPI!$G:$G,SUMIFS(KPI!$B:$B,KPI!$E:$E,$E41)))</f>
        <v>%</v>
      </c>
      <c r="H41" s="100">
        <f>структура!$V$12</f>
        <v>1</v>
      </c>
      <c r="I41" s="31"/>
      <c r="J41" s="98" t="str">
        <f>структура!$X$12</f>
        <v>янв</v>
      </c>
      <c r="K41" s="99"/>
      <c r="L41" s="22"/>
      <c r="M41" s="60" t="str">
        <f>структура!$M$12</f>
        <v>сценарий-1</v>
      </c>
      <c r="N41" s="22"/>
      <c r="O41" s="197" t="s">
        <v>0</v>
      </c>
      <c r="P41" s="199">
        <v>0.25</v>
      </c>
      <c r="Q41" s="199">
        <v>0.25</v>
      </c>
      <c r="R41" s="199">
        <v>0.25</v>
      </c>
      <c r="S41" s="199">
        <v>0.25</v>
      </c>
      <c r="T41" s="199">
        <v>0.25</v>
      </c>
      <c r="U41" s="199">
        <v>0.25</v>
      </c>
      <c r="V41" s="199">
        <v>0.25</v>
      </c>
      <c r="W41" s="199">
        <f>20%</f>
        <v>0.2</v>
      </c>
      <c r="X41" s="199">
        <f>20%</f>
        <v>0.2</v>
      </c>
      <c r="Y41" s="199">
        <f>20%</f>
        <v>0.2</v>
      </c>
      <c r="Z41" s="199">
        <f>20%</f>
        <v>0.2</v>
      </c>
      <c r="AA41" s="199">
        <f>20%</f>
        <v>0.2</v>
      </c>
      <c r="AB41" s="22"/>
    </row>
    <row r="42" spans="1:28" s="23" customFormat="1" ht="10.199999999999999" x14ac:dyDescent="0.2">
      <c r="A42" s="22"/>
      <c r="B42" s="22"/>
      <c r="C42" s="22"/>
      <c r="D42" s="22"/>
      <c r="E42" s="22" t="str">
        <f>E40</f>
        <v>конверсия в покупку одной услуги проката</v>
      </c>
      <c r="F42" s="22"/>
      <c r="G42" s="22" t="str">
        <f>IF($E42="","",INDEX(KPI!$G:$G,SUMIFS(KPI!$B:$B,KPI!$E:$E,$E42)))</f>
        <v>%</v>
      </c>
      <c r="H42" s="100">
        <f>структура!$V$13</f>
        <v>2</v>
      </c>
      <c r="I42" s="31"/>
      <c r="J42" s="98" t="str">
        <f>структура!$X$13</f>
        <v>фев</v>
      </c>
      <c r="K42" s="99"/>
      <c r="L42" s="22"/>
      <c r="M42" s="60" t="str">
        <f>структура!$M$12</f>
        <v>сценарий-1</v>
      </c>
      <c r="N42" s="22"/>
      <c r="O42" s="197" t="s">
        <v>0</v>
      </c>
      <c r="P42" s="199">
        <v>0.2</v>
      </c>
      <c r="Q42" s="199">
        <v>0.2</v>
      </c>
      <c r="R42" s="199">
        <v>0.2</v>
      </c>
      <c r="S42" s="199">
        <v>0.2</v>
      </c>
      <c r="T42" s="199">
        <v>0.2</v>
      </c>
      <c r="U42" s="199">
        <v>0.2</v>
      </c>
      <c r="V42" s="199">
        <v>0.2</v>
      </c>
      <c r="W42" s="199">
        <f>25%</f>
        <v>0.25</v>
      </c>
      <c r="X42" s="199">
        <f>25%</f>
        <v>0.25</v>
      </c>
      <c r="Y42" s="199">
        <f>25%</f>
        <v>0.25</v>
      </c>
      <c r="Z42" s="199">
        <f>25%</f>
        <v>0.25</v>
      </c>
      <c r="AA42" s="199">
        <f>25%</f>
        <v>0.25</v>
      </c>
      <c r="AB42" s="22"/>
    </row>
    <row r="43" spans="1:28" s="23" customFormat="1" ht="10.199999999999999" x14ac:dyDescent="0.2">
      <c r="A43" s="22"/>
      <c r="B43" s="22"/>
      <c r="C43" s="22"/>
      <c r="D43" s="22"/>
      <c r="E43" s="22" t="str">
        <f>E40</f>
        <v>конверсия в покупку одной услуги проката</v>
      </c>
      <c r="F43" s="22"/>
      <c r="G43" s="22" t="str">
        <f>IF($E43="","",INDEX(KPI!$G:$G,SUMIFS(KPI!$B:$B,KPI!$E:$E,$E43)))</f>
        <v>%</v>
      </c>
      <c r="H43" s="100">
        <f>структура!$V$14</f>
        <v>3</v>
      </c>
      <c r="I43" s="31"/>
      <c r="J43" s="98" t="str">
        <f>структура!$X$14</f>
        <v>мар</v>
      </c>
      <c r="K43" s="99"/>
      <c r="L43" s="22"/>
      <c r="M43" s="60" t="str">
        <f>структура!$M$12</f>
        <v>сценарий-1</v>
      </c>
      <c r="N43" s="22"/>
      <c r="O43" s="197" t="s">
        <v>0</v>
      </c>
      <c r="P43" s="199">
        <f>20%</f>
        <v>0.2</v>
      </c>
      <c r="Q43" s="199">
        <f>20%</f>
        <v>0.2</v>
      </c>
      <c r="R43" s="199">
        <f>20%</f>
        <v>0.2</v>
      </c>
      <c r="S43" s="199">
        <f>20%</f>
        <v>0.2</v>
      </c>
      <c r="T43" s="199">
        <f>20%</f>
        <v>0.2</v>
      </c>
      <c r="U43" s="199">
        <f>20%</f>
        <v>0.2</v>
      </c>
      <c r="V43" s="199">
        <f>20%</f>
        <v>0.2</v>
      </c>
      <c r="W43" s="199">
        <f>20%</f>
        <v>0.2</v>
      </c>
      <c r="X43" s="199">
        <f>20%</f>
        <v>0.2</v>
      </c>
      <c r="Y43" s="199">
        <f>20%</f>
        <v>0.2</v>
      </c>
      <c r="Z43" s="199">
        <f>20%</f>
        <v>0.2</v>
      </c>
      <c r="AA43" s="199">
        <f>20%</f>
        <v>0.2</v>
      </c>
      <c r="AB43" s="22"/>
    </row>
    <row r="44" spans="1:28" s="23" customFormat="1" ht="10.199999999999999" x14ac:dyDescent="0.2">
      <c r="A44" s="22"/>
      <c r="B44" s="22"/>
      <c r="C44" s="22"/>
      <c r="D44" s="22"/>
      <c r="E44" s="22" t="str">
        <f>E40</f>
        <v>конверсия в покупку одной услуги проката</v>
      </c>
      <c r="F44" s="22"/>
      <c r="G44" s="22" t="str">
        <f>IF($E44="","",INDEX(KPI!$G:$G,SUMIFS(KPI!$B:$B,KPI!$E:$E,$E44)))</f>
        <v>%</v>
      </c>
      <c r="H44" s="100">
        <f>структура!$V$15</f>
        <v>4</v>
      </c>
      <c r="I44" s="31"/>
      <c r="J44" s="98" t="str">
        <f>структура!$X$15</f>
        <v>апр</v>
      </c>
      <c r="K44" s="99"/>
      <c r="L44" s="22"/>
      <c r="M44" s="60" t="str">
        <f>структура!$M$12</f>
        <v>сценарий-1</v>
      </c>
      <c r="N44" s="22"/>
      <c r="O44" s="197" t="s">
        <v>0</v>
      </c>
      <c r="P44" s="199">
        <f>20%</f>
        <v>0.2</v>
      </c>
      <c r="Q44" s="199">
        <f>20%</f>
        <v>0.2</v>
      </c>
      <c r="R44" s="199">
        <f>20%</f>
        <v>0.2</v>
      </c>
      <c r="S44" s="199">
        <f>20%</f>
        <v>0.2</v>
      </c>
      <c r="T44" s="199">
        <f>20%</f>
        <v>0.2</v>
      </c>
      <c r="U44" s="199">
        <f>20%</f>
        <v>0.2</v>
      </c>
      <c r="V44" s="199">
        <f>20%</f>
        <v>0.2</v>
      </c>
      <c r="W44" s="199">
        <f>20%</f>
        <v>0.2</v>
      </c>
      <c r="X44" s="199">
        <f>20%</f>
        <v>0.2</v>
      </c>
      <c r="Y44" s="199">
        <f>20%</f>
        <v>0.2</v>
      </c>
      <c r="Z44" s="199">
        <f>20%</f>
        <v>0.2</v>
      </c>
      <c r="AA44" s="199">
        <f>20%</f>
        <v>0.2</v>
      </c>
      <c r="AB44" s="22"/>
    </row>
    <row r="45" spans="1:28" s="23" customFormat="1" ht="10.199999999999999" x14ac:dyDescent="0.2">
      <c r="A45" s="22"/>
      <c r="B45" s="22"/>
      <c r="C45" s="22"/>
      <c r="D45" s="22"/>
      <c r="E45" s="22" t="str">
        <f>E40</f>
        <v>конверсия в покупку одной услуги проката</v>
      </c>
      <c r="F45" s="22"/>
      <c r="G45" s="22" t="str">
        <f>IF($E45="","",INDEX(KPI!$G:$G,SUMIFS(KPI!$B:$B,KPI!$E:$E,$E45)))</f>
        <v>%</v>
      </c>
      <c r="H45" s="100">
        <f>структура!$V$16</f>
        <v>5</v>
      </c>
      <c r="I45" s="31"/>
      <c r="J45" s="98" t="str">
        <f>структура!$X$16</f>
        <v>май</v>
      </c>
      <c r="K45" s="99"/>
      <c r="L45" s="22"/>
      <c r="M45" s="60" t="str">
        <f>структура!$M$12</f>
        <v>сценарий-1</v>
      </c>
      <c r="N45" s="22"/>
      <c r="O45" s="197" t="s">
        <v>0</v>
      </c>
      <c r="P45" s="199">
        <f>40%</f>
        <v>0.4</v>
      </c>
      <c r="Q45" s="199">
        <f>40%</f>
        <v>0.4</v>
      </c>
      <c r="R45" s="199">
        <f>40%</f>
        <v>0.4</v>
      </c>
      <c r="S45" s="199">
        <f>40%</f>
        <v>0.4</v>
      </c>
      <c r="T45" s="199">
        <f>40%</f>
        <v>0.4</v>
      </c>
      <c r="U45" s="199">
        <f>40%</f>
        <v>0.4</v>
      </c>
      <c r="V45" s="199">
        <f>40%</f>
        <v>0.4</v>
      </c>
      <c r="W45" s="199">
        <f>40%</f>
        <v>0.4</v>
      </c>
      <c r="X45" s="199">
        <f>40%</f>
        <v>0.4</v>
      </c>
      <c r="Y45" s="199">
        <f>40%</f>
        <v>0.4</v>
      </c>
      <c r="Z45" s="199">
        <f>40%</f>
        <v>0.4</v>
      </c>
      <c r="AA45" s="199">
        <f>40%</f>
        <v>0.4</v>
      </c>
      <c r="AB45" s="22"/>
    </row>
    <row r="46" spans="1:28" s="23" customFormat="1" ht="10.199999999999999" x14ac:dyDescent="0.2">
      <c r="A46" s="22"/>
      <c r="B46" s="22"/>
      <c r="C46" s="22"/>
      <c r="D46" s="22"/>
      <c r="E46" s="22" t="str">
        <f>E40</f>
        <v>конверсия в покупку одной услуги проката</v>
      </c>
      <c r="F46" s="22"/>
      <c r="G46" s="22" t="str">
        <f>IF($E46="","",INDEX(KPI!$G:$G,SUMIFS(KPI!$B:$B,KPI!$E:$E,$E46)))</f>
        <v>%</v>
      </c>
      <c r="H46" s="100">
        <f>структура!$V$17</f>
        <v>6</v>
      </c>
      <c r="I46" s="31"/>
      <c r="J46" s="98" t="str">
        <f>структура!$X$17</f>
        <v>июн</v>
      </c>
      <c r="K46" s="99"/>
      <c r="L46" s="22"/>
      <c r="M46" s="60" t="str">
        <f>структура!$M$12</f>
        <v>сценарий-1</v>
      </c>
      <c r="N46" s="22"/>
      <c r="O46" s="197" t="s">
        <v>0</v>
      </c>
      <c r="P46" s="199">
        <v>0.4</v>
      </c>
      <c r="Q46" s="199">
        <v>0.4</v>
      </c>
      <c r="R46" s="199">
        <v>0.4</v>
      </c>
      <c r="S46" s="199">
        <v>0.4</v>
      </c>
      <c r="T46" s="199">
        <v>0.4</v>
      </c>
      <c r="U46" s="199">
        <v>0.4</v>
      </c>
      <c r="V46" s="199">
        <v>0.4</v>
      </c>
      <c r="W46" s="199">
        <f>30%</f>
        <v>0.3</v>
      </c>
      <c r="X46" s="199">
        <f>30%</f>
        <v>0.3</v>
      </c>
      <c r="Y46" s="199">
        <f>30%</f>
        <v>0.3</v>
      </c>
      <c r="Z46" s="199">
        <f>30%</f>
        <v>0.3</v>
      </c>
      <c r="AA46" s="199">
        <f>30%</f>
        <v>0.3</v>
      </c>
      <c r="AB46" s="22"/>
    </row>
    <row r="47" spans="1:28" s="23" customFormat="1" ht="10.199999999999999" x14ac:dyDescent="0.2">
      <c r="A47" s="22"/>
      <c r="B47" s="22"/>
      <c r="C47" s="22"/>
      <c r="D47" s="22"/>
      <c r="E47" s="22" t="str">
        <f>E40</f>
        <v>конверсия в покупку одной услуги проката</v>
      </c>
      <c r="F47" s="22"/>
      <c r="G47" s="22" t="str">
        <f>IF($E47="","",INDEX(KPI!$G:$G,SUMIFS(KPI!$B:$B,KPI!$E:$E,$E47)))</f>
        <v>%</v>
      </c>
      <c r="H47" s="100">
        <f>структура!$V$18</f>
        <v>7</v>
      </c>
      <c r="I47" s="31"/>
      <c r="J47" s="98" t="str">
        <f>структура!$X$18</f>
        <v>июл</v>
      </c>
      <c r="K47" s="99"/>
      <c r="L47" s="22"/>
      <c r="M47" s="60" t="str">
        <f>структура!$M$12</f>
        <v>сценарий-1</v>
      </c>
      <c r="N47" s="22"/>
      <c r="O47" s="197" t="s">
        <v>0</v>
      </c>
      <c r="P47" s="199">
        <v>0.4</v>
      </c>
      <c r="Q47" s="199">
        <v>0.4</v>
      </c>
      <c r="R47" s="199">
        <v>0.4</v>
      </c>
      <c r="S47" s="199">
        <v>0.4</v>
      </c>
      <c r="T47" s="199">
        <v>0.4</v>
      </c>
      <c r="U47" s="199">
        <v>0.4</v>
      </c>
      <c r="V47" s="199">
        <v>0.4</v>
      </c>
      <c r="W47" s="199">
        <f>25%</f>
        <v>0.25</v>
      </c>
      <c r="X47" s="199">
        <f>25%</f>
        <v>0.25</v>
      </c>
      <c r="Y47" s="199">
        <f>25%</f>
        <v>0.25</v>
      </c>
      <c r="Z47" s="199">
        <f>25%</f>
        <v>0.25</v>
      </c>
      <c r="AA47" s="199">
        <f>25%</f>
        <v>0.25</v>
      </c>
      <c r="AB47" s="22"/>
    </row>
    <row r="48" spans="1:28" s="23" customFormat="1" ht="10.199999999999999" x14ac:dyDescent="0.2">
      <c r="A48" s="22"/>
      <c r="B48" s="22"/>
      <c r="C48" s="22"/>
      <c r="D48" s="22"/>
      <c r="E48" s="22" t="str">
        <f>E40</f>
        <v>конверсия в покупку одной услуги проката</v>
      </c>
      <c r="F48" s="22"/>
      <c r="G48" s="22" t="str">
        <f>IF($E48="","",INDEX(KPI!$G:$G,SUMIFS(KPI!$B:$B,KPI!$E:$E,$E48)))</f>
        <v>%</v>
      </c>
      <c r="H48" s="100">
        <f>структура!$V$19</f>
        <v>8</v>
      </c>
      <c r="I48" s="31"/>
      <c r="J48" s="98" t="str">
        <f>структура!$X$19</f>
        <v>авг</v>
      </c>
      <c r="K48" s="99"/>
      <c r="L48" s="22"/>
      <c r="M48" s="60" t="str">
        <f>структура!$M$12</f>
        <v>сценарий-1</v>
      </c>
      <c r="N48" s="22"/>
      <c r="O48" s="197" t="s">
        <v>0</v>
      </c>
      <c r="P48" s="199">
        <v>0.4</v>
      </c>
      <c r="Q48" s="199">
        <v>0.4</v>
      </c>
      <c r="R48" s="199">
        <v>0.4</v>
      </c>
      <c r="S48" s="199">
        <v>0.4</v>
      </c>
      <c r="T48" s="199">
        <v>0.4</v>
      </c>
      <c r="U48" s="199">
        <v>0.4</v>
      </c>
      <c r="V48" s="199">
        <v>0.4</v>
      </c>
      <c r="W48" s="199">
        <f>15%</f>
        <v>0.15</v>
      </c>
      <c r="X48" s="199">
        <f>15%</f>
        <v>0.15</v>
      </c>
      <c r="Y48" s="199">
        <f>15%</f>
        <v>0.15</v>
      </c>
      <c r="Z48" s="199">
        <f>15%</f>
        <v>0.15</v>
      </c>
      <c r="AA48" s="199">
        <f>15%</f>
        <v>0.15</v>
      </c>
      <c r="AB48" s="22"/>
    </row>
    <row r="49" spans="1:28" s="23" customFormat="1" ht="10.199999999999999" x14ac:dyDescent="0.2">
      <c r="A49" s="22"/>
      <c r="B49" s="22"/>
      <c r="C49" s="22"/>
      <c r="D49" s="22"/>
      <c r="E49" s="22" t="str">
        <f>E40</f>
        <v>конверсия в покупку одной услуги проката</v>
      </c>
      <c r="F49" s="22"/>
      <c r="G49" s="22" t="str">
        <f>IF($E49="","",INDEX(KPI!$G:$G,SUMIFS(KPI!$B:$B,KPI!$E:$E,$E49)))</f>
        <v>%</v>
      </c>
      <c r="H49" s="100">
        <f>структура!$V$20</f>
        <v>9</v>
      </c>
      <c r="I49" s="31"/>
      <c r="J49" s="98" t="str">
        <f>структура!$X$20</f>
        <v>сен</v>
      </c>
      <c r="K49" s="99"/>
      <c r="L49" s="22"/>
      <c r="M49" s="60" t="str">
        <f>структура!$M$12</f>
        <v>сценарий-1</v>
      </c>
      <c r="N49" s="22"/>
      <c r="O49" s="197" t="s">
        <v>0</v>
      </c>
      <c r="P49" s="199">
        <v>0.25</v>
      </c>
      <c r="Q49" s="199">
        <v>0.25</v>
      </c>
      <c r="R49" s="199">
        <v>0.25</v>
      </c>
      <c r="S49" s="199">
        <v>0.25</v>
      </c>
      <c r="T49" s="199">
        <v>0.25</v>
      </c>
      <c r="U49" s="199">
        <v>0.25</v>
      </c>
      <c r="V49" s="199">
        <v>0.25</v>
      </c>
      <c r="W49" s="199">
        <f>15%</f>
        <v>0.15</v>
      </c>
      <c r="X49" s="199">
        <f>15%</f>
        <v>0.15</v>
      </c>
      <c r="Y49" s="199">
        <f>15%</f>
        <v>0.15</v>
      </c>
      <c r="Z49" s="199">
        <f>15%</f>
        <v>0.15</v>
      </c>
      <c r="AA49" s="199">
        <f>15%</f>
        <v>0.15</v>
      </c>
      <c r="AB49" s="22"/>
    </row>
    <row r="50" spans="1:28" s="23" customFormat="1" ht="10.199999999999999" x14ac:dyDescent="0.2">
      <c r="A50" s="22"/>
      <c r="B50" s="22"/>
      <c r="C50" s="22"/>
      <c r="D50" s="22"/>
      <c r="E50" s="22" t="str">
        <f>E40</f>
        <v>конверсия в покупку одной услуги проката</v>
      </c>
      <c r="F50" s="22"/>
      <c r="G50" s="22" t="str">
        <f>IF($E50="","",INDEX(KPI!$G:$G,SUMIFS(KPI!$B:$B,KPI!$E:$E,$E50)))</f>
        <v>%</v>
      </c>
      <c r="H50" s="100">
        <f>структура!$V$21</f>
        <v>10</v>
      </c>
      <c r="I50" s="31"/>
      <c r="J50" s="98" t="str">
        <f>структура!$X$21</f>
        <v>окт</v>
      </c>
      <c r="K50" s="99"/>
      <c r="L50" s="22"/>
      <c r="M50" s="60" t="str">
        <f>структура!$M$12</f>
        <v>сценарий-1</v>
      </c>
      <c r="N50" s="22"/>
      <c r="O50" s="197" t="s">
        <v>0</v>
      </c>
      <c r="P50" s="199">
        <f>25%</f>
        <v>0.25</v>
      </c>
      <c r="Q50" s="199">
        <f>25%</f>
        <v>0.25</v>
      </c>
      <c r="R50" s="199">
        <f>25%</f>
        <v>0.25</v>
      </c>
      <c r="S50" s="199">
        <f>25%</f>
        <v>0.25</v>
      </c>
      <c r="T50" s="199">
        <f>25%</f>
        <v>0.25</v>
      </c>
      <c r="U50" s="199">
        <f>25%</f>
        <v>0.25</v>
      </c>
      <c r="V50" s="199">
        <f>25%</f>
        <v>0.25</v>
      </c>
      <c r="W50" s="199">
        <f>25%</f>
        <v>0.25</v>
      </c>
      <c r="X50" s="199">
        <f>25%</f>
        <v>0.25</v>
      </c>
      <c r="Y50" s="199">
        <f>25%</f>
        <v>0.25</v>
      </c>
      <c r="Z50" s="199">
        <f>25%</f>
        <v>0.25</v>
      </c>
      <c r="AA50" s="199">
        <f>25%</f>
        <v>0.25</v>
      </c>
      <c r="AB50" s="22"/>
    </row>
    <row r="51" spans="1:28" s="23" customFormat="1" ht="10.199999999999999" x14ac:dyDescent="0.2">
      <c r="A51" s="22"/>
      <c r="B51" s="22"/>
      <c r="C51" s="22"/>
      <c r="D51" s="22"/>
      <c r="E51" s="22" t="str">
        <f>E40</f>
        <v>конверсия в покупку одной услуги проката</v>
      </c>
      <c r="F51" s="22"/>
      <c r="G51" s="22" t="str">
        <f>IF($E51="","",INDEX(KPI!$G:$G,SUMIFS(KPI!$B:$B,KPI!$E:$E,$E51)))</f>
        <v>%</v>
      </c>
      <c r="H51" s="100">
        <f>структура!$V$22</f>
        <v>11</v>
      </c>
      <c r="I51" s="31"/>
      <c r="J51" s="98" t="str">
        <f>структура!$X$22</f>
        <v>ноя</v>
      </c>
      <c r="K51" s="99"/>
      <c r="L51" s="22"/>
      <c r="M51" s="60" t="str">
        <f>структура!$M$12</f>
        <v>сценарий-1</v>
      </c>
      <c r="N51" s="22"/>
      <c r="O51" s="197" t="s">
        <v>0</v>
      </c>
      <c r="P51" s="199">
        <v>0.2</v>
      </c>
      <c r="Q51" s="199">
        <v>0.2</v>
      </c>
      <c r="R51" s="199">
        <v>0.2</v>
      </c>
      <c r="S51" s="199">
        <v>0.2</v>
      </c>
      <c r="T51" s="199">
        <v>0.2</v>
      </c>
      <c r="U51" s="199">
        <v>0.2</v>
      </c>
      <c r="V51" s="199">
        <v>0.2</v>
      </c>
      <c r="W51" s="199">
        <f>40%</f>
        <v>0.4</v>
      </c>
      <c r="X51" s="199">
        <f>40%</f>
        <v>0.4</v>
      </c>
      <c r="Y51" s="199">
        <f>40%</f>
        <v>0.4</v>
      </c>
      <c r="Z51" s="199">
        <f>40%</f>
        <v>0.4</v>
      </c>
      <c r="AA51" s="199">
        <f>40%</f>
        <v>0.4</v>
      </c>
      <c r="AB51" s="22"/>
    </row>
    <row r="52" spans="1:28" s="23" customFormat="1" ht="10.199999999999999" x14ac:dyDescent="0.2">
      <c r="A52" s="22"/>
      <c r="B52" s="22"/>
      <c r="C52" s="22"/>
      <c r="D52" s="22"/>
      <c r="E52" s="22" t="str">
        <f>E40</f>
        <v>конверсия в покупку одной услуги проката</v>
      </c>
      <c r="F52" s="22"/>
      <c r="G52" s="22" t="str">
        <f>IF($E52="","",INDEX(KPI!$G:$G,SUMIFS(KPI!$B:$B,KPI!$E:$E,$E52)))</f>
        <v>%</v>
      </c>
      <c r="H52" s="100">
        <f>структура!$V$23</f>
        <v>12</v>
      </c>
      <c r="I52" s="31"/>
      <c r="J52" s="98" t="str">
        <f>структура!$X$23</f>
        <v>дек</v>
      </c>
      <c r="K52" s="99"/>
      <c r="L52" s="22"/>
      <c r="M52" s="60" t="str">
        <f>структура!$M$12</f>
        <v>сценарий-1</v>
      </c>
      <c r="N52" s="22"/>
      <c r="O52" s="197" t="s">
        <v>0</v>
      </c>
      <c r="P52" s="199">
        <v>0.3</v>
      </c>
      <c r="Q52" s="199">
        <v>0.3</v>
      </c>
      <c r="R52" s="199">
        <v>0.3</v>
      </c>
      <c r="S52" s="199">
        <v>0.3</v>
      </c>
      <c r="T52" s="199">
        <v>0.3</v>
      </c>
      <c r="U52" s="199">
        <v>0.3</v>
      </c>
      <c r="V52" s="199">
        <v>0.3</v>
      </c>
      <c r="W52" s="199">
        <f>60%</f>
        <v>0.6</v>
      </c>
      <c r="X52" s="199">
        <f>60%</f>
        <v>0.6</v>
      </c>
      <c r="Y52" s="199">
        <f>60%</f>
        <v>0.6</v>
      </c>
      <c r="Z52" s="199">
        <f>60%</f>
        <v>0.6</v>
      </c>
      <c r="AA52" s="199">
        <f>60%</f>
        <v>0.6</v>
      </c>
      <c r="AB52" s="22"/>
    </row>
    <row r="53" spans="1:28" ht="3.9" customHeight="1" x14ac:dyDescent="0.25">
      <c r="A53" s="2"/>
      <c r="B53" s="2"/>
      <c r="C53" s="2"/>
      <c r="D53" s="2"/>
      <c r="E53" s="21"/>
      <c r="F53" s="2"/>
      <c r="G53" s="21"/>
      <c r="H53" s="2"/>
      <c r="I53" s="28"/>
      <c r="J53" s="21"/>
      <c r="K53" s="28"/>
      <c r="L53" s="2"/>
      <c r="M53" s="201"/>
      <c r="N53" s="2"/>
      <c r="O53" s="196"/>
      <c r="P53" s="36"/>
      <c r="Q53" s="36"/>
      <c r="R53" s="36"/>
      <c r="S53" s="36"/>
      <c r="T53" s="36"/>
      <c r="U53" s="36"/>
      <c r="V53" s="36"/>
      <c r="W53" s="36"/>
      <c r="X53" s="36"/>
      <c r="Y53" s="36"/>
      <c r="Z53" s="36"/>
      <c r="AA53" s="36"/>
      <c r="AB53" s="2"/>
    </row>
    <row r="54" spans="1:28" ht="8.1" customHeight="1" x14ac:dyDescent="0.25">
      <c r="A54" s="2"/>
      <c r="B54" s="2"/>
      <c r="C54" s="2"/>
      <c r="D54" s="2"/>
      <c r="E54" s="2"/>
      <c r="F54" s="2"/>
      <c r="G54" s="2"/>
      <c r="H54" s="2"/>
      <c r="I54" s="28"/>
      <c r="J54" s="2"/>
      <c r="K54" s="28"/>
      <c r="L54" s="2"/>
      <c r="M54" s="52"/>
      <c r="N54" s="2"/>
      <c r="O54" s="196"/>
      <c r="P54" s="36"/>
      <c r="Q54" s="36"/>
      <c r="R54" s="36"/>
      <c r="S54" s="36"/>
      <c r="T54" s="36"/>
      <c r="U54" s="36"/>
      <c r="V54" s="36"/>
      <c r="W54" s="36"/>
      <c r="X54" s="36"/>
      <c r="Y54" s="36"/>
      <c r="Z54" s="36"/>
      <c r="AA54" s="36"/>
      <c r="AB54" s="2"/>
    </row>
    <row r="55" spans="1:28" ht="8.1" customHeight="1" x14ac:dyDescent="0.25">
      <c r="A55" s="2"/>
      <c r="B55" s="2"/>
      <c r="C55" s="2"/>
      <c r="D55" s="2"/>
      <c r="E55" s="2"/>
      <c r="F55" s="2"/>
      <c r="G55" s="2"/>
      <c r="H55" s="2"/>
      <c r="I55" s="28"/>
      <c r="J55" s="2"/>
      <c r="K55" s="28"/>
      <c r="L55" s="2"/>
      <c r="M55" s="52"/>
      <c r="N55" s="2"/>
      <c r="O55" s="196"/>
      <c r="P55" s="36"/>
      <c r="Q55" s="36"/>
      <c r="R55" s="36"/>
      <c r="S55" s="36"/>
      <c r="T55" s="36"/>
      <c r="U55" s="36"/>
      <c r="V55" s="36"/>
      <c r="W55" s="36"/>
      <c r="X55" s="36"/>
      <c r="Y55" s="36"/>
      <c r="Z55" s="36"/>
      <c r="AA55" s="36"/>
      <c r="AB55" s="2"/>
    </row>
    <row r="56" spans="1:28" s="5" customFormat="1" x14ac:dyDescent="0.25">
      <c r="A56" s="3"/>
      <c r="B56" s="3"/>
      <c r="C56" s="3"/>
      <c r="D56" s="3"/>
      <c r="E56" s="3" t="str">
        <f>KPI!$E$31</f>
        <v>наполняемость арендаторами</v>
      </c>
      <c r="F56" s="3"/>
      <c r="G56" s="3" t="str">
        <f>IF($E56="","",INDEX(KPI!$G:$G,SUMIFS(KPI!$B:$B,KPI!$E:$E,$E56)))</f>
        <v>%</v>
      </c>
      <c r="H56" s="3"/>
      <c r="I56" s="28"/>
      <c r="J56" s="44"/>
      <c r="K56" s="28"/>
      <c r="L56" s="3"/>
      <c r="M56" s="202" t="str">
        <f>структура!$M$13</f>
        <v>сценарий-2</v>
      </c>
      <c r="N56" s="3"/>
      <c r="O56" s="32"/>
      <c r="P56" s="104"/>
      <c r="Q56" s="46"/>
      <c r="R56" s="46"/>
      <c r="S56" s="46"/>
      <c r="T56" s="46"/>
      <c r="U56" s="46"/>
      <c r="V56" s="46"/>
      <c r="W56" s="46"/>
      <c r="X56" s="46"/>
      <c r="Y56" s="46"/>
      <c r="Z56" s="46"/>
      <c r="AA56" s="46"/>
      <c r="AB56" s="3"/>
    </row>
    <row r="57" spans="1:28" s="23" customFormat="1" ht="10.199999999999999" x14ac:dyDescent="0.2">
      <c r="A57" s="22"/>
      <c r="B57" s="22"/>
      <c r="C57" s="22"/>
      <c r="D57" s="22"/>
      <c r="E57" s="22" t="str">
        <f>E56</f>
        <v>наполняемость арендаторами</v>
      </c>
      <c r="F57" s="22"/>
      <c r="G57" s="22" t="str">
        <f>IF($E57="","",INDEX(KPI!$G:$G,SUMIFS(KPI!$B:$B,KPI!$E:$E,$E57)))</f>
        <v>%</v>
      </c>
      <c r="H57" s="100">
        <f>структура!$V$12</f>
        <v>1</v>
      </c>
      <c r="I57" s="31"/>
      <c r="J57" s="98" t="str">
        <f>структура!$X$12</f>
        <v>янв</v>
      </c>
      <c r="K57" s="99"/>
      <c r="L57" s="22"/>
      <c r="M57" s="60" t="str">
        <f>структура!$M$13</f>
        <v>сценарий-2</v>
      </c>
      <c r="N57" s="22"/>
      <c r="O57" s="197" t="s">
        <v>0</v>
      </c>
      <c r="P57" s="199">
        <f>40%</f>
        <v>0.4</v>
      </c>
      <c r="Q57" s="199">
        <f>40%</f>
        <v>0.4</v>
      </c>
      <c r="R57" s="199">
        <f>40%</f>
        <v>0.4</v>
      </c>
      <c r="S57" s="199">
        <f>40%</f>
        <v>0.4</v>
      </c>
      <c r="T57" s="199">
        <f>40%</f>
        <v>0.4</v>
      </c>
      <c r="U57" s="199">
        <f>40%</f>
        <v>0.4</v>
      </c>
      <c r="V57" s="199">
        <f>40%</f>
        <v>0.4</v>
      </c>
      <c r="W57" s="199">
        <f>40%</f>
        <v>0.4</v>
      </c>
      <c r="X57" s="199">
        <f>40%</f>
        <v>0.4</v>
      </c>
      <c r="Y57" s="199">
        <f>40%</f>
        <v>0.4</v>
      </c>
      <c r="Z57" s="199">
        <f>40%</f>
        <v>0.4</v>
      </c>
      <c r="AA57" s="199">
        <f>40%</f>
        <v>0.4</v>
      </c>
      <c r="AB57" s="22"/>
    </row>
    <row r="58" spans="1:28" s="23" customFormat="1" ht="10.199999999999999" x14ac:dyDescent="0.2">
      <c r="A58" s="22"/>
      <c r="B58" s="22"/>
      <c r="C58" s="22"/>
      <c r="D58" s="22"/>
      <c r="E58" s="22" t="str">
        <f>E56</f>
        <v>наполняемость арендаторами</v>
      </c>
      <c r="F58" s="22"/>
      <c r="G58" s="22" t="str">
        <f>IF($E58="","",INDEX(KPI!$G:$G,SUMIFS(KPI!$B:$B,KPI!$E:$E,$E58)))</f>
        <v>%</v>
      </c>
      <c r="H58" s="100">
        <f>структура!$V$13</f>
        <v>2</v>
      </c>
      <c r="I58" s="31"/>
      <c r="J58" s="98" t="str">
        <f>структура!$X$13</f>
        <v>фев</v>
      </c>
      <c r="K58" s="99"/>
      <c r="L58" s="22"/>
      <c r="M58" s="60" t="str">
        <f>структура!$M$13</f>
        <v>сценарий-2</v>
      </c>
      <c r="N58" s="22"/>
      <c r="O58" s="197" t="s">
        <v>0</v>
      </c>
      <c r="P58" s="199">
        <f>40%</f>
        <v>0.4</v>
      </c>
      <c r="Q58" s="199">
        <f>40%</f>
        <v>0.4</v>
      </c>
      <c r="R58" s="199">
        <f>40%</f>
        <v>0.4</v>
      </c>
      <c r="S58" s="199">
        <f>40%</f>
        <v>0.4</v>
      </c>
      <c r="T58" s="199">
        <f>40%</f>
        <v>0.4</v>
      </c>
      <c r="U58" s="199">
        <f>40%</f>
        <v>0.4</v>
      </c>
      <c r="V58" s="199">
        <f>40%</f>
        <v>0.4</v>
      </c>
      <c r="W58" s="199">
        <f>40%</f>
        <v>0.4</v>
      </c>
      <c r="X58" s="199">
        <f>40%</f>
        <v>0.4</v>
      </c>
      <c r="Y58" s="199">
        <f>40%</f>
        <v>0.4</v>
      </c>
      <c r="Z58" s="199">
        <f>40%</f>
        <v>0.4</v>
      </c>
      <c r="AA58" s="199">
        <f>40%</f>
        <v>0.4</v>
      </c>
      <c r="AB58" s="22"/>
    </row>
    <row r="59" spans="1:28" s="23" customFormat="1" ht="10.199999999999999" x14ac:dyDescent="0.2">
      <c r="A59" s="22"/>
      <c r="B59" s="22"/>
      <c r="C59" s="22"/>
      <c r="D59" s="22"/>
      <c r="E59" s="22" t="str">
        <f>E56</f>
        <v>наполняемость арендаторами</v>
      </c>
      <c r="F59" s="22"/>
      <c r="G59" s="22" t="str">
        <f>IF($E59="","",INDEX(KPI!$G:$G,SUMIFS(KPI!$B:$B,KPI!$E:$E,$E59)))</f>
        <v>%</v>
      </c>
      <c r="H59" s="100">
        <f>структура!$V$14</f>
        <v>3</v>
      </c>
      <c r="I59" s="31"/>
      <c r="J59" s="98" t="str">
        <f>структура!$X$14</f>
        <v>мар</v>
      </c>
      <c r="K59" s="99"/>
      <c r="L59" s="22"/>
      <c r="M59" s="60" t="str">
        <f>структура!$M$13</f>
        <v>сценарий-2</v>
      </c>
      <c r="N59" s="22"/>
      <c r="O59" s="197" t="s">
        <v>0</v>
      </c>
      <c r="P59" s="199">
        <f>40%</f>
        <v>0.4</v>
      </c>
      <c r="Q59" s="199">
        <f>40%</f>
        <v>0.4</v>
      </c>
      <c r="R59" s="199">
        <f>40%</f>
        <v>0.4</v>
      </c>
      <c r="S59" s="199">
        <f>40%</f>
        <v>0.4</v>
      </c>
      <c r="T59" s="199">
        <f>40%</f>
        <v>0.4</v>
      </c>
      <c r="U59" s="199">
        <f>40%</f>
        <v>0.4</v>
      </c>
      <c r="V59" s="199">
        <f>40%</f>
        <v>0.4</v>
      </c>
      <c r="W59" s="199">
        <f>40%</f>
        <v>0.4</v>
      </c>
      <c r="X59" s="199">
        <f>40%</f>
        <v>0.4</v>
      </c>
      <c r="Y59" s="199">
        <f>40%</f>
        <v>0.4</v>
      </c>
      <c r="Z59" s="199">
        <f>40%</f>
        <v>0.4</v>
      </c>
      <c r="AA59" s="199">
        <f>40%</f>
        <v>0.4</v>
      </c>
      <c r="AB59" s="22"/>
    </row>
    <row r="60" spans="1:28" s="23" customFormat="1" ht="10.199999999999999" x14ac:dyDescent="0.2">
      <c r="A60" s="22"/>
      <c r="B60" s="22"/>
      <c r="C60" s="22"/>
      <c r="D60" s="22"/>
      <c r="E60" s="22" t="str">
        <f>E56</f>
        <v>наполняемость арендаторами</v>
      </c>
      <c r="F60" s="22"/>
      <c r="G60" s="22" t="str">
        <f>IF($E60="","",INDEX(KPI!$G:$G,SUMIFS(KPI!$B:$B,KPI!$E:$E,$E60)))</f>
        <v>%</v>
      </c>
      <c r="H60" s="100">
        <f>структура!$V$15</f>
        <v>4</v>
      </c>
      <c r="I60" s="31"/>
      <c r="J60" s="98" t="str">
        <f>структура!$X$15</f>
        <v>апр</v>
      </c>
      <c r="K60" s="99"/>
      <c r="L60" s="22"/>
      <c r="M60" s="60" t="str">
        <f>структура!$M$13</f>
        <v>сценарий-2</v>
      </c>
      <c r="N60" s="22"/>
      <c r="O60" s="197" t="s">
        <v>0</v>
      </c>
      <c r="P60" s="199">
        <f>40%</f>
        <v>0.4</v>
      </c>
      <c r="Q60" s="199">
        <f>40%</f>
        <v>0.4</v>
      </c>
      <c r="R60" s="199">
        <f>40%</f>
        <v>0.4</v>
      </c>
      <c r="S60" s="199">
        <f>40%</f>
        <v>0.4</v>
      </c>
      <c r="T60" s="199">
        <f>40%</f>
        <v>0.4</v>
      </c>
      <c r="U60" s="199">
        <f>40%</f>
        <v>0.4</v>
      </c>
      <c r="V60" s="199">
        <f>40%</f>
        <v>0.4</v>
      </c>
      <c r="W60" s="199">
        <f>40%</f>
        <v>0.4</v>
      </c>
      <c r="X60" s="199">
        <f>40%</f>
        <v>0.4</v>
      </c>
      <c r="Y60" s="199">
        <f>40%</f>
        <v>0.4</v>
      </c>
      <c r="Z60" s="199">
        <f>40%</f>
        <v>0.4</v>
      </c>
      <c r="AA60" s="199">
        <f>40%</f>
        <v>0.4</v>
      </c>
      <c r="AB60" s="22"/>
    </row>
    <row r="61" spans="1:28" s="23" customFormat="1" ht="10.199999999999999" x14ac:dyDescent="0.2">
      <c r="A61" s="22"/>
      <c r="B61" s="22"/>
      <c r="C61" s="22"/>
      <c r="D61" s="22"/>
      <c r="E61" s="22" t="str">
        <f>E56</f>
        <v>наполняемость арендаторами</v>
      </c>
      <c r="F61" s="22"/>
      <c r="G61" s="22" t="str">
        <f>IF($E61="","",INDEX(KPI!$G:$G,SUMIFS(KPI!$B:$B,KPI!$E:$E,$E61)))</f>
        <v>%</v>
      </c>
      <c r="H61" s="100">
        <f>структура!$V$16</f>
        <v>5</v>
      </c>
      <c r="I61" s="31"/>
      <c r="J61" s="98" t="str">
        <f>структура!$X$16</f>
        <v>май</v>
      </c>
      <c r="K61" s="99"/>
      <c r="L61" s="22"/>
      <c r="M61" s="60" t="str">
        <f>структура!$M$13</f>
        <v>сценарий-2</v>
      </c>
      <c r="N61" s="22"/>
      <c r="O61" s="197" t="s">
        <v>0</v>
      </c>
      <c r="P61" s="199">
        <f>40%</f>
        <v>0.4</v>
      </c>
      <c r="Q61" s="199">
        <f>40%</f>
        <v>0.4</v>
      </c>
      <c r="R61" s="199">
        <f>40%</f>
        <v>0.4</v>
      </c>
      <c r="S61" s="199">
        <f>40%</f>
        <v>0.4</v>
      </c>
      <c r="T61" s="199">
        <f>40%</f>
        <v>0.4</v>
      </c>
      <c r="U61" s="199">
        <f>40%</f>
        <v>0.4</v>
      </c>
      <c r="V61" s="199">
        <f>40%</f>
        <v>0.4</v>
      </c>
      <c r="W61" s="199">
        <f>40%</f>
        <v>0.4</v>
      </c>
      <c r="X61" s="199">
        <f>40%</f>
        <v>0.4</v>
      </c>
      <c r="Y61" s="199">
        <f>40%</f>
        <v>0.4</v>
      </c>
      <c r="Z61" s="199">
        <f>40%</f>
        <v>0.4</v>
      </c>
      <c r="AA61" s="199">
        <f>40%</f>
        <v>0.4</v>
      </c>
      <c r="AB61" s="22"/>
    </row>
    <row r="62" spans="1:28" s="23" customFormat="1" ht="10.199999999999999" x14ac:dyDescent="0.2">
      <c r="A62" s="22"/>
      <c r="B62" s="22"/>
      <c r="C62" s="22"/>
      <c r="D62" s="22"/>
      <c r="E62" s="22" t="str">
        <f>E56</f>
        <v>наполняемость арендаторами</v>
      </c>
      <c r="F62" s="22"/>
      <c r="G62" s="22" t="str">
        <f>IF($E62="","",INDEX(KPI!$G:$G,SUMIFS(KPI!$B:$B,KPI!$E:$E,$E62)))</f>
        <v>%</v>
      </c>
      <c r="H62" s="100">
        <f>структура!$V$17</f>
        <v>6</v>
      </c>
      <c r="I62" s="31"/>
      <c r="J62" s="98" t="str">
        <f>структура!$X$17</f>
        <v>июн</v>
      </c>
      <c r="K62" s="99"/>
      <c r="L62" s="22"/>
      <c r="M62" s="60" t="str">
        <f>структура!$M$13</f>
        <v>сценарий-2</v>
      </c>
      <c r="N62" s="22"/>
      <c r="O62" s="197" t="s">
        <v>0</v>
      </c>
      <c r="P62" s="199">
        <f>40%</f>
        <v>0.4</v>
      </c>
      <c r="Q62" s="199">
        <f>40%</f>
        <v>0.4</v>
      </c>
      <c r="R62" s="199">
        <f>40%</f>
        <v>0.4</v>
      </c>
      <c r="S62" s="199">
        <f>40%</f>
        <v>0.4</v>
      </c>
      <c r="T62" s="199">
        <f>40%</f>
        <v>0.4</v>
      </c>
      <c r="U62" s="199">
        <f>40%</f>
        <v>0.4</v>
      </c>
      <c r="V62" s="199">
        <f>40%</f>
        <v>0.4</v>
      </c>
      <c r="W62" s="199">
        <f>40%</f>
        <v>0.4</v>
      </c>
      <c r="X62" s="199">
        <f>40%</f>
        <v>0.4</v>
      </c>
      <c r="Y62" s="199">
        <f>40%</f>
        <v>0.4</v>
      </c>
      <c r="Z62" s="199">
        <f>40%</f>
        <v>0.4</v>
      </c>
      <c r="AA62" s="199">
        <f>40%</f>
        <v>0.4</v>
      </c>
      <c r="AB62" s="22"/>
    </row>
    <row r="63" spans="1:28" s="23" customFormat="1" ht="10.199999999999999" x14ac:dyDescent="0.2">
      <c r="A63" s="22"/>
      <c r="B63" s="22"/>
      <c r="C63" s="22"/>
      <c r="D63" s="22"/>
      <c r="E63" s="22" t="str">
        <f>E56</f>
        <v>наполняемость арендаторами</v>
      </c>
      <c r="F63" s="22"/>
      <c r="G63" s="22" t="str">
        <f>IF($E63="","",INDEX(KPI!$G:$G,SUMIFS(KPI!$B:$B,KPI!$E:$E,$E63)))</f>
        <v>%</v>
      </c>
      <c r="H63" s="100">
        <f>структура!$V$18</f>
        <v>7</v>
      </c>
      <c r="I63" s="31"/>
      <c r="J63" s="98" t="str">
        <f>структура!$X$18</f>
        <v>июл</v>
      </c>
      <c r="K63" s="99"/>
      <c r="L63" s="22"/>
      <c r="M63" s="60" t="str">
        <f>структура!$M$13</f>
        <v>сценарий-2</v>
      </c>
      <c r="N63" s="22"/>
      <c r="O63" s="197" t="s">
        <v>0</v>
      </c>
      <c r="P63" s="199">
        <f>40%</f>
        <v>0.4</v>
      </c>
      <c r="Q63" s="199">
        <f>40%</f>
        <v>0.4</v>
      </c>
      <c r="R63" s="199">
        <f>40%</f>
        <v>0.4</v>
      </c>
      <c r="S63" s="199">
        <f>40%</f>
        <v>0.4</v>
      </c>
      <c r="T63" s="199">
        <f>40%</f>
        <v>0.4</v>
      </c>
      <c r="U63" s="199">
        <f>40%</f>
        <v>0.4</v>
      </c>
      <c r="V63" s="199">
        <f>40%</f>
        <v>0.4</v>
      </c>
      <c r="W63" s="199">
        <f>40%</f>
        <v>0.4</v>
      </c>
      <c r="X63" s="199">
        <f>40%</f>
        <v>0.4</v>
      </c>
      <c r="Y63" s="199">
        <f>40%</f>
        <v>0.4</v>
      </c>
      <c r="Z63" s="199">
        <f>40%</f>
        <v>0.4</v>
      </c>
      <c r="AA63" s="199">
        <f>40%</f>
        <v>0.4</v>
      </c>
      <c r="AB63" s="22"/>
    </row>
    <row r="64" spans="1:28" s="23" customFormat="1" ht="10.199999999999999" x14ac:dyDescent="0.2">
      <c r="A64" s="22"/>
      <c r="B64" s="22"/>
      <c r="C64" s="22"/>
      <c r="D64" s="22"/>
      <c r="E64" s="22" t="str">
        <f>E56</f>
        <v>наполняемость арендаторами</v>
      </c>
      <c r="F64" s="22"/>
      <c r="G64" s="22" t="str">
        <f>IF($E64="","",INDEX(KPI!$G:$G,SUMIFS(KPI!$B:$B,KPI!$E:$E,$E64)))</f>
        <v>%</v>
      </c>
      <c r="H64" s="100">
        <f>структура!$V$19</f>
        <v>8</v>
      </c>
      <c r="I64" s="31"/>
      <c r="J64" s="98" t="str">
        <f>структура!$X$19</f>
        <v>авг</v>
      </c>
      <c r="K64" s="99"/>
      <c r="L64" s="22"/>
      <c r="M64" s="60" t="str">
        <f>структура!$M$13</f>
        <v>сценарий-2</v>
      </c>
      <c r="N64" s="22"/>
      <c r="O64" s="197" t="s">
        <v>0</v>
      </c>
      <c r="P64" s="199">
        <f>40%</f>
        <v>0.4</v>
      </c>
      <c r="Q64" s="199">
        <f>40%</f>
        <v>0.4</v>
      </c>
      <c r="R64" s="199">
        <f>40%</f>
        <v>0.4</v>
      </c>
      <c r="S64" s="199">
        <f>40%</f>
        <v>0.4</v>
      </c>
      <c r="T64" s="199">
        <f>40%</f>
        <v>0.4</v>
      </c>
      <c r="U64" s="199">
        <f>40%</f>
        <v>0.4</v>
      </c>
      <c r="V64" s="199">
        <f>40%</f>
        <v>0.4</v>
      </c>
      <c r="W64" s="199">
        <f>40%</f>
        <v>0.4</v>
      </c>
      <c r="X64" s="199">
        <f>40%</f>
        <v>0.4</v>
      </c>
      <c r="Y64" s="199">
        <f>40%</f>
        <v>0.4</v>
      </c>
      <c r="Z64" s="199">
        <f>40%</f>
        <v>0.4</v>
      </c>
      <c r="AA64" s="199">
        <f>40%</f>
        <v>0.4</v>
      </c>
      <c r="AB64" s="22"/>
    </row>
    <row r="65" spans="1:28" s="23" customFormat="1" ht="10.199999999999999" x14ac:dyDescent="0.2">
      <c r="A65" s="22"/>
      <c r="B65" s="22"/>
      <c r="C65" s="22"/>
      <c r="D65" s="22"/>
      <c r="E65" s="22" t="str">
        <f>E56</f>
        <v>наполняемость арендаторами</v>
      </c>
      <c r="F65" s="22"/>
      <c r="G65" s="22" t="str">
        <f>IF($E65="","",INDEX(KPI!$G:$G,SUMIFS(KPI!$B:$B,KPI!$E:$E,$E65)))</f>
        <v>%</v>
      </c>
      <c r="H65" s="100">
        <f>структура!$V$20</f>
        <v>9</v>
      </c>
      <c r="I65" s="31"/>
      <c r="J65" s="98" t="str">
        <f>структура!$X$20</f>
        <v>сен</v>
      </c>
      <c r="K65" s="99"/>
      <c r="L65" s="22"/>
      <c r="M65" s="60" t="str">
        <f>структура!$M$13</f>
        <v>сценарий-2</v>
      </c>
      <c r="N65" s="22"/>
      <c r="O65" s="197" t="s">
        <v>0</v>
      </c>
      <c r="P65" s="199">
        <f>40%</f>
        <v>0.4</v>
      </c>
      <c r="Q65" s="199">
        <f>40%</f>
        <v>0.4</v>
      </c>
      <c r="R65" s="199">
        <f>40%</f>
        <v>0.4</v>
      </c>
      <c r="S65" s="199">
        <f>40%</f>
        <v>0.4</v>
      </c>
      <c r="T65" s="199">
        <f>40%</f>
        <v>0.4</v>
      </c>
      <c r="U65" s="199">
        <f>40%</f>
        <v>0.4</v>
      </c>
      <c r="V65" s="199">
        <f>40%</f>
        <v>0.4</v>
      </c>
      <c r="W65" s="199">
        <f>40%</f>
        <v>0.4</v>
      </c>
      <c r="X65" s="199">
        <f>40%</f>
        <v>0.4</v>
      </c>
      <c r="Y65" s="199">
        <f>40%</f>
        <v>0.4</v>
      </c>
      <c r="Z65" s="199">
        <f>40%</f>
        <v>0.4</v>
      </c>
      <c r="AA65" s="199">
        <f>40%</f>
        <v>0.4</v>
      </c>
      <c r="AB65" s="22"/>
    </row>
    <row r="66" spans="1:28" s="23" customFormat="1" ht="10.199999999999999" x14ac:dyDescent="0.2">
      <c r="A66" s="22"/>
      <c r="B66" s="22"/>
      <c r="C66" s="22"/>
      <c r="D66" s="22"/>
      <c r="E66" s="22" t="str">
        <f>E56</f>
        <v>наполняемость арендаторами</v>
      </c>
      <c r="F66" s="22"/>
      <c r="G66" s="22" t="str">
        <f>IF($E66="","",INDEX(KPI!$G:$G,SUMIFS(KPI!$B:$B,KPI!$E:$E,$E66)))</f>
        <v>%</v>
      </c>
      <c r="H66" s="100">
        <f>структура!$V$21</f>
        <v>10</v>
      </c>
      <c r="I66" s="31"/>
      <c r="J66" s="98" t="str">
        <f>структура!$X$21</f>
        <v>окт</v>
      </c>
      <c r="K66" s="99"/>
      <c r="L66" s="22"/>
      <c r="M66" s="60" t="str">
        <f>структура!$M$13</f>
        <v>сценарий-2</v>
      </c>
      <c r="N66" s="22"/>
      <c r="O66" s="197" t="s">
        <v>0</v>
      </c>
      <c r="P66" s="199">
        <f>40%</f>
        <v>0.4</v>
      </c>
      <c r="Q66" s="199">
        <f>40%</f>
        <v>0.4</v>
      </c>
      <c r="R66" s="199">
        <f>40%</f>
        <v>0.4</v>
      </c>
      <c r="S66" s="199">
        <f>40%</f>
        <v>0.4</v>
      </c>
      <c r="T66" s="199">
        <f>40%</f>
        <v>0.4</v>
      </c>
      <c r="U66" s="199">
        <f>40%</f>
        <v>0.4</v>
      </c>
      <c r="V66" s="199">
        <f>40%</f>
        <v>0.4</v>
      </c>
      <c r="W66" s="199">
        <f>40%</f>
        <v>0.4</v>
      </c>
      <c r="X66" s="199">
        <f>40%</f>
        <v>0.4</v>
      </c>
      <c r="Y66" s="199">
        <f>40%</f>
        <v>0.4</v>
      </c>
      <c r="Z66" s="199">
        <f>40%</f>
        <v>0.4</v>
      </c>
      <c r="AA66" s="199">
        <f>40%</f>
        <v>0.4</v>
      </c>
      <c r="AB66" s="22"/>
    </row>
    <row r="67" spans="1:28" s="23" customFormat="1" ht="10.199999999999999" x14ac:dyDescent="0.2">
      <c r="A67" s="22"/>
      <c r="B67" s="22"/>
      <c r="C67" s="22"/>
      <c r="D67" s="22"/>
      <c r="E67" s="22" t="str">
        <f>E56</f>
        <v>наполняемость арендаторами</v>
      </c>
      <c r="F67" s="22"/>
      <c r="G67" s="22" t="str">
        <f>IF($E67="","",INDEX(KPI!$G:$G,SUMIFS(KPI!$B:$B,KPI!$E:$E,$E67)))</f>
        <v>%</v>
      </c>
      <c r="H67" s="100">
        <f>структура!$V$22</f>
        <v>11</v>
      </c>
      <c r="I67" s="31"/>
      <c r="J67" s="98" t="str">
        <f>структура!$X$22</f>
        <v>ноя</v>
      </c>
      <c r="K67" s="99"/>
      <c r="L67" s="22"/>
      <c r="M67" s="60" t="str">
        <f>структура!$M$13</f>
        <v>сценарий-2</v>
      </c>
      <c r="N67" s="22"/>
      <c r="O67" s="197" t="s">
        <v>0</v>
      </c>
      <c r="P67" s="199">
        <f>40%</f>
        <v>0.4</v>
      </c>
      <c r="Q67" s="199">
        <f>40%</f>
        <v>0.4</v>
      </c>
      <c r="R67" s="199">
        <f>40%</f>
        <v>0.4</v>
      </c>
      <c r="S67" s="199">
        <f>40%</f>
        <v>0.4</v>
      </c>
      <c r="T67" s="199">
        <f>40%</f>
        <v>0.4</v>
      </c>
      <c r="U67" s="199">
        <f>40%</f>
        <v>0.4</v>
      </c>
      <c r="V67" s="199">
        <f>40%</f>
        <v>0.4</v>
      </c>
      <c r="W67" s="199">
        <f>40%</f>
        <v>0.4</v>
      </c>
      <c r="X67" s="199">
        <f>40%</f>
        <v>0.4</v>
      </c>
      <c r="Y67" s="199">
        <f>40%</f>
        <v>0.4</v>
      </c>
      <c r="Z67" s="199">
        <f>40%</f>
        <v>0.4</v>
      </c>
      <c r="AA67" s="199">
        <f>40%</f>
        <v>0.4</v>
      </c>
      <c r="AB67" s="22"/>
    </row>
    <row r="68" spans="1:28" s="23" customFormat="1" ht="10.199999999999999" x14ac:dyDescent="0.2">
      <c r="A68" s="22"/>
      <c r="B68" s="22"/>
      <c r="C68" s="22"/>
      <c r="D68" s="22"/>
      <c r="E68" s="22" t="str">
        <f>E56</f>
        <v>наполняемость арендаторами</v>
      </c>
      <c r="F68" s="22"/>
      <c r="G68" s="22" t="str">
        <f>IF($E68="","",INDEX(KPI!$G:$G,SUMIFS(KPI!$B:$B,KPI!$E:$E,$E68)))</f>
        <v>%</v>
      </c>
      <c r="H68" s="100">
        <f>структура!$V$23</f>
        <v>12</v>
      </c>
      <c r="I68" s="31"/>
      <c r="J68" s="98" t="str">
        <f>структура!$X$23</f>
        <v>дек</v>
      </c>
      <c r="K68" s="99"/>
      <c r="L68" s="22"/>
      <c r="M68" s="60" t="str">
        <f>структура!$M$13</f>
        <v>сценарий-2</v>
      </c>
      <c r="N68" s="22"/>
      <c r="O68" s="197" t="s">
        <v>0</v>
      </c>
      <c r="P68" s="199">
        <f>40%</f>
        <v>0.4</v>
      </c>
      <c r="Q68" s="199">
        <f>40%</f>
        <v>0.4</v>
      </c>
      <c r="R68" s="199">
        <f>40%</f>
        <v>0.4</v>
      </c>
      <c r="S68" s="199">
        <f>40%</f>
        <v>0.4</v>
      </c>
      <c r="T68" s="199">
        <f>40%</f>
        <v>0.4</v>
      </c>
      <c r="U68" s="199">
        <f>40%</f>
        <v>0.4</v>
      </c>
      <c r="V68" s="199">
        <f>40%</f>
        <v>0.4</v>
      </c>
      <c r="W68" s="199">
        <f>40%</f>
        <v>0.4</v>
      </c>
      <c r="X68" s="199">
        <f>40%</f>
        <v>0.4</v>
      </c>
      <c r="Y68" s="199">
        <f>40%</f>
        <v>0.4</v>
      </c>
      <c r="Z68" s="199">
        <f>40%</f>
        <v>0.4</v>
      </c>
      <c r="AA68" s="199">
        <f>40%</f>
        <v>0.4</v>
      </c>
      <c r="AB68" s="22"/>
    </row>
    <row r="69" spans="1:28" ht="3.9" customHeight="1" x14ac:dyDescent="0.25">
      <c r="A69" s="2"/>
      <c r="B69" s="2"/>
      <c r="C69" s="2"/>
      <c r="D69" s="2"/>
      <c r="E69" s="21"/>
      <c r="F69" s="2"/>
      <c r="G69" s="21"/>
      <c r="H69" s="2"/>
      <c r="I69" s="28"/>
      <c r="J69" s="21"/>
      <c r="K69" s="28"/>
      <c r="L69" s="2"/>
      <c r="M69" s="201"/>
      <c r="N69" s="2"/>
      <c r="O69" s="196"/>
      <c r="P69" s="36"/>
      <c r="Q69" s="36"/>
      <c r="R69" s="36"/>
      <c r="S69" s="36"/>
      <c r="T69" s="36"/>
      <c r="U69" s="36"/>
      <c r="V69" s="36"/>
      <c r="W69" s="36"/>
      <c r="X69" s="36"/>
      <c r="Y69" s="36"/>
      <c r="Z69" s="36"/>
      <c r="AA69" s="36"/>
      <c r="AB69" s="2"/>
    </row>
    <row r="70" spans="1:28" ht="8.1" customHeight="1" x14ac:dyDescent="0.25">
      <c r="A70" s="2"/>
      <c r="B70" s="2"/>
      <c r="C70" s="2"/>
      <c r="D70" s="2"/>
      <c r="E70" s="2"/>
      <c r="F70" s="2"/>
      <c r="G70" s="2"/>
      <c r="H70" s="2"/>
      <c r="I70" s="28"/>
      <c r="J70" s="2"/>
      <c r="K70" s="28"/>
      <c r="L70" s="2"/>
      <c r="M70" s="201"/>
      <c r="N70" s="2"/>
      <c r="O70" s="196"/>
      <c r="P70" s="36"/>
      <c r="Q70" s="36"/>
      <c r="R70" s="36"/>
      <c r="S70" s="36"/>
      <c r="T70" s="36"/>
      <c r="U70" s="36"/>
      <c r="V70" s="36"/>
      <c r="W70" s="36"/>
      <c r="X70" s="36"/>
      <c r="Y70" s="36"/>
      <c r="Z70" s="36"/>
      <c r="AA70" s="36"/>
      <c r="AB70" s="2"/>
    </row>
    <row r="71" spans="1:28" s="5" customFormat="1" x14ac:dyDescent="0.25">
      <c r="A71" s="3"/>
      <c r="B71" s="3"/>
      <c r="C71" s="3"/>
      <c r="D71" s="3"/>
      <c r="E71" s="3" t="str">
        <f>KPI!$E$37</f>
        <v>средняя наполняемость одного объекта</v>
      </c>
      <c r="F71" s="3"/>
      <c r="G71" s="3" t="str">
        <f>IF($E71="","",INDEX(KPI!$G:$G,SUMIFS(KPI!$B:$B,KPI!$E:$E,$E71)))</f>
        <v>чел</v>
      </c>
      <c r="H71" s="3"/>
      <c r="I71" s="28"/>
      <c r="J71" s="103"/>
      <c r="K71" s="28"/>
      <c r="L71" s="3"/>
      <c r="M71" s="153" t="str">
        <f>структура!$M$13</f>
        <v>сценарий-2</v>
      </c>
      <c r="N71" s="3"/>
      <c r="O71" s="32"/>
      <c r="P71" s="46"/>
      <c r="Q71" s="46"/>
      <c r="R71" s="46"/>
      <c r="S71" s="46"/>
      <c r="T71" s="46"/>
      <c r="U71" s="46"/>
      <c r="V71" s="46"/>
      <c r="W71" s="46"/>
      <c r="X71" s="46"/>
      <c r="Y71" s="46"/>
      <c r="Z71" s="46"/>
      <c r="AA71" s="46"/>
      <c r="AB71" s="3"/>
    </row>
    <row r="72" spans="1:28" ht="3.9" customHeight="1" x14ac:dyDescent="0.25">
      <c r="A72" s="2"/>
      <c r="B72" s="2"/>
      <c r="C72" s="2"/>
      <c r="D72" s="2"/>
      <c r="E72" s="2"/>
      <c r="F72" s="2"/>
      <c r="G72" s="2"/>
      <c r="H72" s="2"/>
      <c r="I72" s="28"/>
      <c r="J72" s="2"/>
      <c r="K72" s="28"/>
      <c r="L72" s="2"/>
      <c r="M72" s="201"/>
      <c r="N72" s="2"/>
      <c r="O72" s="196"/>
      <c r="P72" s="36"/>
      <c r="Q72" s="36"/>
      <c r="R72" s="36"/>
      <c r="S72" s="36"/>
      <c r="T72" s="36"/>
      <c r="U72" s="36"/>
      <c r="V72" s="36"/>
      <c r="W72" s="36"/>
      <c r="X72" s="36"/>
      <c r="Y72" s="36"/>
      <c r="Z72" s="36"/>
      <c r="AA72" s="36"/>
      <c r="AB72" s="2"/>
    </row>
    <row r="73" spans="1:28" x14ac:dyDescent="0.25">
      <c r="A73" s="2"/>
      <c r="B73" s="2"/>
      <c r="C73" s="2"/>
      <c r="D73" s="2"/>
      <c r="E73" s="48" t="str">
        <f>структура!$AF$12</f>
        <v>беседка большая</v>
      </c>
      <c r="F73" s="2"/>
      <c r="G73" s="2" t="str">
        <f>G71</f>
        <v>чел</v>
      </c>
      <c r="H73" s="2"/>
      <c r="I73" s="6" t="s">
        <v>0</v>
      </c>
      <c r="J73" s="200">
        <v>15</v>
      </c>
      <c r="K73" s="105" t="str">
        <f>IF(J73&gt;операции!$J$75,структура!$AL$19,"")</f>
        <v/>
      </c>
      <c r="L73" s="2"/>
      <c r="M73" s="201" t="str">
        <f>структура!$M$13</f>
        <v>сценарий-2</v>
      </c>
      <c r="N73" s="2"/>
      <c r="O73" s="196"/>
      <c r="P73" s="36"/>
      <c r="Q73" s="36"/>
      <c r="R73" s="36"/>
      <c r="S73" s="36"/>
      <c r="T73" s="36"/>
      <c r="U73" s="36"/>
      <c r="V73" s="36"/>
      <c r="W73" s="36"/>
      <c r="X73" s="36"/>
      <c r="Y73" s="36"/>
      <c r="Z73" s="36"/>
      <c r="AA73" s="36"/>
      <c r="AB73" s="2"/>
    </row>
    <row r="74" spans="1:28" x14ac:dyDescent="0.25">
      <c r="A74" s="2"/>
      <c r="B74" s="2"/>
      <c r="C74" s="2"/>
      <c r="D74" s="2"/>
      <c r="E74" s="49" t="str">
        <f>структура!$AF$13</f>
        <v>беседка малая</v>
      </c>
      <c r="F74" s="2"/>
      <c r="G74" s="2" t="str">
        <f>G71</f>
        <v>чел</v>
      </c>
      <c r="H74" s="2"/>
      <c r="I74" s="6" t="s">
        <v>0</v>
      </c>
      <c r="J74" s="200">
        <v>8</v>
      </c>
      <c r="K74" s="105" t="str">
        <f>IF(J74&gt;операции!$J$76,структура!$AL$19,"")</f>
        <v/>
      </c>
      <c r="L74" s="2"/>
      <c r="M74" s="201" t="str">
        <f>структура!$M$13</f>
        <v>сценарий-2</v>
      </c>
      <c r="N74" s="2"/>
      <c r="O74" s="196"/>
      <c r="P74" s="36"/>
      <c r="Q74" s="36"/>
      <c r="R74" s="36"/>
      <c r="S74" s="36"/>
      <c r="T74" s="36"/>
      <c r="U74" s="36"/>
      <c r="V74" s="36"/>
      <c r="W74" s="36"/>
      <c r="X74" s="36"/>
      <c r="Y74" s="36"/>
      <c r="Z74" s="36"/>
      <c r="AA74" s="36"/>
      <c r="AB74" s="2"/>
    </row>
    <row r="75" spans="1:28" x14ac:dyDescent="0.25">
      <c r="A75" s="2"/>
      <c r="B75" s="2"/>
      <c r="C75" s="2"/>
      <c r="D75" s="2"/>
      <c r="E75" s="49" t="str">
        <f>структура!$AF$14</f>
        <v>прочие для сдачи в аренду</v>
      </c>
      <c r="F75" s="2"/>
      <c r="G75" s="2" t="str">
        <f>G71</f>
        <v>чел</v>
      </c>
      <c r="H75" s="2"/>
      <c r="I75" s="6" t="s">
        <v>0</v>
      </c>
      <c r="J75" s="200"/>
      <c r="K75" s="28"/>
      <c r="L75" s="2"/>
      <c r="M75" s="201" t="str">
        <f>структура!$M$13</f>
        <v>сценарий-2</v>
      </c>
      <c r="N75" s="2"/>
      <c r="O75" s="196"/>
      <c r="P75" s="36"/>
      <c r="Q75" s="36"/>
      <c r="R75" s="36"/>
      <c r="S75" s="36"/>
      <c r="T75" s="36"/>
      <c r="U75" s="36"/>
      <c r="V75" s="36"/>
      <c r="W75" s="36"/>
      <c r="X75" s="36"/>
      <c r="Y75" s="36"/>
      <c r="Z75" s="36"/>
      <c r="AA75" s="36"/>
      <c r="AB75" s="2"/>
    </row>
    <row r="76" spans="1:28" ht="3.9" customHeight="1" x14ac:dyDescent="0.25">
      <c r="A76" s="2"/>
      <c r="B76" s="2"/>
      <c r="C76" s="2"/>
      <c r="D76" s="2"/>
      <c r="E76" s="50"/>
      <c r="F76" s="2"/>
      <c r="G76" s="2"/>
      <c r="H76" s="2"/>
      <c r="I76" s="28"/>
      <c r="J76" s="2"/>
      <c r="K76" s="28"/>
      <c r="L76" s="2"/>
      <c r="M76" s="201"/>
      <c r="N76" s="2"/>
      <c r="O76" s="196"/>
      <c r="P76" s="36"/>
      <c r="Q76" s="36"/>
      <c r="R76" s="36"/>
      <c r="S76" s="36"/>
      <c r="T76" s="36"/>
      <c r="U76" s="36"/>
      <c r="V76" s="36"/>
      <c r="W76" s="36"/>
      <c r="X76" s="36"/>
      <c r="Y76" s="36"/>
      <c r="Z76" s="36"/>
      <c r="AA76" s="36"/>
      <c r="AB76" s="2"/>
    </row>
    <row r="77" spans="1:28" ht="3.9" customHeight="1" x14ac:dyDescent="0.25">
      <c r="A77" s="2"/>
      <c r="B77" s="2"/>
      <c r="C77" s="2"/>
      <c r="D77" s="2"/>
      <c r="E77" s="2"/>
      <c r="F77" s="2"/>
      <c r="G77" s="2"/>
      <c r="H77" s="2"/>
      <c r="I77" s="28"/>
      <c r="J77" s="2"/>
      <c r="K77" s="28"/>
      <c r="L77" s="2"/>
      <c r="M77" s="201"/>
      <c r="N77" s="2"/>
      <c r="O77" s="196"/>
      <c r="P77" s="36"/>
      <c r="Q77" s="36"/>
      <c r="R77" s="36"/>
      <c r="S77" s="36"/>
      <c r="T77" s="36"/>
      <c r="U77" s="36"/>
      <c r="V77" s="36"/>
      <c r="W77" s="36"/>
      <c r="X77" s="36"/>
      <c r="Y77" s="36"/>
      <c r="Z77" s="36"/>
      <c r="AA77" s="36"/>
      <c r="AB77" s="2"/>
    </row>
    <row r="78" spans="1:28" ht="8.1" customHeight="1" x14ac:dyDescent="0.25">
      <c r="A78" s="2"/>
      <c r="B78" s="2"/>
      <c r="C78" s="2"/>
      <c r="D78" s="2"/>
      <c r="E78" s="2"/>
      <c r="F78" s="2"/>
      <c r="G78" s="2"/>
      <c r="H78" s="2"/>
      <c r="I78" s="28"/>
      <c r="J78" s="2"/>
      <c r="K78" s="28"/>
      <c r="L78" s="2"/>
      <c r="M78" s="201"/>
      <c r="N78" s="2"/>
      <c r="O78" s="196"/>
      <c r="P78" s="36"/>
      <c r="Q78" s="36"/>
      <c r="R78" s="36"/>
      <c r="S78" s="36"/>
      <c r="T78" s="36"/>
      <c r="U78" s="36"/>
      <c r="V78" s="36"/>
      <c r="W78" s="36"/>
      <c r="X78" s="36"/>
      <c r="Y78" s="36"/>
      <c r="Z78" s="36"/>
      <c r="AA78" s="36"/>
      <c r="AB78" s="2"/>
    </row>
    <row r="79" spans="1:28" s="5" customFormat="1" x14ac:dyDescent="0.25">
      <c r="A79" s="3"/>
      <c r="B79" s="3"/>
      <c r="C79" s="3"/>
      <c r="D79" s="3"/>
      <c r="E79" s="3" t="str">
        <f>KPI!$E$41</f>
        <v>%-нт прироста "безарендного" траффика</v>
      </c>
      <c r="F79" s="3"/>
      <c r="G79" s="3" t="str">
        <f>IF($E79="","",INDEX(KPI!$G:$G,SUMIFS(KPI!$B:$B,KPI!$E:$E,$E79)))</f>
        <v>%</v>
      </c>
      <c r="H79" s="3"/>
      <c r="I79" s="6" t="s">
        <v>0</v>
      </c>
      <c r="J79" s="107">
        <v>0.2</v>
      </c>
      <c r="K79" s="28"/>
      <c r="L79" s="103"/>
      <c r="M79" s="153" t="str">
        <f>структура!$M$13</f>
        <v>сценарий-2</v>
      </c>
      <c r="N79" s="3"/>
      <c r="O79" s="32"/>
      <c r="P79" s="46"/>
      <c r="Q79" s="46"/>
      <c r="R79" s="46"/>
      <c r="S79" s="46"/>
      <c r="T79" s="46"/>
      <c r="U79" s="46"/>
      <c r="V79" s="46"/>
      <c r="W79" s="46"/>
      <c r="X79" s="46"/>
      <c r="Y79" s="46"/>
      <c r="Z79" s="46"/>
      <c r="AA79" s="46"/>
      <c r="AB79" s="3"/>
    </row>
    <row r="80" spans="1:28" ht="3.9" customHeight="1" x14ac:dyDescent="0.25">
      <c r="A80" s="2"/>
      <c r="B80" s="2"/>
      <c r="C80" s="2"/>
      <c r="D80" s="2"/>
      <c r="E80" s="2"/>
      <c r="F80" s="2"/>
      <c r="G80" s="2"/>
      <c r="H80" s="2"/>
      <c r="I80" s="28"/>
      <c r="J80" s="2"/>
      <c r="K80" s="28"/>
      <c r="L80" s="2"/>
      <c r="M80" s="201"/>
      <c r="N80" s="2"/>
      <c r="O80" s="196"/>
      <c r="P80" s="36"/>
      <c r="Q80" s="36"/>
      <c r="R80" s="36"/>
      <c r="S80" s="36"/>
      <c r="T80" s="36"/>
      <c r="U80" s="36"/>
      <c r="V80" s="36"/>
      <c r="W80" s="36"/>
      <c r="X80" s="36"/>
      <c r="Y80" s="36"/>
      <c r="Z80" s="36"/>
      <c r="AA80" s="36"/>
      <c r="AB80" s="2"/>
    </row>
    <row r="81" spans="1:28" ht="8.1" customHeight="1" x14ac:dyDescent="0.25">
      <c r="A81" s="2"/>
      <c r="B81" s="2"/>
      <c r="C81" s="2"/>
      <c r="D81" s="2"/>
      <c r="E81" s="2"/>
      <c r="F81" s="2"/>
      <c r="G81" s="2"/>
      <c r="H81" s="2"/>
      <c r="I81" s="28"/>
      <c r="J81" s="2"/>
      <c r="K81" s="28"/>
      <c r="L81" s="2"/>
      <c r="M81" s="201"/>
      <c r="N81" s="2"/>
      <c r="O81" s="196"/>
      <c r="P81" s="36"/>
      <c r="Q81" s="36"/>
      <c r="R81" s="36"/>
      <c r="S81" s="36"/>
      <c r="T81" s="36"/>
      <c r="U81" s="36"/>
      <c r="V81" s="36"/>
      <c r="W81" s="36"/>
      <c r="X81" s="36"/>
      <c r="Y81" s="36"/>
      <c r="Z81" s="36"/>
      <c r="AA81" s="36"/>
      <c r="AB81" s="2"/>
    </row>
    <row r="82" spans="1:28" ht="3.9" customHeight="1" x14ac:dyDescent="0.25">
      <c r="A82" s="2"/>
      <c r="B82" s="2"/>
      <c r="C82" s="2"/>
      <c r="D82" s="2"/>
      <c r="E82" s="21"/>
      <c r="F82" s="2"/>
      <c r="G82" s="21"/>
      <c r="H82" s="2"/>
      <c r="I82" s="28"/>
      <c r="J82" s="21"/>
      <c r="K82" s="28"/>
      <c r="L82" s="2"/>
      <c r="M82" s="201"/>
      <c r="N82" s="2"/>
      <c r="O82" s="196"/>
      <c r="P82" s="36"/>
      <c r="Q82" s="36"/>
      <c r="R82" s="36"/>
      <c r="S82" s="36"/>
      <c r="T82" s="36"/>
      <c r="U82" s="36"/>
      <c r="V82" s="36"/>
      <c r="W82" s="36"/>
      <c r="X82" s="36"/>
      <c r="Y82" s="36"/>
      <c r="Z82" s="36"/>
      <c r="AA82" s="36"/>
      <c r="AB82" s="2"/>
    </row>
    <row r="83" spans="1:28" ht="8.1" customHeight="1" x14ac:dyDescent="0.25">
      <c r="A83" s="2"/>
      <c r="B83" s="2"/>
      <c r="C83" s="2"/>
      <c r="D83" s="2"/>
      <c r="E83" s="2"/>
      <c r="F83" s="2"/>
      <c r="G83" s="2"/>
      <c r="H83" s="2"/>
      <c r="I83" s="28"/>
      <c r="J83" s="2"/>
      <c r="K83" s="28"/>
      <c r="L83" s="2"/>
      <c r="M83" s="201"/>
      <c r="N83" s="2"/>
      <c r="O83" s="196"/>
      <c r="P83" s="36"/>
      <c r="Q83" s="36"/>
      <c r="R83" s="36"/>
      <c r="S83" s="36"/>
      <c r="T83" s="36"/>
      <c r="U83" s="36"/>
      <c r="V83" s="36"/>
      <c r="W83" s="36"/>
      <c r="X83" s="36"/>
      <c r="Y83" s="36"/>
      <c r="Z83" s="36"/>
      <c r="AA83" s="36"/>
      <c r="AB83" s="2"/>
    </row>
    <row r="84" spans="1:28" s="5" customFormat="1" x14ac:dyDescent="0.25">
      <c r="A84" s="3"/>
      <c r="B84" s="3"/>
      <c r="C84" s="3"/>
      <c r="D84" s="3"/>
      <c r="E84" s="3" t="str">
        <f>KPI!$E$40</f>
        <v>конверсия в покупку одной услуги проката</v>
      </c>
      <c r="F84" s="3"/>
      <c r="G84" s="3" t="str">
        <f>IF($E84="","",INDEX(KPI!$G:$G,SUMIFS(KPI!$B:$B,KPI!$E:$E,$E84)))</f>
        <v>%</v>
      </c>
      <c r="H84" s="3"/>
      <c r="I84" s="28"/>
      <c r="J84" s="44"/>
      <c r="K84" s="28"/>
      <c r="L84" s="3"/>
      <c r="M84" s="153" t="str">
        <f>структура!$M$13</f>
        <v>сценарий-2</v>
      </c>
      <c r="N84" s="3"/>
      <c r="O84" s="32"/>
      <c r="P84" s="104"/>
      <c r="Q84" s="46"/>
      <c r="R84" s="46"/>
      <c r="S84" s="46"/>
      <c r="T84" s="46"/>
      <c r="U84" s="46"/>
      <c r="V84" s="46"/>
      <c r="W84" s="46"/>
      <c r="X84" s="46"/>
      <c r="Y84" s="46"/>
      <c r="Z84" s="46"/>
      <c r="AA84" s="46"/>
      <c r="AB84" s="3"/>
    </row>
    <row r="85" spans="1:28" s="23" customFormat="1" ht="10.199999999999999" x14ac:dyDescent="0.2">
      <c r="A85" s="22"/>
      <c r="B85" s="22"/>
      <c r="C85" s="22"/>
      <c r="D85" s="22"/>
      <c r="E85" s="22" t="str">
        <f>E84</f>
        <v>конверсия в покупку одной услуги проката</v>
      </c>
      <c r="F85" s="22"/>
      <c r="G85" s="22" t="str">
        <f>IF($E85="","",INDEX(KPI!$G:$G,SUMIFS(KPI!$B:$B,KPI!$E:$E,$E85)))</f>
        <v>%</v>
      </c>
      <c r="H85" s="100">
        <f>структура!$V$12</f>
        <v>1</v>
      </c>
      <c r="I85" s="31"/>
      <c r="J85" s="98" t="str">
        <f>структура!$X$12</f>
        <v>янв</v>
      </c>
      <c r="K85" s="99"/>
      <c r="L85" s="22"/>
      <c r="M85" s="60" t="str">
        <f>структура!$M$13</f>
        <v>сценарий-2</v>
      </c>
      <c r="N85" s="22"/>
      <c r="O85" s="197" t="s">
        <v>0</v>
      </c>
      <c r="P85" s="199">
        <v>0.25</v>
      </c>
      <c r="Q85" s="199">
        <v>0.25</v>
      </c>
      <c r="R85" s="199">
        <v>0.25</v>
      </c>
      <c r="S85" s="199">
        <v>0.25</v>
      </c>
      <c r="T85" s="199">
        <v>0.25</v>
      </c>
      <c r="U85" s="199">
        <v>0.25</v>
      </c>
      <c r="V85" s="199">
        <v>0.25</v>
      </c>
      <c r="W85" s="199">
        <f>20%</f>
        <v>0.2</v>
      </c>
      <c r="X85" s="199">
        <f>20%</f>
        <v>0.2</v>
      </c>
      <c r="Y85" s="199">
        <f>20%</f>
        <v>0.2</v>
      </c>
      <c r="Z85" s="199">
        <f>20%</f>
        <v>0.2</v>
      </c>
      <c r="AA85" s="199">
        <f>20%</f>
        <v>0.2</v>
      </c>
      <c r="AB85" s="22"/>
    </row>
    <row r="86" spans="1:28" s="23" customFormat="1" ht="10.199999999999999" x14ac:dyDescent="0.2">
      <c r="A86" s="22"/>
      <c r="B86" s="22"/>
      <c r="C86" s="22"/>
      <c r="D86" s="22"/>
      <c r="E86" s="22" t="str">
        <f>E84</f>
        <v>конверсия в покупку одной услуги проката</v>
      </c>
      <c r="F86" s="22"/>
      <c r="G86" s="22" t="str">
        <f>IF($E86="","",INDEX(KPI!$G:$G,SUMIFS(KPI!$B:$B,KPI!$E:$E,$E86)))</f>
        <v>%</v>
      </c>
      <c r="H86" s="100">
        <f>структура!$V$13</f>
        <v>2</v>
      </c>
      <c r="I86" s="31"/>
      <c r="J86" s="98" t="str">
        <f>структура!$X$13</f>
        <v>фев</v>
      </c>
      <c r="K86" s="99"/>
      <c r="L86" s="22"/>
      <c r="M86" s="60" t="str">
        <f>структура!$M$13</f>
        <v>сценарий-2</v>
      </c>
      <c r="N86" s="22"/>
      <c r="O86" s="197" t="s">
        <v>0</v>
      </c>
      <c r="P86" s="199">
        <v>0.2</v>
      </c>
      <c r="Q86" s="199">
        <v>0.2</v>
      </c>
      <c r="R86" s="199">
        <v>0.2</v>
      </c>
      <c r="S86" s="199">
        <v>0.2</v>
      </c>
      <c r="T86" s="199">
        <v>0.2</v>
      </c>
      <c r="U86" s="199">
        <v>0.2</v>
      </c>
      <c r="V86" s="199">
        <v>0.2</v>
      </c>
      <c r="W86" s="199">
        <f>25%</f>
        <v>0.25</v>
      </c>
      <c r="X86" s="199">
        <f>25%</f>
        <v>0.25</v>
      </c>
      <c r="Y86" s="199">
        <f>25%</f>
        <v>0.25</v>
      </c>
      <c r="Z86" s="199">
        <f>25%</f>
        <v>0.25</v>
      </c>
      <c r="AA86" s="199">
        <f>25%</f>
        <v>0.25</v>
      </c>
      <c r="AB86" s="22"/>
    </row>
    <row r="87" spans="1:28" s="23" customFormat="1" ht="10.199999999999999" x14ac:dyDescent="0.2">
      <c r="A87" s="22"/>
      <c r="B87" s="22"/>
      <c r="C87" s="22"/>
      <c r="D87" s="22"/>
      <c r="E87" s="22" t="str">
        <f>E84</f>
        <v>конверсия в покупку одной услуги проката</v>
      </c>
      <c r="F87" s="22"/>
      <c r="G87" s="22" t="str">
        <f>IF($E87="","",INDEX(KPI!$G:$G,SUMIFS(KPI!$B:$B,KPI!$E:$E,$E87)))</f>
        <v>%</v>
      </c>
      <c r="H87" s="100">
        <f>структура!$V$14</f>
        <v>3</v>
      </c>
      <c r="I87" s="31"/>
      <c r="J87" s="98" t="str">
        <f>структура!$X$14</f>
        <v>мар</v>
      </c>
      <c r="K87" s="99"/>
      <c r="L87" s="22"/>
      <c r="M87" s="60" t="str">
        <f>структура!$M$13</f>
        <v>сценарий-2</v>
      </c>
      <c r="N87" s="22"/>
      <c r="O87" s="197" t="s">
        <v>0</v>
      </c>
      <c r="P87" s="199">
        <f>20%</f>
        <v>0.2</v>
      </c>
      <c r="Q87" s="199">
        <f>20%</f>
        <v>0.2</v>
      </c>
      <c r="R87" s="199">
        <f>20%</f>
        <v>0.2</v>
      </c>
      <c r="S87" s="199">
        <f>20%</f>
        <v>0.2</v>
      </c>
      <c r="T87" s="199">
        <f>20%</f>
        <v>0.2</v>
      </c>
      <c r="U87" s="199">
        <f>20%</f>
        <v>0.2</v>
      </c>
      <c r="V87" s="199">
        <f>20%</f>
        <v>0.2</v>
      </c>
      <c r="W87" s="199">
        <f>20%</f>
        <v>0.2</v>
      </c>
      <c r="X87" s="199">
        <f>20%</f>
        <v>0.2</v>
      </c>
      <c r="Y87" s="199">
        <f>20%</f>
        <v>0.2</v>
      </c>
      <c r="Z87" s="199">
        <f>20%</f>
        <v>0.2</v>
      </c>
      <c r="AA87" s="199">
        <f>20%</f>
        <v>0.2</v>
      </c>
      <c r="AB87" s="22"/>
    </row>
    <row r="88" spans="1:28" s="23" customFormat="1" ht="10.199999999999999" x14ac:dyDescent="0.2">
      <c r="A88" s="22"/>
      <c r="B88" s="22"/>
      <c r="C88" s="22"/>
      <c r="D88" s="22"/>
      <c r="E88" s="22" t="str">
        <f>E84</f>
        <v>конверсия в покупку одной услуги проката</v>
      </c>
      <c r="F88" s="22"/>
      <c r="G88" s="22" t="str">
        <f>IF($E88="","",INDEX(KPI!$G:$G,SUMIFS(KPI!$B:$B,KPI!$E:$E,$E88)))</f>
        <v>%</v>
      </c>
      <c r="H88" s="100">
        <f>структура!$V$15</f>
        <v>4</v>
      </c>
      <c r="I88" s="31"/>
      <c r="J88" s="98" t="str">
        <f>структура!$X$15</f>
        <v>апр</v>
      </c>
      <c r="K88" s="99"/>
      <c r="L88" s="22"/>
      <c r="M88" s="60" t="str">
        <f>структура!$M$13</f>
        <v>сценарий-2</v>
      </c>
      <c r="N88" s="22"/>
      <c r="O88" s="197" t="s">
        <v>0</v>
      </c>
      <c r="P88" s="199">
        <f>20%</f>
        <v>0.2</v>
      </c>
      <c r="Q88" s="199">
        <f>20%</f>
        <v>0.2</v>
      </c>
      <c r="R88" s="199">
        <f>20%</f>
        <v>0.2</v>
      </c>
      <c r="S88" s="199">
        <f>20%</f>
        <v>0.2</v>
      </c>
      <c r="T88" s="199">
        <f>20%</f>
        <v>0.2</v>
      </c>
      <c r="U88" s="199">
        <f>20%</f>
        <v>0.2</v>
      </c>
      <c r="V88" s="199">
        <f>20%</f>
        <v>0.2</v>
      </c>
      <c r="W88" s="199">
        <f>20%</f>
        <v>0.2</v>
      </c>
      <c r="X88" s="199">
        <f>20%</f>
        <v>0.2</v>
      </c>
      <c r="Y88" s="199">
        <f>20%</f>
        <v>0.2</v>
      </c>
      <c r="Z88" s="199">
        <f>20%</f>
        <v>0.2</v>
      </c>
      <c r="AA88" s="199">
        <f>20%</f>
        <v>0.2</v>
      </c>
      <c r="AB88" s="22"/>
    </row>
    <row r="89" spans="1:28" s="23" customFormat="1" ht="10.199999999999999" x14ac:dyDescent="0.2">
      <c r="A89" s="22"/>
      <c r="B89" s="22"/>
      <c r="C89" s="22"/>
      <c r="D89" s="22"/>
      <c r="E89" s="22" t="str">
        <f>E84</f>
        <v>конверсия в покупку одной услуги проката</v>
      </c>
      <c r="F89" s="22"/>
      <c r="G89" s="22" t="str">
        <f>IF($E89="","",INDEX(KPI!$G:$G,SUMIFS(KPI!$B:$B,KPI!$E:$E,$E89)))</f>
        <v>%</v>
      </c>
      <c r="H89" s="100">
        <f>структура!$V$16</f>
        <v>5</v>
      </c>
      <c r="I89" s="31"/>
      <c r="J89" s="98" t="str">
        <f>структура!$X$16</f>
        <v>май</v>
      </c>
      <c r="K89" s="99"/>
      <c r="L89" s="22"/>
      <c r="M89" s="60" t="str">
        <f>структура!$M$13</f>
        <v>сценарий-2</v>
      </c>
      <c r="N89" s="22"/>
      <c r="O89" s="197" t="s">
        <v>0</v>
      </c>
      <c r="P89" s="199">
        <f>40%</f>
        <v>0.4</v>
      </c>
      <c r="Q89" s="199">
        <f>40%</f>
        <v>0.4</v>
      </c>
      <c r="R89" s="199">
        <f>40%</f>
        <v>0.4</v>
      </c>
      <c r="S89" s="199">
        <f>40%</f>
        <v>0.4</v>
      </c>
      <c r="T89" s="199">
        <f>40%</f>
        <v>0.4</v>
      </c>
      <c r="U89" s="199">
        <f>40%</f>
        <v>0.4</v>
      </c>
      <c r="V89" s="199">
        <f>40%</f>
        <v>0.4</v>
      </c>
      <c r="W89" s="199">
        <f>40%</f>
        <v>0.4</v>
      </c>
      <c r="X89" s="199">
        <f>40%</f>
        <v>0.4</v>
      </c>
      <c r="Y89" s="199">
        <f>40%</f>
        <v>0.4</v>
      </c>
      <c r="Z89" s="199">
        <f>40%</f>
        <v>0.4</v>
      </c>
      <c r="AA89" s="199">
        <f>40%</f>
        <v>0.4</v>
      </c>
      <c r="AB89" s="22"/>
    </row>
    <row r="90" spans="1:28" s="23" customFormat="1" ht="10.199999999999999" x14ac:dyDescent="0.2">
      <c r="A90" s="22"/>
      <c r="B90" s="22"/>
      <c r="C90" s="22"/>
      <c r="D90" s="22"/>
      <c r="E90" s="22" t="str">
        <f>E84</f>
        <v>конверсия в покупку одной услуги проката</v>
      </c>
      <c r="F90" s="22"/>
      <c r="G90" s="22" t="str">
        <f>IF($E90="","",INDEX(KPI!$G:$G,SUMIFS(KPI!$B:$B,KPI!$E:$E,$E90)))</f>
        <v>%</v>
      </c>
      <c r="H90" s="100">
        <f>структура!$V$17</f>
        <v>6</v>
      </c>
      <c r="I90" s="31"/>
      <c r="J90" s="98" t="str">
        <f>структура!$X$17</f>
        <v>июн</v>
      </c>
      <c r="K90" s="99"/>
      <c r="L90" s="22"/>
      <c r="M90" s="60" t="str">
        <f>структура!$M$13</f>
        <v>сценарий-2</v>
      </c>
      <c r="N90" s="22"/>
      <c r="O90" s="197" t="s">
        <v>0</v>
      </c>
      <c r="P90" s="199">
        <v>0.4</v>
      </c>
      <c r="Q90" s="199">
        <v>0.4</v>
      </c>
      <c r="R90" s="199">
        <v>0.4</v>
      </c>
      <c r="S90" s="199">
        <v>0.4</v>
      </c>
      <c r="T90" s="199">
        <v>0.4</v>
      </c>
      <c r="U90" s="199">
        <v>0.4</v>
      </c>
      <c r="V90" s="199">
        <v>0.4</v>
      </c>
      <c r="W90" s="199">
        <f>30%</f>
        <v>0.3</v>
      </c>
      <c r="X90" s="199">
        <f>30%</f>
        <v>0.3</v>
      </c>
      <c r="Y90" s="199">
        <f>30%</f>
        <v>0.3</v>
      </c>
      <c r="Z90" s="199">
        <f>30%</f>
        <v>0.3</v>
      </c>
      <c r="AA90" s="199">
        <f>30%</f>
        <v>0.3</v>
      </c>
      <c r="AB90" s="22"/>
    </row>
    <row r="91" spans="1:28" s="23" customFormat="1" ht="10.199999999999999" x14ac:dyDescent="0.2">
      <c r="A91" s="22"/>
      <c r="B91" s="22"/>
      <c r="C91" s="22"/>
      <c r="D91" s="22"/>
      <c r="E91" s="22" t="str">
        <f>E84</f>
        <v>конверсия в покупку одной услуги проката</v>
      </c>
      <c r="F91" s="22"/>
      <c r="G91" s="22" t="str">
        <f>IF($E91="","",INDEX(KPI!$G:$G,SUMIFS(KPI!$B:$B,KPI!$E:$E,$E91)))</f>
        <v>%</v>
      </c>
      <c r="H91" s="100">
        <f>структура!$V$18</f>
        <v>7</v>
      </c>
      <c r="I91" s="31"/>
      <c r="J91" s="98" t="str">
        <f>структура!$X$18</f>
        <v>июл</v>
      </c>
      <c r="K91" s="99"/>
      <c r="L91" s="22"/>
      <c r="M91" s="60" t="str">
        <f>структура!$M$13</f>
        <v>сценарий-2</v>
      </c>
      <c r="N91" s="22"/>
      <c r="O91" s="197" t="s">
        <v>0</v>
      </c>
      <c r="P91" s="199">
        <v>0.4</v>
      </c>
      <c r="Q91" s="199">
        <v>0.4</v>
      </c>
      <c r="R91" s="199">
        <v>0.4</v>
      </c>
      <c r="S91" s="199">
        <v>0.4</v>
      </c>
      <c r="T91" s="199">
        <v>0.4</v>
      </c>
      <c r="U91" s="199">
        <v>0.4</v>
      </c>
      <c r="V91" s="199">
        <v>0.4</v>
      </c>
      <c r="W91" s="199">
        <f>25%</f>
        <v>0.25</v>
      </c>
      <c r="X91" s="199">
        <f>25%</f>
        <v>0.25</v>
      </c>
      <c r="Y91" s="199">
        <f>25%</f>
        <v>0.25</v>
      </c>
      <c r="Z91" s="199">
        <f>25%</f>
        <v>0.25</v>
      </c>
      <c r="AA91" s="199">
        <f>25%</f>
        <v>0.25</v>
      </c>
      <c r="AB91" s="22"/>
    </row>
    <row r="92" spans="1:28" s="23" customFormat="1" ht="10.199999999999999" x14ac:dyDescent="0.2">
      <c r="A92" s="22"/>
      <c r="B92" s="22"/>
      <c r="C92" s="22"/>
      <c r="D92" s="22"/>
      <c r="E92" s="22" t="str">
        <f>E84</f>
        <v>конверсия в покупку одной услуги проката</v>
      </c>
      <c r="F92" s="22"/>
      <c r="G92" s="22" t="str">
        <f>IF($E92="","",INDEX(KPI!$G:$G,SUMIFS(KPI!$B:$B,KPI!$E:$E,$E92)))</f>
        <v>%</v>
      </c>
      <c r="H92" s="100">
        <f>структура!$V$19</f>
        <v>8</v>
      </c>
      <c r="I92" s="31"/>
      <c r="J92" s="98" t="str">
        <f>структура!$X$19</f>
        <v>авг</v>
      </c>
      <c r="K92" s="99"/>
      <c r="L92" s="22"/>
      <c r="M92" s="60" t="str">
        <f>структура!$M$13</f>
        <v>сценарий-2</v>
      </c>
      <c r="N92" s="22"/>
      <c r="O92" s="197" t="s">
        <v>0</v>
      </c>
      <c r="P92" s="199">
        <v>0.4</v>
      </c>
      <c r="Q92" s="199">
        <v>0.4</v>
      </c>
      <c r="R92" s="199">
        <v>0.4</v>
      </c>
      <c r="S92" s="199">
        <v>0.4</v>
      </c>
      <c r="T92" s="199">
        <v>0.4</v>
      </c>
      <c r="U92" s="199">
        <v>0.4</v>
      </c>
      <c r="V92" s="199">
        <v>0.4</v>
      </c>
      <c r="W92" s="199">
        <f>15%</f>
        <v>0.15</v>
      </c>
      <c r="X92" s="199">
        <f>15%</f>
        <v>0.15</v>
      </c>
      <c r="Y92" s="199">
        <f>15%</f>
        <v>0.15</v>
      </c>
      <c r="Z92" s="199">
        <f>15%</f>
        <v>0.15</v>
      </c>
      <c r="AA92" s="199">
        <f>15%</f>
        <v>0.15</v>
      </c>
      <c r="AB92" s="22"/>
    </row>
    <row r="93" spans="1:28" s="23" customFormat="1" ht="10.199999999999999" x14ac:dyDescent="0.2">
      <c r="A93" s="22"/>
      <c r="B93" s="22"/>
      <c r="C93" s="22"/>
      <c r="D93" s="22"/>
      <c r="E93" s="22" t="str">
        <f>E84</f>
        <v>конверсия в покупку одной услуги проката</v>
      </c>
      <c r="F93" s="22"/>
      <c r="G93" s="22" t="str">
        <f>IF($E93="","",INDEX(KPI!$G:$G,SUMIFS(KPI!$B:$B,KPI!$E:$E,$E93)))</f>
        <v>%</v>
      </c>
      <c r="H93" s="100">
        <f>структура!$V$20</f>
        <v>9</v>
      </c>
      <c r="I93" s="31"/>
      <c r="J93" s="98" t="str">
        <f>структура!$X$20</f>
        <v>сен</v>
      </c>
      <c r="K93" s="99"/>
      <c r="L93" s="22"/>
      <c r="M93" s="60" t="str">
        <f>структура!$M$13</f>
        <v>сценарий-2</v>
      </c>
      <c r="N93" s="22"/>
      <c r="O93" s="197" t="s">
        <v>0</v>
      </c>
      <c r="P93" s="199">
        <v>0.25</v>
      </c>
      <c r="Q93" s="199">
        <v>0.25</v>
      </c>
      <c r="R93" s="199">
        <v>0.25</v>
      </c>
      <c r="S93" s="199">
        <v>0.25</v>
      </c>
      <c r="T93" s="199">
        <v>0.25</v>
      </c>
      <c r="U93" s="199">
        <v>0.25</v>
      </c>
      <c r="V93" s="199">
        <v>0.25</v>
      </c>
      <c r="W93" s="199">
        <f>15%</f>
        <v>0.15</v>
      </c>
      <c r="X93" s="199">
        <f>15%</f>
        <v>0.15</v>
      </c>
      <c r="Y93" s="199">
        <f>15%</f>
        <v>0.15</v>
      </c>
      <c r="Z93" s="199">
        <f>15%</f>
        <v>0.15</v>
      </c>
      <c r="AA93" s="199">
        <f>15%</f>
        <v>0.15</v>
      </c>
      <c r="AB93" s="22"/>
    </row>
    <row r="94" spans="1:28" s="23" customFormat="1" ht="10.199999999999999" x14ac:dyDescent="0.2">
      <c r="A94" s="22"/>
      <c r="B94" s="22"/>
      <c r="C94" s="22"/>
      <c r="D94" s="22"/>
      <c r="E94" s="22" t="str">
        <f>E84</f>
        <v>конверсия в покупку одной услуги проката</v>
      </c>
      <c r="F94" s="22"/>
      <c r="G94" s="22" t="str">
        <f>IF($E94="","",INDEX(KPI!$G:$G,SUMIFS(KPI!$B:$B,KPI!$E:$E,$E94)))</f>
        <v>%</v>
      </c>
      <c r="H94" s="100">
        <f>структура!$V$21</f>
        <v>10</v>
      </c>
      <c r="I94" s="31"/>
      <c r="J94" s="98" t="str">
        <f>структура!$X$21</f>
        <v>окт</v>
      </c>
      <c r="K94" s="99"/>
      <c r="L94" s="22"/>
      <c r="M94" s="60" t="str">
        <f>структура!$M$13</f>
        <v>сценарий-2</v>
      </c>
      <c r="N94" s="22"/>
      <c r="O94" s="197" t="s">
        <v>0</v>
      </c>
      <c r="P94" s="199">
        <f>25%</f>
        <v>0.25</v>
      </c>
      <c r="Q94" s="199">
        <f>25%</f>
        <v>0.25</v>
      </c>
      <c r="R94" s="199">
        <f>25%</f>
        <v>0.25</v>
      </c>
      <c r="S94" s="199">
        <f>25%</f>
        <v>0.25</v>
      </c>
      <c r="T94" s="199">
        <f>25%</f>
        <v>0.25</v>
      </c>
      <c r="U94" s="199">
        <f>25%</f>
        <v>0.25</v>
      </c>
      <c r="V94" s="199">
        <f>25%</f>
        <v>0.25</v>
      </c>
      <c r="W94" s="199">
        <f>25%</f>
        <v>0.25</v>
      </c>
      <c r="X94" s="199">
        <f>25%</f>
        <v>0.25</v>
      </c>
      <c r="Y94" s="199">
        <f>25%</f>
        <v>0.25</v>
      </c>
      <c r="Z94" s="199">
        <f>25%</f>
        <v>0.25</v>
      </c>
      <c r="AA94" s="199">
        <f>25%</f>
        <v>0.25</v>
      </c>
      <c r="AB94" s="22"/>
    </row>
    <row r="95" spans="1:28" s="23" customFormat="1" ht="10.199999999999999" x14ac:dyDescent="0.2">
      <c r="A95" s="22"/>
      <c r="B95" s="22"/>
      <c r="C95" s="22"/>
      <c r="D95" s="22"/>
      <c r="E95" s="22" t="str">
        <f>E84</f>
        <v>конверсия в покупку одной услуги проката</v>
      </c>
      <c r="F95" s="22"/>
      <c r="G95" s="22" t="str">
        <f>IF($E95="","",INDEX(KPI!$G:$G,SUMIFS(KPI!$B:$B,KPI!$E:$E,$E95)))</f>
        <v>%</v>
      </c>
      <c r="H95" s="100">
        <f>структура!$V$22</f>
        <v>11</v>
      </c>
      <c r="I95" s="31"/>
      <c r="J95" s="98" t="str">
        <f>структура!$X$22</f>
        <v>ноя</v>
      </c>
      <c r="K95" s="99"/>
      <c r="L95" s="22"/>
      <c r="M95" s="60" t="str">
        <f>структура!$M$13</f>
        <v>сценарий-2</v>
      </c>
      <c r="N95" s="22"/>
      <c r="O95" s="197" t="s">
        <v>0</v>
      </c>
      <c r="P95" s="199">
        <v>0.2</v>
      </c>
      <c r="Q95" s="199">
        <v>0.2</v>
      </c>
      <c r="R95" s="199">
        <v>0.2</v>
      </c>
      <c r="S95" s="199">
        <v>0.2</v>
      </c>
      <c r="T95" s="199">
        <v>0.2</v>
      </c>
      <c r="U95" s="199">
        <v>0.2</v>
      </c>
      <c r="V95" s="199">
        <v>0.2</v>
      </c>
      <c r="W95" s="199">
        <f>40%</f>
        <v>0.4</v>
      </c>
      <c r="X95" s="199">
        <f>40%</f>
        <v>0.4</v>
      </c>
      <c r="Y95" s="199">
        <f>40%</f>
        <v>0.4</v>
      </c>
      <c r="Z95" s="199">
        <f>40%</f>
        <v>0.4</v>
      </c>
      <c r="AA95" s="199">
        <f>40%</f>
        <v>0.4</v>
      </c>
      <c r="AB95" s="22"/>
    </row>
    <row r="96" spans="1:28" s="23" customFormat="1" ht="10.199999999999999" x14ac:dyDescent="0.2">
      <c r="A96" s="22"/>
      <c r="B96" s="22"/>
      <c r="C96" s="22"/>
      <c r="D96" s="22"/>
      <c r="E96" s="22" t="str">
        <f>E84</f>
        <v>конверсия в покупку одной услуги проката</v>
      </c>
      <c r="F96" s="22"/>
      <c r="G96" s="22" t="str">
        <f>IF($E96="","",INDEX(KPI!$G:$G,SUMIFS(KPI!$B:$B,KPI!$E:$E,$E96)))</f>
        <v>%</v>
      </c>
      <c r="H96" s="100">
        <f>структура!$V$23</f>
        <v>12</v>
      </c>
      <c r="I96" s="31"/>
      <c r="J96" s="98" t="str">
        <f>структура!$X$23</f>
        <v>дек</v>
      </c>
      <c r="K96" s="99"/>
      <c r="L96" s="22"/>
      <c r="M96" s="60" t="str">
        <f>структура!$M$13</f>
        <v>сценарий-2</v>
      </c>
      <c r="N96" s="22"/>
      <c r="O96" s="197" t="s">
        <v>0</v>
      </c>
      <c r="P96" s="199">
        <v>0.3</v>
      </c>
      <c r="Q96" s="199">
        <v>0.3</v>
      </c>
      <c r="R96" s="199">
        <v>0.3</v>
      </c>
      <c r="S96" s="199">
        <v>0.3</v>
      </c>
      <c r="T96" s="199">
        <v>0.3</v>
      </c>
      <c r="U96" s="199">
        <v>0.3</v>
      </c>
      <c r="V96" s="199">
        <v>0.3</v>
      </c>
      <c r="W96" s="199">
        <f>60%</f>
        <v>0.6</v>
      </c>
      <c r="X96" s="199">
        <f>60%</f>
        <v>0.6</v>
      </c>
      <c r="Y96" s="199">
        <f>60%</f>
        <v>0.6</v>
      </c>
      <c r="Z96" s="199">
        <f>60%</f>
        <v>0.6</v>
      </c>
      <c r="AA96" s="199">
        <f>60%</f>
        <v>0.6</v>
      </c>
      <c r="AB96" s="22"/>
    </row>
    <row r="97" spans="1:28" ht="3.9" customHeight="1" x14ac:dyDescent="0.25">
      <c r="A97" s="2"/>
      <c r="B97" s="2"/>
      <c r="C97" s="2"/>
      <c r="D97" s="2"/>
      <c r="E97" s="21"/>
      <c r="F97" s="2"/>
      <c r="G97" s="21"/>
      <c r="H97" s="2"/>
      <c r="I97" s="28"/>
      <c r="J97" s="21"/>
      <c r="K97" s="28"/>
      <c r="L97" s="2"/>
      <c r="M97" s="201"/>
      <c r="N97" s="2"/>
      <c r="O97" s="196"/>
      <c r="P97" s="36"/>
      <c r="Q97" s="36"/>
      <c r="R97" s="36"/>
      <c r="S97" s="36"/>
      <c r="T97" s="36"/>
      <c r="U97" s="36"/>
      <c r="V97" s="36"/>
      <c r="W97" s="36"/>
      <c r="X97" s="36"/>
      <c r="Y97" s="36"/>
      <c r="Z97" s="36"/>
      <c r="AA97" s="36"/>
      <c r="AB97" s="2"/>
    </row>
    <row r="98" spans="1:28" ht="8.1" customHeight="1" x14ac:dyDescent="0.25">
      <c r="A98" s="2"/>
      <c r="B98" s="2"/>
      <c r="C98" s="2"/>
      <c r="D98" s="2"/>
      <c r="E98" s="2"/>
      <c r="F98" s="2"/>
      <c r="G98" s="2"/>
      <c r="H98" s="2"/>
      <c r="I98" s="28"/>
      <c r="J98" s="2"/>
      <c r="K98" s="28"/>
      <c r="L98" s="2"/>
      <c r="M98" s="52"/>
      <c r="N98" s="2"/>
      <c r="O98" s="196"/>
      <c r="P98" s="36"/>
      <c r="Q98" s="36"/>
      <c r="R98" s="36"/>
      <c r="S98" s="36"/>
      <c r="T98" s="36"/>
      <c r="U98" s="36"/>
      <c r="V98" s="36"/>
      <c r="W98" s="36"/>
      <c r="X98" s="36"/>
      <c r="Y98" s="36"/>
      <c r="Z98" s="36"/>
      <c r="AA98" s="36"/>
      <c r="AB98" s="2"/>
    </row>
    <row r="99" spans="1:28" ht="8.1" customHeight="1" x14ac:dyDescent="0.25">
      <c r="A99" s="2"/>
      <c r="B99" s="2"/>
      <c r="C99" s="2"/>
      <c r="D99" s="2"/>
      <c r="E99" s="2"/>
      <c r="F99" s="2"/>
      <c r="G99" s="2"/>
      <c r="H99" s="2"/>
      <c r="I99" s="28"/>
      <c r="J99" s="2"/>
      <c r="K99" s="28"/>
      <c r="L99" s="2"/>
      <c r="M99" s="52"/>
      <c r="N99" s="2"/>
      <c r="O99" s="196"/>
      <c r="P99" s="36"/>
      <c r="Q99" s="36"/>
      <c r="R99" s="36"/>
      <c r="S99" s="36"/>
      <c r="T99" s="36"/>
      <c r="U99" s="36"/>
      <c r="V99" s="36"/>
      <c r="W99" s="36"/>
      <c r="X99" s="36"/>
      <c r="Y99" s="36"/>
      <c r="Z99" s="36"/>
      <c r="AA99" s="36"/>
      <c r="AB99" s="2"/>
    </row>
    <row r="100" spans="1:28" s="5" customFormat="1" x14ac:dyDescent="0.25">
      <c r="A100" s="3"/>
      <c r="B100" s="3"/>
      <c r="C100" s="3"/>
      <c r="D100" s="3"/>
      <c r="E100" s="3" t="str">
        <f>KPI!$E$31</f>
        <v>наполняемость арендаторами</v>
      </c>
      <c r="F100" s="3"/>
      <c r="G100" s="3" t="str">
        <f>IF($E100="","",INDEX(KPI!$G:$G,SUMIFS(KPI!$B:$B,KPI!$E:$E,$E100)))</f>
        <v>%</v>
      </c>
      <c r="H100" s="3"/>
      <c r="I100" s="28"/>
      <c r="J100" s="44"/>
      <c r="K100" s="28"/>
      <c r="L100" s="3"/>
      <c r="M100" s="202" t="str">
        <f>структура!$M$14</f>
        <v>сценарий-3</v>
      </c>
      <c r="N100" s="3"/>
      <c r="O100" s="32"/>
      <c r="P100" s="104"/>
      <c r="Q100" s="46"/>
      <c r="R100" s="46"/>
      <c r="S100" s="46"/>
      <c r="T100" s="46"/>
      <c r="U100" s="46"/>
      <c r="V100" s="46"/>
      <c r="W100" s="46"/>
      <c r="X100" s="46"/>
      <c r="Y100" s="46"/>
      <c r="Z100" s="46"/>
      <c r="AA100" s="46"/>
      <c r="AB100" s="3"/>
    </row>
    <row r="101" spans="1:28" s="23" customFormat="1" ht="10.199999999999999" x14ac:dyDescent="0.2">
      <c r="A101" s="22"/>
      <c r="B101" s="22"/>
      <c r="C101" s="22"/>
      <c r="D101" s="22"/>
      <c r="E101" s="22" t="str">
        <f>E100</f>
        <v>наполняемость арендаторами</v>
      </c>
      <c r="F101" s="22"/>
      <c r="G101" s="22" t="str">
        <f>IF($E101="","",INDEX(KPI!$G:$G,SUMIFS(KPI!$B:$B,KPI!$E:$E,$E101)))</f>
        <v>%</v>
      </c>
      <c r="H101" s="100">
        <f>структура!$V$12</f>
        <v>1</v>
      </c>
      <c r="I101" s="31"/>
      <c r="J101" s="98" t="str">
        <f>структура!$X$12</f>
        <v>янв</v>
      </c>
      <c r="K101" s="99"/>
      <c r="L101" s="22"/>
      <c r="M101" s="60" t="str">
        <f>структура!$M$14</f>
        <v>сценарий-3</v>
      </c>
      <c r="N101" s="22"/>
      <c r="O101" s="197" t="s">
        <v>0</v>
      </c>
      <c r="P101" s="199">
        <v>0.5</v>
      </c>
      <c r="Q101" s="199">
        <v>0.5</v>
      </c>
      <c r="R101" s="199">
        <v>0.5</v>
      </c>
      <c r="S101" s="199">
        <v>0.5</v>
      </c>
      <c r="T101" s="199">
        <v>0.5</v>
      </c>
      <c r="U101" s="199">
        <v>0.5</v>
      </c>
      <c r="V101" s="199">
        <v>0.5</v>
      </c>
      <c r="W101" s="199">
        <v>0.5</v>
      </c>
      <c r="X101" s="199">
        <v>0.5</v>
      </c>
      <c r="Y101" s="199">
        <v>0.5</v>
      </c>
      <c r="Z101" s="199">
        <v>0.5</v>
      </c>
      <c r="AA101" s="199">
        <v>0.5</v>
      </c>
      <c r="AB101" s="22"/>
    </row>
    <row r="102" spans="1:28" s="23" customFormat="1" ht="10.199999999999999" x14ac:dyDescent="0.2">
      <c r="A102" s="22"/>
      <c r="B102" s="22"/>
      <c r="C102" s="22"/>
      <c r="D102" s="22"/>
      <c r="E102" s="22" t="str">
        <f>E100</f>
        <v>наполняемость арендаторами</v>
      </c>
      <c r="F102" s="22"/>
      <c r="G102" s="22" t="str">
        <f>IF($E102="","",INDEX(KPI!$G:$G,SUMIFS(KPI!$B:$B,KPI!$E:$E,$E102)))</f>
        <v>%</v>
      </c>
      <c r="H102" s="100">
        <f>структура!$V$13</f>
        <v>2</v>
      </c>
      <c r="I102" s="31"/>
      <c r="J102" s="98" t="str">
        <f>структура!$X$13</f>
        <v>фев</v>
      </c>
      <c r="K102" s="99"/>
      <c r="L102" s="22"/>
      <c r="M102" s="60" t="str">
        <f>структура!$M$14</f>
        <v>сценарий-3</v>
      </c>
      <c r="N102" s="22"/>
      <c r="O102" s="197" t="s">
        <v>0</v>
      </c>
      <c r="P102" s="199">
        <v>0.5</v>
      </c>
      <c r="Q102" s="199">
        <v>0.5</v>
      </c>
      <c r="R102" s="199">
        <v>0.5</v>
      </c>
      <c r="S102" s="199">
        <v>0.5</v>
      </c>
      <c r="T102" s="199">
        <v>0.5</v>
      </c>
      <c r="U102" s="199">
        <v>0.5</v>
      </c>
      <c r="V102" s="199">
        <v>0.5</v>
      </c>
      <c r="W102" s="199">
        <v>0.5</v>
      </c>
      <c r="X102" s="199">
        <v>0.5</v>
      </c>
      <c r="Y102" s="199">
        <v>0.5</v>
      </c>
      <c r="Z102" s="199">
        <v>0.5</v>
      </c>
      <c r="AA102" s="199">
        <v>0.5</v>
      </c>
      <c r="AB102" s="22"/>
    </row>
    <row r="103" spans="1:28" s="23" customFormat="1" ht="10.199999999999999" x14ac:dyDescent="0.2">
      <c r="A103" s="22"/>
      <c r="B103" s="22"/>
      <c r="C103" s="22"/>
      <c r="D103" s="22"/>
      <c r="E103" s="22" t="str">
        <f>E100</f>
        <v>наполняемость арендаторами</v>
      </c>
      <c r="F103" s="22"/>
      <c r="G103" s="22" t="str">
        <f>IF($E103="","",INDEX(KPI!$G:$G,SUMIFS(KPI!$B:$B,KPI!$E:$E,$E103)))</f>
        <v>%</v>
      </c>
      <c r="H103" s="100">
        <f>структура!$V$14</f>
        <v>3</v>
      </c>
      <c r="I103" s="31"/>
      <c r="J103" s="98" t="str">
        <f>структура!$X$14</f>
        <v>мар</v>
      </c>
      <c r="K103" s="99"/>
      <c r="L103" s="22"/>
      <c r="M103" s="60" t="str">
        <f>структура!$M$14</f>
        <v>сценарий-3</v>
      </c>
      <c r="N103" s="22"/>
      <c r="O103" s="197" t="s">
        <v>0</v>
      </c>
      <c r="P103" s="199">
        <v>0.5</v>
      </c>
      <c r="Q103" s="199">
        <v>0.5</v>
      </c>
      <c r="R103" s="199">
        <v>0.5</v>
      </c>
      <c r="S103" s="199">
        <v>0.5</v>
      </c>
      <c r="T103" s="199">
        <v>0.5</v>
      </c>
      <c r="U103" s="199">
        <v>0.5</v>
      </c>
      <c r="V103" s="199">
        <v>0.5</v>
      </c>
      <c r="W103" s="199">
        <v>0.5</v>
      </c>
      <c r="X103" s="199">
        <v>0.5</v>
      </c>
      <c r="Y103" s="199">
        <v>0.5</v>
      </c>
      <c r="Z103" s="199">
        <v>0.5</v>
      </c>
      <c r="AA103" s="199">
        <v>0.5</v>
      </c>
      <c r="AB103" s="22"/>
    </row>
    <row r="104" spans="1:28" s="23" customFormat="1" ht="10.199999999999999" x14ac:dyDescent="0.2">
      <c r="A104" s="22"/>
      <c r="B104" s="22"/>
      <c r="C104" s="22"/>
      <c r="D104" s="22"/>
      <c r="E104" s="22" t="str">
        <f>E100</f>
        <v>наполняемость арендаторами</v>
      </c>
      <c r="F104" s="22"/>
      <c r="G104" s="22" t="str">
        <f>IF($E104="","",INDEX(KPI!$G:$G,SUMIFS(KPI!$B:$B,KPI!$E:$E,$E104)))</f>
        <v>%</v>
      </c>
      <c r="H104" s="100">
        <f>структура!$V$15</f>
        <v>4</v>
      </c>
      <c r="I104" s="31"/>
      <c r="J104" s="98" t="str">
        <f>структура!$X$15</f>
        <v>апр</v>
      </c>
      <c r="K104" s="99"/>
      <c r="L104" s="22"/>
      <c r="M104" s="60" t="str">
        <f>структура!$M$14</f>
        <v>сценарий-3</v>
      </c>
      <c r="N104" s="22"/>
      <c r="O104" s="197" t="s">
        <v>0</v>
      </c>
      <c r="P104" s="199">
        <v>0.5</v>
      </c>
      <c r="Q104" s="199">
        <v>0.5</v>
      </c>
      <c r="R104" s="199">
        <v>0.5</v>
      </c>
      <c r="S104" s="199">
        <v>0.5</v>
      </c>
      <c r="T104" s="199">
        <v>0.5</v>
      </c>
      <c r="U104" s="199">
        <v>0.5</v>
      </c>
      <c r="V104" s="199">
        <v>0.5</v>
      </c>
      <c r="W104" s="199">
        <v>0.5</v>
      </c>
      <c r="X104" s="199">
        <v>0.5</v>
      </c>
      <c r="Y104" s="199">
        <v>0.5</v>
      </c>
      <c r="Z104" s="199">
        <v>0.5</v>
      </c>
      <c r="AA104" s="199">
        <v>0.5</v>
      </c>
      <c r="AB104" s="22"/>
    </row>
    <row r="105" spans="1:28" s="23" customFormat="1" ht="10.199999999999999" x14ac:dyDescent="0.2">
      <c r="A105" s="22"/>
      <c r="B105" s="22"/>
      <c r="C105" s="22"/>
      <c r="D105" s="22"/>
      <c r="E105" s="22" t="str">
        <f>E100</f>
        <v>наполняемость арендаторами</v>
      </c>
      <c r="F105" s="22"/>
      <c r="G105" s="22" t="str">
        <f>IF($E105="","",INDEX(KPI!$G:$G,SUMIFS(KPI!$B:$B,KPI!$E:$E,$E105)))</f>
        <v>%</v>
      </c>
      <c r="H105" s="100">
        <f>структура!$V$16</f>
        <v>5</v>
      </c>
      <c r="I105" s="31"/>
      <c r="J105" s="98" t="str">
        <f>структура!$X$16</f>
        <v>май</v>
      </c>
      <c r="K105" s="99"/>
      <c r="L105" s="22"/>
      <c r="M105" s="60" t="str">
        <f>структура!$M$14</f>
        <v>сценарий-3</v>
      </c>
      <c r="N105" s="22"/>
      <c r="O105" s="197" t="s">
        <v>0</v>
      </c>
      <c r="P105" s="199">
        <v>0.5</v>
      </c>
      <c r="Q105" s="199">
        <v>0.5</v>
      </c>
      <c r="R105" s="199">
        <v>0.5</v>
      </c>
      <c r="S105" s="199">
        <v>0.5</v>
      </c>
      <c r="T105" s="199">
        <v>0.5</v>
      </c>
      <c r="U105" s="199">
        <v>0.5</v>
      </c>
      <c r="V105" s="199">
        <v>0.5</v>
      </c>
      <c r="W105" s="199">
        <v>0.5</v>
      </c>
      <c r="X105" s="199">
        <v>0.5</v>
      </c>
      <c r="Y105" s="199">
        <v>0.5</v>
      </c>
      <c r="Z105" s="199">
        <v>0.5</v>
      </c>
      <c r="AA105" s="199">
        <v>0.5</v>
      </c>
      <c r="AB105" s="22"/>
    </row>
    <row r="106" spans="1:28" s="23" customFormat="1" ht="10.199999999999999" x14ac:dyDescent="0.2">
      <c r="A106" s="22"/>
      <c r="B106" s="22"/>
      <c r="C106" s="22"/>
      <c r="D106" s="22"/>
      <c r="E106" s="22" t="str">
        <f>E100</f>
        <v>наполняемость арендаторами</v>
      </c>
      <c r="F106" s="22"/>
      <c r="G106" s="22" t="str">
        <f>IF($E106="","",INDEX(KPI!$G:$G,SUMIFS(KPI!$B:$B,KPI!$E:$E,$E106)))</f>
        <v>%</v>
      </c>
      <c r="H106" s="100">
        <f>структура!$V$17</f>
        <v>6</v>
      </c>
      <c r="I106" s="31"/>
      <c r="J106" s="98" t="str">
        <f>структура!$X$17</f>
        <v>июн</v>
      </c>
      <c r="K106" s="99"/>
      <c r="L106" s="22"/>
      <c r="M106" s="60" t="str">
        <f>структура!$M$14</f>
        <v>сценарий-3</v>
      </c>
      <c r="N106" s="22"/>
      <c r="O106" s="197" t="s">
        <v>0</v>
      </c>
      <c r="P106" s="199">
        <v>0.5</v>
      </c>
      <c r="Q106" s="199">
        <v>0.5</v>
      </c>
      <c r="R106" s="199">
        <v>0.5</v>
      </c>
      <c r="S106" s="199">
        <v>0.5</v>
      </c>
      <c r="T106" s="199">
        <v>0.5</v>
      </c>
      <c r="U106" s="199">
        <v>0.5</v>
      </c>
      <c r="V106" s="199">
        <v>0.5</v>
      </c>
      <c r="W106" s="199">
        <v>0.5</v>
      </c>
      <c r="X106" s="199">
        <v>0.5</v>
      </c>
      <c r="Y106" s="199">
        <v>0.5</v>
      </c>
      <c r="Z106" s="199">
        <v>0.5</v>
      </c>
      <c r="AA106" s="199">
        <v>0.5</v>
      </c>
      <c r="AB106" s="22"/>
    </row>
    <row r="107" spans="1:28" s="23" customFormat="1" ht="10.199999999999999" x14ac:dyDescent="0.2">
      <c r="A107" s="22"/>
      <c r="B107" s="22"/>
      <c r="C107" s="22"/>
      <c r="D107" s="22"/>
      <c r="E107" s="22" t="str">
        <f>E100</f>
        <v>наполняемость арендаторами</v>
      </c>
      <c r="F107" s="22"/>
      <c r="G107" s="22" t="str">
        <f>IF($E107="","",INDEX(KPI!$G:$G,SUMIFS(KPI!$B:$B,KPI!$E:$E,$E107)))</f>
        <v>%</v>
      </c>
      <c r="H107" s="100">
        <f>структура!$V$18</f>
        <v>7</v>
      </c>
      <c r="I107" s="31"/>
      <c r="J107" s="98" t="str">
        <f>структура!$X$18</f>
        <v>июл</v>
      </c>
      <c r="K107" s="99"/>
      <c r="L107" s="22"/>
      <c r="M107" s="60" t="str">
        <f>структура!$M$14</f>
        <v>сценарий-3</v>
      </c>
      <c r="N107" s="22"/>
      <c r="O107" s="197" t="s">
        <v>0</v>
      </c>
      <c r="P107" s="199">
        <v>0.5</v>
      </c>
      <c r="Q107" s="199">
        <v>0.5</v>
      </c>
      <c r="R107" s="199">
        <v>0.5</v>
      </c>
      <c r="S107" s="199">
        <v>0.5</v>
      </c>
      <c r="T107" s="199">
        <v>0.5</v>
      </c>
      <c r="U107" s="199">
        <v>0.5</v>
      </c>
      <c r="V107" s="199">
        <v>0.5</v>
      </c>
      <c r="W107" s="199">
        <v>0.5</v>
      </c>
      <c r="X107" s="199">
        <v>0.5</v>
      </c>
      <c r="Y107" s="199">
        <v>0.5</v>
      </c>
      <c r="Z107" s="199">
        <v>0.5</v>
      </c>
      <c r="AA107" s="199">
        <v>0.5</v>
      </c>
      <c r="AB107" s="22"/>
    </row>
    <row r="108" spans="1:28" s="23" customFormat="1" ht="10.199999999999999" x14ac:dyDescent="0.2">
      <c r="A108" s="22"/>
      <c r="B108" s="22"/>
      <c r="C108" s="22"/>
      <c r="D108" s="22"/>
      <c r="E108" s="22" t="str">
        <f>E100</f>
        <v>наполняемость арендаторами</v>
      </c>
      <c r="F108" s="22"/>
      <c r="G108" s="22" t="str">
        <f>IF($E108="","",INDEX(KPI!$G:$G,SUMIFS(KPI!$B:$B,KPI!$E:$E,$E108)))</f>
        <v>%</v>
      </c>
      <c r="H108" s="100">
        <f>структура!$V$19</f>
        <v>8</v>
      </c>
      <c r="I108" s="31"/>
      <c r="J108" s="98" t="str">
        <f>структура!$X$19</f>
        <v>авг</v>
      </c>
      <c r="K108" s="99"/>
      <c r="L108" s="22"/>
      <c r="M108" s="60" t="str">
        <f>структура!$M$14</f>
        <v>сценарий-3</v>
      </c>
      <c r="N108" s="22"/>
      <c r="O108" s="197" t="s">
        <v>0</v>
      </c>
      <c r="P108" s="199">
        <v>0.5</v>
      </c>
      <c r="Q108" s="199">
        <v>0.5</v>
      </c>
      <c r="R108" s="199">
        <v>0.5</v>
      </c>
      <c r="S108" s="199">
        <v>0.5</v>
      </c>
      <c r="T108" s="199">
        <v>0.5</v>
      </c>
      <c r="U108" s="199">
        <v>0.5</v>
      </c>
      <c r="V108" s="199">
        <v>0.5</v>
      </c>
      <c r="W108" s="199">
        <v>0.5</v>
      </c>
      <c r="X108" s="199">
        <v>0.5</v>
      </c>
      <c r="Y108" s="199">
        <v>0.5</v>
      </c>
      <c r="Z108" s="199">
        <v>0.5</v>
      </c>
      <c r="AA108" s="199">
        <v>0.5</v>
      </c>
      <c r="AB108" s="22"/>
    </row>
    <row r="109" spans="1:28" s="23" customFormat="1" ht="10.199999999999999" x14ac:dyDescent="0.2">
      <c r="A109" s="22"/>
      <c r="B109" s="22"/>
      <c r="C109" s="22"/>
      <c r="D109" s="22"/>
      <c r="E109" s="22" t="str">
        <f>E100</f>
        <v>наполняемость арендаторами</v>
      </c>
      <c r="F109" s="22"/>
      <c r="G109" s="22" t="str">
        <f>IF($E109="","",INDEX(KPI!$G:$G,SUMIFS(KPI!$B:$B,KPI!$E:$E,$E109)))</f>
        <v>%</v>
      </c>
      <c r="H109" s="100">
        <f>структура!$V$20</f>
        <v>9</v>
      </c>
      <c r="I109" s="31"/>
      <c r="J109" s="98" t="str">
        <f>структура!$X$20</f>
        <v>сен</v>
      </c>
      <c r="K109" s="99"/>
      <c r="L109" s="22"/>
      <c r="M109" s="60" t="str">
        <f>структура!$M$14</f>
        <v>сценарий-3</v>
      </c>
      <c r="N109" s="22"/>
      <c r="O109" s="197" t="s">
        <v>0</v>
      </c>
      <c r="P109" s="199">
        <v>0.5</v>
      </c>
      <c r="Q109" s="199">
        <v>0.5</v>
      </c>
      <c r="R109" s="199">
        <v>0.5</v>
      </c>
      <c r="S109" s="199">
        <v>0.5</v>
      </c>
      <c r="T109" s="199">
        <v>0.5</v>
      </c>
      <c r="U109" s="199">
        <v>0.5</v>
      </c>
      <c r="V109" s="199">
        <v>0.5</v>
      </c>
      <c r="W109" s="199">
        <v>0.5</v>
      </c>
      <c r="X109" s="199">
        <v>0.5</v>
      </c>
      <c r="Y109" s="199">
        <v>0.5</v>
      </c>
      <c r="Z109" s="199">
        <v>0.5</v>
      </c>
      <c r="AA109" s="199">
        <v>0.5</v>
      </c>
      <c r="AB109" s="22"/>
    </row>
    <row r="110" spans="1:28" s="23" customFormat="1" ht="10.199999999999999" x14ac:dyDescent="0.2">
      <c r="A110" s="22"/>
      <c r="B110" s="22"/>
      <c r="C110" s="22"/>
      <c r="D110" s="22"/>
      <c r="E110" s="22" t="str">
        <f>E100</f>
        <v>наполняемость арендаторами</v>
      </c>
      <c r="F110" s="22"/>
      <c r="G110" s="22" t="str">
        <f>IF($E110="","",INDEX(KPI!$G:$G,SUMIFS(KPI!$B:$B,KPI!$E:$E,$E110)))</f>
        <v>%</v>
      </c>
      <c r="H110" s="100">
        <f>структура!$V$21</f>
        <v>10</v>
      </c>
      <c r="I110" s="31"/>
      <c r="J110" s="98" t="str">
        <f>структура!$X$21</f>
        <v>окт</v>
      </c>
      <c r="K110" s="99"/>
      <c r="L110" s="22"/>
      <c r="M110" s="60" t="str">
        <f>структура!$M$14</f>
        <v>сценарий-3</v>
      </c>
      <c r="N110" s="22"/>
      <c r="O110" s="197" t="s">
        <v>0</v>
      </c>
      <c r="P110" s="199">
        <v>0.5</v>
      </c>
      <c r="Q110" s="199">
        <v>0.5</v>
      </c>
      <c r="R110" s="199">
        <v>0.5</v>
      </c>
      <c r="S110" s="199">
        <v>0.5</v>
      </c>
      <c r="T110" s="199">
        <v>0.5</v>
      </c>
      <c r="U110" s="199">
        <v>0.5</v>
      </c>
      <c r="V110" s="199">
        <v>0.5</v>
      </c>
      <c r="W110" s="199">
        <v>0.5</v>
      </c>
      <c r="X110" s="199">
        <v>0.5</v>
      </c>
      <c r="Y110" s="199">
        <v>0.5</v>
      </c>
      <c r="Z110" s="199">
        <v>0.5</v>
      </c>
      <c r="AA110" s="199">
        <v>0.5</v>
      </c>
      <c r="AB110" s="22"/>
    </row>
    <row r="111" spans="1:28" s="23" customFormat="1" ht="10.199999999999999" x14ac:dyDescent="0.2">
      <c r="A111" s="22"/>
      <c r="B111" s="22"/>
      <c r="C111" s="22"/>
      <c r="D111" s="22"/>
      <c r="E111" s="22" t="str">
        <f>E100</f>
        <v>наполняемость арендаторами</v>
      </c>
      <c r="F111" s="22"/>
      <c r="G111" s="22" t="str">
        <f>IF($E111="","",INDEX(KPI!$G:$G,SUMIFS(KPI!$B:$B,KPI!$E:$E,$E111)))</f>
        <v>%</v>
      </c>
      <c r="H111" s="100">
        <f>структура!$V$22</f>
        <v>11</v>
      </c>
      <c r="I111" s="31"/>
      <c r="J111" s="98" t="str">
        <f>структура!$X$22</f>
        <v>ноя</v>
      </c>
      <c r="K111" s="99"/>
      <c r="L111" s="22"/>
      <c r="M111" s="60" t="str">
        <f>структура!$M$14</f>
        <v>сценарий-3</v>
      </c>
      <c r="N111" s="22"/>
      <c r="O111" s="197" t="s">
        <v>0</v>
      </c>
      <c r="P111" s="199">
        <v>0.5</v>
      </c>
      <c r="Q111" s="199">
        <v>0.5</v>
      </c>
      <c r="R111" s="199">
        <v>0.5</v>
      </c>
      <c r="S111" s="199">
        <v>0.5</v>
      </c>
      <c r="T111" s="199">
        <v>0.5</v>
      </c>
      <c r="U111" s="199">
        <v>0.5</v>
      </c>
      <c r="V111" s="199">
        <v>0.5</v>
      </c>
      <c r="W111" s="199">
        <v>0.5</v>
      </c>
      <c r="X111" s="199">
        <v>0.5</v>
      </c>
      <c r="Y111" s="199">
        <v>0.5</v>
      </c>
      <c r="Z111" s="199">
        <v>0.5</v>
      </c>
      <c r="AA111" s="199">
        <v>0.5</v>
      </c>
      <c r="AB111" s="22"/>
    </row>
    <row r="112" spans="1:28" s="23" customFormat="1" ht="10.199999999999999" x14ac:dyDescent="0.2">
      <c r="A112" s="22"/>
      <c r="B112" s="22"/>
      <c r="C112" s="22"/>
      <c r="D112" s="22"/>
      <c r="E112" s="22" t="str">
        <f>E100</f>
        <v>наполняемость арендаторами</v>
      </c>
      <c r="F112" s="22"/>
      <c r="G112" s="22" t="str">
        <f>IF($E112="","",INDEX(KPI!$G:$G,SUMIFS(KPI!$B:$B,KPI!$E:$E,$E112)))</f>
        <v>%</v>
      </c>
      <c r="H112" s="100">
        <f>структура!$V$23</f>
        <v>12</v>
      </c>
      <c r="I112" s="31"/>
      <c r="J112" s="98" t="str">
        <f>структура!$X$23</f>
        <v>дек</v>
      </c>
      <c r="K112" s="99"/>
      <c r="L112" s="22"/>
      <c r="M112" s="60" t="str">
        <f>структура!$M$14</f>
        <v>сценарий-3</v>
      </c>
      <c r="N112" s="22"/>
      <c r="O112" s="197" t="s">
        <v>0</v>
      </c>
      <c r="P112" s="199">
        <v>0.5</v>
      </c>
      <c r="Q112" s="199">
        <v>0.5</v>
      </c>
      <c r="R112" s="199">
        <v>0.5</v>
      </c>
      <c r="S112" s="199">
        <v>0.5</v>
      </c>
      <c r="T112" s="199">
        <v>0.5</v>
      </c>
      <c r="U112" s="199">
        <v>0.5</v>
      </c>
      <c r="V112" s="199">
        <v>0.5</v>
      </c>
      <c r="W112" s="199">
        <v>0.5</v>
      </c>
      <c r="X112" s="199">
        <v>0.5</v>
      </c>
      <c r="Y112" s="199">
        <v>0.5</v>
      </c>
      <c r="Z112" s="199">
        <v>0.5</v>
      </c>
      <c r="AA112" s="199">
        <v>0.5</v>
      </c>
      <c r="AB112" s="22"/>
    </row>
    <row r="113" spans="1:28" ht="3.9" customHeight="1" x14ac:dyDescent="0.25">
      <c r="A113" s="2"/>
      <c r="B113" s="2"/>
      <c r="C113" s="2"/>
      <c r="D113" s="2"/>
      <c r="E113" s="21"/>
      <c r="F113" s="2"/>
      <c r="G113" s="21"/>
      <c r="H113" s="2"/>
      <c r="I113" s="28"/>
      <c r="J113" s="21"/>
      <c r="K113" s="28"/>
      <c r="L113" s="2"/>
      <c r="M113" s="201"/>
      <c r="N113" s="2"/>
      <c r="O113" s="196"/>
      <c r="P113" s="36"/>
      <c r="Q113" s="36"/>
      <c r="R113" s="36"/>
      <c r="S113" s="36"/>
      <c r="T113" s="36"/>
      <c r="U113" s="36"/>
      <c r="V113" s="36"/>
      <c r="W113" s="36"/>
      <c r="X113" s="36"/>
      <c r="Y113" s="36"/>
      <c r="Z113" s="36"/>
      <c r="AA113" s="36"/>
      <c r="AB113" s="2"/>
    </row>
    <row r="114" spans="1:28" ht="8.1" customHeight="1" x14ac:dyDescent="0.25">
      <c r="A114" s="2"/>
      <c r="B114" s="2"/>
      <c r="C114" s="2"/>
      <c r="D114" s="2"/>
      <c r="E114" s="2"/>
      <c r="F114" s="2"/>
      <c r="G114" s="2"/>
      <c r="H114" s="2"/>
      <c r="I114" s="28"/>
      <c r="J114" s="2"/>
      <c r="K114" s="28"/>
      <c r="L114" s="2"/>
      <c r="M114" s="201"/>
      <c r="N114" s="2"/>
      <c r="O114" s="196"/>
      <c r="P114" s="36"/>
      <c r="Q114" s="36"/>
      <c r="R114" s="36"/>
      <c r="S114" s="36"/>
      <c r="T114" s="36"/>
      <c r="U114" s="36"/>
      <c r="V114" s="36"/>
      <c r="W114" s="36"/>
      <c r="X114" s="36"/>
      <c r="Y114" s="36"/>
      <c r="Z114" s="36"/>
      <c r="AA114" s="36"/>
      <c r="AB114" s="2"/>
    </row>
    <row r="115" spans="1:28" s="5" customFormat="1" x14ac:dyDescent="0.25">
      <c r="A115" s="3"/>
      <c r="B115" s="3"/>
      <c r="C115" s="3"/>
      <c r="D115" s="3"/>
      <c r="E115" s="3" t="str">
        <f>KPI!$E$37</f>
        <v>средняя наполняемость одного объекта</v>
      </c>
      <c r="F115" s="3"/>
      <c r="G115" s="3" t="str">
        <f>IF($E115="","",INDEX(KPI!$G:$G,SUMIFS(KPI!$B:$B,KPI!$E:$E,$E115)))</f>
        <v>чел</v>
      </c>
      <c r="H115" s="3"/>
      <c r="I115" s="28"/>
      <c r="J115" s="103"/>
      <c r="K115" s="28"/>
      <c r="L115" s="3"/>
      <c r="M115" s="153" t="str">
        <f>структура!$M$14</f>
        <v>сценарий-3</v>
      </c>
      <c r="N115" s="3"/>
      <c r="O115" s="32"/>
      <c r="P115" s="46"/>
      <c r="Q115" s="46"/>
      <c r="R115" s="46"/>
      <c r="S115" s="46"/>
      <c r="T115" s="46"/>
      <c r="U115" s="46"/>
      <c r="V115" s="46"/>
      <c r="W115" s="46"/>
      <c r="X115" s="46"/>
      <c r="Y115" s="46"/>
      <c r="Z115" s="46"/>
      <c r="AA115" s="46"/>
      <c r="AB115" s="3"/>
    </row>
    <row r="116" spans="1:28" ht="3.9" customHeight="1" x14ac:dyDescent="0.25">
      <c r="A116" s="2"/>
      <c r="B116" s="2"/>
      <c r="C116" s="2"/>
      <c r="D116" s="2"/>
      <c r="E116" s="2"/>
      <c r="F116" s="2"/>
      <c r="G116" s="2"/>
      <c r="H116" s="2"/>
      <c r="I116" s="28"/>
      <c r="J116" s="2"/>
      <c r="K116" s="28"/>
      <c r="L116" s="2"/>
      <c r="M116" s="201"/>
      <c r="N116" s="2"/>
      <c r="O116" s="196"/>
      <c r="P116" s="36"/>
      <c r="Q116" s="36"/>
      <c r="R116" s="36"/>
      <c r="S116" s="36"/>
      <c r="T116" s="36"/>
      <c r="U116" s="36"/>
      <c r="V116" s="36"/>
      <c r="W116" s="36"/>
      <c r="X116" s="36"/>
      <c r="Y116" s="36"/>
      <c r="Z116" s="36"/>
      <c r="AA116" s="36"/>
      <c r="AB116" s="2"/>
    </row>
    <row r="117" spans="1:28" x14ac:dyDescent="0.25">
      <c r="A117" s="2"/>
      <c r="B117" s="2"/>
      <c r="C117" s="2"/>
      <c r="D117" s="2"/>
      <c r="E117" s="48" t="str">
        <f>структура!$AF$12</f>
        <v>беседка большая</v>
      </c>
      <c r="F117" s="2"/>
      <c r="G117" s="2" t="str">
        <f>G115</f>
        <v>чел</v>
      </c>
      <c r="H117" s="2"/>
      <c r="I117" s="6" t="s">
        <v>0</v>
      </c>
      <c r="J117" s="200">
        <v>18</v>
      </c>
      <c r="K117" s="105" t="str">
        <f>IF(J117&gt;операции!$J$75,структура!$AL$19,"")</f>
        <v/>
      </c>
      <c r="L117" s="2"/>
      <c r="M117" s="201" t="str">
        <f>структура!$M$14</f>
        <v>сценарий-3</v>
      </c>
      <c r="N117" s="2"/>
      <c r="O117" s="196"/>
      <c r="P117" s="36"/>
      <c r="Q117" s="36"/>
      <c r="R117" s="36"/>
      <c r="S117" s="36"/>
      <c r="T117" s="36"/>
      <c r="U117" s="36"/>
      <c r="V117" s="36"/>
      <c r="W117" s="36"/>
      <c r="X117" s="36"/>
      <c r="Y117" s="36"/>
      <c r="Z117" s="36"/>
      <c r="AA117" s="36"/>
      <c r="AB117" s="2"/>
    </row>
    <row r="118" spans="1:28" x14ac:dyDescent="0.25">
      <c r="A118" s="2"/>
      <c r="B118" s="2"/>
      <c r="C118" s="2"/>
      <c r="D118" s="2"/>
      <c r="E118" s="49" t="str">
        <f>структура!$AF$13</f>
        <v>беседка малая</v>
      </c>
      <c r="F118" s="2"/>
      <c r="G118" s="2" t="str">
        <f>G115</f>
        <v>чел</v>
      </c>
      <c r="H118" s="2"/>
      <c r="I118" s="6" t="s">
        <v>0</v>
      </c>
      <c r="J118" s="200">
        <v>9</v>
      </c>
      <c r="K118" s="105" t="str">
        <f>IF(J118&gt;операции!$J$76,структура!$AL$19,"")</f>
        <v/>
      </c>
      <c r="L118" s="2"/>
      <c r="M118" s="201" t="str">
        <f>структура!$M$14</f>
        <v>сценарий-3</v>
      </c>
      <c r="N118" s="2"/>
      <c r="O118" s="196"/>
      <c r="P118" s="36"/>
      <c r="Q118" s="36"/>
      <c r="R118" s="36"/>
      <c r="S118" s="36"/>
      <c r="T118" s="36"/>
      <c r="U118" s="36"/>
      <c r="V118" s="36"/>
      <c r="W118" s="36"/>
      <c r="X118" s="36"/>
      <c r="Y118" s="36"/>
      <c r="Z118" s="36"/>
      <c r="AA118" s="36"/>
      <c r="AB118" s="2"/>
    </row>
    <row r="119" spans="1:28" x14ac:dyDescent="0.25">
      <c r="A119" s="2"/>
      <c r="B119" s="2"/>
      <c r="C119" s="2"/>
      <c r="D119" s="2"/>
      <c r="E119" s="49" t="str">
        <f>структура!$AF$14</f>
        <v>прочие для сдачи в аренду</v>
      </c>
      <c r="F119" s="2"/>
      <c r="G119" s="2" t="str">
        <f>G115</f>
        <v>чел</v>
      </c>
      <c r="H119" s="2"/>
      <c r="I119" s="6" t="s">
        <v>0</v>
      </c>
      <c r="J119" s="200"/>
      <c r="K119" s="28"/>
      <c r="L119" s="2"/>
      <c r="M119" s="201" t="str">
        <f>структура!$M$14</f>
        <v>сценарий-3</v>
      </c>
      <c r="N119" s="2"/>
      <c r="O119" s="196"/>
      <c r="P119" s="36"/>
      <c r="Q119" s="36"/>
      <c r="R119" s="36"/>
      <c r="S119" s="36"/>
      <c r="T119" s="36"/>
      <c r="U119" s="36"/>
      <c r="V119" s="36"/>
      <c r="W119" s="36"/>
      <c r="X119" s="36"/>
      <c r="Y119" s="36"/>
      <c r="Z119" s="36"/>
      <c r="AA119" s="36"/>
      <c r="AB119" s="2"/>
    </row>
    <row r="120" spans="1:28" ht="3.9" customHeight="1" x14ac:dyDescent="0.25">
      <c r="A120" s="2"/>
      <c r="B120" s="2"/>
      <c r="C120" s="2"/>
      <c r="D120" s="2"/>
      <c r="E120" s="50"/>
      <c r="F120" s="2"/>
      <c r="G120" s="2"/>
      <c r="H120" s="2"/>
      <c r="I120" s="28"/>
      <c r="J120" s="2"/>
      <c r="K120" s="28"/>
      <c r="L120" s="2"/>
      <c r="M120" s="201"/>
      <c r="N120" s="2"/>
      <c r="O120" s="196"/>
      <c r="P120" s="36"/>
      <c r="Q120" s="36"/>
      <c r="R120" s="36"/>
      <c r="S120" s="36"/>
      <c r="T120" s="36"/>
      <c r="U120" s="36"/>
      <c r="V120" s="36"/>
      <c r="W120" s="36"/>
      <c r="X120" s="36"/>
      <c r="Y120" s="36"/>
      <c r="Z120" s="36"/>
      <c r="AA120" s="36"/>
      <c r="AB120" s="2"/>
    </row>
    <row r="121" spans="1:28" ht="3.9" customHeight="1" x14ac:dyDescent="0.25">
      <c r="A121" s="2"/>
      <c r="B121" s="2"/>
      <c r="C121" s="2"/>
      <c r="D121" s="2"/>
      <c r="E121" s="2"/>
      <c r="F121" s="2"/>
      <c r="G121" s="2"/>
      <c r="H121" s="2"/>
      <c r="I121" s="28"/>
      <c r="J121" s="2"/>
      <c r="K121" s="28"/>
      <c r="L121" s="2"/>
      <c r="M121" s="201"/>
      <c r="N121" s="2"/>
      <c r="O121" s="196"/>
      <c r="P121" s="36"/>
      <c r="Q121" s="36"/>
      <c r="R121" s="36"/>
      <c r="S121" s="36"/>
      <c r="T121" s="36"/>
      <c r="U121" s="36"/>
      <c r="V121" s="36"/>
      <c r="W121" s="36"/>
      <c r="X121" s="36"/>
      <c r="Y121" s="36"/>
      <c r="Z121" s="36"/>
      <c r="AA121" s="36"/>
      <c r="AB121" s="2"/>
    </row>
    <row r="122" spans="1:28" ht="8.1" customHeight="1" x14ac:dyDescent="0.25">
      <c r="A122" s="2"/>
      <c r="B122" s="2"/>
      <c r="C122" s="2"/>
      <c r="D122" s="2"/>
      <c r="E122" s="2"/>
      <c r="F122" s="2"/>
      <c r="G122" s="2"/>
      <c r="H122" s="2"/>
      <c r="I122" s="28"/>
      <c r="J122" s="2"/>
      <c r="K122" s="28"/>
      <c r="L122" s="2"/>
      <c r="M122" s="201"/>
      <c r="N122" s="2"/>
      <c r="O122" s="196"/>
      <c r="P122" s="36"/>
      <c r="Q122" s="36"/>
      <c r="R122" s="36"/>
      <c r="S122" s="36"/>
      <c r="T122" s="36"/>
      <c r="U122" s="36"/>
      <c r="V122" s="36"/>
      <c r="W122" s="36"/>
      <c r="X122" s="36"/>
      <c r="Y122" s="36"/>
      <c r="Z122" s="36"/>
      <c r="AA122" s="36"/>
      <c r="AB122" s="2"/>
    </row>
    <row r="123" spans="1:28" s="5" customFormat="1" x14ac:dyDescent="0.25">
      <c r="A123" s="3"/>
      <c r="B123" s="3"/>
      <c r="C123" s="3"/>
      <c r="D123" s="3"/>
      <c r="E123" s="3" t="str">
        <f>KPI!$E$41</f>
        <v>%-нт прироста "безарендного" траффика</v>
      </c>
      <c r="F123" s="3"/>
      <c r="G123" s="3" t="str">
        <f>IF($E123="","",INDEX(KPI!$G:$G,SUMIFS(KPI!$B:$B,KPI!$E:$E,$E123)))</f>
        <v>%</v>
      </c>
      <c r="H123" s="3"/>
      <c r="I123" s="6" t="s">
        <v>0</v>
      </c>
      <c r="J123" s="107">
        <v>0.3</v>
      </c>
      <c r="K123" s="28"/>
      <c r="L123" s="103"/>
      <c r="M123" s="153" t="str">
        <f>структура!$M$14</f>
        <v>сценарий-3</v>
      </c>
      <c r="N123" s="3"/>
      <c r="O123" s="32"/>
      <c r="P123" s="46"/>
      <c r="Q123" s="46"/>
      <c r="R123" s="46"/>
      <c r="S123" s="46"/>
      <c r="T123" s="46"/>
      <c r="U123" s="46"/>
      <c r="V123" s="46"/>
      <c r="W123" s="46"/>
      <c r="X123" s="46"/>
      <c r="Y123" s="46"/>
      <c r="Z123" s="46"/>
      <c r="AA123" s="46"/>
      <c r="AB123" s="3"/>
    </row>
    <row r="124" spans="1:28" ht="3.9" customHeight="1" x14ac:dyDescent="0.25">
      <c r="A124" s="2"/>
      <c r="B124" s="2"/>
      <c r="C124" s="2"/>
      <c r="D124" s="2"/>
      <c r="E124" s="2"/>
      <c r="F124" s="2"/>
      <c r="G124" s="2"/>
      <c r="H124" s="2"/>
      <c r="I124" s="28"/>
      <c r="J124" s="2"/>
      <c r="K124" s="28"/>
      <c r="L124" s="2"/>
      <c r="M124" s="201"/>
      <c r="N124" s="2"/>
      <c r="O124" s="196"/>
      <c r="P124" s="36"/>
      <c r="Q124" s="36"/>
      <c r="R124" s="36"/>
      <c r="S124" s="36"/>
      <c r="T124" s="36"/>
      <c r="U124" s="36"/>
      <c r="V124" s="36"/>
      <c r="W124" s="36"/>
      <c r="X124" s="36"/>
      <c r="Y124" s="36"/>
      <c r="Z124" s="36"/>
      <c r="AA124" s="36"/>
      <c r="AB124" s="2"/>
    </row>
    <row r="125" spans="1:28" ht="8.1" customHeight="1" x14ac:dyDescent="0.25">
      <c r="A125" s="2"/>
      <c r="B125" s="2"/>
      <c r="C125" s="2"/>
      <c r="D125" s="2"/>
      <c r="E125" s="2"/>
      <c r="F125" s="2"/>
      <c r="G125" s="2"/>
      <c r="H125" s="2"/>
      <c r="I125" s="28"/>
      <c r="J125" s="2"/>
      <c r="K125" s="28"/>
      <c r="L125" s="2"/>
      <c r="M125" s="201"/>
      <c r="N125" s="2"/>
      <c r="O125" s="196"/>
      <c r="P125" s="36"/>
      <c r="Q125" s="36"/>
      <c r="R125" s="36"/>
      <c r="S125" s="36"/>
      <c r="T125" s="36"/>
      <c r="U125" s="36"/>
      <c r="V125" s="36"/>
      <c r="W125" s="36"/>
      <c r="X125" s="36"/>
      <c r="Y125" s="36"/>
      <c r="Z125" s="36"/>
      <c r="AA125" s="36"/>
      <c r="AB125" s="2"/>
    </row>
    <row r="126" spans="1:28" ht="3.9" customHeight="1" x14ac:dyDescent="0.25">
      <c r="A126" s="2"/>
      <c r="B126" s="2"/>
      <c r="C126" s="2"/>
      <c r="D126" s="2"/>
      <c r="E126" s="21"/>
      <c r="F126" s="2"/>
      <c r="G126" s="21"/>
      <c r="H126" s="2"/>
      <c r="I126" s="28"/>
      <c r="J126" s="21"/>
      <c r="K126" s="28"/>
      <c r="L126" s="2"/>
      <c r="M126" s="201"/>
      <c r="N126" s="2"/>
      <c r="O126" s="196"/>
      <c r="P126" s="36"/>
      <c r="Q126" s="36"/>
      <c r="R126" s="36"/>
      <c r="S126" s="36"/>
      <c r="T126" s="36"/>
      <c r="U126" s="36"/>
      <c r="V126" s="36"/>
      <c r="W126" s="36"/>
      <c r="X126" s="36"/>
      <c r="Y126" s="36"/>
      <c r="Z126" s="36"/>
      <c r="AA126" s="36"/>
      <c r="AB126" s="2"/>
    </row>
    <row r="127" spans="1:28" ht="8.1" customHeight="1" x14ac:dyDescent="0.25">
      <c r="A127" s="2"/>
      <c r="B127" s="2"/>
      <c r="C127" s="2"/>
      <c r="D127" s="2"/>
      <c r="E127" s="2"/>
      <c r="F127" s="2"/>
      <c r="G127" s="2"/>
      <c r="H127" s="2"/>
      <c r="I127" s="28"/>
      <c r="J127" s="2"/>
      <c r="K127" s="28"/>
      <c r="L127" s="2"/>
      <c r="M127" s="201"/>
      <c r="N127" s="2"/>
      <c r="O127" s="196"/>
      <c r="P127" s="36"/>
      <c r="Q127" s="36"/>
      <c r="R127" s="36"/>
      <c r="S127" s="36"/>
      <c r="T127" s="36"/>
      <c r="U127" s="36"/>
      <c r="V127" s="36"/>
      <c r="W127" s="36"/>
      <c r="X127" s="36"/>
      <c r="Y127" s="36"/>
      <c r="Z127" s="36"/>
      <c r="AA127" s="36"/>
      <c r="AB127" s="2"/>
    </row>
    <row r="128" spans="1:28" s="5" customFormat="1" x14ac:dyDescent="0.25">
      <c r="A128" s="3"/>
      <c r="B128" s="3"/>
      <c r="C128" s="3"/>
      <c r="D128" s="3"/>
      <c r="E128" s="3" t="str">
        <f>KPI!$E$40</f>
        <v>конверсия в покупку одной услуги проката</v>
      </c>
      <c r="F128" s="3"/>
      <c r="G128" s="3" t="str">
        <f>IF($E128="","",INDEX(KPI!$G:$G,SUMIFS(KPI!$B:$B,KPI!$E:$E,$E128)))</f>
        <v>%</v>
      </c>
      <c r="H128" s="3"/>
      <c r="I128" s="28"/>
      <c r="J128" s="44"/>
      <c r="K128" s="28"/>
      <c r="L128" s="3"/>
      <c r="M128" s="153" t="str">
        <f>структура!$M$14</f>
        <v>сценарий-3</v>
      </c>
      <c r="N128" s="3"/>
      <c r="O128" s="32"/>
      <c r="P128" s="104"/>
      <c r="Q128" s="46"/>
      <c r="R128" s="46"/>
      <c r="S128" s="46"/>
      <c r="T128" s="46"/>
      <c r="U128" s="46"/>
      <c r="V128" s="46"/>
      <c r="W128" s="46"/>
      <c r="X128" s="46"/>
      <c r="Y128" s="46"/>
      <c r="Z128" s="46"/>
      <c r="AA128" s="46"/>
      <c r="AB128" s="3"/>
    </row>
    <row r="129" spans="1:28" s="23" customFormat="1" ht="10.199999999999999" x14ac:dyDescent="0.2">
      <c r="A129" s="22"/>
      <c r="B129" s="22"/>
      <c r="C129" s="22"/>
      <c r="D129" s="22"/>
      <c r="E129" s="22" t="str">
        <f>E128</f>
        <v>конверсия в покупку одной услуги проката</v>
      </c>
      <c r="F129" s="22"/>
      <c r="G129" s="22" t="str">
        <f>IF($E129="","",INDEX(KPI!$G:$G,SUMIFS(KPI!$B:$B,KPI!$E:$E,$E129)))</f>
        <v>%</v>
      </c>
      <c r="H129" s="100">
        <f>структура!$V$12</f>
        <v>1</v>
      </c>
      <c r="I129" s="31"/>
      <c r="J129" s="98" t="str">
        <f>структура!$X$12</f>
        <v>янв</v>
      </c>
      <c r="K129" s="99"/>
      <c r="L129" s="22"/>
      <c r="M129" s="60" t="str">
        <f>структура!$M$14</f>
        <v>сценарий-3</v>
      </c>
      <c r="N129" s="22"/>
      <c r="O129" s="197" t="s">
        <v>0</v>
      </c>
      <c r="P129" s="199">
        <v>0.25</v>
      </c>
      <c r="Q129" s="199">
        <v>0.25</v>
      </c>
      <c r="R129" s="199">
        <v>0.25</v>
      </c>
      <c r="S129" s="199">
        <v>0.25</v>
      </c>
      <c r="T129" s="199">
        <v>0.25</v>
      </c>
      <c r="U129" s="199">
        <v>0.25</v>
      </c>
      <c r="V129" s="199">
        <v>0.25</v>
      </c>
      <c r="W129" s="199">
        <f>20%</f>
        <v>0.2</v>
      </c>
      <c r="X129" s="199">
        <f>20%</f>
        <v>0.2</v>
      </c>
      <c r="Y129" s="199">
        <f>20%</f>
        <v>0.2</v>
      </c>
      <c r="Z129" s="199">
        <f>20%</f>
        <v>0.2</v>
      </c>
      <c r="AA129" s="199">
        <f>20%</f>
        <v>0.2</v>
      </c>
      <c r="AB129" s="22"/>
    </row>
    <row r="130" spans="1:28" s="23" customFormat="1" ht="10.199999999999999" x14ac:dyDescent="0.2">
      <c r="A130" s="22"/>
      <c r="B130" s="22"/>
      <c r="C130" s="22"/>
      <c r="D130" s="22"/>
      <c r="E130" s="22" t="str">
        <f>E128</f>
        <v>конверсия в покупку одной услуги проката</v>
      </c>
      <c r="F130" s="22"/>
      <c r="G130" s="22" t="str">
        <f>IF($E130="","",INDEX(KPI!$G:$G,SUMIFS(KPI!$B:$B,KPI!$E:$E,$E130)))</f>
        <v>%</v>
      </c>
      <c r="H130" s="100">
        <f>структура!$V$13</f>
        <v>2</v>
      </c>
      <c r="I130" s="31"/>
      <c r="J130" s="98" t="str">
        <f>структура!$X$13</f>
        <v>фев</v>
      </c>
      <c r="K130" s="99"/>
      <c r="L130" s="22"/>
      <c r="M130" s="60" t="str">
        <f>структура!$M$14</f>
        <v>сценарий-3</v>
      </c>
      <c r="N130" s="22"/>
      <c r="O130" s="197" t="s">
        <v>0</v>
      </c>
      <c r="P130" s="199">
        <v>0.2</v>
      </c>
      <c r="Q130" s="199">
        <v>0.2</v>
      </c>
      <c r="R130" s="199">
        <v>0.2</v>
      </c>
      <c r="S130" s="199">
        <v>0.2</v>
      </c>
      <c r="T130" s="199">
        <v>0.2</v>
      </c>
      <c r="U130" s="199">
        <v>0.2</v>
      </c>
      <c r="V130" s="199">
        <v>0.2</v>
      </c>
      <c r="W130" s="199">
        <f>25%</f>
        <v>0.25</v>
      </c>
      <c r="X130" s="199">
        <f>25%</f>
        <v>0.25</v>
      </c>
      <c r="Y130" s="199">
        <f>25%</f>
        <v>0.25</v>
      </c>
      <c r="Z130" s="199">
        <f>25%</f>
        <v>0.25</v>
      </c>
      <c r="AA130" s="199">
        <f>25%</f>
        <v>0.25</v>
      </c>
      <c r="AB130" s="22"/>
    </row>
    <row r="131" spans="1:28" s="23" customFormat="1" ht="10.199999999999999" x14ac:dyDescent="0.2">
      <c r="A131" s="22"/>
      <c r="B131" s="22"/>
      <c r="C131" s="22"/>
      <c r="D131" s="22"/>
      <c r="E131" s="22" t="str">
        <f>E128</f>
        <v>конверсия в покупку одной услуги проката</v>
      </c>
      <c r="F131" s="22"/>
      <c r="G131" s="22" t="str">
        <f>IF($E131="","",INDEX(KPI!$G:$G,SUMIFS(KPI!$B:$B,KPI!$E:$E,$E131)))</f>
        <v>%</v>
      </c>
      <c r="H131" s="100">
        <f>структура!$V$14</f>
        <v>3</v>
      </c>
      <c r="I131" s="31"/>
      <c r="J131" s="98" t="str">
        <f>структура!$X$14</f>
        <v>мар</v>
      </c>
      <c r="K131" s="99"/>
      <c r="L131" s="22"/>
      <c r="M131" s="60" t="str">
        <f>структура!$M$14</f>
        <v>сценарий-3</v>
      </c>
      <c r="N131" s="22"/>
      <c r="O131" s="197" t="s">
        <v>0</v>
      </c>
      <c r="P131" s="199">
        <f>20%</f>
        <v>0.2</v>
      </c>
      <c r="Q131" s="199">
        <f>20%</f>
        <v>0.2</v>
      </c>
      <c r="R131" s="199">
        <f>20%</f>
        <v>0.2</v>
      </c>
      <c r="S131" s="199">
        <f>20%</f>
        <v>0.2</v>
      </c>
      <c r="T131" s="199">
        <f>20%</f>
        <v>0.2</v>
      </c>
      <c r="U131" s="199">
        <f>20%</f>
        <v>0.2</v>
      </c>
      <c r="V131" s="199">
        <f>20%</f>
        <v>0.2</v>
      </c>
      <c r="W131" s="199">
        <f>20%</f>
        <v>0.2</v>
      </c>
      <c r="X131" s="199">
        <f>20%</f>
        <v>0.2</v>
      </c>
      <c r="Y131" s="199">
        <f>20%</f>
        <v>0.2</v>
      </c>
      <c r="Z131" s="199">
        <f>20%</f>
        <v>0.2</v>
      </c>
      <c r="AA131" s="199">
        <f>20%</f>
        <v>0.2</v>
      </c>
      <c r="AB131" s="22"/>
    </row>
    <row r="132" spans="1:28" s="23" customFormat="1" ht="10.199999999999999" x14ac:dyDescent="0.2">
      <c r="A132" s="22"/>
      <c r="B132" s="22"/>
      <c r="C132" s="22"/>
      <c r="D132" s="22"/>
      <c r="E132" s="22" t="str">
        <f>E128</f>
        <v>конверсия в покупку одной услуги проката</v>
      </c>
      <c r="F132" s="22"/>
      <c r="G132" s="22" t="str">
        <f>IF($E132="","",INDEX(KPI!$G:$G,SUMIFS(KPI!$B:$B,KPI!$E:$E,$E132)))</f>
        <v>%</v>
      </c>
      <c r="H132" s="100">
        <f>структура!$V$15</f>
        <v>4</v>
      </c>
      <c r="I132" s="31"/>
      <c r="J132" s="98" t="str">
        <f>структура!$X$15</f>
        <v>апр</v>
      </c>
      <c r="K132" s="99"/>
      <c r="L132" s="22"/>
      <c r="M132" s="60" t="str">
        <f>структура!$M$14</f>
        <v>сценарий-3</v>
      </c>
      <c r="N132" s="22"/>
      <c r="O132" s="197" t="s">
        <v>0</v>
      </c>
      <c r="P132" s="199">
        <f>20%</f>
        <v>0.2</v>
      </c>
      <c r="Q132" s="199">
        <f>20%</f>
        <v>0.2</v>
      </c>
      <c r="R132" s="199">
        <f>20%</f>
        <v>0.2</v>
      </c>
      <c r="S132" s="199">
        <f>20%</f>
        <v>0.2</v>
      </c>
      <c r="T132" s="199">
        <f>20%</f>
        <v>0.2</v>
      </c>
      <c r="U132" s="199">
        <f>20%</f>
        <v>0.2</v>
      </c>
      <c r="V132" s="199">
        <f>20%</f>
        <v>0.2</v>
      </c>
      <c r="W132" s="199">
        <f>20%</f>
        <v>0.2</v>
      </c>
      <c r="X132" s="199">
        <f>20%</f>
        <v>0.2</v>
      </c>
      <c r="Y132" s="199">
        <f>20%</f>
        <v>0.2</v>
      </c>
      <c r="Z132" s="199">
        <f>20%</f>
        <v>0.2</v>
      </c>
      <c r="AA132" s="199">
        <f>20%</f>
        <v>0.2</v>
      </c>
      <c r="AB132" s="22"/>
    </row>
    <row r="133" spans="1:28" s="23" customFormat="1" ht="10.199999999999999" x14ac:dyDescent="0.2">
      <c r="A133" s="22"/>
      <c r="B133" s="22"/>
      <c r="C133" s="22"/>
      <c r="D133" s="22"/>
      <c r="E133" s="22" t="str">
        <f>E128</f>
        <v>конверсия в покупку одной услуги проката</v>
      </c>
      <c r="F133" s="22"/>
      <c r="G133" s="22" t="str">
        <f>IF($E133="","",INDEX(KPI!$G:$G,SUMIFS(KPI!$B:$B,KPI!$E:$E,$E133)))</f>
        <v>%</v>
      </c>
      <c r="H133" s="100">
        <f>структура!$V$16</f>
        <v>5</v>
      </c>
      <c r="I133" s="31"/>
      <c r="J133" s="98" t="str">
        <f>структура!$X$16</f>
        <v>май</v>
      </c>
      <c r="K133" s="99"/>
      <c r="L133" s="22"/>
      <c r="M133" s="60" t="str">
        <f>структура!$M$14</f>
        <v>сценарий-3</v>
      </c>
      <c r="N133" s="22"/>
      <c r="O133" s="197" t="s">
        <v>0</v>
      </c>
      <c r="P133" s="199">
        <f>40%</f>
        <v>0.4</v>
      </c>
      <c r="Q133" s="199">
        <f>40%</f>
        <v>0.4</v>
      </c>
      <c r="R133" s="199">
        <f>40%</f>
        <v>0.4</v>
      </c>
      <c r="S133" s="199">
        <f>40%</f>
        <v>0.4</v>
      </c>
      <c r="T133" s="199">
        <f>40%</f>
        <v>0.4</v>
      </c>
      <c r="U133" s="199">
        <f>40%</f>
        <v>0.4</v>
      </c>
      <c r="V133" s="199">
        <f>40%</f>
        <v>0.4</v>
      </c>
      <c r="W133" s="199">
        <f>40%</f>
        <v>0.4</v>
      </c>
      <c r="X133" s="199">
        <f>40%</f>
        <v>0.4</v>
      </c>
      <c r="Y133" s="199">
        <f>40%</f>
        <v>0.4</v>
      </c>
      <c r="Z133" s="199">
        <f>40%</f>
        <v>0.4</v>
      </c>
      <c r="AA133" s="199">
        <f>40%</f>
        <v>0.4</v>
      </c>
      <c r="AB133" s="22"/>
    </row>
    <row r="134" spans="1:28" s="23" customFormat="1" ht="10.199999999999999" x14ac:dyDescent="0.2">
      <c r="A134" s="22"/>
      <c r="B134" s="22"/>
      <c r="C134" s="22"/>
      <c r="D134" s="22"/>
      <c r="E134" s="22" t="str">
        <f>E128</f>
        <v>конверсия в покупку одной услуги проката</v>
      </c>
      <c r="F134" s="22"/>
      <c r="G134" s="22" t="str">
        <f>IF($E134="","",INDEX(KPI!$G:$G,SUMIFS(KPI!$B:$B,KPI!$E:$E,$E134)))</f>
        <v>%</v>
      </c>
      <c r="H134" s="100">
        <f>структура!$V$17</f>
        <v>6</v>
      </c>
      <c r="I134" s="31"/>
      <c r="J134" s="98" t="str">
        <f>структура!$X$17</f>
        <v>июн</v>
      </c>
      <c r="K134" s="99"/>
      <c r="L134" s="22"/>
      <c r="M134" s="60" t="str">
        <f>структура!$M$14</f>
        <v>сценарий-3</v>
      </c>
      <c r="N134" s="22"/>
      <c r="O134" s="197" t="s">
        <v>0</v>
      </c>
      <c r="P134" s="199">
        <v>0.4</v>
      </c>
      <c r="Q134" s="199">
        <v>0.4</v>
      </c>
      <c r="R134" s="199">
        <v>0.4</v>
      </c>
      <c r="S134" s="199">
        <v>0.4</v>
      </c>
      <c r="T134" s="199">
        <v>0.4</v>
      </c>
      <c r="U134" s="199">
        <v>0.4</v>
      </c>
      <c r="V134" s="199">
        <v>0.4</v>
      </c>
      <c r="W134" s="199">
        <f>30%</f>
        <v>0.3</v>
      </c>
      <c r="X134" s="199">
        <f>30%</f>
        <v>0.3</v>
      </c>
      <c r="Y134" s="199">
        <f>30%</f>
        <v>0.3</v>
      </c>
      <c r="Z134" s="199">
        <f>30%</f>
        <v>0.3</v>
      </c>
      <c r="AA134" s="199">
        <f>30%</f>
        <v>0.3</v>
      </c>
      <c r="AB134" s="22"/>
    </row>
    <row r="135" spans="1:28" s="23" customFormat="1" ht="10.199999999999999" x14ac:dyDescent="0.2">
      <c r="A135" s="22"/>
      <c r="B135" s="22"/>
      <c r="C135" s="22"/>
      <c r="D135" s="22"/>
      <c r="E135" s="22" t="str">
        <f>E128</f>
        <v>конверсия в покупку одной услуги проката</v>
      </c>
      <c r="F135" s="22"/>
      <c r="G135" s="22" t="str">
        <f>IF($E135="","",INDEX(KPI!$G:$G,SUMIFS(KPI!$B:$B,KPI!$E:$E,$E135)))</f>
        <v>%</v>
      </c>
      <c r="H135" s="100">
        <f>структура!$V$18</f>
        <v>7</v>
      </c>
      <c r="I135" s="31"/>
      <c r="J135" s="98" t="str">
        <f>структура!$X$18</f>
        <v>июл</v>
      </c>
      <c r="K135" s="99"/>
      <c r="L135" s="22"/>
      <c r="M135" s="60" t="str">
        <f>структура!$M$14</f>
        <v>сценарий-3</v>
      </c>
      <c r="N135" s="22"/>
      <c r="O135" s="197" t="s">
        <v>0</v>
      </c>
      <c r="P135" s="199">
        <v>0.4</v>
      </c>
      <c r="Q135" s="199">
        <v>0.4</v>
      </c>
      <c r="R135" s="199">
        <v>0.4</v>
      </c>
      <c r="S135" s="199">
        <v>0.4</v>
      </c>
      <c r="T135" s="199">
        <v>0.4</v>
      </c>
      <c r="U135" s="199">
        <v>0.4</v>
      </c>
      <c r="V135" s="199">
        <v>0.4</v>
      </c>
      <c r="W135" s="199">
        <f>25%</f>
        <v>0.25</v>
      </c>
      <c r="X135" s="199">
        <f>25%</f>
        <v>0.25</v>
      </c>
      <c r="Y135" s="199">
        <f>25%</f>
        <v>0.25</v>
      </c>
      <c r="Z135" s="199">
        <f>25%</f>
        <v>0.25</v>
      </c>
      <c r="AA135" s="199">
        <f>25%</f>
        <v>0.25</v>
      </c>
      <c r="AB135" s="22"/>
    </row>
    <row r="136" spans="1:28" s="23" customFormat="1" ht="10.199999999999999" x14ac:dyDescent="0.2">
      <c r="A136" s="22"/>
      <c r="B136" s="22"/>
      <c r="C136" s="22"/>
      <c r="D136" s="22"/>
      <c r="E136" s="22" t="str">
        <f>E128</f>
        <v>конверсия в покупку одной услуги проката</v>
      </c>
      <c r="F136" s="22"/>
      <c r="G136" s="22" t="str">
        <f>IF($E136="","",INDEX(KPI!$G:$G,SUMIFS(KPI!$B:$B,KPI!$E:$E,$E136)))</f>
        <v>%</v>
      </c>
      <c r="H136" s="100">
        <f>структура!$V$19</f>
        <v>8</v>
      </c>
      <c r="I136" s="31"/>
      <c r="J136" s="98" t="str">
        <f>структура!$X$19</f>
        <v>авг</v>
      </c>
      <c r="K136" s="99"/>
      <c r="L136" s="22"/>
      <c r="M136" s="60" t="str">
        <f>структура!$M$14</f>
        <v>сценарий-3</v>
      </c>
      <c r="N136" s="22"/>
      <c r="O136" s="197" t="s">
        <v>0</v>
      </c>
      <c r="P136" s="199">
        <v>0.4</v>
      </c>
      <c r="Q136" s="199">
        <v>0.4</v>
      </c>
      <c r="R136" s="199">
        <v>0.4</v>
      </c>
      <c r="S136" s="199">
        <v>0.4</v>
      </c>
      <c r="T136" s="199">
        <v>0.4</v>
      </c>
      <c r="U136" s="199">
        <v>0.4</v>
      </c>
      <c r="V136" s="199">
        <v>0.4</v>
      </c>
      <c r="W136" s="199">
        <f>15%</f>
        <v>0.15</v>
      </c>
      <c r="X136" s="199">
        <f>15%</f>
        <v>0.15</v>
      </c>
      <c r="Y136" s="199">
        <f>15%</f>
        <v>0.15</v>
      </c>
      <c r="Z136" s="199">
        <f>15%</f>
        <v>0.15</v>
      </c>
      <c r="AA136" s="199">
        <f>15%</f>
        <v>0.15</v>
      </c>
      <c r="AB136" s="22"/>
    </row>
    <row r="137" spans="1:28" s="23" customFormat="1" ht="10.199999999999999" x14ac:dyDescent="0.2">
      <c r="A137" s="22"/>
      <c r="B137" s="22"/>
      <c r="C137" s="22"/>
      <c r="D137" s="22"/>
      <c r="E137" s="22" t="str">
        <f>E128</f>
        <v>конверсия в покупку одной услуги проката</v>
      </c>
      <c r="F137" s="22"/>
      <c r="G137" s="22" t="str">
        <f>IF($E137="","",INDEX(KPI!$G:$G,SUMIFS(KPI!$B:$B,KPI!$E:$E,$E137)))</f>
        <v>%</v>
      </c>
      <c r="H137" s="100">
        <f>структура!$V$20</f>
        <v>9</v>
      </c>
      <c r="I137" s="31"/>
      <c r="J137" s="98" t="str">
        <f>структура!$X$20</f>
        <v>сен</v>
      </c>
      <c r="K137" s="99"/>
      <c r="L137" s="22"/>
      <c r="M137" s="60" t="str">
        <f>структура!$M$14</f>
        <v>сценарий-3</v>
      </c>
      <c r="N137" s="22"/>
      <c r="O137" s="197" t="s">
        <v>0</v>
      </c>
      <c r="P137" s="199">
        <v>0.25</v>
      </c>
      <c r="Q137" s="199">
        <v>0.25</v>
      </c>
      <c r="R137" s="199">
        <v>0.25</v>
      </c>
      <c r="S137" s="199">
        <v>0.25</v>
      </c>
      <c r="T137" s="199">
        <v>0.25</v>
      </c>
      <c r="U137" s="199">
        <v>0.25</v>
      </c>
      <c r="V137" s="199">
        <v>0.25</v>
      </c>
      <c r="W137" s="199">
        <f>15%</f>
        <v>0.15</v>
      </c>
      <c r="X137" s="199">
        <f>15%</f>
        <v>0.15</v>
      </c>
      <c r="Y137" s="199">
        <f>15%</f>
        <v>0.15</v>
      </c>
      <c r="Z137" s="199">
        <f>15%</f>
        <v>0.15</v>
      </c>
      <c r="AA137" s="199">
        <f>15%</f>
        <v>0.15</v>
      </c>
      <c r="AB137" s="22"/>
    </row>
    <row r="138" spans="1:28" s="23" customFormat="1" ht="10.199999999999999" x14ac:dyDescent="0.2">
      <c r="A138" s="22"/>
      <c r="B138" s="22"/>
      <c r="C138" s="22"/>
      <c r="D138" s="22"/>
      <c r="E138" s="22" t="str">
        <f>E128</f>
        <v>конверсия в покупку одной услуги проката</v>
      </c>
      <c r="F138" s="22"/>
      <c r="G138" s="22" t="str">
        <f>IF($E138="","",INDEX(KPI!$G:$G,SUMIFS(KPI!$B:$B,KPI!$E:$E,$E138)))</f>
        <v>%</v>
      </c>
      <c r="H138" s="100">
        <f>структура!$V$21</f>
        <v>10</v>
      </c>
      <c r="I138" s="31"/>
      <c r="J138" s="98" t="str">
        <f>структура!$X$21</f>
        <v>окт</v>
      </c>
      <c r="K138" s="99"/>
      <c r="L138" s="22"/>
      <c r="M138" s="60" t="str">
        <f>структура!$M$14</f>
        <v>сценарий-3</v>
      </c>
      <c r="N138" s="22"/>
      <c r="O138" s="197" t="s">
        <v>0</v>
      </c>
      <c r="P138" s="199">
        <f>25%</f>
        <v>0.25</v>
      </c>
      <c r="Q138" s="199">
        <f>25%</f>
        <v>0.25</v>
      </c>
      <c r="R138" s="199">
        <f>25%</f>
        <v>0.25</v>
      </c>
      <c r="S138" s="199">
        <f>25%</f>
        <v>0.25</v>
      </c>
      <c r="T138" s="199">
        <f>25%</f>
        <v>0.25</v>
      </c>
      <c r="U138" s="199">
        <f>25%</f>
        <v>0.25</v>
      </c>
      <c r="V138" s="199">
        <f>25%</f>
        <v>0.25</v>
      </c>
      <c r="W138" s="199">
        <f>25%</f>
        <v>0.25</v>
      </c>
      <c r="X138" s="199">
        <f>25%</f>
        <v>0.25</v>
      </c>
      <c r="Y138" s="199">
        <f>25%</f>
        <v>0.25</v>
      </c>
      <c r="Z138" s="199">
        <f>25%</f>
        <v>0.25</v>
      </c>
      <c r="AA138" s="199">
        <f>25%</f>
        <v>0.25</v>
      </c>
      <c r="AB138" s="22"/>
    </row>
    <row r="139" spans="1:28" s="23" customFormat="1" ht="10.199999999999999" x14ac:dyDescent="0.2">
      <c r="A139" s="22"/>
      <c r="B139" s="22"/>
      <c r="C139" s="22"/>
      <c r="D139" s="22"/>
      <c r="E139" s="22" t="str">
        <f>E128</f>
        <v>конверсия в покупку одной услуги проката</v>
      </c>
      <c r="F139" s="22"/>
      <c r="G139" s="22" t="str">
        <f>IF($E139="","",INDEX(KPI!$G:$G,SUMIFS(KPI!$B:$B,KPI!$E:$E,$E139)))</f>
        <v>%</v>
      </c>
      <c r="H139" s="100">
        <f>структура!$V$22</f>
        <v>11</v>
      </c>
      <c r="I139" s="31"/>
      <c r="J139" s="98" t="str">
        <f>структура!$X$22</f>
        <v>ноя</v>
      </c>
      <c r="K139" s="99"/>
      <c r="L139" s="22"/>
      <c r="M139" s="60" t="str">
        <f>структура!$M$14</f>
        <v>сценарий-3</v>
      </c>
      <c r="N139" s="22"/>
      <c r="O139" s="197" t="s">
        <v>0</v>
      </c>
      <c r="P139" s="199">
        <v>0.2</v>
      </c>
      <c r="Q139" s="199">
        <v>0.2</v>
      </c>
      <c r="R139" s="199">
        <v>0.2</v>
      </c>
      <c r="S139" s="199">
        <v>0.2</v>
      </c>
      <c r="T139" s="199">
        <v>0.2</v>
      </c>
      <c r="U139" s="199">
        <v>0.2</v>
      </c>
      <c r="V139" s="199">
        <v>0.2</v>
      </c>
      <c r="W139" s="199">
        <f>40%</f>
        <v>0.4</v>
      </c>
      <c r="X139" s="199">
        <f>40%</f>
        <v>0.4</v>
      </c>
      <c r="Y139" s="199">
        <f>40%</f>
        <v>0.4</v>
      </c>
      <c r="Z139" s="199">
        <f>40%</f>
        <v>0.4</v>
      </c>
      <c r="AA139" s="199">
        <f>40%</f>
        <v>0.4</v>
      </c>
      <c r="AB139" s="22"/>
    </row>
    <row r="140" spans="1:28" s="23" customFormat="1" ht="10.199999999999999" x14ac:dyDescent="0.2">
      <c r="A140" s="22"/>
      <c r="B140" s="22"/>
      <c r="C140" s="22"/>
      <c r="D140" s="22"/>
      <c r="E140" s="22" t="str">
        <f>E128</f>
        <v>конверсия в покупку одной услуги проката</v>
      </c>
      <c r="F140" s="22"/>
      <c r="G140" s="22" t="str">
        <f>IF($E140="","",INDEX(KPI!$G:$G,SUMIFS(KPI!$B:$B,KPI!$E:$E,$E140)))</f>
        <v>%</v>
      </c>
      <c r="H140" s="100">
        <f>структура!$V$23</f>
        <v>12</v>
      </c>
      <c r="I140" s="31"/>
      <c r="J140" s="98" t="str">
        <f>структура!$X$23</f>
        <v>дек</v>
      </c>
      <c r="K140" s="99"/>
      <c r="L140" s="22"/>
      <c r="M140" s="60" t="str">
        <f>структура!$M$14</f>
        <v>сценарий-3</v>
      </c>
      <c r="N140" s="22"/>
      <c r="O140" s="197" t="s">
        <v>0</v>
      </c>
      <c r="P140" s="199">
        <v>0.3</v>
      </c>
      <c r="Q140" s="199">
        <v>0.3</v>
      </c>
      <c r="R140" s="199">
        <v>0.3</v>
      </c>
      <c r="S140" s="199">
        <v>0.3</v>
      </c>
      <c r="T140" s="199">
        <v>0.3</v>
      </c>
      <c r="U140" s="199">
        <v>0.3</v>
      </c>
      <c r="V140" s="199">
        <v>0.3</v>
      </c>
      <c r="W140" s="199">
        <f>60%</f>
        <v>0.6</v>
      </c>
      <c r="X140" s="199">
        <f>60%</f>
        <v>0.6</v>
      </c>
      <c r="Y140" s="199">
        <f>60%</f>
        <v>0.6</v>
      </c>
      <c r="Z140" s="199">
        <f>60%</f>
        <v>0.6</v>
      </c>
      <c r="AA140" s="199">
        <f>60%</f>
        <v>0.6</v>
      </c>
      <c r="AB140" s="22"/>
    </row>
    <row r="141" spans="1:28" ht="3.9" customHeight="1" x14ac:dyDescent="0.25">
      <c r="A141" s="2"/>
      <c r="B141" s="2"/>
      <c r="C141" s="2"/>
      <c r="D141" s="2"/>
      <c r="E141" s="21"/>
      <c r="F141" s="2"/>
      <c r="G141" s="21"/>
      <c r="H141" s="2"/>
      <c r="I141" s="28"/>
      <c r="J141" s="21"/>
      <c r="K141" s="28"/>
      <c r="L141" s="2"/>
      <c r="M141" s="201"/>
      <c r="N141" s="2"/>
      <c r="O141" s="196"/>
      <c r="P141" s="36"/>
      <c r="Q141" s="36"/>
      <c r="R141" s="36"/>
      <c r="S141" s="36"/>
      <c r="T141" s="36"/>
      <c r="U141" s="36"/>
      <c r="V141" s="36"/>
      <c r="W141" s="36"/>
      <c r="X141" s="36"/>
      <c r="Y141" s="36"/>
      <c r="Z141" s="36"/>
      <c r="AA141" s="36"/>
      <c r="AB141" s="2"/>
    </row>
    <row r="142" spans="1:28" x14ac:dyDescent="0.25">
      <c r="A142" s="2"/>
      <c r="B142" s="2"/>
      <c r="C142" s="2"/>
      <c r="D142" s="2"/>
      <c r="E142" s="2"/>
      <c r="F142" s="2"/>
      <c r="G142" s="2"/>
      <c r="H142" s="2"/>
      <c r="I142" s="28"/>
      <c r="J142" s="2"/>
      <c r="K142" s="28"/>
      <c r="L142" s="2"/>
      <c r="M142" s="52"/>
      <c r="N142" s="2"/>
      <c r="O142" s="196"/>
      <c r="P142" s="36"/>
      <c r="Q142" s="36"/>
      <c r="R142" s="36"/>
      <c r="S142" s="36"/>
      <c r="T142" s="36"/>
      <c r="U142" s="36"/>
      <c r="V142" s="36"/>
      <c r="W142" s="36"/>
      <c r="X142" s="36"/>
      <c r="Y142" s="36"/>
      <c r="Z142" s="36"/>
      <c r="AA142" s="36"/>
      <c r="AB142" s="2"/>
    </row>
    <row r="143" spans="1:28" x14ac:dyDescent="0.25">
      <c r="A143" s="2"/>
      <c r="B143" s="2"/>
      <c r="C143" s="2"/>
      <c r="D143" s="2"/>
      <c r="E143" s="2"/>
      <c r="F143" s="2"/>
      <c r="G143" s="2"/>
      <c r="H143" s="2"/>
      <c r="I143" s="28"/>
      <c r="J143" s="2"/>
      <c r="K143" s="28"/>
      <c r="L143" s="2"/>
      <c r="M143" s="52"/>
      <c r="N143" s="2"/>
      <c r="O143" s="196"/>
      <c r="P143" s="36"/>
      <c r="Q143" s="36"/>
      <c r="R143" s="36"/>
      <c r="S143" s="36"/>
      <c r="T143" s="36"/>
      <c r="U143" s="36"/>
      <c r="V143" s="36"/>
      <c r="W143" s="36"/>
      <c r="X143" s="36"/>
      <c r="Y143" s="36"/>
      <c r="Z143" s="36"/>
      <c r="AA143" s="36"/>
      <c r="AB143" s="2"/>
    </row>
    <row r="144" spans="1:28" x14ac:dyDescent="0.25">
      <c r="A144" s="2"/>
      <c r="B144" s="2"/>
      <c r="C144" s="2"/>
      <c r="D144" s="2"/>
      <c r="E144" s="2"/>
      <c r="F144" s="2"/>
      <c r="G144" s="2"/>
      <c r="H144" s="2"/>
      <c r="I144" s="28"/>
      <c r="J144" s="2"/>
      <c r="K144" s="28"/>
      <c r="L144" s="2"/>
      <c r="M144" s="52"/>
      <c r="N144" s="2"/>
      <c r="O144" s="196"/>
      <c r="P144" s="36"/>
      <c r="Q144" s="36"/>
      <c r="R144" s="36"/>
      <c r="S144" s="36"/>
      <c r="T144" s="36"/>
      <c r="U144" s="36"/>
      <c r="V144" s="36"/>
      <c r="W144" s="36"/>
      <c r="X144" s="36"/>
      <c r="Y144" s="36"/>
      <c r="Z144" s="36"/>
      <c r="AA144" s="36"/>
      <c r="AB144" s="2"/>
    </row>
    <row r="145" spans="1:28" x14ac:dyDescent="0.25">
      <c r="A145" s="2"/>
      <c r="B145" s="2"/>
      <c r="C145" s="2"/>
      <c r="D145" s="2"/>
      <c r="E145" s="2"/>
      <c r="F145" s="2"/>
      <c r="G145" s="2"/>
      <c r="H145" s="2"/>
      <c r="I145" s="28"/>
      <c r="J145" s="2"/>
      <c r="K145" s="28"/>
      <c r="L145" s="2"/>
      <c r="M145" s="52"/>
      <c r="N145" s="2"/>
      <c r="O145" s="196"/>
      <c r="P145" s="36"/>
      <c r="Q145" s="36"/>
      <c r="R145" s="36"/>
      <c r="S145" s="36"/>
      <c r="T145" s="36"/>
      <c r="U145" s="36"/>
      <c r="V145" s="36"/>
      <c r="W145" s="36"/>
      <c r="X145" s="36"/>
      <c r="Y145" s="36"/>
      <c r="Z145" s="36"/>
      <c r="AA145" s="36"/>
      <c r="AB145" s="2"/>
    </row>
    <row r="146" spans="1:28" x14ac:dyDescent="0.25">
      <c r="A146" s="2"/>
      <c r="B146" s="2"/>
      <c r="C146" s="2"/>
      <c r="D146" s="2"/>
      <c r="E146" s="2"/>
      <c r="F146" s="2"/>
      <c r="G146" s="2"/>
      <c r="H146" s="2"/>
      <c r="I146" s="28"/>
      <c r="J146" s="2"/>
      <c r="K146" s="28"/>
      <c r="L146" s="2"/>
      <c r="M146" s="52"/>
      <c r="N146" s="2"/>
      <c r="O146" s="196"/>
      <c r="P146" s="36"/>
      <c r="Q146" s="36"/>
      <c r="R146" s="36"/>
      <c r="S146" s="36"/>
      <c r="T146" s="36"/>
      <c r="U146" s="36"/>
      <c r="V146" s="36"/>
      <c r="W146" s="36"/>
      <c r="X146" s="36"/>
      <c r="Y146" s="36"/>
      <c r="Z146" s="36"/>
      <c r="AA146" s="36"/>
      <c r="AB146" s="2"/>
    </row>
    <row r="147" spans="1:28" x14ac:dyDescent="0.25">
      <c r="P147" s="57"/>
      <c r="Q147" s="57"/>
      <c r="R147" s="57"/>
      <c r="S147" s="57"/>
      <c r="T147" s="57"/>
      <c r="U147" s="57"/>
      <c r="V147" s="57"/>
      <c r="W147" s="57"/>
      <c r="X147" s="57"/>
      <c r="Y147" s="57"/>
      <c r="Z147" s="57"/>
      <c r="AA147" s="57"/>
    </row>
    <row r="148" spans="1:28" x14ac:dyDescent="0.25">
      <c r="P148" s="57"/>
      <c r="Q148" s="57"/>
      <c r="R148" s="57"/>
      <c r="S148" s="57"/>
      <c r="T148" s="57"/>
      <c r="U148" s="57"/>
      <c r="V148" s="57"/>
      <c r="W148" s="57"/>
      <c r="X148" s="57"/>
      <c r="Y148" s="57"/>
      <c r="Z148" s="57"/>
      <c r="AA148" s="57"/>
    </row>
    <row r="149" spans="1:28" x14ac:dyDescent="0.25">
      <c r="P149" s="57"/>
      <c r="Q149" s="57"/>
      <c r="R149" s="57"/>
      <c r="S149" s="57"/>
      <c r="T149" s="57"/>
      <c r="U149" s="57"/>
      <c r="V149" s="57"/>
      <c r="W149" s="57"/>
      <c r="X149" s="57"/>
      <c r="Y149" s="57"/>
      <c r="Z149" s="57"/>
      <c r="AA149" s="57"/>
    </row>
    <row r="150" spans="1:28" x14ac:dyDescent="0.25">
      <c r="P150" s="57"/>
      <c r="Q150" s="57"/>
      <c r="R150" s="57"/>
      <c r="S150" s="57"/>
      <c r="T150" s="57"/>
      <c r="U150" s="57"/>
      <c r="V150" s="57"/>
      <c r="W150" s="57"/>
      <c r="X150" s="57"/>
      <c r="Y150" s="57"/>
      <c r="Z150" s="57"/>
      <c r="AA150" s="57"/>
    </row>
    <row r="151" spans="1:28" x14ac:dyDescent="0.25">
      <c r="P151" s="57"/>
      <c r="Q151" s="57"/>
      <c r="R151" s="57"/>
      <c r="S151" s="57"/>
      <c r="T151" s="57"/>
      <c r="U151" s="57"/>
      <c r="V151" s="57"/>
      <c r="W151" s="57"/>
      <c r="X151" s="57"/>
      <c r="Y151" s="57"/>
      <c r="Z151" s="57"/>
      <c r="AA151" s="57"/>
    </row>
    <row r="152" spans="1:28" x14ac:dyDescent="0.25">
      <c r="P152" s="57"/>
      <c r="Q152" s="57"/>
      <c r="R152" s="57"/>
      <c r="S152" s="57"/>
      <c r="T152" s="57"/>
      <c r="U152" s="57"/>
      <c r="V152" s="57"/>
      <c r="W152" s="57"/>
      <c r="X152" s="57"/>
      <c r="Y152" s="57"/>
      <c r="Z152" s="57"/>
      <c r="AA152" s="57"/>
    </row>
    <row r="153" spans="1:28" x14ac:dyDescent="0.25">
      <c r="P153" s="57"/>
      <c r="Q153" s="57"/>
      <c r="R153" s="57"/>
      <c r="S153" s="57"/>
      <c r="T153" s="57"/>
      <c r="U153" s="57"/>
      <c r="V153" s="57"/>
      <c r="W153" s="57"/>
      <c r="X153" s="57"/>
      <c r="Y153" s="57"/>
      <c r="Z153" s="57"/>
      <c r="AA153" s="57"/>
    </row>
    <row r="154" spans="1:28" x14ac:dyDescent="0.25">
      <c r="P154" s="57"/>
      <c r="Q154" s="57"/>
      <c r="R154" s="57"/>
      <c r="S154" s="57"/>
      <c r="T154" s="57"/>
      <c r="U154" s="57"/>
      <c r="V154" s="57"/>
      <c r="W154" s="57"/>
      <c r="X154" s="57"/>
      <c r="Y154" s="57"/>
      <c r="Z154" s="57"/>
      <c r="AA154" s="57"/>
    </row>
    <row r="155" spans="1:28" x14ac:dyDescent="0.25">
      <c r="P155" s="57"/>
      <c r="Q155" s="57"/>
      <c r="R155" s="57"/>
      <c r="S155" s="57"/>
      <c r="T155" s="57"/>
      <c r="U155" s="57"/>
      <c r="V155" s="57"/>
      <c r="W155" s="57"/>
      <c r="X155" s="57"/>
      <c r="Y155" s="57"/>
      <c r="Z155" s="57"/>
      <c r="AA155" s="57"/>
    </row>
    <row r="156" spans="1:28" x14ac:dyDescent="0.25">
      <c r="P156" s="57"/>
      <c r="Q156" s="57"/>
      <c r="R156" s="57"/>
      <c r="S156" s="57"/>
      <c r="T156" s="57"/>
      <c r="U156" s="57"/>
      <c r="V156" s="57"/>
      <c r="W156" s="57"/>
      <c r="X156" s="57"/>
      <c r="Y156" s="57"/>
      <c r="Z156" s="57"/>
      <c r="AA156" s="57"/>
    </row>
  </sheetData>
  <conditionalFormatting sqref="E1:XFD1 A2:G2 L2:XFD3 F3:G3 F4:XFD4 A3:A6 A8:XFD12 A7:H7 L7:XFD7 F5 A69:XFD84 A57:D68 A97:XFD100 A85:D96 A113:XFD128 A101:D112 A141:XFD1048576 A129:D140 A25:XFD40 A13:D24 A53:XFD56 A41:D52 F57:XFD68 F101:XFD112 E3:E5 E6:F6 G5:XFD6 F41:XFD52 F85:XFD96 F129:XFD140 F13:XFD24">
    <cfRule type="cellIs" dxfId="11123" priority="191" operator="equal">
      <formula>0</formula>
    </cfRule>
  </conditionalFormatting>
  <conditionalFormatting sqref="Q13:AA24">
    <cfRule type="expression" dxfId="11122" priority="186">
      <formula>Q$1=""</formula>
    </cfRule>
  </conditionalFormatting>
  <conditionalFormatting sqref="P34:AA37">
    <cfRule type="expression" dxfId="11121" priority="181">
      <formula>P$1=""</formula>
    </cfRule>
  </conditionalFormatting>
  <conditionalFormatting sqref="P38:AA97">
    <cfRule type="expression" dxfId="11120" priority="177">
      <formula>P$1=""</formula>
    </cfRule>
  </conditionalFormatting>
  <conditionalFormatting sqref="P38:AA97">
    <cfRule type="expression" dxfId="11119" priority="176">
      <formula>P$1=""</formula>
    </cfRule>
  </conditionalFormatting>
  <conditionalFormatting sqref="J35">
    <cfRule type="containsBlanks" dxfId="11118" priority="168">
      <formula>LEN(TRIM(J35))=0</formula>
    </cfRule>
  </conditionalFormatting>
  <conditionalFormatting sqref="Q41:AA52">
    <cfRule type="expression" dxfId="11117" priority="173">
      <formula>Q$1=""</formula>
    </cfRule>
  </conditionalFormatting>
  <conditionalFormatting sqref="P54:AA97">
    <cfRule type="expression" dxfId="11116" priority="172">
      <formula>P$1=""</formula>
    </cfRule>
  </conditionalFormatting>
  <conditionalFormatting sqref="P54:AA97">
    <cfRule type="expression" dxfId="11115" priority="171">
      <formula>P$1=""</formula>
    </cfRule>
  </conditionalFormatting>
  <conditionalFormatting sqref="P78:AA81">
    <cfRule type="expression" dxfId="11114" priority="38">
      <formula>P$1=""</formula>
    </cfRule>
  </conditionalFormatting>
  <conditionalFormatting sqref="J79">
    <cfRule type="containsBlanks" dxfId="11113" priority="36">
      <formula>LEN(TRIM(J79))=0</formula>
    </cfRule>
  </conditionalFormatting>
  <conditionalFormatting sqref="I3:K3">
    <cfRule type="cellIs" dxfId="11112" priority="21" operator="equal">
      <formula>0</formula>
    </cfRule>
  </conditionalFormatting>
  <conditionalFormatting sqref="H2:H3">
    <cfRule type="cellIs" dxfId="11111" priority="20" operator="equal">
      <formula>0</formula>
    </cfRule>
  </conditionalFormatting>
  <conditionalFormatting sqref="P122:AA125">
    <cfRule type="expression" dxfId="11110" priority="31">
      <formula>P$1=""</formula>
    </cfRule>
  </conditionalFormatting>
  <conditionalFormatting sqref="E57:E68">
    <cfRule type="cellIs" dxfId="11109" priority="17" operator="equal">
      <formula>0</formula>
    </cfRule>
  </conditionalFormatting>
  <conditionalFormatting sqref="Q57:AA68">
    <cfRule type="expression" dxfId="11108" priority="39">
      <formula>Q$1=""</formula>
    </cfRule>
  </conditionalFormatting>
  <conditionalFormatting sqref="Q129:AA140">
    <cfRule type="expression" dxfId="11107" priority="25">
      <formula>Q$1=""</formula>
    </cfRule>
  </conditionalFormatting>
  <conditionalFormatting sqref="E13:E24">
    <cfRule type="cellIs" dxfId="11106" priority="13" operator="equal">
      <formula>0</formula>
    </cfRule>
  </conditionalFormatting>
  <conditionalFormatting sqref="Q41:AA52">
    <cfRule type="expression" dxfId="11105" priority="41">
      <formula>Q$1=""</formula>
    </cfRule>
  </conditionalFormatting>
  <conditionalFormatting sqref="P41:V52 P13:V24">
    <cfRule type="expression" dxfId="11104" priority="1912">
      <formula>AND($P$1=0,$H13&lt;MONTH(#REF!))</formula>
    </cfRule>
  </conditionalFormatting>
  <conditionalFormatting sqref="J29:J31">
    <cfRule type="containsBlanks" dxfId="11103" priority="42">
      <formula>LEN(TRIM(J29))=0</formula>
    </cfRule>
  </conditionalFormatting>
  <conditionalFormatting sqref="Q85:AA96">
    <cfRule type="expression" dxfId="11102" priority="34">
      <formula>Q$1=""</formula>
    </cfRule>
  </conditionalFormatting>
  <conditionalFormatting sqref="Q129:AA140">
    <cfRule type="expression" dxfId="11101" priority="28">
      <formula>Q$1=""</formula>
    </cfRule>
  </conditionalFormatting>
  <conditionalFormatting sqref="Q85:AA96">
    <cfRule type="expression" dxfId="11100" priority="37">
      <formula>Q$1=""</formula>
    </cfRule>
  </conditionalFormatting>
  <conditionalFormatting sqref="P85:P96 P57:AA68">
    <cfRule type="expression" dxfId="11099" priority="40">
      <formula>AND($P$1=0,$H57&lt;MONTH(#REF!))</formula>
    </cfRule>
  </conditionalFormatting>
  <conditionalFormatting sqref="J73:J75">
    <cfRule type="containsBlanks" dxfId="11098" priority="35">
      <formula>LEN(TRIM(J73))=0</formula>
    </cfRule>
  </conditionalFormatting>
  <conditionalFormatting sqref="Q101:AA112">
    <cfRule type="expression" dxfId="11097" priority="32">
      <formula>Q$1=""</formula>
    </cfRule>
  </conditionalFormatting>
  <conditionalFormatting sqref="P126:AA141">
    <cfRule type="expression" dxfId="11096" priority="30">
      <formula>P$1=""</formula>
    </cfRule>
  </conditionalFormatting>
  <conditionalFormatting sqref="P126:AA141">
    <cfRule type="expression" dxfId="11095" priority="29">
      <formula>P$1=""</formula>
    </cfRule>
  </conditionalFormatting>
  <conditionalFormatting sqref="J123">
    <cfRule type="containsBlanks" dxfId="11094" priority="27">
      <formula>LEN(TRIM(J123))=0</formula>
    </cfRule>
  </conditionalFormatting>
  <conditionalFormatting sqref="P129:P140 P101:AA112">
    <cfRule type="expression" dxfId="11093" priority="33">
      <formula>AND($P$1=0,$H101&lt;MONTH(#REF!))</formula>
    </cfRule>
  </conditionalFormatting>
  <conditionalFormatting sqref="J117:J119">
    <cfRule type="containsBlanks" dxfId="11092" priority="26">
      <formula>LEN(TRIM(J117))=0</formula>
    </cfRule>
  </conditionalFormatting>
  <conditionalFormatting sqref="I2:K2">
    <cfRule type="cellIs" dxfId="11091" priority="23" operator="equal">
      <formula>0</formula>
    </cfRule>
  </conditionalFormatting>
  <conditionalFormatting sqref="J2">
    <cfRule type="containsBlanks" dxfId="11090" priority="24">
      <formula>LEN(TRIM(J2))=0</formula>
    </cfRule>
  </conditionalFormatting>
  <conditionalFormatting sqref="J3">
    <cfRule type="containsBlanks" dxfId="11089" priority="22">
      <formula>LEN(TRIM(J3))=0</formula>
    </cfRule>
  </conditionalFormatting>
  <conditionalFormatting sqref="I7:K7">
    <cfRule type="cellIs" dxfId="11088" priority="18" operator="equal">
      <formula>0</formula>
    </cfRule>
  </conditionalFormatting>
  <conditionalFormatting sqref="J7">
    <cfRule type="containsBlanks" dxfId="11087" priority="19">
      <formula>LEN(TRIM(J7))=0</formula>
    </cfRule>
  </conditionalFormatting>
  <conditionalFormatting sqref="E85:E96">
    <cfRule type="cellIs" dxfId="11086" priority="16" operator="equal">
      <formula>0</formula>
    </cfRule>
  </conditionalFormatting>
  <conditionalFormatting sqref="E101:E112">
    <cfRule type="cellIs" dxfId="11085" priority="15" operator="equal">
      <formula>0</formula>
    </cfRule>
  </conditionalFormatting>
  <conditionalFormatting sqref="E129:E140">
    <cfRule type="cellIs" dxfId="11084" priority="14" operator="equal">
      <formula>0</formula>
    </cfRule>
  </conditionalFormatting>
  <conditionalFormatting sqref="E41:E52">
    <cfRule type="cellIs" dxfId="11083" priority="12" operator="equal">
      <formula>0</formula>
    </cfRule>
  </conditionalFormatting>
  <conditionalFormatting sqref="B3:B4">
    <cfRule type="cellIs" dxfId="11082" priority="10" operator="equal">
      <formula>0</formula>
    </cfRule>
  </conditionalFormatting>
  <conditionalFormatting sqref="B5:D6 C3:D4">
    <cfRule type="cellIs" dxfId="11081" priority="11" operator="equal">
      <formula>0</formula>
    </cfRule>
  </conditionalFormatting>
  <conditionalFormatting sqref="A1:D1">
    <cfRule type="cellIs" dxfId="11080" priority="9" operator="equal">
      <formula>0</formula>
    </cfRule>
  </conditionalFormatting>
  <conditionalFormatting sqref="Q85:V96">
    <cfRule type="expression" dxfId="11079" priority="7">
      <formula>Q$1=""</formula>
    </cfRule>
  </conditionalFormatting>
  <conditionalFormatting sqref="Q85:V96">
    <cfRule type="expression" dxfId="11078" priority="6">
      <formula>Q$1=""</formula>
    </cfRule>
  </conditionalFormatting>
  <conditionalFormatting sqref="P85:V96">
    <cfRule type="expression" dxfId="11077" priority="8">
      <formula>AND($P$1=0,$H85&lt;MONTH(#REF!))</formula>
    </cfRule>
  </conditionalFormatting>
  <conditionalFormatting sqref="P129:V140">
    <cfRule type="expression" dxfId="11076" priority="4">
      <formula>P$1=""</formula>
    </cfRule>
  </conditionalFormatting>
  <conditionalFormatting sqref="P129:V140">
    <cfRule type="expression" dxfId="11075" priority="3">
      <formula>P$1=""</formula>
    </cfRule>
  </conditionalFormatting>
  <conditionalFormatting sqref="Q129:V140">
    <cfRule type="expression" dxfId="11074" priority="2">
      <formula>Q$1=""</formula>
    </cfRule>
  </conditionalFormatting>
  <conditionalFormatting sqref="Q129:V140">
    <cfRule type="expression" dxfId="11073" priority="1">
      <formula>Q$1=""</formula>
    </cfRule>
  </conditionalFormatting>
  <conditionalFormatting sqref="P129:V140">
    <cfRule type="expression" dxfId="11072" priority="5">
      <formula>AND($P$1=0,$H129&lt;MONTH(#REF!))</formula>
    </cfRule>
  </conditionalFormatting>
  <hyperlinks>
    <hyperlink ref="A1:D1" location="оглавление!A1" tooltip="оглавление" display="оглавление"/>
  </hyperlink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14:formula1>
            <xm:f>структура!$J$12:$J$16</xm:f>
          </x14:formula1>
          <xm:sqref>J2</xm:sqref>
        </x14:dataValidation>
        <x14:dataValidation type="list" allowBlank="1" showInputMessage="1" showErrorMessage="1">
          <x14:formula1>
            <xm:f>структура!$P$12:$P$17</xm:f>
          </x14:formula1>
          <xm:sqref>J3</xm:sqref>
        </x14:dataValidation>
        <x14:dataValidation type="list" allowBlank="1" showInputMessage="1" showErrorMessage="1">
          <x14:formula1>
            <xm:f>структура!$M$12:$M$15</xm:f>
          </x14:formula1>
          <xm:sqref>J7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B154"/>
  <sheetViews>
    <sheetView showGridLines="0" workbookViewId="0">
      <pane xSplit="14" ySplit="10" topLeftCell="O11" activePane="bottomRight" state="frozen"/>
      <selection pane="topRight" activeCell="O1" sqref="O1"/>
      <selection pane="bottomLeft" activeCell="A11" sqref="A11"/>
      <selection pane="bottomRight" activeCell="A2" sqref="A2"/>
    </sheetView>
  </sheetViews>
  <sheetFormatPr defaultColWidth="9.109375" defaultRowHeight="12" x14ac:dyDescent="0.25"/>
  <cols>
    <col min="1" max="4" width="2.6640625"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tr">
        <f>операции!$M$1</f>
        <v>№года</v>
      </c>
      <c r="N1" s="42"/>
      <c r="O1" s="42"/>
      <c r="P1" s="43">
        <f>операции!P1</f>
        <v>1</v>
      </c>
      <c r="Q1" s="43">
        <f>операции!Q1</f>
        <v>2</v>
      </c>
      <c r="R1" s="43">
        <f>операции!R1</f>
        <v>3</v>
      </c>
      <c r="S1" s="43">
        <f>операции!S1</f>
        <v>4</v>
      </c>
      <c r="T1" s="43">
        <f>операции!T1</f>
        <v>5</v>
      </c>
      <c r="U1" s="43">
        <f>операции!U1</f>
        <v>6</v>
      </c>
      <c r="V1" s="43">
        <f>операции!V1</f>
        <v>7</v>
      </c>
      <c r="W1" s="43" t="str">
        <f>операции!W1</f>
        <v/>
      </c>
      <c r="X1" s="43" t="str">
        <f>операции!X1</f>
        <v/>
      </c>
      <c r="Y1" s="43" t="str">
        <f>операции!Y1</f>
        <v/>
      </c>
      <c r="Z1" s="43" t="str">
        <f>операции!Z1</f>
        <v/>
      </c>
      <c r="AA1" s="43" t="str">
        <f>операции!AA1</f>
        <v/>
      </c>
      <c r="AB1" s="2"/>
    </row>
    <row r="2" spans="1:28" x14ac:dyDescent="0.25">
      <c r="A2" s="2"/>
      <c r="B2" s="2"/>
      <c r="C2" s="2"/>
      <c r="D2" s="2"/>
      <c r="E2" s="2"/>
      <c r="F2" s="2"/>
      <c r="G2" s="2"/>
      <c r="H2" s="2"/>
      <c r="I2" s="28"/>
      <c r="J2" s="2"/>
      <c r="K2" s="28"/>
      <c r="L2" s="2"/>
      <c r="M2" s="52"/>
      <c r="N2" s="2"/>
      <c r="O2" s="2"/>
      <c r="P2" s="194">
        <v>1</v>
      </c>
      <c r="Q2" s="195">
        <f>P2+1</f>
        <v>2</v>
      </c>
      <c r="R2" s="195">
        <f t="shared" ref="R2:AA2" si="0">Q2+1</f>
        <v>3</v>
      </c>
      <c r="S2" s="195">
        <f t="shared" si="0"/>
        <v>4</v>
      </c>
      <c r="T2" s="195">
        <f t="shared" si="0"/>
        <v>5</v>
      </c>
      <c r="U2" s="195">
        <f t="shared" si="0"/>
        <v>6</v>
      </c>
      <c r="V2" s="195">
        <f t="shared" si="0"/>
        <v>7</v>
      </c>
      <c r="W2" s="195">
        <f t="shared" si="0"/>
        <v>8</v>
      </c>
      <c r="X2" s="195">
        <f t="shared" si="0"/>
        <v>9</v>
      </c>
      <c r="Y2" s="195">
        <f t="shared" si="0"/>
        <v>10</v>
      </c>
      <c r="Z2" s="195">
        <f t="shared" si="0"/>
        <v>11</v>
      </c>
      <c r="AA2" s="195">
        <f t="shared" si="0"/>
        <v>12</v>
      </c>
      <c r="AB2" s="2"/>
    </row>
    <row r="3" spans="1:28" x14ac:dyDescent="0.25">
      <c r="A3" s="2"/>
      <c r="B3" s="2"/>
      <c r="C3" s="89" t="str">
        <f>методология!$E$4</f>
        <v>Инвестмодель базы отдыха - Беседки &amp; Веревочный парк</v>
      </c>
      <c r="D3" s="20"/>
      <c r="E3" s="20"/>
      <c r="F3" s="2"/>
      <c r="G3" s="2"/>
      <c r="H3" s="2"/>
      <c r="I3" s="28"/>
      <c r="J3" s="2"/>
      <c r="K3" s="28"/>
      <c r="L3" s="2"/>
      <c r="M3" s="52"/>
      <c r="N3" s="2"/>
      <c r="O3" s="2"/>
      <c r="P3" s="2"/>
      <c r="Q3" s="2"/>
      <c r="R3" s="2"/>
      <c r="S3" s="2"/>
      <c r="T3" s="2"/>
      <c r="U3" s="2"/>
      <c r="V3" s="2"/>
      <c r="W3" s="2"/>
      <c r="X3" s="2"/>
      <c r="Y3" s="2"/>
      <c r="Z3" s="2"/>
      <c r="AA3" s="2"/>
      <c r="AB3" s="2"/>
    </row>
    <row r="4" spans="1:28" x14ac:dyDescent="0.25">
      <c r="A4" s="2"/>
      <c r="B4" s="2"/>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2"/>
      <c r="B5" s="2"/>
      <c r="C5" s="2"/>
      <c r="D5" s="2"/>
      <c r="E5" s="2"/>
      <c r="F5" s="2"/>
      <c r="G5" s="154"/>
      <c r="H5" s="2"/>
      <c r="I5" s="28"/>
      <c r="J5" s="2"/>
      <c r="K5" s="28"/>
      <c r="L5" s="2"/>
      <c r="M5" s="52"/>
      <c r="N5" s="2"/>
      <c r="O5" s="2"/>
      <c r="P5" s="2"/>
      <c r="Q5" s="2"/>
      <c r="R5" s="2"/>
      <c r="S5" s="2"/>
      <c r="T5" s="2"/>
      <c r="U5" s="2"/>
      <c r="V5" s="2"/>
      <c r="W5" s="2"/>
      <c r="X5" s="2"/>
      <c r="Y5" s="2"/>
      <c r="Z5" s="2"/>
      <c r="AA5" s="2"/>
      <c r="AB5" s="2"/>
    </row>
    <row r="6" spans="1:28" x14ac:dyDescent="0.25">
      <c r="A6" s="2"/>
      <c r="B6" s="2"/>
      <c r="C6" s="225" t="s">
        <v>377</v>
      </c>
      <c r="D6" s="210"/>
      <c r="E6" s="226"/>
      <c r="F6" s="2"/>
      <c r="G6" s="104"/>
      <c r="H6" s="2"/>
      <c r="I6" s="28"/>
      <c r="J6" s="2"/>
      <c r="K6" s="28"/>
      <c r="L6" s="2"/>
      <c r="M6" s="52"/>
      <c r="N6" s="2"/>
      <c r="O6" s="2"/>
      <c r="P6" s="96" t="str">
        <f>операции!P6</f>
        <v>2022г.</v>
      </c>
      <c r="Q6" s="96" t="str">
        <f>операции!Q6</f>
        <v>2023г.</v>
      </c>
      <c r="R6" s="96" t="str">
        <f>операции!R6</f>
        <v>2024г.</v>
      </c>
      <c r="S6" s="96" t="str">
        <f>операции!S6</f>
        <v>2025г.</v>
      </c>
      <c r="T6" s="96" t="str">
        <f>операции!T6</f>
        <v>2026г.</v>
      </c>
      <c r="U6" s="96" t="str">
        <f>операции!U6</f>
        <v>2027г.</v>
      </c>
      <c r="V6" s="96" t="str">
        <f>операции!V6</f>
        <v>2028г.</v>
      </c>
      <c r="W6" s="96" t="str">
        <f>операции!W6</f>
        <v/>
      </c>
      <c r="X6" s="96" t="str">
        <f>операции!X6</f>
        <v/>
      </c>
      <c r="Y6" s="96" t="str">
        <f>операции!Y6</f>
        <v/>
      </c>
      <c r="Z6" s="96" t="str">
        <f>операции!Z6</f>
        <v/>
      </c>
      <c r="AA6" s="96" t="str">
        <f>операции!AA6</f>
        <v/>
      </c>
      <c r="AB6" s="2"/>
    </row>
    <row r="7" spans="1:28" x14ac:dyDescent="0.25">
      <c r="A7" s="2"/>
      <c r="B7" s="2"/>
      <c r="C7" s="2"/>
      <c r="D7" s="2"/>
      <c r="E7" s="2"/>
      <c r="F7" s="2"/>
      <c r="G7" s="2"/>
      <c r="H7" s="2"/>
      <c r="I7" s="28"/>
      <c r="J7" s="2"/>
      <c r="K7" s="28"/>
      <c r="L7" s="2"/>
      <c r="M7" s="52"/>
      <c r="N7" s="2"/>
      <c r="O7" s="2"/>
      <c r="P7" s="94">
        <f>операции!P7</f>
        <v>44562</v>
      </c>
      <c r="Q7" s="94">
        <f>операции!Q7</f>
        <v>44927</v>
      </c>
      <c r="R7" s="94">
        <f>операции!R7</f>
        <v>45292</v>
      </c>
      <c r="S7" s="94">
        <f>операции!S7</f>
        <v>45658</v>
      </c>
      <c r="T7" s="94">
        <f>операции!T7</f>
        <v>46023</v>
      </c>
      <c r="U7" s="94">
        <f>операции!U7</f>
        <v>46388</v>
      </c>
      <c r="V7" s="94">
        <f>операции!V7</f>
        <v>46753</v>
      </c>
      <c r="W7" s="94" t="str">
        <f>операции!W7</f>
        <v/>
      </c>
      <c r="X7" s="94" t="str">
        <f>операции!X7</f>
        <v/>
      </c>
      <c r="Y7" s="94" t="str">
        <f>операции!Y7</f>
        <v/>
      </c>
      <c r="Z7" s="94" t="str">
        <f>операции!Z7</f>
        <v/>
      </c>
      <c r="AA7" s="94" t="str">
        <f>операции!AA7</f>
        <v/>
      </c>
      <c r="AB7" s="2"/>
    </row>
    <row r="8" spans="1:28" s="5" customFormat="1" x14ac:dyDescent="0.25">
      <c r="A8" s="3"/>
      <c r="B8" s="3"/>
      <c r="C8" s="3"/>
      <c r="D8" s="3"/>
      <c r="E8" s="3" t="str">
        <f>KPI!$E$8</f>
        <v>KPI</v>
      </c>
      <c r="F8" s="3"/>
      <c r="G8" s="28" t="str">
        <f>KPI!$G$8</f>
        <v>ед.изм.</v>
      </c>
      <c r="H8" s="3"/>
      <c r="I8" s="28"/>
      <c r="J8" s="3"/>
      <c r="K8" s="28"/>
      <c r="L8" s="3"/>
      <c r="M8" s="53" t="str">
        <f>операции!M8</f>
        <v>итого</v>
      </c>
      <c r="N8" s="3"/>
      <c r="O8" s="3"/>
      <c r="P8" s="95">
        <f>операции!P8</f>
        <v>44926</v>
      </c>
      <c r="Q8" s="95">
        <f>операции!Q8</f>
        <v>45291</v>
      </c>
      <c r="R8" s="95">
        <f>операции!R8</f>
        <v>45657</v>
      </c>
      <c r="S8" s="95">
        <f>операции!S8</f>
        <v>46022</v>
      </c>
      <c r="T8" s="95">
        <f>операции!T8</f>
        <v>46387</v>
      </c>
      <c r="U8" s="95">
        <f>операции!U8</f>
        <v>46752</v>
      </c>
      <c r="V8" s="95">
        <f>операции!V8</f>
        <v>47118</v>
      </c>
      <c r="W8" s="95" t="str">
        <f>операции!W8</f>
        <v/>
      </c>
      <c r="X8" s="95" t="str">
        <f>операции!X8</f>
        <v/>
      </c>
      <c r="Y8" s="95" t="str">
        <f>операции!Y8</f>
        <v/>
      </c>
      <c r="Z8" s="95" t="str">
        <f>операции!Z8</f>
        <v/>
      </c>
      <c r="AA8" s="95" t="str">
        <f>операции!AA8</f>
        <v/>
      </c>
      <c r="AB8" s="3"/>
    </row>
    <row r="9" spans="1:28" ht="3.9" customHeight="1" x14ac:dyDescent="0.25">
      <c r="A9" s="2"/>
      <c r="B9" s="2"/>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customHeight="1" x14ac:dyDescent="0.25">
      <c r="A10" s="2"/>
      <c r="B10" s="2"/>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x14ac:dyDescent="0.25">
      <c r="A11" s="3"/>
      <c r="B11" s="3"/>
      <c r="C11" s="3"/>
      <c r="D11" s="3"/>
      <c r="E11" s="3"/>
      <c r="F11" s="3"/>
      <c r="G11" s="3"/>
      <c r="H11" s="3"/>
      <c r="I11" s="28"/>
      <c r="J11" s="3"/>
      <c r="K11" s="28"/>
      <c r="L11" s="3"/>
      <c r="M11" s="55"/>
      <c r="N11" s="3"/>
      <c r="O11" s="3"/>
      <c r="P11" s="46"/>
      <c r="Q11" s="46"/>
      <c r="R11" s="46"/>
      <c r="S11" s="46"/>
      <c r="T11" s="46"/>
      <c r="U11" s="46"/>
      <c r="V11" s="46"/>
      <c r="W11" s="46"/>
      <c r="X11" s="46"/>
      <c r="Y11" s="46"/>
      <c r="Z11" s="46"/>
      <c r="AA11" s="46"/>
      <c r="AB11" s="3"/>
    </row>
    <row r="12" spans="1:28" x14ac:dyDescent="0.25">
      <c r="A12" s="2"/>
      <c r="B12" s="2"/>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x14ac:dyDescent="0.25">
      <c r="A13" s="2"/>
      <c r="B13" s="2"/>
      <c r="C13" s="225" t="s">
        <v>385</v>
      </c>
      <c r="D13" s="210"/>
      <c r="E13" s="226"/>
      <c r="F13" s="2"/>
      <c r="G13" s="2"/>
      <c r="H13" s="2"/>
      <c r="I13" s="28"/>
      <c r="J13" s="2"/>
      <c r="K13" s="28"/>
      <c r="L13" s="2"/>
      <c r="M13" s="52"/>
      <c r="N13" s="2"/>
      <c r="O13" s="2"/>
      <c r="P13" s="36"/>
      <c r="Q13" s="36"/>
      <c r="R13" s="36"/>
      <c r="S13" s="36"/>
      <c r="T13" s="36"/>
      <c r="U13" s="36"/>
      <c r="V13" s="36"/>
      <c r="W13" s="36"/>
      <c r="X13" s="36"/>
      <c r="Y13" s="36"/>
      <c r="Z13" s="36"/>
      <c r="AA13" s="36"/>
      <c r="AB13" s="2"/>
    </row>
    <row r="14" spans="1:28" x14ac:dyDescent="0.25">
      <c r="A14" s="2"/>
      <c r="B14" s="2"/>
      <c r="C14" s="2"/>
      <c r="D14" s="2"/>
      <c r="E14" s="2"/>
      <c r="F14" s="2"/>
      <c r="G14" s="2"/>
      <c r="H14" s="2"/>
      <c r="I14" s="28"/>
      <c r="J14" s="2"/>
      <c r="K14" s="28"/>
      <c r="L14" s="2"/>
      <c r="M14" s="52"/>
      <c r="N14" s="2"/>
      <c r="O14" s="2"/>
      <c r="P14" s="36"/>
      <c r="Q14" s="36"/>
      <c r="R14" s="36"/>
      <c r="S14" s="36"/>
      <c r="T14" s="36"/>
      <c r="U14" s="36"/>
      <c r="V14" s="36"/>
      <c r="W14" s="36"/>
      <c r="X14" s="36"/>
      <c r="Y14" s="36"/>
      <c r="Z14" s="36"/>
      <c r="AA14" s="36"/>
      <c r="AB14" s="2"/>
    </row>
    <row r="15" spans="1:28" s="126" customFormat="1" x14ac:dyDescent="0.25">
      <c r="A15" s="123"/>
      <c r="B15" s="123"/>
      <c r="C15" s="123"/>
      <c r="D15" s="123"/>
      <c r="E15" s="123" t="str">
        <f>KPI!$E$127</f>
        <v>директор в/парка</v>
      </c>
      <c r="F15" s="123"/>
      <c r="G15" s="123" t="str">
        <f>IF($E15="","",INDEX(KPI!$G:$G,SUMIFS(KPI!$B:$B,KPI!$E:$E,$E15)))</f>
        <v>чел</v>
      </c>
      <c r="H15" s="123"/>
      <c r="I15" s="28"/>
      <c r="J15" s="2"/>
      <c r="K15" s="124"/>
      <c r="L15" s="123"/>
      <c r="M15" s="125"/>
      <c r="N15" s="123"/>
      <c r="O15" s="307" t="s">
        <v>0</v>
      </c>
      <c r="P15" s="45">
        <v>1</v>
      </c>
      <c r="Q15" s="45">
        <v>1</v>
      </c>
      <c r="R15" s="45">
        <v>1</v>
      </c>
      <c r="S15" s="45">
        <v>1</v>
      </c>
      <c r="T15" s="45">
        <v>1</v>
      </c>
      <c r="U15" s="45">
        <v>1</v>
      </c>
      <c r="V15" s="45">
        <v>1</v>
      </c>
      <c r="W15" s="45">
        <v>1</v>
      </c>
      <c r="X15" s="45">
        <v>1</v>
      </c>
      <c r="Y15" s="45">
        <v>1</v>
      </c>
      <c r="Z15" s="45">
        <v>1</v>
      </c>
      <c r="AA15" s="45">
        <v>1</v>
      </c>
      <c r="AB15" s="123"/>
    </row>
    <row r="16" spans="1:28" s="126" customFormat="1" x14ac:dyDescent="0.25">
      <c r="A16" s="123"/>
      <c r="B16" s="123"/>
      <c r="C16" s="123"/>
      <c r="D16" s="123"/>
      <c r="E16" s="123" t="str">
        <f>KPI!$E$125</f>
        <v>кол-во инструкторов в/парка</v>
      </c>
      <c r="F16" s="123"/>
      <c r="G16" s="123" t="str">
        <f>IF($E16="","",INDEX(KPI!$G:$G,SUMIFS(KPI!$B:$B,KPI!$E:$E,$E16)))</f>
        <v>чел</v>
      </c>
      <c r="H16" s="123"/>
      <c r="I16" s="28"/>
      <c r="J16" s="2"/>
      <c r="K16" s="124"/>
      <c r="L16" s="123"/>
      <c r="M16" s="125"/>
      <c r="N16" s="123"/>
      <c r="O16" s="307" t="s">
        <v>0</v>
      </c>
      <c r="P16" s="45">
        <v>3</v>
      </c>
      <c r="Q16" s="45">
        <v>3</v>
      </c>
      <c r="R16" s="45">
        <v>3</v>
      </c>
      <c r="S16" s="45">
        <v>3</v>
      </c>
      <c r="T16" s="45">
        <v>3</v>
      </c>
      <c r="U16" s="45">
        <v>3</v>
      </c>
      <c r="V16" s="45">
        <v>3</v>
      </c>
      <c r="W16" s="45">
        <v>3</v>
      </c>
      <c r="X16" s="45">
        <v>3</v>
      </c>
      <c r="Y16" s="45">
        <v>3</v>
      </c>
      <c r="Z16" s="45">
        <v>3</v>
      </c>
      <c r="AA16" s="45">
        <v>3</v>
      </c>
      <c r="AB16" s="123"/>
    </row>
    <row r="17" spans="1:28" s="126" customFormat="1" x14ac:dyDescent="0.25">
      <c r="A17" s="123"/>
      <c r="B17" s="123"/>
      <c r="C17" s="123"/>
      <c r="D17" s="123"/>
      <c r="E17" s="123" t="str">
        <f>KPI!$E$129</f>
        <v>охранник/дворник/завхоз в/парк</v>
      </c>
      <c r="F17" s="123"/>
      <c r="G17" s="123" t="str">
        <f>IF($E17="","",INDEX(KPI!$G:$G,SUMIFS(KPI!$B:$B,KPI!$E:$E,$E17)))</f>
        <v>чел</v>
      </c>
      <c r="H17" s="123"/>
      <c r="I17" s="28"/>
      <c r="J17" s="2"/>
      <c r="K17" s="124"/>
      <c r="L17" s="123"/>
      <c r="M17" s="125"/>
      <c r="N17" s="123"/>
      <c r="O17" s="307" t="s">
        <v>0</v>
      </c>
      <c r="P17" s="45">
        <v>2</v>
      </c>
      <c r="Q17" s="45">
        <v>2</v>
      </c>
      <c r="R17" s="45">
        <v>2</v>
      </c>
      <c r="S17" s="45">
        <v>2</v>
      </c>
      <c r="T17" s="45">
        <v>2</v>
      </c>
      <c r="U17" s="45">
        <v>2</v>
      </c>
      <c r="V17" s="45">
        <v>2</v>
      </c>
      <c r="W17" s="45">
        <v>2</v>
      </c>
      <c r="X17" s="45">
        <v>2</v>
      </c>
      <c r="Y17" s="45">
        <v>2</v>
      </c>
      <c r="Z17" s="45">
        <v>2</v>
      </c>
      <c r="AA17" s="45">
        <v>2</v>
      </c>
      <c r="AB17" s="123"/>
    </row>
    <row r="18" spans="1:28" s="126" customFormat="1" x14ac:dyDescent="0.25">
      <c r="A18" s="123"/>
      <c r="B18" s="123"/>
      <c r="C18" s="123"/>
      <c r="D18" s="123"/>
      <c r="E18" s="123" t="str">
        <f>KPI!$E$128</f>
        <v>оклад директора в/парка</v>
      </c>
      <c r="F18" s="123"/>
      <c r="G18" s="123" t="str">
        <f>IF($E18="","",INDEX(KPI!$G:$G,SUMIFS(KPI!$B:$B,KPI!$E:$E,$E18)))</f>
        <v>тыс.руб.</v>
      </c>
      <c r="H18" s="123"/>
      <c r="I18" s="28"/>
      <c r="J18" s="2"/>
      <c r="K18" s="124"/>
      <c r="L18" s="123"/>
      <c r="M18" s="125"/>
      <c r="N18" s="123"/>
      <c r="O18" s="307" t="s">
        <v>0</v>
      </c>
      <c r="P18" s="45">
        <v>30</v>
      </c>
      <c r="Q18" s="45">
        <v>30</v>
      </c>
      <c r="R18" s="45">
        <v>30</v>
      </c>
      <c r="S18" s="45">
        <v>30</v>
      </c>
      <c r="T18" s="45">
        <v>30</v>
      </c>
      <c r="U18" s="45">
        <v>30</v>
      </c>
      <c r="V18" s="45">
        <v>30</v>
      </c>
      <c r="W18" s="45">
        <v>30</v>
      </c>
      <c r="X18" s="45">
        <v>30</v>
      </c>
      <c r="Y18" s="45">
        <v>30</v>
      </c>
      <c r="Z18" s="45">
        <v>30</v>
      </c>
      <c r="AA18" s="45">
        <v>30</v>
      </c>
      <c r="AB18" s="123"/>
    </row>
    <row r="19" spans="1:28" s="126" customFormat="1" x14ac:dyDescent="0.25">
      <c r="A19" s="123"/>
      <c r="B19" s="123"/>
      <c r="C19" s="123"/>
      <c r="D19" s="123"/>
      <c r="E19" s="123" t="str">
        <f>KPI!$E$126</f>
        <v>оклад одного инструктора</v>
      </c>
      <c r="F19" s="123"/>
      <c r="G19" s="123" t="str">
        <f>IF($E19="","",INDEX(KPI!$G:$G,SUMIFS(KPI!$B:$B,KPI!$E:$E,$E19)))</f>
        <v>тыс.руб.</v>
      </c>
      <c r="H19" s="123"/>
      <c r="I19" s="28"/>
      <c r="J19" s="2"/>
      <c r="K19" s="124"/>
      <c r="L19" s="123"/>
      <c r="M19" s="125"/>
      <c r="N19" s="123"/>
      <c r="O19" s="307" t="s">
        <v>0</v>
      </c>
      <c r="P19" s="45">
        <v>20</v>
      </c>
      <c r="Q19" s="45">
        <v>20</v>
      </c>
      <c r="R19" s="45">
        <v>20</v>
      </c>
      <c r="S19" s="45">
        <v>20</v>
      </c>
      <c r="T19" s="45">
        <v>20</v>
      </c>
      <c r="U19" s="45">
        <v>20</v>
      </c>
      <c r="V19" s="45">
        <v>20</v>
      </c>
      <c r="W19" s="45">
        <v>20</v>
      </c>
      <c r="X19" s="45">
        <v>20</v>
      </c>
      <c r="Y19" s="45">
        <v>20</v>
      </c>
      <c r="Z19" s="45">
        <v>20</v>
      </c>
      <c r="AA19" s="45">
        <v>20</v>
      </c>
      <c r="AB19" s="123"/>
    </row>
    <row r="20" spans="1:28" s="126" customFormat="1" x14ac:dyDescent="0.25">
      <c r="A20" s="123"/>
      <c r="B20" s="123"/>
      <c r="C20" s="123"/>
      <c r="D20" s="123"/>
      <c r="E20" s="123" t="str">
        <f>KPI!$E$130</f>
        <v>оклад - охранник/дворник/завхоз в/парк</v>
      </c>
      <c r="F20" s="123"/>
      <c r="G20" s="123" t="str">
        <f>IF($E20="","",INDEX(KPI!$G:$G,SUMIFS(KPI!$B:$B,KPI!$E:$E,$E20)))</f>
        <v>тыс.руб.</v>
      </c>
      <c r="H20" s="123"/>
      <c r="I20" s="28"/>
      <c r="J20" s="2"/>
      <c r="K20" s="124"/>
      <c r="L20" s="123"/>
      <c r="M20" s="125"/>
      <c r="N20" s="123"/>
      <c r="O20" s="307" t="s">
        <v>0</v>
      </c>
      <c r="P20" s="45">
        <v>15</v>
      </c>
      <c r="Q20" s="45">
        <v>15</v>
      </c>
      <c r="R20" s="45">
        <v>15</v>
      </c>
      <c r="S20" s="45">
        <v>15</v>
      </c>
      <c r="T20" s="45">
        <v>15</v>
      </c>
      <c r="U20" s="45">
        <v>15</v>
      </c>
      <c r="V20" s="45">
        <v>15</v>
      </c>
      <c r="W20" s="45">
        <v>15</v>
      </c>
      <c r="X20" s="45">
        <v>15</v>
      </c>
      <c r="Y20" s="45">
        <v>15</v>
      </c>
      <c r="Z20" s="45">
        <v>15</v>
      </c>
      <c r="AA20" s="45">
        <v>15</v>
      </c>
      <c r="AB20" s="123"/>
    </row>
    <row r="21" spans="1:28" s="5" customFormat="1" x14ac:dyDescent="0.25">
      <c r="A21" s="3"/>
      <c r="B21" s="3"/>
      <c r="C21" s="3"/>
      <c r="D21" s="3"/>
      <c r="E21" s="3" t="str">
        <f>KPI!$E$122</f>
        <v>количество персонала - веревочный парк</v>
      </c>
      <c r="F21" s="3"/>
      <c r="G21" s="3" t="str">
        <f>IF($E21="","",INDEX(KPI!$G:$G,SUMIFS(KPI!$B:$B,KPI!$E:$E,$E21)))</f>
        <v>чел</v>
      </c>
      <c r="H21" s="3"/>
      <c r="I21" s="28"/>
      <c r="J21" s="2"/>
      <c r="K21" s="28"/>
      <c r="L21" s="2"/>
      <c r="M21" s="52"/>
      <c r="N21" s="3"/>
      <c r="O21" s="6"/>
      <c r="P21" s="115">
        <f>SUM(P15:P17)</f>
        <v>6</v>
      </c>
      <c r="Q21" s="115">
        <f t="shared" ref="Q21:AA21" si="1">SUM(Q15:Q17)</f>
        <v>6</v>
      </c>
      <c r="R21" s="115">
        <f t="shared" si="1"/>
        <v>6</v>
      </c>
      <c r="S21" s="115">
        <f t="shared" si="1"/>
        <v>6</v>
      </c>
      <c r="T21" s="115">
        <f t="shared" si="1"/>
        <v>6</v>
      </c>
      <c r="U21" s="115">
        <f t="shared" si="1"/>
        <v>6</v>
      </c>
      <c r="V21" s="115">
        <f t="shared" si="1"/>
        <v>6</v>
      </c>
      <c r="W21" s="115">
        <f t="shared" si="1"/>
        <v>6</v>
      </c>
      <c r="X21" s="115">
        <f t="shared" si="1"/>
        <v>6</v>
      </c>
      <c r="Y21" s="115">
        <f t="shared" si="1"/>
        <v>6</v>
      </c>
      <c r="Z21" s="115">
        <f t="shared" si="1"/>
        <v>6</v>
      </c>
      <c r="AA21" s="115">
        <f t="shared" si="1"/>
        <v>6</v>
      </c>
      <c r="AB21" s="2"/>
    </row>
    <row r="22" spans="1:28" s="5" customFormat="1" x14ac:dyDescent="0.25">
      <c r="A22" s="3"/>
      <c r="B22" s="3"/>
      <c r="C22" s="3"/>
      <c r="D22" s="3"/>
      <c r="E22" s="3" t="str">
        <f>KPI!$E$123</f>
        <v>средний оклад 1 сотрудника в/парка</v>
      </c>
      <c r="F22" s="3"/>
      <c r="G22" s="3" t="str">
        <f>IF($E22="","",INDEX(KPI!$G:$G,SUMIFS(KPI!$B:$B,KPI!$E:$E,$E22)))</f>
        <v>тыс.руб.</v>
      </c>
      <c r="H22" s="3"/>
      <c r="I22" s="28"/>
      <c r="J22" s="2"/>
      <c r="K22" s="28"/>
      <c r="L22" s="2"/>
      <c r="M22" s="52"/>
      <c r="N22" s="3"/>
      <c r="O22" s="6"/>
      <c r="P22" s="204">
        <f>IF(P21=0,0,P23/P21)</f>
        <v>20</v>
      </c>
      <c r="Q22" s="204">
        <f t="shared" ref="Q22:AA22" si="2">IF(Q21=0,0,Q23/Q21)</f>
        <v>20</v>
      </c>
      <c r="R22" s="204">
        <f t="shared" si="2"/>
        <v>20</v>
      </c>
      <c r="S22" s="204">
        <f t="shared" si="2"/>
        <v>20</v>
      </c>
      <c r="T22" s="204">
        <f t="shared" si="2"/>
        <v>20</v>
      </c>
      <c r="U22" s="204">
        <f t="shared" si="2"/>
        <v>20</v>
      </c>
      <c r="V22" s="204">
        <f t="shared" si="2"/>
        <v>20</v>
      </c>
      <c r="W22" s="204">
        <f t="shared" si="2"/>
        <v>20</v>
      </c>
      <c r="X22" s="204">
        <f t="shared" si="2"/>
        <v>20</v>
      </c>
      <c r="Y22" s="204">
        <f t="shared" si="2"/>
        <v>20</v>
      </c>
      <c r="Z22" s="204">
        <f t="shared" si="2"/>
        <v>20</v>
      </c>
      <c r="AA22" s="204">
        <f t="shared" si="2"/>
        <v>20</v>
      </c>
      <c r="AB22" s="2"/>
    </row>
    <row r="23" spans="1:28" s="5" customFormat="1" x14ac:dyDescent="0.25">
      <c r="A23" s="3"/>
      <c r="B23" s="3"/>
      <c r="C23" s="3"/>
      <c r="D23" s="3"/>
      <c r="E23" s="3" t="str">
        <f>KPI!$E$124</f>
        <v>ФОТ веревочного парка в месяц</v>
      </c>
      <c r="F23" s="3"/>
      <c r="G23" s="3" t="str">
        <f>IF($E23="","",INDEX(KPI!$G:$G,SUMIFS(KPI!$B:$B,KPI!$E:$E,$E23)))</f>
        <v>тыс.руб.</v>
      </c>
      <c r="H23" s="3"/>
      <c r="I23" s="28"/>
      <c r="J23" s="2"/>
      <c r="K23" s="28"/>
      <c r="L23" s="2"/>
      <c r="M23" s="52"/>
      <c r="N23" s="3"/>
      <c r="O23" s="6"/>
      <c r="P23" s="204">
        <f>SUMPRODUCT(P15:P17,P18:P20)</f>
        <v>120</v>
      </c>
      <c r="Q23" s="204">
        <f t="shared" ref="Q23:AA23" si="3">SUMPRODUCT(Q15:Q17,Q18:Q20)</f>
        <v>120</v>
      </c>
      <c r="R23" s="204">
        <f t="shared" si="3"/>
        <v>120</v>
      </c>
      <c r="S23" s="204">
        <f t="shared" si="3"/>
        <v>120</v>
      </c>
      <c r="T23" s="204">
        <f t="shared" si="3"/>
        <v>120</v>
      </c>
      <c r="U23" s="204">
        <f t="shared" si="3"/>
        <v>120</v>
      </c>
      <c r="V23" s="204">
        <f t="shared" si="3"/>
        <v>120</v>
      </c>
      <c r="W23" s="204">
        <f t="shared" si="3"/>
        <v>120</v>
      </c>
      <c r="X23" s="204">
        <f t="shared" si="3"/>
        <v>120</v>
      </c>
      <c r="Y23" s="204">
        <f t="shared" si="3"/>
        <v>120</v>
      </c>
      <c r="Z23" s="204">
        <f t="shared" si="3"/>
        <v>120</v>
      </c>
      <c r="AA23" s="204">
        <f t="shared" si="3"/>
        <v>120</v>
      </c>
      <c r="AB23" s="2"/>
    </row>
    <row r="24" spans="1:28" ht="3.9" customHeight="1" x14ac:dyDescent="0.25">
      <c r="A24" s="2"/>
      <c r="B24" s="2"/>
      <c r="C24" s="2"/>
      <c r="D24" s="2"/>
      <c r="E24" s="110"/>
      <c r="F24" s="2"/>
      <c r="G24" s="2"/>
      <c r="H24" s="2"/>
      <c r="I24" s="28"/>
      <c r="J24" s="2"/>
      <c r="K24" s="28"/>
      <c r="L24" s="2"/>
      <c r="M24" s="52"/>
      <c r="N24" s="2"/>
      <c r="O24" s="2"/>
      <c r="P24" s="36"/>
      <c r="Q24" s="36"/>
      <c r="R24" s="36"/>
      <c r="S24" s="36"/>
      <c r="T24" s="36"/>
      <c r="U24" s="36"/>
      <c r="V24" s="36"/>
      <c r="W24" s="36"/>
      <c r="X24" s="36"/>
      <c r="Y24" s="36"/>
      <c r="Z24" s="36"/>
      <c r="AA24" s="36"/>
      <c r="AB24" s="2"/>
    </row>
    <row r="25" spans="1:28" ht="8.1" customHeight="1" x14ac:dyDescent="0.25">
      <c r="A25" s="2"/>
      <c r="B25" s="2"/>
      <c r="C25" s="2"/>
      <c r="D25" s="2"/>
      <c r="E25" s="2"/>
      <c r="F25" s="2"/>
      <c r="G25" s="2"/>
      <c r="H25" s="2"/>
      <c r="I25" s="28"/>
      <c r="J25" s="2"/>
      <c r="K25" s="28"/>
      <c r="L25" s="2"/>
      <c r="M25" s="52"/>
      <c r="N25" s="2"/>
      <c r="O25" s="2"/>
      <c r="P25" s="36"/>
      <c r="Q25" s="36"/>
      <c r="R25" s="36"/>
      <c r="S25" s="36"/>
      <c r="T25" s="36"/>
      <c r="U25" s="36"/>
      <c r="V25" s="36"/>
      <c r="W25" s="36"/>
      <c r="X25" s="36"/>
      <c r="Y25" s="36"/>
      <c r="Z25" s="36"/>
      <c r="AA25" s="36"/>
      <c r="AB25" s="2"/>
    </row>
    <row r="26" spans="1:28" s="5" customFormat="1" x14ac:dyDescent="0.25">
      <c r="A26" s="3"/>
      <c r="B26" s="3"/>
      <c r="C26" s="3"/>
      <c r="D26" s="111"/>
      <c r="E26" s="3" t="str">
        <f>KPI!$E$57</f>
        <v>ФОТ - начисления/оплаты</v>
      </c>
      <c r="F26" s="3"/>
      <c r="G26" s="3" t="str">
        <f>IF($E26="","",INDEX(KPI!$G:$G,SUMIFS(KPI!$B:$B,KPI!$E:$E,$E26)))</f>
        <v>тыс.руб.</v>
      </c>
      <c r="H26" s="103"/>
      <c r="I26" s="28"/>
      <c r="J26" s="44"/>
      <c r="K26" s="28"/>
      <c r="L26" s="3"/>
      <c r="M26" s="55">
        <f>SUM($O26:$AB26)</f>
        <v>10080</v>
      </c>
      <c r="N26" s="3"/>
      <c r="O26" s="3"/>
      <c r="P26" s="46">
        <f>IF(P$1="",0,IF(P$1=0,SUMIFS(P27:P38,H27:H38,"&gt;="&amp;MONTH(#REF!)),SUM(P27:P38)))</f>
        <v>1440</v>
      </c>
      <c r="Q26" s="46">
        <f t="shared" ref="Q26" si="4">IF(Q$1="",0,SUM(Q27:Q38))</f>
        <v>1440</v>
      </c>
      <c r="R26" s="46">
        <f t="shared" ref="R26:AA26" si="5">IF(R$1="",0,SUM(R27:R38))</f>
        <v>1440</v>
      </c>
      <c r="S26" s="46">
        <f t="shared" si="5"/>
        <v>1440</v>
      </c>
      <c r="T26" s="46">
        <f t="shared" si="5"/>
        <v>1440</v>
      </c>
      <c r="U26" s="46">
        <f t="shared" si="5"/>
        <v>1440</v>
      </c>
      <c r="V26" s="46">
        <f t="shared" si="5"/>
        <v>1440</v>
      </c>
      <c r="W26" s="46">
        <f t="shared" si="5"/>
        <v>0</v>
      </c>
      <c r="X26" s="46">
        <f t="shared" si="5"/>
        <v>0</v>
      </c>
      <c r="Y26" s="46">
        <f t="shared" si="5"/>
        <v>0</v>
      </c>
      <c r="Z26" s="46">
        <f t="shared" si="5"/>
        <v>0</v>
      </c>
      <c r="AA26" s="46">
        <f t="shared" si="5"/>
        <v>0</v>
      </c>
      <c r="AB26" s="3"/>
    </row>
    <row r="27" spans="1:28" s="23" customFormat="1" ht="10.199999999999999" x14ac:dyDescent="0.2">
      <c r="A27" s="22"/>
      <c r="B27" s="22"/>
      <c r="C27" s="22"/>
      <c r="D27" s="22"/>
      <c r="E27" s="22" t="str">
        <f>E26</f>
        <v>ФОТ - начисления/оплаты</v>
      </c>
      <c r="F27" s="22"/>
      <c r="G27" s="22" t="str">
        <f>IF($E27="","",INDEX(KPI!$G:$G,SUMIFS(KPI!$B:$B,KPI!$E:$E,$E27)))</f>
        <v>тыс.руб.</v>
      </c>
      <c r="H27" s="100">
        <f>структура!$V$12</f>
        <v>1</v>
      </c>
      <c r="I27" s="31"/>
      <c r="J27" s="98" t="str">
        <f>структура!$X$12</f>
        <v>янв</v>
      </c>
      <c r="K27" s="99"/>
      <c r="L27" s="22"/>
      <c r="M27" s="58"/>
      <c r="N27" s="22"/>
      <c r="O27" s="22"/>
      <c r="P27" s="101">
        <f t="shared" ref="P27:P38" si="6">IF(P$1="",0,P$23)</f>
        <v>120</v>
      </c>
      <c r="Q27" s="101">
        <f t="shared" ref="Q27:AA27" si="7">IF(Q$1="",0,Q$23)</f>
        <v>120</v>
      </c>
      <c r="R27" s="101">
        <f t="shared" si="7"/>
        <v>120</v>
      </c>
      <c r="S27" s="101">
        <f t="shared" si="7"/>
        <v>120</v>
      </c>
      <c r="T27" s="101">
        <f t="shared" si="7"/>
        <v>120</v>
      </c>
      <c r="U27" s="101">
        <f t="shared" si="7"/>
        <v>120</v>
      </c>
      <c r="V27" s="101">
        <f t="shared" si="7"/>
        <v>120</v>
      </c>
      <c r="W27" s="101">
        <f t="shared" si="7"/>
        <v>0</v>
      </c>
      <c r="X27" s="101">
        <f t="shared" si="7"/>
        <v>0</v>
      </c>
      <c r="Y27" s="101">
        <f t="shared" si="7"/>
        <v>0</v>
      </c>
      <c r="Z27" s="101">
        <f t="shared" si="7"/>
        <v>0</v>
      </c>
      <c r="AA27" s="101">
        <f t="shared" si="7"/>
        <v>0</v>
      </c>
      <c r="AB27" s="22"/>
    </row>
    <row r="28" spans="1:28" s="23" customFormat="1" ht="10.199999999999999" x14ac:dyDescent="0.2">
      <c r="A28" s="22"/>
      <c r="B28" s="22"/>
      <c r="C28" s="22"/>
      <c r="D28" s="22"/>
      <c r="E28" s="22" t="str">
        <f>E26</f>
        <v>ФОТ - начисления/оплаты</v>
      </c>
      <c r="F28" s="22"/>
      <c r="G28" s="22" t="str">
        <f>IF($E28="","",INDEX(KPI!$G:$G,SUMIFS(KPI!$B:$B,KPI!$E:$E,$E28)))</f>
        <v>тыс.руб.</v>
      </c>
      <c r="H28" s="100">
        <f>структура!$V$13</f>
        <v>2</v>
      </c>
      <c r="I28" s="31"/>
      <c r="J28" s="98" t="str">
        <f>структура!$X$13</f>
        <v>фев</v>
      </c>
      <c r="K28" s="99"/>
      <c r="L28" s="22"/>
      <c r="M28" s="58"/>
      <c r="N28" s="22"/>
      <c r="O28" s="22"/>
      <c r="P28" s="101">
        <f t="shared" si="6"/>
        <v>120</v>
      </c>
      <c r="Q28" s="101">
        <f t="shared" ref="Q28:AA38" si="8">IF(Q$1="",0,Q$23)</f>
        <v>120</v>
      </c>
      <c r="R28" s="101">
        <f t="shared" si="8"/>
        <v>120</v>
      </c>
      <c r="S28" s="101">
        <f t="shared" si="8"/>
        <v>120</v>
      </c>
      <c r="T28" s="101">
        <f t="shared" si="8"/>
        <v>120</v>
      </c>
      <c r="U28" s="101">
        <f t="shared" si="8"/>
        <v>120</v>
      </c>
      <c r="V28" s="101">
        <f t="shared" si="8"/>
        <v>120</v>
      </c>
      <c r="W28" s="101">
        <f t="shared" si="8"/>
        <v>0</v>
      </c>
      <c r="X28" s="101">
        <f t="shared" si="8"/>
        <v>0</v>
      </c>
      <c r="Y28" s="101">
        <f t="shared" si="8"/>
        <v>0</v>
      </c>
      <c r="Z28" s="101">
        <f t="shared" si="8"/>
        <v>0</v>
      </c>
      <c r="AA28" s="101">
        <f t="shared" si="8"/>
        <v>0</v>
      </c>
      <c r="AB28" s="22"/>
    </row>
    <row r="29" spans="1:28" s="23" customFormat="1" ht="10.199999999999999" x14ac:dyDescent="0.2">
      <c r="A29" s="22"/>
      <c r="B29" s="22"/>
      <c r="C29" s="22"/>
      <c r="D29" s="22"/>
      <c r="E29" s="22" t="str">
        <f>E26</f>
        <v>ФОТ - начисления/оплаты</v>
      </c>
      <c r="F29" s="22"/>
      <c r="G29" s="22" t="str">
        <f>IF($E29="","",INDEX(KPI!$G:$G,SUMIFS(KPI!$B:$B,KPI!$E:$E,$E29)))</f>
        <v>тыс.руб.</v>
      </c>
      <c r="H29" s="100">
        <f>структура!$V$14</f>
        <v>3</v>
      </c>
      <c r="I29" s="31"/>
      <c r="J29" s="98" t="str">
        <f>структура!$X$14</f>
        <v>мар</v>
      </c>
      <c r="K29" s="99"/>
      <c r="L29" s="22"/>
      <c r="M29" s="58"/>
      <c r="N29" s="22"/>
      <c r="O29" s="22"/>
      <c r="P29" s="101">
        <f t="shared" si="6"/>
        <v>120</v>
      </c>
      <c r="Q29" s="101">
        <f t="shared" si="8"/>
        <v>120</v>
      </c>
      <c r="R29" s="101">
        <f t="shared" si="8"/>
        <v>120</v>
      </c>
      <c r="S29" s="101">
        <f t="shared" si="8"/>
        <v>120</v>
      </c>
      <c r="T29" s="101">
        <f t="shared" si="8"/>
        <v>120</v>
      </c>
      <c r="U29" s="101">
        <f t="shared" si="8"/>
        <v>120</v>
      </c>
      <c r="V29" s="101">
        <f t="shared" si="8"/>
        <v>120</v>
      </c>
      <c r="W29" s="101">
        <f t="shared" si="8"/>
        <v>0</v>
      </c>
      <c r="X29" s="101">
        <f t="shared" si="8"/>
        <v>0</v>
      </c>
      <c r="Y29" s="101">
        <f t="shared" si="8"/>
        <v>0</v>
      </c>
      <c r="Z29" s="101">
        <f t="shared" si="8"/>
        <v>0</v>
      </c>
      <c r="AA29" s="101">
        <f t="shared" si="8"/>
        <v>0</v>
      </c>
      <c r="AB29" s="22"/>
    </row>
    <row r="30" spans="1:28" s="23" customFormat="1" ht="10.199999999999999" x14ac:dyDescent="0.2">
      <c r="A30" s="22"/>
      <c r="B30" s="22"/>
      <c r="C30" s="22"/>
      <c r="D30" s="22"/>
      <c r="E30" s="22" t="str">
        <f>E26</f>
        <v>ФОТ - начисления/оплаты</v>
      </c>
      <c r="F30" s="22"/>
      <c r="G30" s="22" t="str">
        <f>IF($E30="","",INDEX(KPI!$G:$G,SUMIFS(KPI!$B:$B,KPI!$E:$E,$E30)))</f>
        <v>тыс.руб.</v>
      </c>
      <c r="H30" s="100">
        <f>структура!$V$15</f>
        <v>4</v>
      </c>
      <c r="I30" s="31"/>
      <c r="J30" s="98" t="str">
        <f>структура!$X$15</f>
        <v>апр</v>
      </c>
      <c r="K30" s="99"/>
      <c r="L30" s="22"/>
      <c r="M30" s="58"/>
      <c r="N30" s="22"/>
      <c r="O30" s="22"/>
      <c r="P30" s="101">
        <f t="shared" si="6"/>
        <v>120</v>
      </c>
      <c r="Q30" s="101">
        <f t="shared" si="8"/>
        <v>120</v>
      </c>
      <c r="R30" s="101">
        <f t="shared" si="8"/>
        <v>120</v>
      </c>
      <c r="S30" s="101">
        <f t="shared" si="8"/>
        <v>120</v>
      </c>
      <c r="T30" s="101">
        <f t="shared" si="8"/>
        <v>120</v>
      </c>
      <c r="U30" s="101">
        <f t="shared" si="8"/>
        <v>120</v>
      </c>
      <c r="V30" s="101">
        <f t="shared" si="8"/>
        <v>120</v>
      </c>
      <c r="W30" s="101">
        <f t="shared" si="8"/>
        <v>0</v>
      </c>
      <c r="X30" s="101">
        <f t="shared" si="8"/>
        <v>0</v>
      </c>
      <c r="Y30" s="101">
        <f t="shared" si="8"/>
        <v>0</v>
      </c>
      <c r="Z30" s="101">
        <f t="shared" si="8"/>
        <v>0</v>
      </c>
      <c r="AA30" s="101">
        <f t="shared" si="8"/>
        <v>0</v>
      </c>
      <c r="AB30" s="22"/>
    </row>
    <row r="31" spans="1:28" s="23" customFormat="1" ht="10.199999999999999" x14ac:dyDescent="0.2">
      <c r="A31" s="22"/>
      <c r="B31" s="22"/>
      <c r="C31" s="22"/>
      <c r="D31" s="22"/>
      <c r="E31" s="22" t="str">
        <f>E26</f>
        <v>ФОТ - начисления/оплаты</v>
      </c>
      <c r="F31" s="22"/>
      <c r="G31" s="22" t="str">
        <f>IF($E31="","",INDEX(KPI!$G:$G,SUMIFS(KPI!$B:$B,KPI!$E:$E,$E31)))</f>
        <v>тыс.руб.</v>
      </c>
      <c r="H31" s="100">
        <f>структура!$V$16</f>
        <v>5</v>
      </c>
      <c r="I31" s="31"/>
      <c r="J31" s="98" t="str">
        <f>структура!$X$16</f>
        <v>май</v>
      </c>
      <c r="K31" s="99"/>
      <c r="L31" s="22"/>
      <c r="M31" s="58"/>
      <c r="N31" s="22"/>
      <c r="O31" s="22"/>
      <c r="P31" s="101">
        <f t="shared" si="6"/>
        <v>120</v>
      </c>
      <c r="Q31" s="101">
        <f t="shared" si="8"/>
        <v>120</v>
      </c>
      <c r="R31" s="101">
        <f t="shared" si="8"/>
        <v>120</v>
      </c>
      <c r="S31" s="101">
        <f t="shared" si="8"/>
        <v>120</v>
      </c>
      <c r="T31" s="101">
        <f t="shared" si="8"/>
        <v>120</v>
      </c>
      <c r="U31" s="101">
        <f t="shared" si="8"/>
        <v>120</v>
      </c>
      <c r="V31" s="101">
        <f t="shared" si="8"/>
        <v>120</v>
      </c>
      <c r="W31" s="101">
        <f t="shared" si="8"/>
        <v>0</v>
      </c>
      <c r="X31" s="101">
        <f t="shared" si="8"/>
        <v>0</v>
      </c>
      <c r="Y31" s="101">
        <f t="shared" si="8"/>
        <v>0</v>
      </c>
      <c r="Z31" s="101">
        <f t="shared" si="8"/>
        <v>0</v>
      </c>
      <c r="AA31" s="101">
        <f t="shared" si="8"/>
        <v>0</v>
      </c>
      <c r="AB31" s="22"/>
    </row>
    <row r="32" spans="1:28" s="23" customFormat="1" ht="10.199999999999999" x14ac:dyDescent="0.2">
      <c r="A32" s="22"/>
      <c r="B32" s="22"/>
      <c r="C32" s="22"/>
      <c r="D32" s="22"/>
      <c r="E32" s="22" t="str">
        <f>E26</f>
        <v>ФОТ - начисления/оплаты</v>
      </c>
      <c r="F32" s="22"/>
      <c r="G32" s="22" t="str">
        <f>IF($E32="","",INDEX(KPI!$G:$G,SUMIFS(KPI!$B:$B,KPI!$E:$E,$E32)))</f>
        <v>тыс.руб.</v>
      </c>
      <c r="H32" s="100">
        <f>структура!$V$17</f>
        <v>6</v>
      </c>
      <c r="I32" s="31"/>
      <c r="J32" s="98" t="str">
        <f>структура!$X$17</f>
        <v>июн</v>
      </c>
      <c r="K32" s="99"/>
      <c r="L32" s="22"/>
      <c r="M32" s="58"/>
      <c r="N32" s="22"/>
      <c r="O32" s="22"/>
      <c r="P32" s="101">
        <f t="shared" si="6"/>
        <v>120</v>
      </c>
      <c r="Q32" s="101">
        <f t="shared" si="8"/>
        <v>120</v>
      </c>
      <c r="R32" s="101">
        <f t="shared" si="8"/>
        <v>120</v>
      </c>
      <c r="S32" s="101">
        <f t="shared" si="8"/>
        <v>120</v>
      </c>
      <c r="T32" s="101">
        <f t="shared" si="8"/>
        <v>120</v>
      </c>
      <c r="U32" s="101">
        <f t="shared" si="8"/>
        <v>120</v>
      </c>
      <c r="V32" s="101">
        <f t="shared" si="8"/>
        <v>120</v>
      </c>
      <c r="W32" s="101">
        <f t="shared" si="8"/>
        <v>0</v>
      </c>
      <c r="X32" s="101">
        <f t="shared" si="8"/>
        <v>0</v>
      </c>
      <c r="Y32" s="101">
        <f t="shared" si="8"/>
        <v>0</v>
      </c>
      <c r="Z32" s="101">
        <f t="shared" si="8"/>
        <v>0</v>
      </c>
      <c r="AA32" s="101">
        <f t="shared" si="8"/>
        <v>0</v>
      </c>
      <c r="AB32" s="22"/>
    </row>
    <row r="33" spans="1:28" s="23" customFormat="1" ht="10.199999999999999" x14ac:dyDescent="0.2">
      <c r="A33" s="22"/>
      <c r="B33" s="22"/>
      <c r="C33" s="22"/>
      <c r="D33" s="22"/>
      <c r="E33" s="22" t="str">
        <f>E26</f>
        <v>ФОТ - начисления/оплаты</v>
      </c>
      <c r="F33" s="22"/>
      <c r="G33" s="22" t="str">
        <f>IF($E33="","",INDEX(KPI!$G:$G,SUMIFS(KPI!$B:$B,KPI!$E:$E,$E33)))</f>
        <v>тыс.руб.</v>
      </c>
      <c r="H33" s="100">
        <f>структура!$V$18</f>
        <v>7</v>
      </c>
      <c r="I33" s="31"/>
      <c r="J33" s="98" t="str">
        <f>структура!$X$18</f>
        <v>июл</v>
      </c>
      <c r="K33" s="99"/>
      <c r="L33" s="22"/>
      <c r="M33" s="58"/>
      <c r="N33" s="22"/>
      <c r="O33" s="22"/>
      <c r="P33" s="101">
        <f t="shared" si="6"/>
        <v>120</v>
      </c>
      <c r="Q33" s="101">
        <f t="shared" si="8"/>
        <v>120</v>
      </c>
      <c r="R33" s="101">
        <f t="shared" si="8"/>
        <v>120</v>
      </c>
      <c r="S33" s="101">
        <f t="shared" si="8"/>
        <v>120</v>
      </c>
      <c r="T33" s="101">
        <f t="shared" si="8"/>
        <v>120</v>
      </c>
      <c r="U33" s="101">
        <f t="shared" si="8"/>
        <v>120</v>
      </c>
      <c r="V33" s="101">
        <f t="shared" si="8"/>
        <v>120</v>
      </c>
      <c r="W33" s="101">
        <f t="shared" si="8"/>
        <v>0</v>
      </c>
      <c r="X33" s="101">
        <f t="shared" si="8"/>
        <v>0</v>
      </c>
      <c r="Y33" s="101">
        <f t="shared" si="8"/>
        <v>0</v>
      </c>
      <c r="Z33" s="101">
        <f t="shared" si="8"/>
        <v>0</v>
      </c>
      <c r="AA33" s="101">
        <f t="shared" si="8"/>
        <v>0</v>
      </c>
      <c r="AB33" s="22"/>
    </row>
    <row r="34" spans="1:28" s="23" customFormat="1" ht="10.199999999999999" x14ac:dyDescent="0.2">
      <c r="A34" s="22"/>
      <c r="B34" s="22"/>
      <c r="C34" s="22"/>
      <c r="D34" s="22"/>
      <c r="E34" s="22" t="str">
        <f>E26</f>
        <v>ФОТ - начисления/оплаты</v>
      </c>
      <c r="F34" s="22"/>
      <c r="G34" s="22" t="str">
        <f>IF($E34="","",INDEX(KPI!$G:$G,SUMIFS(KPI!$B:$B,KPI!$E:$E,$E34)))</f>
        <v>тыс.руб.</v>
      </c>
      <c r="H34" s="100">
        <f>структура!$V$19</f>
        <v>8</v>
      </c>
      <c r="I34" s="31"/>
      <c r="J34" s="98" t="str">
        <f>структура!$X$19</f>
        <v>авг</v>
      </c>
      <c r="K34" s="99"/>
      <c r="L34" s="22"/>
      <c r="M34" s="58"/>
      <c r="N34" s="22"/>
      <c r="O34" s="22"/>
      <c r="P34" s="101">
        <f t="shared" si="6"/>
        <v>120</v>
      </c>
      <c r="Q34" s="101">
        <f t="shared" si="8"/>
        <v>120</v>
      </c>
      <c r="R34" s="101">
        <f t="shared" si="8"/>
        <v>120</v>
      </c>
      <c r="S34" s="101">
        <f t="shared" si="8"/>
        <v>120</v>
      </c>
      <c r="T34" s="101">
        <f t="shared" si="8"/>
        <v>120</v>
      </c>
      <c r="U34" s="101">
        <f t="shared" si="8"/>
        <v>120</v>
      </c>
      <c r="V34" s="101">
        <f t="shared" si="8"/>
        <v>120</v>
      </c>
      <c r="W34" s="101">
        <f t="shared" si="8"/>
        <v>0</v>
      </c>
      <c r="X34" s="101">
        <f t="shared" si="8"/>
        <v>0</v>
      </c>
      <c r="Y34" s="101">
        <f t="shared" si="8"/>
        <v>0</v>
      </c>
      <c r="Z34" s="101">
        <f t="shared" si="8"/>
        <v>0</v>
      </c>
      <c r="AA34" s="101">
        <f t="shared" si="8"/>
        <v>0</v>
      </c>
      <c r="AB34" s="22"/>
    </row>
    <row r="35" spans="1:28" s="23" customFormat="1" ht="10.199999999999999" x14ac:dyDescent="0.2">
      <c r="A35" s="22"/>
      <c r="B35" s="22"/>
      <c r="C35" s="22"/>
      <c r="D35" s="22"/>
      <c r="E35" s="22" t="str">
        <f>E26</f>
        <v>ФОТ - начисления/оплаты</v>
      </c>
      <c r="F35" s="22"/>
      <c r="G35" s="22" t="str">
        <f>IF($E35="","",INDEX(KPI!$G:$G,SUMIFS(KPI!$B:$B,KPI!$E:$E,$E35)))</f>
        <v>тыс.руб.</v>
      </c>
      <c r="H35" s="100">
        <f>структура!$V$20</f>
        <v>9</v>
      </c>
      <c r="I35" s="31"/>
      <c r="J35" s="98" t="str">
        <f>структура!$X$20</f>
        <v>сен</v>
      </c>
      <c r="K35" s="99"/>
      <c r="L35" s="22"/>
      <c r="M35" s="58"/>
      <c r="N35" s="22"/>
      <c r="O35" s="22"/>
      <c r="P35" s="101">
        <f t="shared" si="6"/>
        <v>120</v>
      </c>
      <c r="Q35" s="101">
        <f t="shared" si="8"/>
        <v>120</v>
      </c>
      <c r="R35" s="101">
        <f t="shared" si="8"/>
        <v>120</v>
      </c>
      <c r="S35" s="101">
        <f t="shared" si="8"/>
        <v>120</v>
      </c>
      <c r="T35" s="101">
        <f t="shared" si="8"/>
        <v>120</v>
      </c>
      <c r="U35" s="101">
        <f t="shared" si="8"/>
        <v>120</v>
      </c>
      <c r="V35" s="101">
        <f t="shared" si="8"/>
        <v>120</v>
      </c>
      <c r="W35" s="101">
        <f t="shared" si="8"/>
        <v>0</v>
      </c>
      <c r="X35" s="101">
        <f t="shared" si="8"/>
        <v>0</v>
      </c>
      <c r="Y35" s="101">
        <f t="shared" si="8"/>
        <v>0</v>
      </c>
      <c r="Z35" s="101">
        <f t="shared" si="8"/>
        <v>0</v>
      </c>
      <c r="AA35" s="101">
        <f t="shared" si="8"/>
        <v>0</v>
      </c>
      <c r="AB35" s="22"/>
    </row>
    <row r="36" spans="1:28" s="23" customFormat="1" ht="10.199999999999999" x14ac:dyDescent="0.2">
      <c r="A36" s="22"/>
      <c r="B36" s="22"/>
      <c r="C36" s="22"/>
      <c r="D36" s="22"/>
      <c r="E36" s="22" t="str">
        <f>E26</f>
        <v>ФОТ - начисления/оплаты</v>
      </c>
      <c r="F36" s="22"/>
      <c r="G36" s="22" t="str">
        <f>IF($E36="","",INDEX(KPI!$G:$G,SUMIFS(KPI!$B:$B,KPI!$E:$E,$E36)))</f>
        <v>тыс.руб.</v>
      </c>
      <c r="H36" s="100">
        <f>структура!$V$21</f>
        <v>10</v>
      </c>
      <c r="I36" s="31"/>
      <c r="J36" s="98" t="str">
        <f>структура!$X$21</f>
        <v>окт</v>
      </c>
      <c r="K36" s="99"/>
      <c r="L36" s="22"/>
      <c r="M36" s="58"/>
      <c r="N36" s="22"/>
      <c r="O36" s="22"/>
      <c r="P36" s="101">
        <f t="shared" si="6"/>
        <v>120</v>
      </c>
      <c r="Q36" s="101">
        <f t="shared" si="8"/>
        <v>120</v>
      </c>
      <c r="R36" s="101">
        <f t="shared" si="8"/>
        <v>120</v>
      </c>
      <c r="S36" s="101">
        <f t="shared" si="8"/>
        <v>120</v>
      </c>
      <c r="T36" s="101">
        <f t="shared" si="8"/>
        <v>120</v>
      </c>
      <c r="U36" s="101">
        <f t="shared" si="8"/>
        <v>120</v>
      </c>
      <c r="V36" s="101">
        <f t="shared" si="8"/>
        <v>120</v>
      </c>
      <c r="W36" s="101">
        <f t="shared" si="8"/>
        <v>0</v>
      </c>
      <c r="X36" s="101">
        <f t="shared" si="8"/>
        <v>0</v>
      </c>
      <c r="Y36" s="101">
        <f t="shared" si="8"/>
        <v>0</v>
      </c>
      <c r="Z36" s="101">
        <f t="shared" si="8"/>
        <v>0</v>
      </c>
      <c r="AA36" s="101">
        <f t="shared" si="8"/>
        <v>0</v>
      </c>
      <c r="AB36" s="22"/>
    </row>
    <row r="37" spans="1:28" s="23" customFormat="1" ht="10.199999999999999" x14ac:dyDescent="0.2">
      <c r="A37" s="22"/>
      <c r="B37" s="22"/>
      <c r="C37" s="22"/>
      <c r="D37" s="22"/>
      <c r="E37" s="22" t="str">
        <f>E26</f>
        <v>ФОТ - начисления/оплаты</v>
      </c>
      <c r="F37" s="22"/>
      <c r="G37" s="22" t="str">
        <f>IF($E37="","",INDEX(KPI!$G:$G,SUMIFS(KPI!$B:$B,KPI!$E:$E,$E37)))</f>
        <v>тыс.руб.</v>
      </c>
      <c r="H37" s="100">
        <f>структура!$V$22</f>
        <v>11</v>
      </c>
      <c r="I37" s="31"/>
      <c r="J37" s="98" t="str">
        <f>структура!$X$22</f>
        <v>ноя</v>
      </c>
      <c r="K37" s="99"/>
      <c r="L37" s="22"/>
      <c r="M37" s="58"/>
      <c r="N37" s="22"/>
      <c r="O37" s="22"/>
      <c r="P37" s="101">
        <f t="shared" si="6"/>
        <v>120</v>
      </c>
      <c r="Q37" s="101">
        <f t="shared" si="8"/>
        <v>120</v>
      </c>
      <c r="R37" s="101">
        <f t="shared" si="8"/>
        <v>120</v>
      </c>
      <c r="S37" s="101">
        <f t="shared" si="8"/>
        <v>120</v>
      </c>
      <c r="T37" s="101">
        <f t="shared" si="8"/>
        <v>120</v>
      </c>
      <c r="U37" s="101">
        <f t="shared" si="8"/>
        <v>120</v>
      </c>
      <c r="V37" s="101">
        <f t="shared" si="8"/>
        <v>120</v>
      </c>
      <c r="W37" s="101">
        <f t="shared" si="8"/>
        <v>0</v>
      </c>
      <c r="X37" s="101">
        <f t="shared" si="8"/>
        <v>0</v>
      </c>
      <c r="Y37" s="101">
        <f t="shared" si="8"/>
        <v>0</v>
      </c>
      <c r="Z37" s="101">
        <f t="shared" si="8"/>
        <v>0</v>
      </c>
      <c r="AA37" s="101">
        <f t="shared" si="8"/>
        <v>0</v>
      </c>
      <c r="AB37" s="22"/>
    </row>
    <row r="38" spans="1:28" s="23" customFormat="1" ht="10.199999999999999" x14ac:dyDescent="0.2">
      <c r="A38" s="22"/>
      <c r="B38" s="22"/>
      <c r="C38" s="22"/>
      <c r="D38" s="22"/>
      <c r="E38" s="22" t="str">
        <f>E26</f>
        <v>ФОТ - начисления/оплаты</v>
      </c>
      <c r="F38" s="22"/>
      <c r="G38" s="22" t="str">
        <f>IF($E38="","",INDEX(KPI!$G:$G,SUMIFS(KPI!$B:$B,KPI!$E:$E,$E38)))</f>
        <v>тыс.руб.</v>
      </c>
      <c r="H38" s="100">
        <f>структура!$V$23</f>
        <v>12</v>
      </c>
      <c r="I38" s="31"/>
      <c r="J38" s="98" t="str">
        <f>структура!$X$23</f>
        <v>дек</v>
      </c>
      <c r="K38" s="99"/>
      <c r="L38" s="22"/>
      <c r="M38" s="58"/>
      <c r="N38" s="22"/>
      <c r="O38" s="22"/>
      <c r="P38" s="101">
        <f t="shared" si="6"/>
        <v>120</v>
      </c>
      <c r="Q38" s="101">
        <f t="shared" si="8"/>
        <v>120</v>
      </c>
      <c r="R38" s="101">
        <f t="shared" si="8"/>
        <v>120</v>
      </c>
      <c r="S38" s="101">
        <f t="shared" si="8"/>
        <v>120</v>
      </c>
      <c r="T38" s="101">
        <f t="shared" si="8"/>
        <v>120</v>
      </c>
      <c r="U38" s="101">
        <f t="shared" si="8"/>
        <v>120</v>
      </c>
      <c r="V38" s="101">
        <f t="shared" si="8"/>
        <v>120</v>
      </c>
      <c r="W38" s="101">
        <f t="shared" si="8"/>
        <v>0</v>
      </c>
      <c r="X38" s="101">
        <f t="shared" si="8"/>
        <v>0</v>
      </c>
      <c r="Y38" s="101">
        <f t="shared" si="8"/>
        <v>0</v>
      </c>
      <c r="Z38" s="101">
        <f t="shared" si="8"/>
        <v>0</v>
      </c>
      <c r="AA38" s="101">
        <f t="shared" si="8"/>
        <v>0</v>
      </c>
      <c r="AB38" s="22"/>
    </row>
    <row r="39" spans="1:28" ht="3.9" customHeight="1" x14ac:dyDescent="0.25">
      <c r="A39" s="2"/>
      <c r="B39" s="2"/>
      <c r="C39" s="2"/>
      <c r="D39" s="2"/>
      <c r="E39" s="21"/>
      <c r="F39" s="2"/>
      <c r="G39" s="21"/>
      <c r="H39" s="2"/>
      <c r="I39" s="28"/>
      <c r="J39" s="21"/>
      <c r="K39" s="28"/>
      <c r="L39" s="2"/>
      <c r="M39" s="52"/>
      <c r="N39" s="2"/>
      <c r="O39" s="2"/>
      <c r="P39" s="36"/>
      <c r="Q39" s="36"/>
      <c r="R39" s="36"/>
      <c r="S39" s="36"/>
      <c r="T39" s="36"/>
      <c r="U39" s="36"/>
      <c r="V39" s="36"/>
      <c r="W39" s="36"/>
      <c r="X39" s="36"/>
      <c r="Y39" s="36"/>
      <c r="Z39" s="36"/>
      <c r="AA39" s="36"/>
      <c r="AB39" s="2"/>
    </row>
    <row r="40" spans="1:28" ht="8.1" customHeight="1" x14ac:dyDescent="0.25">
      <c r="A40" s="2"/>
      <c r="B40" s="2"/>
      <c r="C40" s="2"/>
      <c r="D40" s="2"/>
      <c r="E40" s="2"/>
      <c r="F40" s="2"/>
      <c r="G40" s="2"/>
      <c r="H40" s="2"/>
      <c r="I40" s="28"/>
      <c r="J40" s="2"/>
      <c r="K40" s="28"/>
      <c r="L40" s="2"/>
      <c r="M40" s="52"/>
      <c r="N40" s="2"/>
      <c r="O40" s="2"/>
      <c r="P40" s="36"/>
      <c r="Q40" s="36"/>
      <c r="R40" s="36"/>
      <c r="S40" s="36"/>
      <c r="T40" s="36"/>
      <c r="U40" s="36"/>
      <c r="V40" s="36"/>
      <c r="W40" s="36"/>
      <c r="X40" s="36"/>
      <c r="Y40" s="36"/>
      <c r="Z40" s="36"/>
      <c r="AA40" s="36"/>
      <c r="AB40" s="2"/>
    </row>
    <row r="41" spans="1:28" s="5" customFormat="1" x14ac:dyDescent="0.25">
      <c r="A41" s="3"/>
      <c r="B41" s="3"/>
      <c r="C41" s="3"/>
      <c r="D41" s="3"/>
      <c r="E41" s="3" t="str">
        <f>KPI!$E$58</f>
        <v>ставка отчислений в соцфонды+страхНС</v>
      </c>
      <c r="F41" s="3"/>
      <c r="G41" s="3" t="str">
        <f>IF($E41="","",INDEX(KPI!$G:$G,SUMIFS(KPI!$B:$B,KPI!$E:$E,$E41)))</f>
        <v>%</v>
      </c>
      <c r="H41" s="3"/>
      <c r="I41" s="6" t="s">
        <v>0</v>
      </c>
      <c r="J41" s="88">
        <v>0.30199999999999999</v>
      </c>
      <c r="K41" s="28"/>
      <c r="L41" s="2"/>
      <c r="M41" s="52"/>
      <c r="N41" s="3"/>
      <c r="O41" s="2"/>
      <c r="P41" s="36"/>
      <c r="Q41" s="36"/>
      <c r="R41" s="36"/>
      <c r="S41" s="36"/>
      <c r="T41" s="36"/>
      <c r="U41" s="36"/>
      <c r="V41" s="36"/>
      <c r="W41" s="36"/>
      <c r="X41" s="36"/>
      <c r="Y41" s="36"/>
      <c r="Z41" s="36"/>
      <c r="AA41" s="36"/>
      <c r="AB41" s="2"/>
    </row>
    <row r="42" spans="1:28" ht="3.9" customHeight="1" x14ac:dyDescent="0.25">
      <c r="A42" s="2"/>
      <c r="B42" s="2"/>
      <c r="C42" s="2"/>
      <c r="D42" s="2"/>
      <c r="E42" s="110"/>
      <c r="F42" s="2"/>
      <c r="G42" s="2"/>
      <c r="H42" s="2"/>
      <c r="I42" s="28"/>
      <c r="J42" s="2"/>
      <c r="K42" s="28"/>
      <c r="L42" s="2"/>
      <c r="M42" s="52"/>
      <c r="N42" s="2"/>
      <c r="O42" s="2"/>
      <c r="P42" s="36"/>
      <c r="Q42" s="36"/>
      <c r="R42" s="36"/>
      <c r="S42" s="36"/>
      <c r="T42" s="36"/>
      <c r="U42" s="36"/>
      <c r="V42" s="36"/>
      <c r="W42" s="36"/>
      <c r="X42" s="36"/>
      <c r="Y42" s="36"/>
      <c r="Z42" s="36"/>
      <c r="AA42" s="36"/>
      <c r="AB42" s="2"/>
    </row>
    <row r="43" spans="1:28" ht="8.1" customHeight="1" x14ac:dyDescent="0.25">
      <c r="A43" s="2"/>
      <c r="B43" s="2"/>
      <c r="C43" s="2"/>
      <c r="D43" s="2"/>
      <c r="E43" s="2"/>
      <c r="F43" s="2"/>
      <c r="G43" s="2"/>
      <c r="H43" s="2"/>
      <c r="I43" s="28"/>
      <c r="J43" s="2"/>
      <c r="K43" s="28"/>
      <c r="L43" s="2"/>
      <c r="M43" s="52"/>
      <c r="N43" s="2"/>
      <c r="O43" s="2"/>
      <c r="P43" s="36"/>
      <c r="Q43" s="36"/>
      <c r="R43" s="36"/>
      <c r="S43" s="36"/>
      <c r="T43" s="36"/>
      <c r="U43" s="36"/>
      <c r="V43" s="36"/>
      <c r="W43" s="36"/>
      <c r="X43" s="36"/>
      <c r="Y43" s="36"/>
      <c r="Z43" s="36"/>
      <c r="AA43" s="36"/>
      <c r="AB43" s="2"/>
    </row>
    <row r="44" spans="1:28" s="5" customFormat="1" x14ac:dyDescent="0.25">
      <c r="A44" s="3"/>
      <c r="B44" s="3"/>
      <c r="C44" s="3"/>
      <c r="D44" s="111"/>
      <c r="E44" s="3" t="str">
        <f>KPI!$E$59</f>
        <v>начисления в соцфонды</v>
      </c>
      <c r="F44" s="3"/>
      <c r="G44" s="3" t="str">
        <f>IF($E44="","",INDEX(KPI!$G:$G,SUMIFS(KPI!$B:$B,KPI!$E:$E,$E44)))</f>
        <v>тыс.руб.</v>
      </c>
      <c r="H44" s="103"/>
      <c r="I44" s="28"/>
      <c r="J44" s="44"/>
      <c r="K44" s="28"/>
      <c r="L44" s="3"/>
      <c r="M44" s="55">
        <f>SUM($O44:$AB44)</f>
        <v>3044.1600000000003</v>
      </c>
      <c r="N44" s="3"/>
      <c r="O44" s="3"/>
      <c r="P44" s="46">
        <f>IF(P$1="",0,IF(P$1=0,SUMIFS(P45:P56,H45:H56,"&gt;="&amp;MONTH(#REF!)),SUM(P45:P56)))</f>
        <v>434.88000000000005</v>
      </c>
      <c r="Q44" s="46">
        <f t="shared" ref="Q44" si="9">IF(Q$1="",0,SUM(Q45:Q56))</f>
        <v>434.88000000000005</v>
      </c>
      <c r="R44" s="46">
        <f t="shared" ref="R44:AA44" si="10">IF(R$1="",0,SUM(R45:R56))</f>
        <v>434.88000000000005</v>
      </c>
      <c r="S44" s="46">
        <f t="shared" si="10"/>
        <v>434.88000000000005</v>
      </c>
      <c r="T44" s="46">
        <f t="shared" si="10"/>
        <v>434.88000000000005</v>
      </c>
      <c r="U44" s="46">
        <f t="shared" si="10"/>
        <v>434.88000000000005</v>
      </c>
      <c r="V44" s="46">
        <f t="shared" si="10"/>
        <v>434.88000000000005</v>
      </c>
      <c r="W44" s="46">
        <f t="shared" si="10"/>
        <v>0</v>
      </c>
      <c r="X44" s="46">
        <f t="shared" si="10"/>
        <v>0</v>
      </c>
      <c r="Y44" s="46">
        <f t="shared" si="10"/>
        <v>0</v>
      </c>
      <c r="Z44" s="46">
        <f t="shared" si="10"/>
        <v>0</v>
      </c>
      <c r="AA44" s="46">
        <f t="shared" si="10"/>
        <v>0</v>
      </c>
      <c r="AB44" s="3"/>
    </row>
    <row r="45" spans="1:28" s="23" customFormat="1" ht="10.199999999999999" x14ac:dyDescent="0.2">
      <c r="A45" s="22"/>
      <c r="B45" s="22"/>
      <c r="C45" s="22"/>
      <c r="D45" s="22"/>
      <c r="E45" s="22" t="str">
        <f>E44</f>
        <v>начисления в соцфонды</v>
      </c>
      <c r="F45" s="22"/>
      <c r="G45" s="22" t="str">
        <f>IF($E45="","",INDEX(KPI!$G:$G,SUMIFS(KPI!$B:$B,KPI!$E:$E,$E45)))</f>
        <v>тыс.руб.</v>
      </c>
      <c r="H45" s="100">
        <f>структура!$V$12</f>
        <v>1</v>
      </c>
      <c r="I45" s="31"/>
      <c r="J45" s="98" t="str">
        <f>структура!$X$12</f>
        <v>янв</v>
      </c>
      <c r="K45" s="99"/>
      <c r="L45" s="22"/>
      <c r="M45" s="58"/>
      <c r="N45" s="22"/>
      <c r="O45" s="22"/>
      <c r="P45" s="101">
        <f t="shared" ref="P45:AA45" si="11">IF(P$1="",0,P27*$J$41)</f>
        <v>36.24</v>
      </c>
      <c r="Q45" s="101">
        <f t="shared" si="11"/>
        <v>36.24</v>
      </c>
      <c r="R45" s="101">
        <f t="shared" si="11"/>
        <v>36.24</v>
      </c>
      <c r="S45" s="101">
        <f t="shared" si="11"/>
        <v>36.24</v>
      </c>
      <c r="T45" s="101">
        <f t="shared" si="11"/>
        <v>36.24</v>
      </c>
      <c r="U45" s="101">
        <f t="shared" si="11"/>
        <v>36.24</v>
      </c>
      <c r="V45" s="101">
        <f t="shared" si="11"/>
        <v>36.24</v>
      </c>
      <c r="W45" s="101">
        <f t="shared" si="11"/>
        <v>0</v>
      </c>
      <c r="X45" s="101">
        <f t="shared" si="11"/>
        <v>0</v>
      </c>
      <c r="Y45" s="101">
        <f t="shared" si="11"/>
        <v>0</v>
      </c>
      <c r="Z45" s="101">
        <f t="shared" si="11"/>
        <v>0</v>
      </c>
      <c r="AA45" s="101">
        <f t="shared" si="11"/>
        <v>0</v>
      </c>
      <c r="AB45" s="22"/>
    </row>
    <row r="46" spans="1:28" s="23" customFormat="1" ht="10.199999999999999" x14ac:dyDescent="0.2">
      <c r="A46" s="22"/>
      <c r="B46" s="22"/>
      <c r="C46" s="22"/>
      <c r="D46" s="22"/>
      <c r="E46" s="22" t="str">
        <f>E44</f>
        <v>начисления в соцфонды</v>
      </c>
      <c r="F46" s="22"/>
      <c r="G46" s="22" t="str">
        <f>IF($E46="","",INDEX(KPI!$G:$G,SUMIFS(KPI!$B:$B,KPI!$E:$E,$E46)))</f>
        <v>тыс.руб.</v>
      </c>
      <c r="H46" s="100">
        <f>структура!$V$13</f>
        <v>2</v>
      </c>
      <c r="I46" s="31"/>
      <c r="J46" s="98" t="str">
        <f>структура!$X$13</f>
        <v>фев</v>
      </c>
      <c r="K46" s="99"/>
      <c r="L46" s="22"/>
      <c r="M46" s="58"/>
      <c r="N46" s="22"/>
      <c r="O46" s="22"/>
      <c r="P46" s="101">
        <f t="shared" ref="P46:AA46" si="12">IF(P$1="",0,P28*$J$41)</f>
        <v>36.24</v>
      </c>
      <c r="Q46" s="101">
        <f t="shared" si="12"/>
        <v>36.24</v>
      </c>
      <c r="R46" s="101">
        <f t="shared" si="12"/>
        <v>36.24</v>
      </c>
      <c r="S46" s="101">
        <f t="shared" si="12"/>
        <v>36.24</v>
      </c>
      <c r="T46" s="101">
        <f t="shared" si="12"/>
        <v>36.24</v>
      </c>
      <c r="U46" s="101">
        <f t="shared" si="12"/>
        <v>36.24</v>
      </c>
      <c r="V46" s="101">
        <f t="shared" si="12"/>
        <v>36.24</v>
      </c>
      <c r="W46" s="101">
        <f t="shared" si="12"/>
        <v>0</v>
      </c>
      <c r="X46" s="101">
        <f t="shared" si="12"/>
        <v>0</v>
      </c>
      <c r="Y46" s="101">
        <f t="shared" si="12"/>
        <v>0</v>
      </c>
      <c r="Z46" s="101">
        <f t="shared" si="12"/>
        <v>0</v>
      </c>
      <c r="AA46" s="101">
        <f t="shared" si="12"/>
        <v>0</v>
      </c>
      <c r="AB46" s="22"/>
    </row>
    <row r="47" spans="1:28" s="23" customFormat="1" ht="10.199999999999999" x14ac:dyDescent="0.2">
      <c r="A47" s="22"/>
      <c r="B47" s="22"/>
      <c r="C47" s="22"/>
      <c r="D47" s="22"/>
      <c r="E47" s="22" t="str">
        <f>E44</f>
        <v>начисления в соцфонды</v>
      </c>
      <c r="F47" s="22"/>
      <c r="G47" s="22" t="str">
        <f>IF($E47="","",INDEX(KPI!$G:$G,SUMIFS(KPI!$B:$B,KPI!$E:$E,$E47)))</f>
        <v>тыс.руб.</v>
      </c>
      <c r="H47" s="100">
        <f>структура!$V$14</f>
        <v>3</v>
      </c>
      <c r="I47" s="31"/>
      <c r="J47" s="98" t="str">
        <f>структура!$X$14</f>
        <v>мар</v>
      </c>
      <c r="K47" s="99"/>
      <c r="L47" s="22"/>
      <c r="M47" s="58"/>
      <c r="N47" s="22"/>
      <c r="O47" s="22"/>
      <c r="P47" s="101">
        <f t="shared" ref="P47:AA47" si="13">IF(P$1="",0,P29*$J$41)</f>
        <v>36.24</v>
      </c>
      <c r="Q47" s="101">
        <f t="shared" si="13"/>
        <v>36.24</v>
      </c>
      <c r="R47" s="101">
        <f t="shared" si="13"/>
        <v>36.24</v>
      </c>
      <c r="S47" s="101">
        <f t="shared" si="13"/>
        <v>36.24</v>
      </c>
      <c r="T47" s="101">
        <f t="shared" si="13"/>
        <v>36.24</v>
      </c>
      <c r="U47" s="101">
        <f t="shared" si="13"/>
        <v>36.24</v>
      </c>
      <c r="V47" s="101">
        <f t="shared" si="13"/>
        <v>36.24</v>
      </c>
      <c r="W47" s="101">
        <f t="shared" si="13"/>
        <v>0</v>
      </c>
      <c r="X47" s="101">
        <f t="shared" si="13"/>
        <v>0</v>
      </c>
      <c r="Y47" s="101">
        <f t="shared" si="13"/>
        <v>0</v>
      </c>
      <c r="Z47" s="101">
        <f t="shared" si="13"/>
        <v>0</v>
      </c>
      <c r="AA47" s="101">
        <f t="shared" si="13"/>
        <v>0</v>
      </c>
      <c r="AB47" s="22"/>
    </row>
    <row r="48" spans="1:28" s="23" customFormat="1" ht="10.199999999999999" x14ac:dyDescent="0.2">
      <c r="A48" s="22"/>
      <c r="B48" s="22"/>
      <c r="C48" s="22"/>
      <c r="D48" s="22"/>
      <c r="E48" s="22" t="str">
        <f>E44</f>
        <v>начисления в соцфонды</v>
      </c>
      <c r="F48" s="22"/>
      <c r="G48" s="22" t="str">
        <f>IF($E48="","",INDEX(KPI!$G:$G,SUMIFS(KPI!$B:$B,KPI!$E:$E,$E48)))</f>
        <v>тыс.руб.</v>
      </c>
      <c r="H48" s="100">
        <f>структура!$V$15</f>
        <v>4</v>
      </c>
      <c r="I48" s="31"/>
      <c r="J48" s="98" t="str">
        <f>структура!$X$15</f>
        <v>апр</v>
      </c>
      <c r="K48" s="99"/>
      <c r="L48" s="22"/>
      <c r="M48" s="58"/>
      <c r="N48" s="22"/>
      <c r="O48" s="22"/>
      <c r="P48" s="101">
        <f t="shared" ref="P48:AA48" si="14">IF(P$1="",0,P30*$J$41)</f>
        <v>36.24</v>
      </c>
      <c r="Q48" s="101">
        <f t="shared" si="14"/>
        <v>36.24</v>
      </c>
      <c r="R48" s="101">
        <f t="shared" si="14"/>
        <v>36.24</v>
      </c>
      <c r="S48" s="101">
        <f t="shared" si="14"/>
        <v>36.24</v>
      </c>
      <c r="T48" s="101">
        <f t="shared" si="14"/>
        <v>36.24</v>
      </c>
      <c r="U48" s="101">
        <f t="shared" si="14"/>
        <v>36.24</v>
      </c>
      <c r="V48" s="101">
        <f t="shared" si="14"/>
        <v>36.24</v>
      </c>
      <c r="W48" s="101">
        <f t="shared" si="14"/>
        <v>0</v>
      </c>
      <c r="X48" s="101">
        <f t="shared" si="14"/>
        <v>0</v>
      </c>
      <c r="Y48" s="101">
        <f t="shared" si="14"/>
        <v>0</v>
      </c>
      <c r="Z48" s="101">
        <f t="shared" si="14"/>
        <v>0</v>
      </c>
      <c r="AA48" s="101">
        <f t="shared" si="14"/>
        <v>0</v>
      </c>
      <c r="AB48" s="22"/>
    </row>
    <row r="49" spans="1:28" s="23" customFormat="1" ht="10.199999999999999" x14ac:dyDescent="0.2">
      <c r="A49" s="22"/>
      <c r="B49" s="22"/>
      <c r="C49" s="22"/>
      <c r="D49" s="22"/>
      <c r="E49" s="22" t="str">
        <f>E44</f>
        <v>начисления в соцфонды</v>
      </c>
      <c r="F49" s="22"/>
      <c r="G49" s="22" t="str">
        <f>IF($E49="","",INDEX(KPI!$G:$G,SUMIFS(KPI!$B:$B,KPI!$E:$E,$E49)))</f>
        <v>тыс.руб.</v>
      </c>
      <c r="H49" s="100">
        <f>структура!$V$16</f>
        <v>5</v>
      </c>
      <c r="I49" s="31"/>
      <c r="J49" s="98" t="str">
        <f>структура!$X$16</f>
        <v>май</v>
      </c>
      <c r="K49" s="99"/>
      <c r="L49" s="22"/>
      <c r="M49" s="58"/>
      <c r="N49" s="22"/>
      <c r="O49" s="22"/>
      <c r="P49" s="101">
        <f t="shared" ref="P49:AA49" si="15">IF(P$1="",0,P31*$J$41)</f>
        <v>36.24</v>
      </c>
      <c r="Q49" s="101">
        <f t="shared" si="15"/>
        <v>36.24</v>
      </c>
      <c r="R49" s="101">
        <f t="shared" si="15"/>
        <v>36.24</v>
      </c>
      <c r="S49" s="101">
        <f t="shared" si="15"/>
        <v>36.24</v>
      </c>
      <c r="T49" s="101">
        <f t="shared" si="15"/>
        <v>36.24</v>
      </c>
      <c r="U49" s="101">
        <f t="shared" si="15"/>
        <v>36.24</v>
      </c>
      <c r="V49" s="101">
        <f t="shared" si="15"/>
        <v>36.24</v>
      </c>
      <c r="W49" s="101">
        <f t="shared" si="15"/>
        <v>0</v>
      </c>
      <c r="X49" s="101">
        <f t="shared" si="15"/>
        <v>0</v>
      </c>
      <c r="Y49" s="101">
        <f t="shared" si="15"/>
        <v>0</v>
      </c>
      <c r="Z49" s="101">
        <f t="shared" si="15"/>
        <v>0</v>
      </c>
      <c r="AA49" s="101">
        <f t="shared" si="15"/>
        <v>0</v>
      </c>
      <c r="AB49" s="22"/>
    </row>
    <row r="50" spans="1:28" s="23" customFormat="1" ht="10.199999999999999" x14ac:dyDescent="0.2">
      <c r="A50" s="22"/>
      <c r="B50" s="22"/>
      <c r="C50" s="22"/>
      <c r="D50" s="22"/>
      <c r="E50" s="22" t="str">
        <f>E44</f>
        <v>начисления в соцфонды</v>
      </c>
      <c r="F50" s="22"/>
      <c r="G50" s="22" t="str">
        <f>IF($E50="","",INDEX(KPI!$G:$G,SUMIFS(KPI!$B:$B,KPI!$E:$E,$E50)))</f>
        <v>тыс.руб.</v>
      </c>
      <c r="H50" s="100">
        <f>структура!$V$17</f>
        <v>6</v>
      </c>
      <c r="I50" s="31"/>
      <c r="J50" s="98" t="str">
        <f>структура!$X$17</f>
        <v>июн</v>
      </c>
      <c r="K50" s="99"/>
      <c r="L50" s="22"/>
      <c r="M50" s="58"/>
      <c r="N50" s="22"/>
      <c r="O50" s="22"/>
      <c r="P50" s="101">
        <f t="shared" ref="P50:AA50" si="16">IF(P$1="",0,P32*$J$41)</f>
        <v>36.24</v>
      </c>
      <c r="Q50" s="101">
        <f t="shared" si="16"/>
        <v>36.24</v>
      </c>
      <c r="R50" s="101">
        <f t="shared" si="16"/>
        <v>36.24</v>
      </c>
      <c r="S50" s="101">
        <f t="shared" si="16"/>
        <v>36.24</v>
      </c>
      <c r="T50" s="101">
        <f t="shared" si="16"/>
        <v>36.24</v>
      </c>
      <c r="U50" s="101">
        <f t="shared" si="16"/>
        <v>36.24</v>
      </c>
      <c r="V50" s="101">
        <f t="shared" si="16"/>
        <v>36.24</v>
      </c>
      <c r="W50" s="101">
        <f t="shared" si="16"/>
        <v>0</v>
      </c>
      <c r="X50" s="101">
        <f t="shared" si="16"/>
        <v>0</v>
      </c>
      <c r="Y50" s="101">
        <f t="shared" si="16"/>
        <v>0</v>
      </c>
      <c r="Z50" s="101">
        <f t="shared" si="16"/>
        <v>0</v>
      </c>
      <c r="AA50" s="101">
        <f t="shared" si="16"/>
        <v>0</v>
      </c>
      <c r="AB50" s="22"/>
    </row>
    <row r="51" spans="1:28" s="23" customFormat="1" ht="10.199999999999999" x14ac:dyDescent="0.2">
      <c r="A51" s="22"/>
      <c r="B51" s="22"/>
      <c r="C51" s="22"/>
      <c r="D51" s="22"/>
      <c r="E51" s="22" t="str">
        <f>E44</f>
        <v>начисления в соцфонды</v>
      </c>
      <c r="F51" s="22"/>
      <c r="G51" s="22" t="str">
        <f>IF($E51="","",INDEX(KPI!$G:$G,SUMIFS(KPI!$B:$B,KPI!$E:$E,$E51)))</f>
        <v>тыс.руб.</v>
      </c>
      <c r="H51" s="100">
        <f>структура!$V$18</f>
        <v>7</v>
      </c>
      <c r="I51" s="31"/>
      <c r="J51" s="98" t="str">
        <f>структура!$X$18</f>
        <v>июл</v>
      </c>
      <c r="K51" s="99"/>
      <c r="L51" s="22"/>
      <c r="M51" s="58"/>
      <c r="N51" s="22"/>
      <c r="O51" s="22"/>
      <c r="P51" s="101">
        <f t="shared" ref="P51:AA51" si="17">IF(P$1="",0,P33*$J$41)</f>
        <v>36.24</v>
      </c>
      <c r="Q51" s="101">
        <f t="shared" si="17"/>
        <v>36.24</v>
      </c>
      <c r="R51" s="101">
        <f t="shared" si="17"/>
        <v>36.24</v>
      </c>
      <c r="S51" s="101">
        <f t="shared" si="17"/>
        <v>36.24</v>
      </c>
      <c r="T51" s="101">
        <f t="shared" si="17"/>
        <v>36.24</v>
      </c>
      <c r="U51" s="101">
        <f t="shared" si="17"/>
        <v>36.24</v>
      </c>
      <c r="V51" s="101">
        <f t="shared" si="17"/>
        <v>36.24</v>
      </c>
      <c r="W51" s="101">
        <f t="shared" si="17"/>
        <v>0</v>
      </c>
      <c r="X51" s="101">
        <f t="shared" si="17"/>
        <v>0</v>
      </c>
      <c r="Y51" s="101">
        <f t="shared" si="17"/>
        <v>0</v>
      </c>
      <c r="Z51" s="101">
        <f t="shared" si="17"/>
        <v>0</v>
      </c>
      <c r="AA51" s="101">
        <f t="shared" si="17"/>
        <v>0</v>
      </c>
      <c r="AB51" s="22"/>
    </row>
    <row r="52" spans="1:28" s="23" customFormat="1" ht="10.199999999999999" x14ac:dyDescent="0.2">
      <c r="A52" s="22"/>
      <c r="B52" s="22"/>
      <c r="C52" s="22"/>
      <c r="D52" s="22"/>
      <c r="E52" s="22" t="str">
        <f>E44</f>
        <v>начисления в соцфонды</v>
      </c>
      <c r="F52" s="22"/>
      <c r="G52" s="22" t="str">
        <f>IF($E52="","",INDEX(KPI!$G:$G,SUMIFS(KPI!$B:$B,KPI!$E:$E,$E52)))</f>
        <v>тыс.руб.</v>
      </c>
      <c r="H52" s="100">
        <f>структура!$V$19</f>
        <v>8</v>
      </c>
      <c r="I52" s="31"/>
      <c r="J52" s="98" t="str">
        <f>структура!$X$19</f>
        <v>авг</v>
      </c>
      <c r="K52" s="99"/>
      <c r="L52" s="22"/>
      <c r="M52" s="58"/>
      <c r="N52" s="22"/>
      <c r="O52" s="22"/>
      <c r="P52" s="101">
        <f t="shared" ref="P52:AA52" si="18">IF(P$1="",0,P34*$J$41)</f>
        <v>36.24</v>
      </c>
      <c r="Q52" s="101">
        <f t="shared" si="18"/>
        <v>36.24</v>
      </c>
      <c r="R52" s="101">
        <f t="shared" si="18"/>
        <v>36.24</v>
      </c>
      <c r="S52" s="101">
        <f t="shared" si="18"/>
        <v>36.24</v>
      </c>
      <c r="T52" s="101">
        <f t="shared" si="18"/>
        <v>36.24</v>
      </c>
      <c r="U52" s="101">
        <f t="shared" si="18"/>
        <v>36.24</v>
      </c>
      <c r="V52" s="101">
        <f t="shared" si="18"/>
        <v>36.24</v>
      </c>
      <c r="W52" s="101">
        <f t="shared" si="18"/>
        <v>0</v>
      </c>
      <c r="X52" s="101">
        <f t="shared" si="18"/>
        <v>0</v>
      </c>
      <c r="Y52" s="101">
        <f t="shared" si="18"/>
        <v>0</v>
      </c>
      <c r="Z52" s="101">
        <f t="shared" si="18"/>
        <v>0</v>
      </c>
      <c r="AA52" s="101">
        <f t="shared" si="18"/>
        <v>0</v>
      </c>
      <c r="AB52" s="22"/>
    </row>
    <row r="53" spans="1:28" s="23" customFormat="1" ht="10.199999999999999" x14ac:dyDescent="0.2">
      <c r="A53" s="22"/>
      <c r="B53" s="22"/>
      <c r="C53" s="22"/>
      <c r="D53" s="22"/>
      <c r="E53" s="22" t="str">
        <f>E44</f>
        <v>начисления в соцфонды</v>
      </c>
      <c r="F53" s="22"/>
      <c r="G53" s="22" t="str">
        <f>IF($E53="","",INDEX(KPI!$G:$G,SUMIFS(KPI!$B:$B,KPI!$E:$E,$E53)))</f>
        <v>тыс.руб.</v>
      </c>
      <c r="H53" s="100">
        <f>структура!$V$20</f>
        <v>9</v>
      </c>
      <c r="I53" s="31"/>
      <c r="J53" s="98" t="str">
        <f>структура!$X$20</f>
        <v>сен</v>
      </c>
      <c r="K53" s="99"/>
      <c r="L53" s="22"/>
      <c r="M53" s="58"/>
      <c r="N53" s="22"/>
      <c r="O53" s="22"/>
      <c r="P53" s="101">
        <f t="shared" ref="P53:AA53" si="19">IF(P$1="",0,P35*$J$41)</f>
        <v>36.24</v>
      </c>
      <c r="Q53" s="101">
        <f t="shared" si="19"/>
        <v>36.24</v>
      </c>
      <c r="R53" s="101">
        <f t="shared" si="19"/>
        <v>36.24</v>
      </c>
      <c r="S53" s="101">
        <f t="shared" si="19"/>
        <v>36.24</v>
      </c>
      <c r="T53" s="101">
        <f t="shared" si="19"/>
        <v>36.24</v>
      </c>
      <c r="U53" s="101">
        <f t="shared" si="19"/>
        <v>36.24</v>
      </c>
      <c r="V53" s="101">
        <f t="shared" si="19"/>
        <v>36.24</v>
      </c>
      <c r="W53" s="101">
        <f t="shared" si="19"/>
        <v>0</v>
      </c>
      <c r="X53" s="101">
        <f t="shared" si="19"/>
        <v>0</v>
      </c>
      <c r="Y53" s="101">
        <f t="shared" si="19"/>
        <v>0</v>
      </c>
      <c r="Z53" s="101">
        <f t="shared" si="19"/>
        <v>0</v>
      </c>
      <c r="AA53" s="101">
        <f t="shared" si="19"/>
        <v>0</v>
      </c>
      <c r="AB53" s="22"/>
    </row>
    <row r="54" spans="1:28" s="23" customFormat="1" ht="10.199999999999999" x14ac:dyDescent="0.2">
      <c r="A54" s="22"/>
      <c r="B54" s="22"/>
      <c r="C54" s="22"/>
      <c r="D54" s="22"/>
      <c r="E54" s="22" t="str">
        <f>E44</f>
        <v>начисления в соцфонды</v>
      </c>
      <c r="F54" s="22"/>
      <c r="G54" s="22" t="str">
        <f>IF($E54="","",INDEX(KPI!$G:$G,SUMIFS(KPI!$B:$B,KPI!$E:$E,$E54)))</f>
        <v>тыс.руб.</v>
      </c>
      <c r="H54" s="100">
        <f>структура!$V$21</f>
        <v>10</v>
      </c>
      <c r="I54" s="31"/>
      <c r="J54" s="98" t="str">
        <f>структура!$X$21</f>
        <v>окт</v>
      </c>
      <c r="K54" s="99"/>
      <c r="L54" s="22"/>
      <c r="M54" s="58"/>
      <c r="N54" s="22"/>
      <c r="O54" s="22"/>
      <c r="P54" s="101">
        <f t="shared" ref="P54:AA54" si="20">IF(P$1="",0,P36*$J$41)</f>
        <v>36.24</v>
      </c>
      <c r="Q54" s="101">
        <f t="shared" si="20"/>
        <v>36.24</v>
      </c>
      <c r="R54" s="101">
        <f t="shared" si="20"/>
        <v>36.24</v>
      </c>
      <c r="S54" s="101">
        <f t="shared" si="20"/>
        <v>36.24</v>
      </c>
      <c r="T54" s="101">
        <f t="shared" si="20"/>
        <v>36.24</v>
      </c>
      <c r="U54" s="101">
        <f t="shared" si="20"/>
        <v>36.24</v>
      </c>
      <c r="V54" s="101">
        <f t="shared" si="20"/>
        <v>36.24</v>
      </c>
      <c r="W54" s="101">
        <f t="shared" si="20"/>
        <v>0</v>
      </c>
      <c r="X54" s="101">
        <f t="shared" si="20"/>
        <v>0</v>
      </c>
      <c r="Y54" s="101">
        <f t="shared" si="20"/>
        <v>0</v>
      </c>
      <c r="Z54" s="101">
        <f t="shared" si="20"/>
        <v>0</v>
      </c>
      <c r="AA54" s="101">
        <f t="shared" si="20"/>
        <v>0</v>
      </c>
      <c r="AB54" s="22"/>
    </row>
    <row r="55" spans="1:28" s="23" customFormat="1" ht="10.199999999999999" x14ac:dyDescent="0.2">
      <c r="A55" s="22"/>
      <c r="B55" s="22"/>
      <c r="C55" s="22"/>
      <c r="D55" s="22"/>
      <c r="E55" s="22" t="str">
        <f>E44</f>
        <v>начисления в соцфонды</v>
      </c>
      <c r="F55" s="22"/>
      <c r="G55" s="22" t="str">
        <f>IF($E55="","",INDEX(KPI!$G:$G,SUMIFS(KPI!$B:$B,KPI!$E:$E,$E55)))</f>
        <v>тыс.руб.</v>
      </c>
      <c r="H55" s="100">
        <f>структура!$V$22</f>
        <v>11</v>
      </c>
      <c r="I55" s="31"/>
      <c r="J55" s="98" t="str">
        <f>структура!$X$22</f>
        <v>ноя</v>
      </c>
      <c r="K55" s="99"/>
      <c r="L55" s="22"/>
      <c r="M55" s="58"/>
      <c r="N55" s="22"/>
      <c r="O55" s="22"/>
      <c r="P55" s="101">
        <f t="shared" ref="P55:AA55" si="21">IF(P$1="",0,P37*$J$41)</f>
        <v>36.24</v>
      </c>
      <c r="Q55" s="101">
        <f t="shared" si="21"/>
        <v>36.24</v>
      </c>
      <c r="R55" s="101">
        <f t="shared" si="21"/>
        <v>36.24</v>
      </c>
      <c r="S55" s="101">
        <f t="shared" si="21"/>
        <v>36.24</v>
      </c>
      <c r="T55" s="101">
        <f t="shared" si="21"/>
        <v>36.24</v>
      </c>
      <c r="U55" s="101">
        <f t="shared" si="21"/>
        <v>36.24</v>
      </c>
      <c r="V55" s="101">
        <f t="shared" si="21"/>
        <v>36.24</v>
      </c>
      <c r="W55" s="101">
        <f t="shared" si="21"/>
        <v>0</v>
      </c>
      <c r="X55" s="101">
        <f t="shared" si="21"/>
        <v>0</v>
      </c>
      <c r="Y55" s="101">
        <f t="shared" si="21"/>
        <v>0</v>
      </c>
      <c r="Z55" s="101">
        <f t="shared" si="21"/>
        <v>0</v>
      </c>
      <c r="AA55" s="101">
        <f t="shared" si="21"/>
        <v>0</v>
      </c>
      <c r="AB55" s="22"/>
    </row>
    <row r="56" spans="1:28" s="23" customFormat="1" ht="10.199999999999999" x14ac:dyDescent="0.2">
      <c r="A56" s="22"/>
      <c r="B56" s="22"/>
      <c r="C56" s="22"/>
      <c r="D56" s="22"/>
      <c r="E56" s="22" t="str">
        <f>E44</f>
        <v>начисления в соцфонды</v>
      </c>
      <c r="F56" s="22"/>
      <c r="G56" s="22" t="str">
        <f>IF($E56="","",INDEX(KPI!$G:$G,SUMIFS(KPI!$B:$B,KPI!$E:$E,$E56)))</f>
        <v>тыс.руб.</v>
      </c>
      <c r="H56" s="100">
        <f>структура!$V$23</f>
        <v>12</v>
      </c>
      <c r="I56" s="31"/>
      <c r="J56" s="98" t="str">
        <f>структура!$X$23</f>
        <v>дек</v>
      </c>
      <c r="K56" s="99"/>
      <c r="L56" s="22"/>
      <c r="M56" s="58"/>
      <c r="N56" s="22"/>
      <c r="O56" s="22"/>
      <c r="P56" s="101">
        <f t="shared" ref="P56:AA56" si="22">IF(P$1="",0,P38*$J$41)</f>
        <v>36.24</v>
      </c>
      <c r="Q56" s="101">
        <f t="shared" si="22"/>
        <v>36.24</v>
      </c>
      <c r="R56" s="101">
        <f t="shared" si="22"/>
        <v>36.24</v>
      </c>
      <c r="S56" s="101">
        <f t="shared" si="22"/>
        <v>36.24</v>
      </c>
      <c r="T56" s="101">
        <f t="shared" si="22"/>
        <v>36.24</v>
      </c>
      <c r="U56" s="101">
        <f t="shared" si="22"/>
        <v>36.24</v>
      </c>
      <c r="V56" s="101">
        <f t="shared" si="22"/>
        <v>36.24</v>
      </c>
      <c r="W56" s="101">
        <f t="shared" si="22"/>
        <v>0</v>
      </c>
      <c r="X56" s="101">
        <f t="shared" si="22"/>
        <v>0</v>
      </c>
      <c r="Y56" s="101">
        <f t="shared" si="22"/>
        <v>0</v>
      </c>
      <c r="Z56" s="101">
        <f t="shared" si="22"/>
        <v>0</v>
      </c>
      <c r="AA56" s="101">
        <f t="shared" si="22"/>
        <v>0</v>
      </c>
      <c r="AB56" s="22"/>
    </row>
    <row r="57" spans="1:28" ht="3.9" customHeight="1" x14ac:dyDescent="0.25">
      <c r="A57" s="2"/>
      <c r="B57" s="2"/>
      <c r="C57" s="2"/>
      <c r="D57" s="2"/>
      <c r="E57" s="21"/>
      <c r="F57" s="2"/>
      <c r="G57" s="21"/>
      <c r="H57" s="2"/>
      <c r="I57" s="28"/>
      <c r="J57" s="21"/>
      <c r="K57" s="28"/>
      <c r="L57" s="2"/>
      <c r="M57" s="52"/>
      <c r="N57" s="2"/>
      <c r="O57" s="2"/>
      <c r="P57" s="36"/>
      <c r="Q57" s="36"/>
      <c r="R57" s="36"/>
      <c r="S57" s="36"/>
      <c r="T57" s="36"/>
      <c r="U57" s="36"/>
      <c r="V57" s="36"/>
      <c r="W57" s="36"/>
      <c r="X57" s="36"/>
      <c r="Y57" s="36"/>
      <c r="Z57" s="36"/>
      <c r="AA57" s="36"/>
      <c r="AB57" s="2"/>
    </row>
    <row r="58" spans="1:28" ht="8.1" customHeight="1" x14ac:dyDescent="0.25">
      <c r="A58" s="2"/>
      <c r="B58" s="2"/>
      <c r="C58" s="2"/>
      <c r="D58" s="2"/>
      <c r="E58" s="2"/>
      <c r="F58" s="2"/>
      <c r="G58" s="2"/>
      <c r="H58" s="2"/>
      <c r="I58" s="28"/>
      <c r="J58" s="2"/>
      <c r="K58" s="28"/>
      <c r="L58" s="2"/>
      <c r="M58" s="52"/>
      <c r="N58" s="2"/>
      <c r="O58" s="2"/>
      <c r="P58" s="36"/>
      <c r="Q58" s="36"/>
      <c r="R58" s="36"/>
      <c r="S58" s="36"/>
      <c r="T58" s="36"/>
      <c r="U58" s="36"/>
      <c r="V58" s="36"/>
      <c r="W58" s="36"/>
      <c r="X58" s="36"/>
      <c r="Y58" s="36"/>
      <c r="Z58" s="36"/>
      <c r="AA58" s="36"/>
      <c r="AB58" s="2"/>
    </row>
    <row r="59" spans="1:28" s="5" customFormat="1" x14ac:dyDescent="0.25">
      <c r="A59" s="3"/>
      <c r="B59" s="3"/>
      <c r="C59" s="3"/>
      <c r="D59" s="111"/>
      <c r="E59" s="3" t="str">
        <f>KPI!$E$60</f>
        <v>оплаты в соцфонды</v>
      </c>
      <c r="F59" s="3"/>
      <c r="G59" s="3" t="str">
        <f>IF($E59="","",INDEX(KPI!$G:$G,SUMIFS(KPI!$B:$B,KPI!$E:$E,$E59)))</f>
        <v>тыс.руб.</v>
      </c>
      <c r="H59" s="116" t="str">
        <f>структура!$AL$20</f>
        <v>Заложен сдвиг на один месяц!</v>
      </c>
      <c r="I59" s="28"/>
      <c r="J59" s="44"/>
      <c r="K59" s="28"/>
      <c r="L59" s="3"/>
      <c r="M59" s="55">
        <f>SUM($O59:$AB59)</f>
        <v>3007.9200000000005</v>
      </c>
      <c r="N59" s="3"/>
      <c r="O59" s="3"/>
      <c r="P59" s="46">
        <f>IF(P$1="",0,IF(P$1=0,SUMIFS(P60:P71,H60:H71,"&gt;="&amp;MONTH(#REF!)),SUM(P60:P71)))</f>
        <v>398.64000000000004</v>
      </c>
      <c r="Q59" s="46">
        <f t="shared" ref="Q59" si="23">IF(Q$1="",0,SUM(Q60:Q71))</f>
        <v>434.88000000000005</v>
      </c>
      <c r="R59" s="46">
        <f t="shared" ref="R59:AA59" si="24">IF(R$1="",0,SUM(R60:R71))</f>
        <v>434.88000000000005</v>
      </c>
      <c r="S59" s="46">
        <f t="shared" si="24"/>
        <v>434.88000000000005</v>
      </c>
      <c r="T59" s="46">
        <f t="shared" si="24"/>
        <v>434.88000000000005</v>
      </c>
      <c r="U59" s="46">
        <f t="shared" si="24"/>
        <v>434.88000000000005</v>
      </c>
      <c r="V59" s="46">
        <f t="shared" si="24"/>
        <v>434.88000000000005</v>
      </c>
      <c r="W59" s="46">
        <f t="shared" si="24"/>
        <v>0</v>
      </c>
      <c r="X59" s="46">
        <f t="shared" si="24"/>
        <v>0</v>
      </c>
      <c r="Y59" s="46">
        <f t="shared" si="24"/>
        <v>0</v>
      </c>
      <c r="Z59" s="46">
        <f t="shared" si="24"/>
        <v>0</v>
      </c>
      <c r="AA59" s="46">
        <f t="shared" si="24"/>
        <v>0</v>
      </c>
      <c r="AB59" s="3"/>
    </row>
    <row r="60" spans="1:28" s="23" customFormat="1" ht="10.199999999999999" x14ac:dyDescent="0.2">
      <c r="A60" s="22"/>
      <c r="B60" s="22"/>
      <c r="C60" s="22"/>
      <c r="D60" s="22"/>
      <c r="E60" s="22" t="str">
        <f>E59</f>
        <v>оплаты в соцфонды</v>
      </c>
      <c r="F60" s="22"/>
      <c r="G60" s="22" t="str">
        <f>IF($E60="","",INDEX(KPI!$G:$G,SUMIFS(KPI!$B:$B,KPI!$E:$E,$E60)))</f>
        <v>тыс.руб.</v>
      </c>
      <c r="H60" s="100">
        <f>структура!$V$12</f>
        <v>1</v>
      </c>
      <c r="I60" s="31"/>
      <c r="J60" s="98" t="str">
        <f>структура!$X$12</f>
        <v>янв</v>
      </c>
      <c r="K60" s="99"/>
      <c r="L60" s="22"/>
      <c r="M60" s="58"/>
      <c r="N60" s="22"/>
      <c r="O60" s="22"/>
      <c r="P60" s="101">
        <f t="shared" ref="P60" si="25">IF(P$1="",0,O56)</f>
        <v>0</v>
      </c>
      <c r="Q60" s="101">
        <f>IF(Q$1="",0,P56)</f>
        <v>36.24</v>
      </c>
      <c r="R60" s="101">
        <f t="shared" ref="R60:AA60" si="26">IF(R$1="",0,Q56)</f>
        <v>36.24</v>
      </c>
      <c r="S60" s="101">
        <f t="shared" si="26"/>
        <v>36.24</v>
      </c>
      <c r="T60" s="101">
        <f t="shared" si="26"/>
        <v>36.24</v>
      </c>
      <c r="U60" s="101">
        <f t="shared" si="26"/>
        <v>36.24</v>
      </c>
      <c r="V60" s="101">
        <f t="shared" si="26"/>
        <v>36.24</v>
      </c>
      <c r="W60" s="101">
        <f t="shared" si="26"/>
        <v>0</v>
      </c>
      <c r="X60" s="101">
        <f t="shared" si="26"/>
        <v>0</v>
      </c>
      <c r="Y60" s="101">
        <f t="shared" si="26"/>
        <v>0</v>
      </c>
      <c r="Z60" s="101">
        <f t="shared" si="26"/>
        <v>0</v>
      </c>
      <c r="AA60" s="101">
        <f t="shared" si="26"/>
        <v>0</v>
      </c>
      <c r="AB60" s="22"/>
    </row>
    <row r="61" spans="1:28" s="23" customFormat="1" ht="10.199999999999999" x14ac:dyDescent="0.2">
      <c r="A61" s="22"/>
      <c r="B61" s="22"/>
      <c r="C61" s="22"/>
      <c r="D61" s="22"/>
      <c r="E61" s="22" t="str">
        <f>E59</f>
        <v>оплаты в соцфонды</v>
      </c>
      <c r="F61" s="22"/>
      <c r="G61" s="22" t="str">
        <f>IF($E61="","",INDEX(KPI!$G:$G,SUMIFS(KPI!$B:$B,KPI!$E:$E,$E61)))</f>
        <v>тыс.руб.</v>
      </c>
      <c r="H61" s="100">
        <f>структура!$V$13</f>
        <v>2</v>
      </c>
      <c r="I61" s="31"/>
      <c r="J61" s="98" t="str">
        <f>структура!$X$13</f>
        <v>фев</v>
      </c>
      <c r="K61" s="99"/>
      <c r="L61" s="22"/>
      <c r="M61" s="58"/>
      <c r="N61" s="22"/>
      <c r="O61" s="22"/>
      <c r="P61" s="101">
        <f>IF(P$1="",0,P45)</f>
        <v>36.24</v>
      </c>
      <c r="Q61" s="101">
        <f t="shared" ref="Q61:AA61" si="27">IF(Q$1="",0,Q45)</f>
        <v>36.24</v>
      </c>
      <c r="R61" s="101">
        <f t="shared" si="27"/>
        <v>36.24</v>
      </c>
      <c r="S61" s="101">
        <f t="shared" si="27"/>
        <v>36.24</v>
      </c>
      <c r="T61" s="101">
        <f t="shared" si="27"/>
        <v>36.24</v>
      </c>
      <c r="U61" s="101">
        <f t="shared" si="27"/>
        <v>36.24</v>
      </c>
      <c r="V61" s="101">
        <f t="shared" si="27"/>
        <v>36.24</v>
      </c>
      <c r="W61" s="101">
        <f t="shared" si="27"/>
        <v>0</v>
      </c>
      <c r="X61" s="101">
        <f t="shared" si="27"/>
        <v>0</v>
      </c>
      <c r="Y61" s="101">
        <f t="shared" si="27"/>
        <v>0</v>
      </c>
      <c r="Z61" s="101">
        <f t="shared" si="27"/>
        <v>0</v>
      </c>
      <c r="AA61" s="101">
        <f t="shared" si="27"/>
        <v>0</v>
      </c>
      <c r="AB61" s="22"/>
    </row>
    <row r="62" spans="1:28" s="23" customFormat="1" ht="10.199999999999999" x14ac:dyDescent="0.2">
      <c r="A62" s="22"/>
      <c r="B62" s="22"/>
      <c r="C62" s="22"/>
      <c r="D62" s="22"/>
      <c r="E62" s="22" t="str">
        <f>E59</f>
        <v>оплаты в соцфонды</v>
      </c>
      <c r="F62" s="22"/>
      <c r="G62" s="22" t="str">
        <f>IF($E62="","",INDEX(KPI!$G:$G,SUMIFS(KPI!$B:$B,KPI!$E:$E,$E62)))</f>
        <v>тыс.руб.</v>
      </c>
      <c r="H62" s="100">
        <f>структура!$V$14</f>
        <v>3</v>
      </c>
      <c r="I62" s="31"/>
      <c r="J62" s="98" t="str">
        <f>структура!$X$14</f>
        <v>мар</v>
      </c>
      <c r="K62" s="99"/>
      <c r="L62" s="22"/>
      <c r="M62" s="58"/>
      <c r="N62" s="22"/>
      <c r="O62" s="22"/>
      <c r="P62" s="101">
        <f t="shared" ref="P62:AA71" si="28">IF(P$1="",0,P46)</f>
        <v>36.24</v>
      </c>
      <c r="Q62" s="101">
        <f t="shared" si="28"/>
        <v>36.24</v>
      </c>
      <c r="R62" s="101">
        <f t="shared" si="28"/>
        <v>36.24</v>
      </c>
      <c r="S62" s="101">
        <f t="shared" si="28"/>
        <v>36.24</v>
      </c>
      <c r="T62" s="101">
        <f t="shared" si="28"/>
        <v>36.24</v>
      </c>
      <c r="U62" s="101">
        <f t="shared" si="28"/>
        <v>36.24</v>
      </c>
      <c r="V62" s="101">
        <f t="shared" si="28"/>
        <v>36.24</v>
      </c>
      <c r="W62" s="101">
        <f t="shared" si="28"/>
        <v>0</v>
      </c>
      <c r="X62" s="101">
        <f t="shared" si="28"/>
        <v>0</v>
      </c>
      <c r="Y62" s="101">
        <f t="shared" si="28"/>
        <v>0</v>
      </c>
      <c r="Z62" s="101">
        <f t="shared" si="28"/>
        <v>0</v>
      </c>
      <c r="AA62" s="101">
        <f t="shared" si="28"/>
        <v>0</v>
      </c>
      <c r="AB62" s="22"/>
    </row>
    <row r="63" spans="1:28" s="23" customFormat="1" ht="10.199999999999999" x14ac:dyDescent="0.2">
      <c r="A63" s="22"/>
      <c r="B63" s="22"/>
      <c r="C63" s="22"/>
      <c r="D63" s="22"/>
      <c r="E63" s="22" t="str">
        <f>E59</f>
        <v>оплаты в соцфонды</v>
      </c>
      <c r="F63" s="22"/>
      <c r="G63" s="22" t="str">
        <f>IF($E63="","",INDEX(KPI!$G:$G,SUMIFS(KPI!$B:$B,KPI!$E:$E,$E63)))</f>
        <v>тыс.руб.</v>
      </c>
      <c r="H63" s="100">
        <f>структура!$V$15</f>
        <v>4</v>
      </c>
      <c r="I63" s="31"/>
      <c r="J63" s="98" t="str">
        <f>структура!$X$15</f>
        <v>апр</v>
      </c>
      <c r="K63" s="99"/>
      <c r="L63" s="22"/>
      <c r="M63" s="58"/>
      <c r="N63" s="22"/>
      <c r="O63" s="22"/>
      <c r="P63" s="101">
        <f t="shared" si="28"/>
        <v>36.24</v>
      </c>
      <c r="Q63" s="101">
        <f>IF(Q$1="",0,Q47)</f>
        <v>36.24</v>
      </c>
      <c r="R63" s="101">
        <f t="shared" si="28"/>
        <v>36.24</v>
      </c>
      <c r="S63" s="101">
        <f t="shared" si="28"/>
        <v>36.24</v>
      </c>
      <c r="T63" s="101">
        <f t="shared" si="28"/>
        <v>36.24</v>
      </c>
      <c r="U63" s="101">
        <f t="shared" si="28"/>
        <v>36.24</v>
      </c>
      <c r="V63" s="101">
        <f t="shared" si="28"/>
        <v>36.24</v>
      </c>
      <c r="W63" s="101">
        <f t="shared" si="28"/>
        <v>0</v>
      </c>
      <c r="X63" s="101">
        <f t="shared" si="28"/>
        <v>0</v>
      </c>
      <c r="Y63" s="101">
        <f t="shared" si="28"/>
        <v>0</v>
      </c>
      <c r="Z63" s="101">
        <f t="shared" si="28"/>
        <v>0</v>
      </c>
      <c r="AA63" s="101">
        <f t="shared" si="28"/>
        <v>0</v>
      </c>
      <c r="AB63" s="22"/>
    </row>
    <row r="64" spans="1:28" s="23" customFormat="1" ht="10.199999999999999" x14ac:dyDescent="0.2">
      <c r="A64" s="22"/>
      <c r="B64" s="22"/>
      <c r="C64" s="22"/>
      <c r="D64" s="22"/>
      <c r="E64" s="22" t="str">
        <f>E59</f>
        <v>оплаты в соцфонды</v>
      </c>
      <c r="F64" s="22"/>
      <c r="G64" s="22" t="str">
        <f>IF($E64="","",INDEX(KPI!$G:$G,SUMIFS(KPI!$B:$B,KPI!$E:$E,$E64)))</f>
        <v>тыс.руб.</v>
      </c>
      <c r="H64" s="100">
        <f>структура!$V$16</f>
        <v>5</v>
      </c>
      <c r="I64" s="31"/>
      <c r="J64" s="98" t="str">
        <f>структура!$X$16</f>
        <v>май</v>
      </c>
      <c r="K64" s="99"/>
      <c r="L64" s="22"/>
      <c r="M64" s="58"/>
      <c r="N64" s="22"/>
      <c r="O64" s="22"/>
      <c r="P64" s="101">
        <f t="shared" si="28"/>
        <v>36.24</v>
      </c>
      <c r="Q64" s="101">
        <f t="shared" si="28"/>
        <v>36.24</v>
      </c>
      <c r="R64" s="101">
        <f t="shared" si="28"/>
        <v>36.24</v>
      </c>
      <c r="S64" s="101">
        <f t="shared" si="28"/>
        <v>36.24</v>
      </c>
      <c r="T64" s="101">
        <f t="shared" si="28"/>
        <v>36.24</v>
      </c>
      <c r="U64" s="101">
        <f t="shared" si="28"/>
        <v>36.24</v>
      </c>
      <c r="V64" s="101">
        <f t="shared" si="28"/>
        <v>36.24</v>
      </c>
      <c r="W64" s="101">
        <f t="shared" si="28"/>
        <v>0</v>
      </c>
      <c r="X64" s="101">
        <f t="shared" si="28"/>
        <v>0</v>
      </c>
      <c r="Y64" s="101">
        <f t="shared" si="28"/>
        <v>0</v>
      </c>
      <c r="Z64" s="101">
        <f t="shared" si="28"/>
        <v>0</v>
      </c>
      <c r="AA64" s="101">
        <f t="shared" si="28"/>
        <v>0</v>
      </c>
      <c r="AB64" s="22"/>
    </row>
    <row r="65" spans="1:28" s="23" customFormat="1" ht="10.199999999999999" x14ac:dyDescent="0.2">
      <c r="A65" s="22"/>
      <c r="B65" s="22"/>
      <c r="C65" s="22"/>
      <c r="D65" s="22"/>
      <c r="E65" s="22" t="str">
        <f>E59</f>
        <v>оплаты в соцфонды</v>
      </c>
      <c r="F65" s="22"/>
      <c r="G65" s="22" t="str">
        <f>IF($E65="","",INDEX(KPI!$G:$G,SUMIFS(KPI!$B:$B,KPI!$E:$E,$E65)))</f>
        <v>тыс.руб.</v>
      </c>
      <c r="H65" s="100">
        <f>структура!$V$17</f>
        <v>6</v>
      </c>
      <c r="I65" s="31"/>
      <c r="J65" s="98" t="str">
        <f>структура!$X$17</f>
        <v>июн</v>
      </c>
      <c r="K65" s="99"/>
      <c r="L65" s="22"/>
      <c r="M65" s="58"/>
      <c r="N65" s="22"/>
      <c r="O65" s="22"/>
      <c r="P65" s="101">
        <f t="shared" si="28"/>
        <v>36.24</v>
      </c>
      <c r="Q65" s="101">
        <f t="shared" si="28"/>
        <v>36.24</v>
      </c>
      <c r="R65" s="101">
        <f t="shared" si="28"/>
        <v>36.24</v>
      </c>
      <c r="S65" s="101">
        <f t="shared" si="28"/>
        <v>36.24</v>
      </c>
      <c r="T65" s="101">
        <f t="shared" si="28"/>
        <v>36.24</v>
      </c>
      <c r="U65" s="101">
        <f t="shared" si="28"/>
        <v>36.24</v>
      </c>
      <c r="V65" s="101">
        <f t="shared" si="28"/>
        <v>36.24</v>
      </c>
      <c r="W65" s="101">
        <f t="shared" si="28"/>
        <v>0</v>
      </c>
      <c r="X65" s="101">
        <f t="shared" si="28"/>
        <v>0</v>
      </c>
      <c r="Y65" s="101">
        <f t="shared" si="28"/>
        <v>0</v>
      </c>
      <c r="Z65" s="101">
        <f t="shared" si="28"/>
        <v>0</v>
      </c>
      <c r="AA65" s="101">
        <f t="shared" si="28"/>
        <v>0</v>
      </c>
      <c r="AB65" s="22"/>
    </row>
    <row r="66" spans="1:28" s="23" customFormat="1" ht="10.199999999999999" x14ac:dyDescent="0.2">
      <c r="A66" s="22"/>
      <c r="B66" s="22"/>
      <c r="C66" s="22"/>
      <c r="D66" s="22"/>
      <c r="E66" s="22" t="str">
        <f>E59</f>
        <v>оплаты в соцфонды</v>
      </c>
      <c r="F66" s="22"/>
      <c r="G66" s="22" t="str">
        <f>IF($E66="","",INDEX(KPI!$G:$G,SUMIFS(KPI!$B:$B,KPI!$E:$E,$E66)))</f>
        <v>тыс.руб.</v>
      </c>
      <c r="H66" s="100">
        <f>структура!$V$18</f>
        <v>7</v>
      </c>
      <c r="I66" s="31"/>
      <c r="J66" s="98" t="str">
        <f>структура!$X$18</f>
        <v>июл</v>
      </c>
      <c r="K66" s="99"/>
      <c r="L66" s="22"/>
      <c r="M66" s="58"/>
      <c r="N66" s="22"/>
      <c r="O66" s="22"/>
      <c r="P66" s="101">
        <f t="shared" si="28"/>
        <v>36.24</v>
      </c>
      <c r="Q66" s="101">
        <f t="shared" si="28"/>
        <v>36.24</v>
      </c>
      <c r="R66" s="101">
        <f t="shared" si="28"/>
        <v>36.24</v>
      </c>
      <c r="S66" s="101">
        <f t="shared" si="28"/>
        <v>36.24</v>
      </c>
      <c r="T66" s="101">
        <f t="shared" si="28"/>
        <v>36.24</v>
      </c>
      <c r="U66" s="101">
        <f t="shared" si="28"/>
        <v>36.24</v>
      </c>
      <c r="V66" s="101">
        <f t="shared" si="28"/>
        <v>36.24</v>
      </c>
      <c r="W66" s="101">
        <f t="shared" si="28"/>
        <v>0</v>
      </c>
      <c r="X66" s="101">
        <f t="shared" si="28"/>
        <v>0</v>
      </c>
      <c r="Y66" s="101">
        <f t="shared" si="28"/>
        <v>0</v>
      </c>
      <c r="Z66" s="101">
        <f t="shared" si="28"/>
        <v>0</v>
      </c>
      <c r="AA66" s="101">
        <f t="shared" si="28"/>
        <v>0</v>
      </c>
      <c r="AB66" s="22"/>
    </row>
    <row r="67" spans="1:28" s="23" customFormat="1" ht="10.199999999999999" x14ac:dyDescent="0.2">
      <c r="A67" s="22"/>
      <c r="B67" s="22"/>
      <c r="C67" s="22"/>
      <c r="D67" s="22"/>
      <c r="E67" s="22" t="str">
        <f>E59</f>
        <v>оплаты в соцфонды</v>
      </c>
      <c r="F67" s="22"/>
      <c r="G67" s="22" t="str">
        <f>IF($E67="","",INDEX(KPI!$G:$G,SUMIFS(KPI!$B:$B,KPI!$E:$E,$E67)))</f>
        <v>тыс.руб.</v>
      </c>
      <c r="H67" s="100">
        <f>структура!$V$19</f>
        <v>8</v>
      </c>
      <c r="I67" s="31"/>
      <c r="J67" s="98" t="str">
        <f>структура!$X$19</f>
        <v>авг</v>
      </c>
      <c r="K67" s="99"/>
      <c r="L67" s="22"/>
      <c r="M67" s="58"/>
      <c r="N67" s="22"/>
      <c r="O67" s="22"/>
      <c r="P67" s="101">
        <f t="shared" si="28"/>
        <v>36.24</v>
      </c>
      <c r="Q67" s="101">
        <f t="shared" si="28"/>
        <v>36.24</v>
      </c>
      <c r="R67" s="101">
        <f t="shared" si="28"/>
        <v>36.24</v>
      </c>
      <c r="S67" s="101">
        <f t="shared" si="28"/>
        <v>36.24</v>
      </c>
      <c r="T67" s="101">
        <f t="shared" si="28"/>
        <v>36.24</v>
      </c>
      <c r="U67" s="101">
        <f t="shared" si="28"/>
        <v>36.24</v>
      </c>
      <c r="V67" s="101">
        <f t="shared" si="28"/>
        <v>36.24</v>
      </c>
      <c r="W67" s="101">
        <f t="shared" si="28"/>
        <v>0</v>
      </c>
      <c r="X67" s="101">
        <f t="shared" si="28"/>
        <v>0</v>
      </c>
      <c r="Y67" s="101">
        <f t="shared" si="28"/>
        <v>0</v>
      </c>
      <c r="Z67" s="101">
        <f t="shared" si="28"/>
        <v>0</v>
      </c>
      <c r="AA67" s="101">
        <f t="shared" si="28"/>
        <v>0</v>
      </c>
      <c r="AB67" s="22"/>
    </row>
    <row r="68" spans="1:28" s="23" customFormat="1" ht="10.199999999999999" x14ac:dyDescent="0.2">
      <c r="A68" s="22"/>
      <c r="B68" s="22"/>
      <c r="C68" s="22"/>
      <c r="D68" s="22"/>
      <c r="E68" s="22" t="str">
        <f>E59</f>
        <v>оплаты в соцфонды</v>
      </c>
      <c r="F68" s="22"/>
      <c r="G68" s="22" t="str">
        <f>IF($E68="","",INDEX(KPI!$G:$G,SUMIFS(KPI!$B:$B,KPI!$E:$E,$E68)))</f>
        <v>тыс.руб.</v>
      </c>
      <c r="H68" s="100">
        <f>структура!$V$20</f>
        <v>9</v>
      </c>
      <c r="I68" s="31"/>
      <c r="J68" s="98" t="str">
        <f>структура!$X$20</f>
        <v>сен</v>
      </c>
      <c r="K68" s="99"/>
      <c r="L68" s="22"/>
      <c r="M68" s="58"/>
      <c r="N68" s="22"/>
      <c r="O68" s="22"/>
      <c r="P68" s="101">
        <f t="shared" si="28"/>
        <v>36.24</v>
      </c>
      <c r="Q68" s="101">
        <f t="shared" si="28"/>
        <v>36.24</v>
      </c>
      <c r="R68" s="101">
        <f t="shared" si="28"/>
        <v>36.24</v>
      </c>
      <c r="S68" s="101">
        <f t="shared" si="28"/>
        <v>36.24</v>
      </c>
      <c r="T68" s="101">
        <f t="shared" si="28"/>
        <v>36.24</v>
      </c>
      <c r="U68" s="101">
        <f t="shared" si="28"/>
        <v>36.24</v>
      </c>
      <c r="V68" s="101">
        <f t="shared" si="28"/>
        <v>36.24</v>
      </c>
      <c r="W68" s="101">
        <f t="shared" si="28"/>
        <v>0</v>
      </c>
      <c r="X68" s="101">
        <f t="shared" si="28"/>
        <v>0</v>
      </c>
      <c r="Y68" s="101">
        <f t="shared" si="28"/>
        <v>0</v>
      </c>
      <c r="Z68" s="101">
        <f t="shared" si="28"/>
        <v>0</v>
      </c>
      <c r="AA68" s="101">
        <f t="shared" si="28"/>
        <v>0</v>
      </c>
      <c r="AB68" s="22"/>
    </row>
    <row r="69" spans="1:28" s="23" customFormat="1" ht="10.199999999999999" x14ac:dyDescent="0.2">
      <c r="A69" s="22"/>
      <c r="B69" s="22"/>
      <c r="C69" s="22"/>
      <c r="D69" s="22"/>
      <c r="E69" s="22" t="str">
        <f>E59</f>
        <v>оплаты в соцфонды</v>
      </c>
      <c r="F69" s="22"/>
      <c r="G69" s="22" t="str">
        <f>IF($E69="","",INDEX(KPI!$G:$G,SUMIFS(KPI!$B:$B,KPI!$E:$E,$E69)))</f>
        <v>тыс.руб.</v>
      </c>
      <c r="H69" s="100">
        <f>структура!$V$21</f>
        <v>10</v>
      </c>
      <c r="I69" s="31"/>
      <c r="J69" s="98" t="str">
        <f>структура!$X$21</f>
        <v>окт</v>
      </c>
      <c r="K69" s="99"/>
      <c r="L69" s="22"/>
      <c r="M69" s="58"/>
      <c r="N69" s="22"/>
      <c r="O69" s="22"/>
      <c r="P69" s="101">
        <f t="shared" si="28"/>
        <v>36.24</v>
      </c>
      <c r="Q69" s="101">
        <f t="shared" si="28"/>
        <v>36.24</v>
      </c>
      <c r="R69" s="101">
        <f t="shared" si="28"/>
        <v>36.24</v>
      </c>
      <c r="S69" s="101">
        <f t="shared" si="28"/>
        <v>36.24</v>
      </c>
      <c r="T69" s="101">
        <f t="shared" si="28"/>
        <v>36.24</v>
      </c>
      <c r="U69" s="101">
        <f t="shared" si="28"/>
        <v>36.24</v>
      </c>
      <c r="V69" s="101">
        <f t="shared" si="28"/>
        <v>36.24</v>
      </c>
      <c r="W69" s="101">
        <f t="shared" si="28"/>
        <v>0</v>
      </c>
      <c r="X69" s="101">
        <f t="shared" si="28"/>
        <v>0</v>
      </c>
      <c r="Y69" s="101">
        <f t="shared" si="28"/>
        <v>0</v>
      </c>
      <c r="Z69" s="101">
        <f t="shared" si="28"/>
        <v>0</v>
      </c>
      <c r="AA69" s="101">
        <f t="shared" si="28"/>
        <v>0</v>
      </c>
      <c r="AB69" s="22"/>
    </row>
    <row r="70" spans="1:28" s="23" customFormat="1" ht="10.199999999999999" x14ac:dyDescent="0.2">
      <c r="A70" s="22"/>
      <c r="B70" s="22"/>
      <c r="C70" s="22"/>
      <c r="D70" s="22"/>
      <c r="E70" s="22" t="str">
        <f>E59</f>
        <v>оплаты в соцфонды</v>
      </c>
      <c r="F70" s="22"/>
      <c r="G70" s="22" t="str">
        <f>IF($E70="","",INDEX(KPI!$G:$G,SUMIFS(KPI!$B:$B,KPI!$E:$E,$E70)))</f>
        <v>тыс.руб.</v>
      </c>
      <c r="H70" s="100">
        <f>структура!$V$22</f>
        <v>11</v>
      </c>
      <c r="I70" s="31"/>
      <c r="J70" s="98" t="str">
        <f>структура!$X$22</f>
        <v>ноя</v>
      </c>
      <c r="K70" s="99"/>
      <c r="L70" s="22"/>
      <c r="M70" s="58"/>
      <c r="N70" s="22"/>
      <c r="O70" s="22"/>
      <c r="P70" s="101">
        <f t="shared" si="28"/>
        <v>36.24</v>
      </c>
      <c r="Q70" s="101">
        <f>IF(Q$1="",0,Q54)</f>
        <v>36.24</v>
      </c>
      <c r="R70" s="101">
        <f t="shared" si="28"/>
        <v>36.24</v>
      </c>
      <c r="S70" s="101">
        <f t="shared" si="28"/>
        <v>36.24</v>
      </c>
      <c r="T70" s="101">
        <f t="shared" si="28"/>
        <v>36.24</v>
      </c>
      <c r="U70" s="101">
        <f t="shared" si="28"/>
        <v>36.24</v>
      </c>
      <c r="V70" s="101">
        <f t="shared" si="28"/>
        <v>36.24</v>
      </c>
      <c r="W70" s="101">
        <f t="shared" si="28"/>
        <v>0</v>
      </c>
      <c r="X70" s="101">
        <f t="shared" si="28"/>
        <v>0</v>
      </c>
      <c r="Y70" s="101">
        <f t="shared" si="28"/>
        <v>0</v>
      </c>
      <c r="Z70" s="101">
        <f t="shared" si="28"/>
        <v>0</v>
      </c>
      <c r="AA70" s="101">
        <f t="shared" si="28"/>
        <v>0</v>
      </c>
      <c r="AB70" s="22"/>
    </row>
    <row r="71" spans="1:28" s="23" customFormat="1" ht="10.199999999999999" x14ac:dyDescent="0.2">
      <c r="A71" s="22"/>
      <c r="B71" s="22"/>
      <c r="C71" s="22"/>
      <c r="D71" s="22"/>
      <c r="E71" s="22" t="str">
        <f>E59</f>
        <v>оплаты в соцфонды</v>
      </c>
      <c r="F71" s="22"/>
      <c r="G71" s="22" t="str">
        <f>IF($E71="","",INDEX(KPI!$G:$G,SUMIFS(KPI!$B:$B,KPI!$E:$E,$E71)))</f>
        <v>тыс.руб.</v>
      </c>
      <c r="H71" s="100">
        <f>структура!$V$23</f>
        <v>12</v>
      </c>
      <c r="I71" s="31"/>
      <c r="J71" s="98" t="str">
        <f>структура!$X$23</f>
        <v>дек</v>
      </c>
      <c r="K71" s="99"/>
      <c r="L71" s="22"/>
      <c r="M71" s="58"/>
      <c r="N71" s="22"/>
      <c r="O71" s="22"/>
      <c r="P71" s="101">
        <f t="shared" si="28"/>
        <v>36.24</v>
      </c>
      <c r="Q71" s="101">
        <f>IF(Q$1="",0,Q55)</f>
        <v>36.24</v>
      </c>
      <c r="R71" s="101">
        <f t="shared" si="28"/>
        <v>36.24</v>
      </c>
      <c r="S71" s="101">
        <f t="shared" si="28"/>
        <v>36.24</v>
      </c>
      <c r="T71" s="101">
        <f t="shared" si="28"/>
        <v>36.24</v>
      </c>
      <c r="U71" s="101">
        <f t="shared" si="28"/>
        <v>36.24</v>
      </c>
      <c r="V71" s="101">
        <f t="shared" si="28"/>
        <v>36.24</v>
      </c>
      <c r="W71" s="101">
        <f t="shared" si="28"/>
        <v>0</v>
      </c>
      <c r="X71" s="101">
        <f t="shared" si="28"/>
        <v>0</v>
      </c>
      <c r="Y71" s="101">
        <f t="shared" si="28"/>
        <v>0</v>
      </c>
      <c r="Z71" s="101">
        <f t="shared" si="28"/>
        <v>0</v>
      </c>
      <c r="AA71" s="101">
        <f t="shared" si="28"/>
        <v>0</v>
      </c>
      <c r="AB71" s="22"/>
    </row>
    <row r="72" spans="1:28" ht="3.9" customHeight="1" x14ac:dyDescent="0.25">
      <c r="A72" s="2"/>
      <c r="B72" s="2"/>
      <c r="C72" s="2"/>
      <c r="D72" s="2"/>
      <c r="E72" s="21"/>
      <c r="F72" s="2"/>
      <c r="G72" s="21"/>
      <c r="H72" s="2"/>
      <c r="I72" s="28"/>
      <c r="J72" s="21"/>
      <c r="K72" s="28"/>
      <c r="L72" s="2"/>
      <c r="M72" s="52"/>
      <c r="N72" s="2"/>
      <c r="O72" s="2"/>
      <c r="P72" s="36"/>
      <c r="Q72" s="36"/>
      <c r="R72" s="36"/>
      <c r="S72" s="36"/>
      <c r="T72" s="36"/>
      <c r="U72" s="36"/>
      <c r="V72" s="36"/>
      <c r="W72" s="36"/>
      <c r="X72" s="36"/>
      <c r="Y72" s="36"/>
      <c r="Z72" s="36"/>
      <c r="AA72" s="36"/>
      <c r="AB72" s="2"/>
    </row>
    <row r="73" spans="1:28" ht="8.1" customHeight="1" x14ac:dyDescent="0.25">
      <c r="A73" s="2"/>
      <c r="B73" s="2"/>
      <c r="C73" s="2"/>
      <c r="D73" s="2"/>
      <c r="E73" s="2"/>
      <c r="F73" s="2"/>
      <c r="G73" s="2"/>
      <c r="H73" s="2"/>
      <c r="I73" s="28"/>
      <c r="J73" s="2"/>
      <c r="K73" s="28"/>
      <c r="L73" s="2"/>
      <c r="M73" s="52"/>
      <c r="N73" s="2"/>
      <c r="O73" s="2"/>
      <c r="P73" s="36"/>
      <c r="Q73" s="36"/>
      <c r="R73" s="36"/>
      <c r="S73" s="36"/>
      <c r="T73" s="36"/>
      <c r="U73" s="36"/>
      <c r="V73" s="36"/>
      <c r="W73" s="36"/>
      <c r="X73" s="36"/>
      <c r="Y73" s="36"/>
      <c r="Z73" s="36"/>
      <c r="AA73" s="36"/>
      <c r="AB73" s="2"/>
    </row>
    <row r="74" spans="1:28" x14ac:dyDescent="0.25">
      <c r="A74" s="2"/>
      <c r="B74" s="2"/>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x14ac:dyDescent="0.25">
      <c r="A75" s="2"/>
      <c r="B75" s="2"/>
      <c r="C75" s="225" t="s">
        <v>397</v>
      </c>
      <c r="D75" s="210"/>
      <c r="E75" s="226"/>
      <c r="F75" s="2"/>
      <c r="G75" s="2"/>
      <c r="H75" s="2"/>
      <c r="I75" s="28"/>
      <c r="J75" s="2"/>
      <c r="K75" s="28"/>
      <c r="L75" s="2"/>
      <c r="M75" s="52"/>
      <c r="N75" s="2"/>
      <c r="O75" s="2"/>
      <c r="P75" s="36"/>
      <c r="Q75" s="36"/>
      <c r="R75" s="36"/>
      <c r="S75" s="36"/>
      <c r="T75" s="36"/>
      <c r="U75" s="36"/>
      <c r="V75" s="36"/>
      <c r="W75" s="36"/>
      <c r="X75" s="36"/>
      <c r="Y75" s="36"/>
      <c r="Z75" s="36"/>
      <c r="AA75" s="36"/>
      <c r="AB75" s="2"/>
    </row>
    <row r="76" spans="1:28" x14ac:dyDescent="0.25">
      <c r="A76" s="2"/>
      <c r="B76" s="2"/>
      <c r="C76" s="2"/>
      <c r="D76" s="2"/>
      <c r="E76" s="2"/>
      <c r="F76" s="2"/>
      <c r="G76" s="2"/>
      <c r="H76" s="2"/>
      <c r="I76" s="28"/>
      <c r="J76" s="2"/>
      <c r="K76" s="28"/>
      <c r="L76" s="2"/>
      <c r="M76" s="52"/>
      <c r="N76" s="2"/>
      <c r="O76" s="2"/>
      <c r="P76" s="36"/>
      <c r="Q76" s="36"/>
      <c r="R76" s="36"/>
      <c r="S76" s="36"/>
      <c r="T76" s="36"/>
      <c r="U76" s="36"/>
      <c r="V76" s="36"/>
      <c r="W76" s="36"/>
      <c r="X76" s="36"/>
      <c r="Y76" s="36"/>
      <c r="Z76" s="36"/>
      <c r="AA76" s="36"/>
      <c r="AB76" s="2"/>
    </row>
    <row r="77" spans="1:28" s="126" customFormat="1" x14ac:dyDescent="0.25">
      <c r="A77" s="123"/>
      <c r="B77" s="123"/>
      <c r="C77" s="123"/>
      <c r="D77" s="123"/>
      <c r="E77" s="123" t="str">
        <f>KPI!$E$131</f>
        <v>администратор</v>
      </c>
      <c r="F77" s="123"/>
      <c r="G77" s="123" t="str">
        <f>IF($E77="","",INDEX(KPI!$G:$G,SUMIFS(KPI!$B:$B,KPI!$E:$E,$E77)))</f>
        <v>чел</v>
      </c>
      <c r="H77" s="123"/>
      <c r="I77" s="28"/>
      <c r="J77" s="2"/>
      <c r="K77" s="124"/>
      <c r="L77" s="123"/>
      <c r="M77" s="125"/>
      <c r="N77" s="123"/>
      <c r="O77" s="307" t="s">
        <v>0</v>
      </c>
      <c r="P77" s="45">
        <v>2</v>
      </c>
      <c r="Q77" s="45">
        <v>2</v>
      </c>
      <c r="R77" s="45">
        <v>2</v>
      </c>
      <c r="S77" s="45">
        <v>2</v>
      </c>
      <c r="T77" s="45">
        <v>2</v>
      </c>
      <c r="U77" s="45">
        <v>2</v>
      </c>
      <c r="V77" s="45">
        <v>2</v>
      </c>
      <c r="W77" s="45">
        <v>2</v>
      </c>
      <c r="X77" s="45">
        <v>2</v>
      </c>
      <c r="Y77" s="45">
        <v>2</v>
      </c>
      <c r="Z77" s="45">
        <v>2</v>
      </c>
      <c r="AA77" s="45">
        <v>2</v>
      </c>
      <c r="AB77" s="123"/>
    </row>
    <row r="78" spans="1:28" s="126" customFormat="1" x14ac:dyDescent="0.25">
      <c r="A78" s="123"/>
      <c r="B78" s="123"/>
      <c r="C78" s="123"/>
      <c r="D78" s="123"/>
      <c r="E78" s="123" t="str">
        <f>KPI!$E$132</f>
        <v>охранник/дворник/завхоз</v>
      </c>
      <c r="F78" s="123"/>
      <c r="G78" s="123" t="str">
        <f>IF($E78="","",INDEX(KPI!$G:$G,SUMIFS(KPI!$B:$B,KPI!$E:$E,$E78)))</f>
        <v>чел</v>
      </c>
      <c r="H78" s="123"/>
      <c r="I78" s="28"/>
      <c r="J78" s="2"/>
      <c r="K78" s="124"/>
      <c r="L78" s="123"/>
      <c r="M78" s="125"/>
      <c r="N78" s="123"/>
      <c r="O78" s="307" t="s">
        <v>0</v>
      </c>
      <c r="P78" s="45"/>
      <c r="Q78" s="45"/>
      <c r="R78" s="45"/>
      <c r="S78" s="45"/>
      <c r="T78" s="45"/>
      <c r="U78" s="45"/>
      <c r="V78" s="45"/>
      <c r="W78" s="45"/>
      <c r="X78" s="45"/>
      <c r="Y78" s="45"/>
      <c r="Z78" s="45"/>
      <c r="AA78" s="45"/>
      <c r="AB78" s="123"/>
    </row>
    <row r="79" spans="1:28" s="126" customFormat="1" ht="12.75" customHeight="1" x14ac:dyDescent="0.25">
      <c r="A79" s="123"/>
      <c r="B79" s="123"/>
      <c r="C79" s="123"/>
      <c r="D79" s="123"/>
      <c r="E79" s="123" t="str">
        <f>KPI!$E$133</f>
        <v>бухгалтер</v>
      </c>
      <c r="F79" s="123"/>
      <c r="G79" s="123" t="str">
        <f>IF($E79="","",INDEX(KPI!$G:$G,SUMIFS(KPI!$B:$B,KPI!$E:$E,$E79)))</f>
        <v>чел</v>
      </c>
      <c r="H79" s="123"/>
      <c r="I79" s="28"/>
      <c r="J79" s="2"/>
      <c r="K79" s="124"/>
      <c r="L79" s="123"/>
      <c r="M79" s="125"/>
      <c r="N79" s="123"/>
      <c r="O79" s="307" t="s">
        <v>0</v>
      </c>
      <c r="P79" s="45">
        <v>1</v>
      </c>
      <c r="Q79" s="45">
        <v>1</v>
      </c>
      <c r="R79" s="45">
        <v>1</v>
      </c>
      <c r="S79" s="45">
        <v>1</v>
      </c>
      <c r="T79" s="45">
        <v>1</v>
      </c>
      <c r="U79" s="45">
        <v>1</v>
      </c>
      <c r="V79" s="45">
        <v>1</v>
      </c>
      <c r="W79" s="45">
        <v>1</v>
      </c>
      <c r="X79" s="45">
        <v>1</v>
      </c>
      <c r="Y79" s="45">
        <v>1</v>
      </c>
      <c r="Z79" s="45">
        <v>1</v>
      </c>
      <c r="AA79" s="45">
        <v>1</v>
      </c>
      <c r="AB79" s="123"/>
    </row>
    <row r="80" spans="1:28" s="126" customFormat="1" x14ac:dyDescent="0.25">
      <c r="A80" s="123"/>
      <c r="B80" s="123"/>
      <c r="C80" s="123"/>
      <c r="D80" s="123"/>
      <c r="E80" s="123" t="str">
        <f>KPI!$E$134</f>
        <v>директор</v>
      </c>
      <c r="F80" s="123"/>
      <c r="G80" s="123" t="str">
        <f>IF($E80="","",INDEX(KPI!$G:$G,SUMIFS(KPI!$B:$B,KPI!$E:$E,$E80)))</f>
        <v>чел</v>
      </c>
      <c r="H80" s="123"/>
      <c r="I80" s="28"/>
      <c r="J80" s="2"/>
      <c r="K80" s="124"/>
      <c r="L80" s="123"/>
      <c r="M80" s="125"/>
      <c r="N80" s="123"/>
      <c r="O80" s="307" t="s">
        <v>0</v>
      </c>
      <c r="P80" s="45">
        <v>1</v>
      </c>
      <c r="Q80" s="45">
        <v>1</v>
      </c>
      <c r="R80" s="45">
        <v>1</v>
      </c>
      <c r="S80" s="45">
        <v>1</v>
      </c>
      <c r="T80" s="45">
        <v>1</v>
      </c>
      <c r="U80" s="45">
        <v>1</v>
      </c>
      <c r="V80" s="45">
        <v>1</v>
      </c>
      <c r="W80" s="45">
        <v>1</v>
      </c>
      <c r="X80" s="45">
        <v>1</v>
      </c>
      <c r="Y80" s="45">
        <v>1</v>
      </c>
      <c r="Z80" s="45">
        <v>1</v>
      </c>
      <c r="AA80" s="45">
        <v>1</v>
      </c>
      <c r="AB80" s="123"/>
    </row>
    <row r="81" spans="1:28" s="126" customFormat="1" ht="12.75" customHeight="1" x14ac:dyDescent="0.25">
      <c r="A81" s="123"/>
      <c r="B81" s="123"/>
      <c r="C81" s="123"/>
      <c r="D81" s="123"/>
      <c r="E81" s="123" t="str">
        <f>KPI!$E$135</f>
        <v>прочие сотрудники</v>
      </c>
      <c r="F81" s="123"/>
      <c r="G81" s="123" t="str">
        <f>IF($E81="","",INDEX(KPI!$G:$G,SUMIFS(KPI!$B:$B,KPI!$E:$E,$E81)))</f>
        <v>чел</v>
      </c>
      <c r="H81" s="123"/>
      <c r="I81" s="28"/>
      <c r="J81" s="2"/>
      <c r="K81" s="124"/>
      <c r="L81" s="123"/>
      <c r="M81" s="125"/>
      <c r="N81" s="123"/>
      <c r="O81" s="307" t="s">
        <v>0</v>
      </c>
      <c r="P81" s="45"/>
      <c r="Q81" s="45"/>
      <c r="R81" s="45"/>
      <c r="S81" s="45"/>
      <c r="T81" s="45"/>
      <c r="U81" s="45"/>
      <c r="V81" s="45"/>
      <c r="W81" s="45"/>
      <c r="X81" s="45"/>
      <c r="Y81" s="45"/>
      <c r="Z81" s="45"/>
      <c r="AA81" s="45"/>
      <c r="AB81" s="123"/>
    </row>
    <row r="82" spans="1:28" s="126" customFormat="1" x14ac:dyDescent="0.25">
      <c r="A82" s="123"/>
      <c r="B82" s="123"/>
      <c r="C82" s="123"/>
      <c r="D82" s="123"/>
      <c r="E82" s="123" t="str">
        <f>KPI!$E$136</f>
        <v>оклад - администратор</v>
      </c>
      <c r="F82" s="123"/>
      <c r="G82" s="123" t="str">
        <f>IF($E82="","",INDEX(KPI!$G:$G,SUMIFS(KPI!$B:$B,KPI!$E:$E,$E82)))</f>
        <v>тыс.руб.</v>
      </c>
      <c r="H82" s="123"/>
      <c r="I82" s="28"/>
      <c r="J82" s="2"/>
      <c r="K82" s="124"/>
      <c r="L82" s="123"/>
      <c r="M82" s="125"/>
      <c r="N82" s="123"/>
      <c r="O82" s="307" t="s">
        <v>0</v>
      </c>
      <c r="P82" s="45">
        <v>15</v>
      </c>
      <c r="Q82" s="45">
        <v>15</v>
      </c>
      <c r="R82" s="45">
        <v>15</v>
      </c>
      <c r="S82" s="45">
        <v>15</v>
      </c>
      <c r="T82" s="45">
        <v>15</v>
      </c>
      <c r="U82" s="45">
        <v>15</v>
      </c>
      <c r="V82" s="45">
        <v>15</v>
      </c>
      <c r="W82" s="45">
        <v>15</v>
      </c>
      <c r="X82" s="45">
        <v>15</v>
      </c>
      <c r="Y82" s="45">
        <v>15</v>
      </c>
      <c r="Z82" s="45">
        <v>15</v>
      </c>
      <c r="AA82" s="45">
        <v>15</v>
      </c>
      <c r="AB82" s="123"/>
    </row>
    <row r="83" spans="1:28" s="126" customFormat="1" ht="12.75" customHeight="1" x14ac:dyDescent="0.25">
      <c r="A83" s="123"/>
      <c r="B83" s="123"/>
      <c r="C83" s="123"/>
      <c r="D83" s="123"/>
      <c r="E83" s="123" t="str">
        <f>KPI!$E$137</f>
        <v>оклад - охранник/дворник/завхоз</v>
      </c>
      <c r="F83" s="123"/>
      <c r="G83" s="123" t="str">
        <f>IF($E83="","",INDEX(KPI!$G:$G,SUMIFS(KPI!$B:$B,KPI!$E:$E,$E83)))</f>
        <v>тыс.руб.</v>
      </c>
      <c r="H83" s="123"/>
      <c r="I83" s="28"/>
      <c r="J83" s="2"/>
      <c r="K83" s="124"/>
      <c r="L83" s="123"/>
      <c r="M83" s="125"/>
      <c r="N83" s="123"/>
      <c r="O83" s="307" t="s">
        <v>0</v>
      </c>
      <c r="P83" s="45">
        <v>15</v>
      </c>
      <c r="Q83" s="45">
        <v>15</v>
      </c>
      <c r="R83" s="45">
        <v>15</v>
      </c>
      <c r="S83" s="45">
        <v>15</v>
      </c>
      <c r="T83" s="45">
        <v>15</v>
      </c>
      <c r="U83" s="45">
        <v>15</v>
      </c>
      <c r="V83" s="45">
        <v>15</v>
      </c>
      <c r="W83" s="45">
        <v>15</v>
      </c>
      <c r="X83" s="45">
        <v>15</v>
      </c>
      <c r="Y83" s="45">
        <v>15</v>
      </c>
      <c r="Z83" s="45">
        <v>15</v>
      </c>
      <c r="AA83" s="45">
        <v>15</v>
      </c>
      <c r="AB83" s="123"/>
    </row>
    <row r="84" spans="1:28" s="126" customFormat="1" x14ac:dyDescent="0.25">
      <c r="A84" s="123"/>
      <c r="B84" s="123"/>
      <c r="C84" s="123"/>
      <c r="D84" s="123"/>
      <c r="E84" s="123" t="str">
        <f>KPI!$E$138</f>
        <v>оклад - бухгалтер</v>
      </c>
      <c r="F84" s="123"/>
      <c r="G84" s="123" t="str">
        <f>IF($E84="","",INDEX(KPI!$G:$G,SUMIFS(KPI!$B:$B,KPI!$E:$E,$E84)))</f>
        <v>тыс.руб.</v>
      </c>
      <c r="H84" s="123"/>
      <c r="I84" s="28"/>
      <c r="J84" s="2"/>
      <c r="K84" s="124"/>
      <c r="L84" s="123"/>
      <c r="M84" s="125"/>
      <c r="N84" s="123"/>
      <c r="O84" s="307" t="s">
        <v>0</v>
      </c>
      <c r="P84" s="45">
        <v>20</v>
      </c>
      <c r="Q84" s="45">
        <v>20</v>
      </c>
      <c r="R84" s="45">
        <v>20</v>
      </c>
      <c r="S84" s="45">
        <v>20</v>
      </c>
      <c r="T84" s="45">
        <v>20</v>
      </c>
      <c r="U84" s="45">
        <v>20</v>
      </c>
      <c r="V84" s="45">
        <v>20</v>
      </c>
      <c r="W84" s="45">
        <v>20</v>
      </c>
      <c r="X84" s="45">
        <v>20</v>
      </c>
      <c r="Y84" s="45">
        <v>20</v>
      </c>
      <c r="Z84" s="45">
        <v>20</v>
      </c>
      <c r="AA84" s="45">
        <v>20</v>
      </c>
      <c r="AB84" s="123"/>
    </row>
    <row r="85" spans="1:28" s="126" customFormat="1" x14ac:dyDescent="0.25">
      <c r="A85" s="123"/>
      <c r="B85" s="123"/>
      <c r="C85" s="123"/>
      <c r="D85" s="123"/>
      <c r="E85" s="123" t="str">
        <f>KPI!$E$139</f>
        <v>оклад - директор</v>
      </c>
      <c r="F85" s="123"/>
      <c r="G85" s="123" t="str">
        <f>IF($E85="","",INDEX(KPI!$G:$G,SUMIFS(KPI!$B:$B,KPI!$E:$E,$E85)))</f>
        <v>тыс.руб.</v>
      </c>
      <c r="H85" s="123"/>
      <c r="I85" s="28"/>
      <c r="J85" s="2"/>
      <c r="K85" s="124"/>
      <c r="L85" s="123"/>
      <c r="M85" s="125"/>
      <c r="N85" s="123"/>
      <c r="O85" s="307" t="s">
        <v>0</v>
      </c>
      <c r="P85" s="45">
        <v>15</v>
      </c>
      <c r="Q85" s="45">
        <v>15</v>
      </c>
      <c r="R85" s="45">
        <v>15</v>
      </c>
      <c r="S85" s="45">
        <v>15</v>
      </c>
      <c r="T85" s="45">
        <v>15</v>
      </c>
      <c r="U85" s="45">
        <v>15</v>
      </c>
      <c r="V85" s="45">
        <v>15</v>
      </c>
      <c r="W85" s="45">
        <v>15</v>
      </c>
      <c r="X85" s="45">
        <v>15</v>
      </c>
      <c r="Y85" s="45">
        <v>15</v>
      </c>
      <c r="Z85" s="45">
        <v>15</v>
      </c>
      <c r="AA85" s="45">
        <v>15</v>
      </c>
      <c r="AB85" s="123"/>
    </row>
    <row r="86" spans="1:28" s="126" customFormat="1" x14ac:dyDescent="0.25">
      <c r="A86" s="123"/>
      <c r="B86" s="123"/>
      <c r="C86" s="123"/>
      <c r="D86" s="123"/>
      <c r="E86" s="123" t="str">
        <f>KPI!$E$140</f>
        <v>оклад - прочие сотрудники</v>
      </c>
      <c r="F86" s="123"/>
      <c r="G86" s="123" t="str">
        <f>IF($E86="","",INDEX(KPI!$G:$G,SUMIFS(KPI!$B:$B,KPI!$E:$E,$E86)))</f>
        <v>тыс.руб.</v>
      </c>
      <c r="H86" s="123"/>
      <c r="I86" s="28"/>
      <c r="J86" s="2"/>
      <c r="K86" s="124"/>
      <c r="L86" s="123"/>
      <c r="M86" s="125"/>
      <c r="N86" s="123"/>
      <c r="O86" s="307" t="s">
        <v>0</v>
      </c>
      <c r="P86" s="45">
        <v>10</v>
      </c>
      <c r="Q86" s="45">
        <v>10</v>
      </c>
      <c r="R86" s="45">
        <v>10</v>
      </c>
      <c r="S86" s="45">
        <v>10</v>
      </c>
      <c r="T86" s="45">
        <v>10</v>
      </c>
      <c r="U86" s="45">
        <v>10</v>
      </c>
      <c r="V86" s="45">
        <v>10</v>
      </c>
      <c r="W86" s="45">
        <v>10</v>
      </c>
      <c r="X86" s="45">
        <v>10</v>
      </c>
      <c r="Y86" s="45">
        <v>10</v>
      </c>
      <c r="Z86" s="45">
        <v>10</v>
      </c>
      <c r="AA86" s="45">
        <v>10</v>
      </c>
      <c r="AB86" s="123"/>
    </row>
    <row r="87" spans="1:28" s="5" customFormat="1" x14ac:dyDescent="0.25">
      <c r="A87" s="3"/>
      <c r="B87" s="3"/>
      <c r="C87" s="3"/>
      <c r="D87" s="3"/>
      <c r="E87" s="3" t="str">
        <f>KPI!$E$122</f>
        <v>количество персонала - веревочный парк</v>
      </c>
      <c r="F87" s="3"/>
      <c r="G87" s="3" t="str">
        <f>IF($E87="","",INDEX(KPI!$G:$G,SUMIFS(KPI!$B:$B,KPI!$E:$E,$E87)))</f>
        <v>чел</v>
      </c>
      <c r="H87" s="3"/>
      <c r="I87" s="28"/>
      <c r="J87" s="2"/>
      <c r="K87" s="28"/>
      <c r="L87" s="2"/>
      <c r="M87" s="52"/>
      <c r="N87" s="3"/>
      <c r="O87" s="6"/>
      <c r="P87" s="115">
        <f>SUM(P77:P81)</f>
        <v>4</v>
      </c>
      <c r="Q87" s="115">
        <f t="shared" ref="Q87:AA87" si="29">SUM(Q77:Q81)</f>
        <v>4</v>
      </c>
      <c r="R87" s="115">
        <f t="shared" si="29"/>
        <v>4</v>
      </c>
      <c r="S87" s="115">
        <f t="shared" si="29"/>
        <v>4</v>
      </c>
      <c r="T87" s="115">
        <f t="shared" si="29"/>
        <v>4</v>
      </c>
      <c r="U87" s="115">
        <f t="shared" si="29"/>
        <v>4</v>
      </c>
      <c r="V87" s="115">
        <f t="shared" si="29"/>
        <v>4</v>
      </c>
      <c r="W87" s="115">
        <f t="shared" si="29"/>
        <v>4</v>
      </c>
      <c r="X87" s="115">
        <f t="shared" si="29"/>
        <v>4</v>
      </c>
      <c r="Y87" s="115">
        <f t="shared" si="29"/>
        <v>4</v>
      </c>
      <c r="Z87" s="115">
        <f t="shared" si="29"/>
        <v>4</v>
      </c>
      <c r="AA87" s="115">
        <f t="shared" si="29"/>
        <v>4</v>
      </c>
      <c r="AB87" s="2"/>
    </row>
    <row r="88" spans="1:28" s="5" customFormat="1" x14ac:dyDescent="0.25">
      <c r="A88" s="3"/>
      <c r="B88" s="3"/>
      <c r="C88" s="3"/>
      <c r="D88" s="3"/>
      <c r="E88" s="3" t="str">
        <f>KPI!$E$123</f>
        <v>средний оклад 1 сотрудника в/парка</v>
      </c>
      <c r="F88" s="3"/>
      <c r="G88" s="3" t="str">
        <f>IF($E88="","",INDEX(KPI!$G:$G,SUMIFS(KPI!$B:$B,KPI!$E:$E,$E88)))</f>
        <v>тыс.руб.</v>
      </c>
      <c r="H88" s="3"/>
      <c r="I88" s="28"/>
      <c r="J88" s="2"/>
      <c r="K88" s="28"/>
      <c r="L88" s="2"/>
      <c r="M88" s="52"/>
      <c r="N88" s="3"/>
      <c r="O88" s="6"/>
      <c r="P88" s="204">
        <f>IF(P87=0,0,P89/P87)</f>
        <v>16.25</v>
      </c>
      <c r="Q88" s="204">
        <f t="shared" ref="Q88:AA88" si="30">IF(Q87=0,0,Q89/Q87)</f>
        <v>16.25</v>
      </c>
      <c r="R88" s="204">
        <f t="shared" si="30"/>
        <v>16.25</v>
      </c>
      <c r="S88" s="204">
        <f t="shared" si="30"/>
        <v>16.25</v>
      </c>
      <c r="T88" s="204">
        <f t="shared" si="30"/>
        <v>16.25</v>
      </c>
      <c r="U88" s="204">
        <f t="shared" si="30"/>
        <v>16.25</v>
      </c>
      <c r="V88" s="204">
        <f t="shared" si="30"/>
        <v>16.25</v>
      </c>
      <c r="W88" s="204">
        <f t="shared" si="30"/>
        <v>16.25</v>
      </c>
      <c r="X88" s="204">
        <f t="shared" si="30"/>
        <v>16.25</v>
      </c>
      <c r="Y88" s="204">
        <f t="shared" si="30"/>
        <v>16.25</v>
      </c>
      <c r="Z88" s="204">
        <f t="shared" si="30"/>
        <v>16.25</v>
      </c>
      <c r="AA88" s="204">
        <f t="shared" si="30"/>
        <v>16.25</v>
      </c>
      <c r="AB88" s="2"/>
    </row>
    <row r="89" spans="1:28" s="5" customFormat="1" x14ac:dyDescent="0.25">
      <c r="A89" s="3"/>
      <c r="B89" s="3"/>
      <c r="C89" s="3"/>
      <c r="D89" s="3"/>
      <c r="E89" s="3" t="str">
        <f>KPI!$E$124</f>
        <v>ФОТ веревочного парка в месяц</v>
      </c>
      <c r="F89" s="3"/>
      <c r="G89" s="3" t="str">
        <f>IF($E89="","",INDEX(KPI!$G:$G,SUMIFS(KPI!$B:$B,KPI!$E:$E,$E89)))</f>
        <v>тыс.руб.</v>
      </c>
      <c r="H89" s="3"/>
      <c r="I89" s="28"/>
      <c r="J89" s="2"/>
      <c r="K89" s="28"/>
      <c r="L89" s="2"/>
      <c r="M89" s="52"/>
      <c r="N89" s="3"/>
      <c r="O89" s="6"/>
      <c r="P89" s="204">
        <f>SUMPRODUCT(P77:P81,P82:P86)</f>
        <v>65</v>
      </c>
      <c r="Q89" s="204">
        <f t="shared" ref="Q89:AA89" si="31">SUMPRODUCT(Q77:Q81,Q82:Q86)</f>
        <v>65</v>
      </c>
      <c r="R89" s="204">
        <f t="shared" si="31"/>
        <v>65</v>
      </c>
      <c r="S89" s="204">
        <f t="shared" si="31"/>
        <v>65</v>
      </c>
      <c r="T89" s="204">
        <f t="shared" si="31"/>
        <v>65</v>
      </c>
      <c r="U89" s="204">
        <f t="shared" si="31"/>
        <v>65</v>
      </c>
      <c r="V89" s="204">
        <f t="shared" si="31"/>
        <v>65</v>
      </c>
      <c r="W89" s="204">
        <f t="shared" si="31"/>
        <v>65</v>
      </c>
      <c r="X89" s="204">
        <f t="shared" si="31"/>
        <v>65</v>
      </c>
      <c r="Y89" s="204">
        <f t="shared" si="31"/>
        <v>65</v>
      </c>
      <c r="Z89" s="204">
        <f t="shared" si="31"/>
        <v>65</v>
      </c>
      <c r="AA89" s="204">
        <f t="shared" si="31"/>
        <v>65</v>
      </c>
      <c r="AB89" s="2"/>
    </row>
    <row r="90" spans="1:28" ht="3.9" customHeight="1" x14ac:dyDescent="0.25">
      <c r="A90" s="2"/>
      <c r="B90" s="2"/>
      <c r="C90" s="2"/>
      <c r="D90" s="2"/>
      <c r="E90" s="110"/>
      <c r="F90" s="2"/>
      <c r="G90" s="2"/>
      <c r="H90" s="2"/>
      <c r="I90" s="28"/>
      <c r="J90" s="2"/>
      <c r="K90" s="28"/>
      <c r="L90" s="2"/>
      <c r="M90" s="52"/>
      <c r="N90" s="2"/>
      <c r="O90" s="2"/>
      <c r="P90" s="36"/>
      <c r="Q90" s="36"/>
      <c r="R90" s="36"/>
      <c r="S90" s="36"/>
      <c r="T90" s="36"/>
      <c r="U90" s="36"/>
      <c r="V90" s="36"/>
      <c r="W90" s="36"/>
      <c r="X90" s="36"/>
      <c r="Y90" s="36"/>
      <c r="Z90" s="36"/>
      <c r="AA90" s="36"/>
      <c r="AB90" s="2"/>
    </row>
    <row r="91" spans="1:28" ht="8.1" customHeight="1" x14ac:dyDescent="0.25">
      <c r="A91" s="2"/>
      <c r="B91" s="2"/>
      <c r="C91" s="2"/>
      <c r="D91" s="2"/>
      <c r="E91" s="2"/>
      <c r="F91" s="2"/>
      <c r="G91" s="2"/>
      <c r="H91" s="2"/>
      <c r="I91" s="28"/>
      <c r="J91" s="2"/>
      <c r="K91" s="28"/>
      <c r="L91" s="2"/>
      <c r="M91" s="52"/>
      <c r="N91" s="2"/>
      <c r="O91" s="2"/>
      <c r="P91" s="36"/>
      <c r="Q91" s="36"/>
      <c r="R91" s="36"/>
      <c r="S91" s="36"/>
      <c r="T91" s="36"/>
      <c r="U91" s="36"/>
      <c r="V91" s="36"/>
      <c r="W91" s="36"/>
      <c r="X91" s="36"/>
      <c r="Y91" s="36"/>
      <c r="Z91" s="36"/>
      <c r="AA91" s="36"/>
      <c r="AB91" s="2"/>
    </row>
    <row r="92" spans="1:28" s="5" customFormat="1" x14ac:dyDescent="0.25">
      <c r="A92" s="3"/>
      <c r="B92" s="3"/>
      <c r="C92" s="3"/>
      <c r="D92" s="111"/>
      <c r="E92" s="3" t="str">
        <f>KPI!$E$57</f>
        <v>ФОТ - начисления/оплаты</v>
      </c>
      <c r="F92" s="3"/>
      <c r="G92" s="3" t="str">
        <f>IF($E92="","",INDEX(KPI!$G:$G,SUMIFS(KPI!$B:$B,KPI!$E:$E,$E92)))</f>
        <v>тыс.руб.</v>
      </c>
      <c r="H92" s="103"/>
      <c r="I92" s="28"/>
      <c r="J92" s="44"/>
      <c r="K92" s="28"/>
      <c r="L92" s="3"/>
      <c r="M92" s="55">
        <f>SUM($O92:$AB92)</f>
        <v>5460</v>
      </c>
      <c r="N92" s="3"/>
      <c r="O92" s="3"/>
      <c r="P92" s="46">
        <f>IF(P$1="",0,IF(P$1=0,SUMIFS(P93:P104,H93:H104,"&gt;="&amp;MONTH(#REF!)),SUM(P93:P104)))</f>
        <v>780</v>
      </c>
      <c r="Q92" s="46">
        <f t="shared" ref="Q92" si="32">IF(Q$1="",0,SUM(Q93:Q104))</f>
        <v>780</v>
      </c>
      <c r="R92" s="46">
        <f t="shared" ref="R92:AA92" si="33">IF(R$1="",0,SUM(R93:R104))</f>
        <v>780</v>
      </c>
      <c r="S92" s="46">
        <f t="shared" si="33"/>
        <v>780</v>
      </c>
      <c r="T92" s="46">
        <f t="shared" si="33"/>
        <v>780</v>
      </c>
      <c r="U92" s="46">
        <f t="shared" si="33"/>
        <v>780</v>
      </c>
      <c r="V92" s="46">
        <f t="shared" si="33"/>
        <v>780</v>
      </c>
      <c r="W92" s="46">
        <f t="shared" si="33"/>
        <v>0</v>
      </c>
      <c r="X92" s="46">
        <f t="shared" si="33"/>
        <v>0</v>
      </c>
      <c r="Y92" s="46">
        <f t="shared" si="33"/>
        <v>0</v>
      </c>
      <c r="Z92" s="46">
        <f t="shared" si="33"/>
        <v>0</v>
      </c>
      <c r="AA92" s="46">
        <f t="shared" si="33"/>
        <v>0</v>
      </c>
      <c r="AB92" s="3"/>
    </row>
    <row r="93" spans="1:28" s="23" customFormat="1" ht="10.199999999999999" x14ac:dyDescent="0.2">
      <c r="A93" s="22"/>
      <c r="B93" s="22"/>
      <c r="C93" s="22"/>
      <c r="D93" s="22"/>
      <c r="E93" s="22" t="str">
        <f>E92</f>
        <v>ФОТ - начисления/оплаты</v>
      </c>
      <c r="F93" s="22"/>
      <c r="G93" s="22" t="str">
        <f>IF($E93="","",INDEX(KPI!$G:$G,SUMIFS(KPI!$B:$B,KPI!$E:$E,$E93)))</f>
        <v>тыс.руб.</v>
      </c>
      <c r="H93" s="100">
        <f>структура!$V$12</f>
        <v>1</v>
      </c>
      <c r="I93" s="31"/>
      <c r="J93" s="98" t="str">
        <f>структура!$X$12</f>
        <v>янв</v>
      </c>
      <c r="K93" s="99"/>
      <c r="L93" s="22"/>
      <c r="M93" s="58"/>
      <c r="N93" s="22"/>
      <c r="O93" s="22"/>
      <c r="P93" s="101">
        <f>IF(P$1="",0,P$89)</f>
        <v>65</v>
      </c>
      <c r="Q93" s="101">
        <f t="shared" ref="Q93:AA93" si="34">IF(Q$1="",0,Q$89)</f>
        <v>65</v>
      </c>
      <c r="R93" s="101">
        <f t="shared" si="34"/>
        <v>65</v>
      </c>
      <c r="S93" s="101">
        <f t="shared" si="34"/>
        <v>65</v>
      </c>
      <c r="T93" s="101">
        <f t="shared" si="34"/>
        <v>65</v>
      </c>
      <c r="U93" s="101">
        <f t="shared" si="34"/>
        <v>65</v>
      </c>
      <c r="V93" s="101">
        <f t="shared" si="34"/>
        <v>65</v>
      </c>
      <c r="W93" s="101">
        <f t="shared" si="34"/>
        <v>0</v>
      </c>
      <c r="X93" s="101">
        <f t="shared" si="34"/>
        <v>0</v>
      </c>
      <c r="Y93" s="101">
        <f t="shared" si="34"/>
        <v>0</v>
      </c>
      <c r="Z93" s="101">
        <f t="shared" si="34"/>
        <v>0</v>
      </c>
      <c r="AA93" s="101">
        <f t="shared" si="34"/>
        <v>0</v>
      </c>
      <c r="AB93" s="22"/>
    </row>
    <row r="94" spans="1:28" s="23" customFormat="1" ht="10.199999999999999" x14ac:dyDescent="0.2">
      <c r="A94" s="22"/>
      <c r="B94" s="22"/>
      <c r="C94" s="22"/>
      <c r="D94" s="22"/>
      <c r="E94" s="22" t="str">
        <f>E92</f>
        <v>ФОТ - начисления/оплаты</v>
      </c>
      <c r="F94" s="22"/>
      <c r="G94" s="22" t="str">
        <f>IF($E94="","",INDEX(KPI!$G:$G,SUMIFS(KPI!$B:$B,KPI!$E:$E,$E94)))</f>
        <v>тыс.руб.</v>
      </c>
      <c r="H94" s="100">
        <f>структура!$V$13</f>
        <v>2</v>
      </c>
      <c r="I94" s="31"/>
      <c r="J94" s="98" t="str">
        <f>структура!$X$13</f>
        <v>фев</v>
      </c>
      <c r="K94" s="99"/>
      <c r="L94" s="22"/>
      <c r="M94" s="58"/>
      <c r="N94" s="22"/>
      <c r="O94" s="22"/>
      <c r="P94" s="101">
        <f t="shared" ref="P94:AA104" si="35">IF(P$1="",0,P$89)</f>
        <v>65</v>
      </c>
      <c r="Q94" s="101">
        <f t="shared" si="35"/>
        <v>65</v>
      </c>
      <c r="R94" s="101">
        <f t="shared" si="35"/>
        <v>65</v>
      </c>
      <c r="S94" s="101">
        <f t="shared" si="35"/>
        <v>65</v>
      </c>
      <c r="T94" s="101">
        <f t="shared" si="35"/>
        <v>65</v>
      </c>
      <c r="U94" s="101">
        <f t="shared" si="35"/>
        <v>65</v>
      </c>
      <c r="V94" s="101">
        <f t="shared" si="35"/>
        <v>65</v>
      </c>
      <c r="W94" s="101">
        <f t="shared" si="35"/>
        <v>0</v>
      </c>
      <c r="X94" s="101">
        <f t="shared" si="35"/>
        <v>0</v>
      </c>
      <c r="Y94" s="101">
        <f t="shared" si="35"/>
        <v>0</v>
      </c>
      <c r="Z94" s="101">
        <f t="shared" si="35"/>
        <v>0</v>
      </c>
      <c r="AA94" s="101">
        <f t="shared" si="35"/>
        <v>0</v>
      </c>
      <c r="AB94" s="22"/>
    </row>
    <row r="95" spans="1:28" s="23" customFormat="1" ht="10.199999999999999" x14ac:dyDescent="0.2">
      <c r="A95" s="22"/>
      <c r="B95" s="22"/>
      <c r="C95" s="22"/>
      <c r="D95" s="22"/>
      <c r="E95" s="22" t="str">
        <f>E92</f>
        <v>ФОТ - начисления/оплаты</v>
      </c>
      <c r="F95" s="22"/>
      <c r="G95" s="22" t="str">
        <f>IF($E95="","",INDEX(KPI!$G:$G,SUMIFS(KPI!$B:$B,KPI!$E:$E,$E95)))</f>
        <v>тыс.руб.</v>
      </c>
      <c r="H95" s="100">
        <f>структура!$V$14</f>
        <v>3</v>
      </c>
      <c r="I95" s="31"/>
      <c r="J95" s="98" t="str">
        <f>структура!$X$14</f>
        <v>мар</v>
      </c>
      <c r="K95" s="99"/>
      <c r="L95" s="22"/>
      <c r="M95" s="58"/>
      <c r="N95" s="22"/>
      <c r="O95" s="22"/>
      <c r="P95" s="101">
        <f t="shared" si="35"/>
        <v>65</v>
      </c>
      <c r="Q95" s="101">
        <f t="shared" si="35"/>
        <v>65</v>
      </c>
      <c r="R95" s="101">
        <f t="shared" si="35"/>
        <v>65</v>
      </c>
      <c r="S95" s="101">
        <f t="shared" si="35"/>
        <v>65</v>
      </c>
      <c r="T95" s="101">
        <f t="shared" si="35"/>
        <v>65</v>
      </c>
      <c r="U95" s="101">
        <f t="shared" si="35"/>
        <v>65</v>
      </c>
      <c r="V95" s="101">
        <f t="shared" si="35"/>
        <v>65</v>
      </c>
      <c r="W95" s="101">
        <f t="shared" si="35"/>
        <v>0</v>
      </c>
      <c r="X95" s="101">
        <f t="shared" si="35"/>
        <v>0</v>
      </c>
      <c r="Y95" s="101">
        <f t="shared" si="35"/>
        <v>0</v>
      </c>
      <c r="Z95" s="101">
        <f t="shared" si="35"/>
        <v>0</v>
      </c>
      <c r="AA95" s="101">
        <f t="shared" si="35"/>
        <v>0</v>
      </c>
      <c r="AB95" s="22"/>
    </row>
    <row r="96" spans="1:28" s="23" customFormat="1" ht="10.199999999999999" x14ac:dyDescent="0.2">
      <c r="A96" s="22"/>
      <c r="B96" s="22"/>
      <c r="C96" s="22"/>
      <c r="D96" s="22"/>
      <c r="E96" s="22" t="str">
        <f>E92</f>
        <v>ФОТ - начисления/оплаты</v>
      </c>
      <c r="F96" s="22"/>
      <c r="G96" s="22" t="str">
        <f>IF($E96="","",INDEX(KPI!$G:$G,SUMIFS(KPI!$B:$B,KPI!$E:$E,$E96)))</f>
        <v>тыс.руб.</v>
      </c>
      <c r="H96" s="100">
        <f>структура!$V$15</f>
        <v>4</v>
      </c>
      <c r="I96" s="31"/>
      <c r="J96" s="98" t="str">
        <f>структура!$X$15</f>
        <v>апр</v>
      </c>
      <c r="K96" s="99"/>
      <c r="L96" s="22"/>
      <c r="M96" s="58"/>
      <c r="N96" s="22"/>
      <c r="O96" s="22"/>
      <c r="P96" s="101">
        <f t="shared" si="35"/>
        <v>65</v>
      </c>
      <c r="Q96" s="101">
        <f t="shared" si="35"/>
        <v>65</v>
      </c>
      <c r="R96" s="101">
        <f t="shared" si="35"/>
        <v>65</v>
      </c>
      <c r="S96" s="101">
        <f t="shared" si="35"/>
        <v>65</v>
      </c>
      <c r="T96" s="101">
        <f t="shared" si="35"/>
        <v>65</v>
      </c>
      <c r="U96" s="101">
        <f t="shared" si="35"/>
        <v>65</v>
      </c>
      <c r="V96" s="101">
        <f t="shared" si="35"/>
        <v>65</v>
      </c>
      <c r="W96" s="101">
        <f t="shared" si="35"/>
        <v>0</v>
      </c>
      <c r="X96" s="101">
        <f t="shared" si="35"/>
        <v>0</v>
      </c>
      <c r="Y96" s="101">
        <f t="shared" si="35"/>
        <v>0</v>
      </c>
      <c r="Z96" s="101">
        <f t="shared" si="35"/>
        <v>0</v>
      </c>
      <c r="AA96" s="101">
        <f t="shared" si="35"/>
        <v>0</v>
      </c>
      <c r="AB96" s="22"/>
    </row>
    <row r="97" spans="1:28" s="23" customFormat="1" ht="10.199999999999999" x14ac:dyDescent="0.2">
      <c r="A97" s="22"/>
      <c r="B97" s="22"/>
      <c r="C97" s="22"/>
      <c r="D97" s="22"/>
      <c r="E97" s="22" t="str">
        <f>E92</f>
        <v>ФОТ - начисления/оплаты</v>
      </c>
      <c r="F97" s="22"/>
      <c r="G97" s="22" t="str">
        <f>IF($E97="","",INDEX(KPI!$G:$G,SUMIFS(KPI!$B:$B,KPI!$E:$E,$E97)))</f>
        <v>тыс.руб.</v>
      </c>
      <c r="H97" s="100">
        <f>структура!$V$16</f>
        <v>5</v>
      </c>
      <c r="I97" s="31"/>
      <c r="J97" s="98" t="str">
        <f>структура!$X$16</f>
        <v>май</v>
      </c>
      <c r="K97" s="99"/>
      <c r="L97" s="22"/>
      <c r="M97" s="58"/>
      <c r="N97" s="22"/>
      <c r="O97" s="22"/>
      <c r="P97" s="101">
        <f t="shared" si="35"/>
        <v>65</v>
      </c>
      <c r="Q97" s="101">
        <f t="shared" si="35"/>
        <v>65</v>
      </c>
      <c r="R97" s="101">
        <f t="shared" si="35"/>
        <v>65</v>
      </c>
      <c r="S97" s="101">
        <f t="shared" si="35"/>
        <v>65</v>
      </c>
      <c r="T97" s="101">
        <f t="shared" si="35"/>
        <v>65</v>
      </c>
      <c r="U97" s="101">
        <f t="shared" si="35"/>
        <v>65</v>
      </c>
      <c r="V97" s="101">
        <f t="shared" si="35"/>
        <v>65</v>
      </c>
      <c r="W97" s="101">
        <f t="shared" si="35"/>
        <v>0</v>
      </c>
      <c r="X97" s="101">
        <f t="shared" si="35"/>
        <v>0</v>
      </c>
      <c r="Y97" s="101">
        <f t="shared" si="35"/>
        <v>0</v>
      </c>
      <c r="Z97" s="101">
        <f t="shared" si="35"/>
        <v>0</v>
      </c>
      <c r="AA97" s="101">
        <f t="shared" si="35"/>
        <v>0</v>
      </c>
      <c r="AB97" s="22"/>
    </row>
    <row r="98" spans="1:28" s="23" customFormat="1" ht="10.199999999999999" x14ac:dyDescent="0.2">
      <c r="A98" s="22"/>
      <c r="B98" s="22"/>
      <c r="C98" s="22"/>
      <c r="D98" s="22"/>
      <c r="E98" s="22" t="str">
        <f>E92</f>
        <v>ФОТ - начисления/оплаты</v>
      </c>
      <c r="F98" s="22"/>
      <c r="G98" s="22" t="str">
        <f>IF($E98="","",INDEX(KPI!$G:$G,SUMIFS(KPI!$B:$B,KPI!$E:$E,$E98)))</f>
        <v>тыс.руб.</v>
      </c>
      <c r="H98" s="100">
        <f>структура!$V$17</f>
        <v>6</v>
      </c>
      <c r="I98" s="31"/>
      <c r="J98" s="98" t="str">
        <f>структура!$X$17</f>
        <v>июн</v>
      </c>
      <c r="K98" s="99"/>
      <c r="L98" s="22"/>
      <c r="M98" s="58"/>
      <c r="N98" s="22"/>
      <c r="O98" s="22"/>
      <c r="P98" s="101">
        <f t="shared" si="35"/>
        <v>65</v>
      </c>
      <c r="Q98" s="101">
        <f t="shared" si="35"/>
        <v>65</v>
      </c>
      <c r="R98" s="101">
        <f t="shared" si="35"/>
        <v>65</v>
      </c>
      <c r="S98" s="101">
        <f t="shared" si="35"/>
        <v>65</v>
      </c>
      <c r="T98" s="101">
        <f t="shared" si="35"/>
        <v>65</v>
      </c>
      <c r="U98" s="101">
        <f t="shared" si="35"/>
        <v>65</v>
      </c>
      <c r="V98" s="101">
        <f t="shared" si="35"/>
        <v>65</v>
      </c>
      <c r="W98" s="101">
        <f t="shared" si="35"/>
        <v>0</v>
      </c>
      <c r="X98" s="101">
        <f t="shared" si="35"/>
        <v>0</v>
      </c>
      <c r="Y98" s="101">
        <f t="shared" si="35"/>
        <v>0</v>
      </c>
      <c r="Z98" s="101">
        <f t="shared" si="35"/>
        <v>0</v>
      </c>
      <c r="AA98" s="101">
        <f t="shared" si="35"/>
        <v>0</v>
      </c>
      <c r="AB98" s="22"/>
    </row>
    <row r="99" spans="1:28" s="23" customFormat="1" ht="10.199999999999999" x14ac:dyDescent="0.2">
      <c r="A99" s="22"/>
      <c r="B99" s="22"/>
      <c r="C99" s="22"/>
      <c r="D99" s="22"/>
      <c r="E99" s="22" t="str">
        <f>E92</f>
        <v>ФОТ - начисления/оплаты</v>
      </c>
      <c r="F99" s="22"/>
      <c r="G99" s="22" t="str">
        <f>IF($E99="","",INDEX(KPI!$G:$G,SUMIFS(KPI!$B:$B,KPI!$E:$E,$E99)))</f>
        <v>тыс.руб.</v>
      </c>
      <c r="H99" s="100">
        <f>структура!$V$18</f>
        <v>7</v>
      </c>
      <c r="I99" s="31"/>
      <c r="J99" s="98" t="str">
        <f>структура!$X$18</f>
        <v>июл</v>
      </c>
      <c r="K99" s="99"/>
      <c r="L99" s="22"/>
      <c r="M99" s="58"/>
      <c r="N99" s="22"/>
      <c r="O99" s="22"/>
      <c r="P99" s="101">
        <f t="shared" si="35"/>
        <v>65</v>
      </c>
      <c r="Q99" s="101">
        <f t="shared" si="35"/>
        <v>65</v>
      </c>
      <c r="R99" s="101">
        <f t="shared" si="35"/>
        <v>65</v>
      </c>
      <c r="S99" s="101">
        <f t="shared" si="35"/>
        <v>65</v>
      </c>
      <c r="T99" s="101">
        <f t="shared" si="35"/>
        <v>65</v>
      </c>
      <c r="U99" s="101">
        <f t="shared" si="35"/>
        <v>65</v>
      </c>
      <c r="V99" s="101">
        <f t="shared" si="35"/>
        <v>65</v>
      </c>
      <c r="W99" s="101">
        <f t="shared" si="35"/>
        <v>0</v>
      </c>
      <c r="X99" s="101">
        <f t="shared" si="35"/>
        <v>0</v>
      </c>
      <c r="Y99" s="101">
        <f t="shared" si="35"/>
        <v>0</v>
      </c>
      <c r="Z99" s="101">
        <f t="shared" si="35"/>
        <v>0</v>
      </c>
      <c r="AA99" s="101">
        <f t="shared" si="35"/>
        <v>0</v>
      </c>
      <c r="AB99" s="22"/>
    </row>
    <row r="100" spans="1:28" s="23" customFormat="1" ht="10.199999999999999" x14ac:dyDescent="0.2">
      <c r="A100" s="22"/>
      <c r="B100" s="22"/>
      <c r="C100" s="22"/>
      <c r="D100" s="22"/>
      <c r="E100" s="22" t="str">
        <f>E92</f>
        <v>ФОТ - начисления/оплаты</v>
      </c>
      <c r="F100" s="22"/>
      <c r="G100" s="22" t="str">
        <f>IF($E100="","",INDEX(KPI!$G:$G,SUMIFS(KPI!$B:$B,KPI!$E:$E,$E100)))</f>
        <v>тыс.руб.</v>
      </c>
      <c r="H100" s="100">
        <f>структура!$V$19</f>
        <v>8</v>
      </c>
      <c r="I100" s="31"/>
      <c r="J100" s="98" t="str">
        <f>структура!$X$19</f>
        <v>авг</v>
      </c>
      <c r="K100" s="99"/>
      <c r="L100" s="22"/>
      <c r="M100" s="58"/>
      <c r="N100" s="22"/>
      <c r="O100" s="22"/>
      <c r="P100" s="101">
        <f t="shared" si="35"/>
        <v>65</v>
      </c>
      <c r="Q100" s="101">
        <f t="shared" si="35"/>
        <v>65</v>
      </c>
      <c r="R100" s="101">
        <f t="shared" si="35"/>
        <v>65</v>
      </c>
      <c r="S100" s="101">
        <f t="shared" si="35"/>
        <v>65</v>
      </c>
      <c r="T100" s="101">
        <f t="shared" si="35"/>
        <v>65</v>
      </c>
      <c r="U100" s="101">
        <f t="shared" si="35"/>
        <v>65</v>
      </c>
      <c r="V100" s="101">
        <f t="shared" si="35"/>
        <v>65</v>
      </c>
      <c r="W100" s="101">
        <f t="shared" si="35"/>
        <v>0</v>
      </c>
      <c r="X100" s="101">
        <f t="shared" si="35"/>
        <v>0</v>
      </c>
      <c r="Y100" s="101">
        <f t="shared" si="35"/>
        <v>0</v>
      </c>
      <c r="Z100" s="101">
        <f t="shared" si="35"/>
        <v>0</v>
      </c>
      <c r="AA100" s="101">
        <f t="shared" si="35"/>
        <v>0</v>
      </c>
      <c r="AB100" s="22"/>
    </row>
    <row r="101" spans="1:28" s="23" customFormat="1" ht="10.199999999999999" x14ac:dyDescent="0.2">
      <c r="A101" s="22"/>
      <c r="B101" s="22"/>
      <c r="C101" s="22"/>
      <c r="D101" s="22"/>
      <c r="E101" s="22" t="str">
        <f>E92</f>
        <v>ФОТ - начисления/оплаты</v>
      </c>
      <c r="F101" s="22"/>
      <c r="G101" s="22" t="str">
        <f>IF($E101="","",INDEX(KPI!$G:$G,SUMIFS(KPI!$B:$B,KPI!$E:$E,$E101)))</f>
        <v>тыс.руб.</v>
      </c>
      <c r="H101" s="100">
        <f>структура!$V$20</f>
        <v>9</v>
      </c>
      <c r="I101" s="31"/>
      <c r="J101" s="98" t="str">
        <f>структура!$X$20</f>
        <v>сен</v>
      </c>
      <c r="K101" s="99"/>
      <c r="L101" s="22"/>
      <c r="M101" s="58"/>
      <c r="N101" s="22"/>
      <c r="O101" s="22"/>
      <c r="P101" s="101">
        <f t="shared" si="35"/>
        <v>65</v>
      </c>
      <c r="Q101" s="101">
        <f t="shared" si="35"/>
        <v>65</v>
      </c>
      <c r="R101" s="101">
        <f t="shared" si="35"/>
        <v>65</v>
      </c>
      <c r="S101" s="101">
        <f t="shared" si="35"/>
        <v>65</v>
      </c>
      <c r="T101" s="101">
        <f t="shared" si="35"/>
        <v>65</v>
      </c>
      <c r="U101" s="101">
        <f t="shared" si="35"/>
        <v>65</v>
      </c>
      <c r="V101" s="101">
        <f t="shared" si="35"/>
        <v>65</v>
      </c>
      <c r="W101" s="101">
        <f t="shared" si="35"/>
        <v>0</v>
      </c>
      <c r="X101" s="101">
        <f t="shared" si="35"/>
        <v>0</v>
      </c>
      <c r="Y101" s="101">
        <f t="shared" si="35"/>
        <v>0</v>
      </c>
      <c r="Z101" s="101">
        <f t="shared" si="35"/>
        <v>0</v>
      </c>
      <c r="AA101" s="101">
        <f t="shared" si="35"/>
        <v>0</v>
      </c>
      <c r="AB101" s="22"/>
    </row>
    <row r="102" spans="1:28" s="23" customFormat="1" ht="10.199999999999999" x14ac:dyDescent="0.2">
      <c r="A102" s="22"/>
      <c r="B102" s="22"/>
      <c r="C102" s="22"/>
      <c r="D102" s="22"/>
      <c r="E102" s="22" t="str">
        <f>E92</f>
        <v>ФОТ - начисления/оплаты</v>
      </c>
      <c r="F102" s="22"/>
      <c r="G102" s="22" t="str">
        <f>IF($E102="","",INDEX(KPI!$G:$G,SUMIFS(KPI!$B:$B,KPI!$E:$E,$E102)))</f>
        <v>тыс.руб.</v>
      </c>
      <c r="H102" s="100">
        <f>структура!$V$21</f>
        <v>10</v>
      </c>
      <c r="I102" s="31"/>
      <c r="J102" s="98" t="str">
        <f>структура!$X$21</f>
        <v>окт</v>
      </c>
      <c r="K102" s="99"/>
      <c r="L102" s="22"/>
      <c r="M102" s="58"/>
      <c r="N102" s="22"/>
      <c r="O102" s="22"/>
      <c r="P102" s="101">
        <f t="shared" si="35"/>
        <v>65</v>
      </c>
      <c r="Q102" s="101">
        <f t="shared" si="35"/>
        <v>65</v>
      </c>
      <c r="R102" s="101">
        <f t="shared" si="35"/>
        <v>65</v>
      </c>
      <c r="S102" s="101">
        <f t="shared" si="35"/>
        <v>65</v>
      </c>
      <c r="T102" s="101">
        <f t="shared" si="35"/>
        <v>65</v>
      </c>
      <c r="U102" s="101">
        <f t="shared" si="35"/>
        <v>65</v>
      </c>
      <c r="V102" s="101">
        <f t="shared" si="35"/>
        <v>65</v>
      </c>
      <c r="W102" s="101">
        <f t="shared" si="35"/>
        <v>0</v>
      </c>
      <c r="X102" s="101">
        <f t="shared" si="35"/>
        <v>0</v>
      </c>
      <c r="Y102" s="101">
        <f t="shared" si="35"/>
        <v>0</v>
      </c>
      <c r="Z102" s="101">
        <f t="shared" si="35"/>
        <v>0</v>
      </c>
      <c r="AA102" s="101">
        <f t="shared" si="35"/>
        <v>0</v>
      </c>
      <c r="AB102" s="22"/>
    </row>
    <row r="103" spans="1:28" s="23" customFormat="1" ht="10.199999999999999" x14ac:dyDescent="0.2">
      <c r="A103" s="22"/>
      <c r="B103" s="22"/>
      <c r="C103" s="22"/>
      <c r="D103" s="22"/>
      <c r="E103" s="22" t="str">
        <f>E92</f>
        <v>ФОТ - начисления/оплаты</v>
      </c>
      <c r="F103" s="22"/>
      <c r="G103" s="22" t="str">
        <f>IF($E103="","",INDEX(KPI!$G:$G,SUMIFS(KPI!$B:$B,KPI!$E:$E,$E103)))</f>
        <v>тыс.руб.</v>
      </c>
      <c r="H103" s="100">
        <f>структура!$V$22</f>
        <v>11</v>
      </c>
      <c r="I103" s="31"/>
      <c r="J103" s="98" t="str">
        <f>структура!$X$22</f>
        <v>ноя</v>
      </c>
      <c r="K103" s="99"/>
      <c r="L103" s="22"/>
      <c r="M103" s="58"/>
      <c r="N103" s="22"/>
      <c r="O103" s="22"/>
      <c r="P103" s="101">
        <f t="shared" si="35"/>
        <v>65</v>
      </c>
      <c r="Q103" s="101">
        <f t="shared" si="35"/>
        <v>65</v>
      </c>
      <c r="R103" s="101">
        <f t="shared" si="35"/>
        <v>65</v>
      </c>
      <c r="S103" s="101">
        <f t="shared" si="35"/>
        <v>65</v>
      </c>
      <c r="T103" s="101">
        <f t="shared" si="35"/>
        <v>65</v>
      </c>
      <c r="U103" s="101">
        <f t="shared" si="35"/>
        <v>65</v>
      </c>
      <c r="V103" s="101">
        <f t="shared" si="35"/>
        <v>65</v>
      </c>
      <c r="W103" s="101">
        <f t="shared" si="35"/>
        <v>0</v>
      </c>
      <c r="X103" s="101">
        <f t="shared" si="35"/>
        <v>0</v>
      </c>
      <c r="Y103" s="101">
        <f t="shared" si="35"/>
        <v>0</v>
      </c>
      <c r="Z103" s="101">
        <f t="shared" si="35"/>
        <v>0</v>
      </c>
      <c r="AA103" s="101">
        <f t="shared" si="35"/>
        <v>0</v>
      </c>
      <c r="AB103" s="22"/>
    </row>
    <row r="104" spans="1:28" s="23" customFormat="1" ht="10.199999999999999" x14ac:dyDescent="0.2">
      <c r="A104" s="22"/>
      <c r="B104" s="22"/>
      <c r="C104" s="22"/>
      <c r="D104" s="22"/>
      <c r="E104" s="22" t="str">
        <f>E92</f>
        <v>ФОТ - начисления/оплаты</v>
      </c>
      <c r="F104" s="22"/>
      <c r="G104" s="22" t="str">
        <f>IF($E104="","",INDEX(KPI!$G:$G,SUMIFS(KPI!$B:$B,KPI!$E:$E,$E104)))</f>
        <v>тыс.руб.</v>
      </c>
      <c r="H104" s="100">
        <f>структура!$V$23</f>
        <v>12</v>
      </c>
      <c r="I104" s="31"/>
      <c r="J104" s="98" t="str">
        <f>структура!$X$23</f>
        <v>дек</v>
      </c>
      <c r="K104" s="99"/>
      <c r="L104" s="22"/>
      <c r="M104" s="58"/>
      <c r="N104" s="22"/>
      <c r="O104" s="22"/>
      <c r="P104" s="101">
        <f t="shared" si="35"/>
        <v>65</v>
      </c>
      <c r="Q104" s="101">
        <f t="shared" si="35"/>
        <v>65</v>
      </c>
      <c r="R104" s="101">
        <f t="shared" si="35"/>
        <v>65</v>
      </c>
      <c r="S104" s="101">
        <f t="shared" si="35"/>
        <v>65</v>
      </c>
      <c r="T104" s="101">
        <f t="shared" si="35"/>
        <v>65</v>
      </c>
      <c r="U104" s="101">
        <f t="shared" si="35"/>
        <v>65</v>
      </c>
      <c r="V104" s="101">
        <f t="shared" si="35"/>
        <v>65</v>
      </c>
      <c r="W104" s="101">
        <f t="shared" si="35"/>
        <v>0</v>
      </c>
      <c r="X104" s="101">
        <f t="shared" si="35"/>
        <v>0</v>
      </c>
      <c r="Y104" s="101">
        <f t="shared" si="35"/>
        <v>0</v>
      </c>
      <c r="Z104" s="101">
        <f t="shared" si="35"/>
        <v>0</v>
      </c>
      <c r="AA104" s="101">
        <f t="shared" si="35"/>
        <v>0</v>
      </c>
      <c r="AB104" s="22"/>
    </row>
    <row r="105" spans="1:28" ht="3.9" customHeight="1" x14ac:dyDescent="0.25">
      <c r="A105" s="2"/>
      <c r="B105" s="2"/>
      <c r="C105" s="2"/>
      <c r="D105" s="2"/>
      <c r="E105" s="21"/>
      <c r="F105" s="2"/>
      <c r="G105" s="21"/>
      <c r="H105" s="2"/>
      <c r="I105" s="28"/>
      <c r="J105" s="21"/>
      <c r="K105" s="28"/>
      <c r="L105" s="2"/>
      <c r="M105" s="52"/>
      <c r="N105" s="2"/>
      <c r="O105" s="2"/>
      <c r="P105" s="36"/>
      <c r="Q105" s="36"/>
      <c r="R105" s="36"/>
      <c r="S105" s="36"/>
      <c r="T105" s="36"/>
      <c r="U105" s="36"/>
      <c r="V105" s="36"/>
      <c r="W105" s="36"/>
      <c r="X105" s="36"/>
      <c r="Y105" s="36"/>
      <c r="Z105" s="36"/>
      <c r="AA105" s="36"/>
      <c r="AB105" s="2"/>
    </row>
    <row r="106" spans="1:28" ht="8.1" customHeight="1" x14ac:dyDescent="0.25">
      <c r="A106" s="2"/>
      <c r="B106" s="2"/>
      <c r="C106" s="2"/>
      <c r="D106" s="2"/>
      <c r="E106" s="2"/>
      <c r="F106" s="2"/>
      <c r="G106" s="2"/>
      <c r="H106" s="2"/>
      <c r="I106" s="28"/>
      <c r="J106" s="2"/>
      <c r="K106" s="28"/>
      <c r="L106" s="2"/>
      <c r="M106" s="52"/>
      <c r="N106" s="2"/>
      <c r="O106" s="2"/>
      <c r="P106" s="36"/>
      <c r="Q106" s="36"/>
      <c r="R106" s="36"/>
      <c r="S106" s="36"/>
      <c r="T106" s="36"/>
      <c r="U106" s="36"/>
      <c r="V106" s="36"/>
      <c r="W106" s="36"/>
      <c r="X106" s="36"/>
      <c r="Y106" s="36"/>
      <c r="Z106" s="36"/>
      <c r="AA106" s="36"/>
      <c r="AB106" s="2"/>
    </row>
    <row r="107" spans="1:28" s="5" customFormat="1" x14ac:dyDescent="0.25">
      <c r="A107" s="3"/>
      <c r="B107" s="3"/>
      <c r="C107" s="3"/>
      <c r="D107" s="3"/>
      <c r="E107" s="3" t="str">
        <f>KPI!$E$58</f>
        <v>ставка отчислений в соцфонды+страхНС</v>
      </c>
      <c r="F107" s="3"/>
      <c r="G107" s="3" t="str">
        <f>IF($E107="","",INDEX(KPI!$G:$G,SUMIFS(KPI!$B:$B,KPI!$E:$E,$E107)))</f>
        <v>%</v>
      </c>
      <c r="H107" s="3"/>
      <c r="I107" s="6" t="s">
        <v>0</v>
      </c>
      <c r="J107" s="88">
        <v>0.30199999999999999</v>
      </c>
      <c r="K107" s="28"/>
      <c r="L107" s="2"/>
      <c r="M107" s="52"/>
      <c r="N107" s="3"/>
      <c r="O107" s="2"/>
      <c r="P107" s="36"/>
      <c r="Q107" s="36"/>
      <c r="R107" s="36"/>
      <c r="S107" s="36"/>
      <c r="T107" s="36"/>
      <c r="U107" s="36"/>
      <c r="V107" s="36"/>
      <c r="W107" s="36"/>
      <c r="X107" s="36"/>
      <c r="Y107" s="36"/>
      <c r="Z107" s="36"/>
      <c r="AA107" s="36"/>
      <c r="AB107" s="2"/>
    </row>
    <row r="108" spans="1:28" ht="3.9" customHeight="1" x14ac:dyDescent="0.25">
      <c r="A108" s="2"/>
      <c r="B108" s="2"/>
      <c r="C108" s="2"/>
      <c r="D108" s="2"/>
      <c r="E108" s="110"/>
      <c r="F108" s="2"/>
      <c r="G108" s="2"/>
      <c r="H108" s="2"/>
      <c r="I108" s="28"/>
      <c r="J108" s="2"/>
      <c r="K108" s="28"/>
      <c r="L108" s="2"/>
      <c r="M108" s="52"/>
      <c r="N108" s="2"/>
      <c r="O108" s="2"/>
      <c r="P108" s="36"/>
      <c r="Q108" s="36"/>
      <c r="R108" s="36"/>
      <c r="S108" s="36"/>
      <c r="T108" s="36"/>
      <c r="U108" s="36"/>
      <c r="V108" s="36"/>
      <c r="W108" s="36"/>
      <c r="X108" s="36"/>
      <c r="Y108" s="36"/>
      <c r="Z108" s="36"/>
      <c r="AA108" s="36"/>
      <c r="AB108" s="2"/>
    </row>
    <row r="109" spans="1:28" ht="8.1" customHeight="1" x14ac:dyDescent="0.25">
      <c r="A109" s="2"/>
      <c r="B109" s="2"/>
      <c r="C109" s="2"/>
      <c r="D109" s="2"/>
      <c r="E109" s="2"/>
      <c r="F109" s="2"/>
      <c r="G109" s="2"/>
      <c r="H109" s="2"/>
      <c r="I109" s="28"/>
      <c r="J109" s="2"/>
      <c r="K109" s="28"/>
      <c r="L109" s="2"/>
      <c r="M109" s="52"/>
      <c r="N109" s="2"/>
      <c r="O109" s="2"/>
      <c r="P109" s="36"/>
      <c r="Q109" s="36"/>
      <c r="R109" s="36"/>
      <c r="S109" s="36"/>
      <c r="T109" s="36"/>
      <c r="U109" s="36"/>
      <c r="V109" s="36"/>
      <c r="W109" s="36"/>
      <c r="X109" s="36"/>
      <c r="Y109" s="36"/>
      <c r="Z109" s="36"/>
      <c r="AA109" s="36"/>
      <c r="AB109" s="2"/>
    </row>
    <row r="110" spans="1:28" s="5" customFormat="1" x14ac:dyDescent="0.25">
      <c r="A110" s="3"/>
      <c r="B110" s="3"/>
      <c r="C110" s="3"/>
      <c r="D110" s="111"/>
      <c r="E110" s="3" t="str">
        <f>KPI!$E$59</f>
        <v>начисления в соцфонды</v>
      </c>
      <c r="F110" s="3"/>
      <c r="G110" s="3" t="str">
        <f>IF($E110="","",INDEX(KPI!$G:$G,SUMIFS(KPI!$B:$B,KPI!$E:$E,$E110)))</f>
        <v>тыс.руб.</v>
      </c>
      <c r="H110" s="103"/>
      <c r="I110" s="28"/>
      <c r="J110" s="44"/>
      <c r="K110" s="28"/>
      <c r="L110" s="3"/>
      <c r="M110" s="55">
        <f>SUM($O110:$AB110)</f>
        <v>1648.9199999999998</v>
      </c>
      <c r="N110" s="3"/>
      <c r="O110" s="3"/>
      <c r="P110" s="46">
        <f>IF(P$1="",0,IF(P$1=0,SUMIFS(P111:P122,H111:H122,"&gt;="&amp;MONTH(#REF!)),SUM(P111:P122)))</f>
        <v>235.55999999999997</v>
      </c>
      <c r="Q110" s="46">
        <f t="shared" ref="Q110" si="36">IF(Q$1="",0,SUM(Q111:Q122))</f>
        <v>235.55999999999997</v>
      </c>
      <c r="R110" s="46">
        <f t="shared" ref="R110:AA110" si="37">IF(R$1="",0,SUM(R111:R122))</f>
        <v>235.55999999999997</v>
      </c>
      <c r="S110" s="46">
        <f t="shared" si="37"/>
        <v>235.55999999999997</v>
      </c>
      <c r="T110" s="46">
        <f t="shared" si="37"/>
        <v>235.55999999999997</v>
      </c>
      <c r="U110" s="46">
        <f t="shared" si="37"/>
        <v>235.55999999999997</v>
      </c>
      <c r="V110" s="46">
        <f t="shared" si="37"/>
        <v>235.55999999999997</v>
      </c>
      <c r="W110" s="46">
        <f t="shared" si="37"/>
        <v>0</v>
      </c>
      <c r="X110" s="46">
        <f t="shared" si="37"/>
        <v>0</v>
      </c>
      <c r="Y110" s="46">
        <f t="shared" si="37"/>
        <v>0</v>
      </c>
      <c r="Z110" s="46">
        <f t="shared" si="37"/>
        <v>0</v>
      </c>
      <c r="AA110" s="46">
        <f t="shared" si="37"/>
        <v>0</v>
      </c>
      <c r="AB110" s="3"/>
    </row>
    <row r="111" spans="1:28" s="23" customFormat="1" ht="10.199999999999999" x14ac:dyDescent="0.2">
      <c r="A111" s="22"/>
      <c r="B111" s="22"/>
      <c r="C111" s="22"/>
      <c r="D111" s="22"/>
      <c r="E111" s="22" t="str">
        <f>E110</f>
        <v>начисления в соцфонды</v>
      </c>
      <c r="F111" s="22"/>
      <c r="G111" s="22" t="str">
        <f>IF($E111="","",INDEX(KPI!$G:$G,SUMIFS(KPI!$B:$B,KPI!$E:$E,$E111)))</f>
        <v>тыс.руб.</v>
      </c>
      <c r="H111" s="100">
        <f>структура!$V$12</f>
        <v>1</v>
      </c>
      <c r="I111" s="31"/>
      <c r="J111" s="98" t="str">
        <f>структура!$X$12</f>
        <v>янв</v>
      </c>
      <c r="K111" s="99"/>
      <c r="L111" s="22"/>
      <c r="M111" s="58"/>
      <c r="N111" s="22"/>
      <c r="O111" s="22"/>
      <c r="P111" s="101">
        <f t="shared" ref="P111:AA111" si="38">IF(P$1="",0,P93*$J$107)</f>
        <v>19.63</v>
      </c>
      <c r="Q111" s="101">
        <f t="shared" si="38"/>
        <v>19.63</v>
      </c>
      <c r="R111" s="101">
        <f t="shared" si="38"/>
        <v>19.63</v>
      </c>
      <c r="S111" s="101">
        <f t="shared" si="38"/>
        <v>19.63</v>
      </c>
      <c r="T111" s="101">
        <f t="shared" si="38"/>
        <v>19.63</v>
      </c>
      <c r="U111" s="101">
        <f t="shared" si="38"/>
        <v>19.63</v>
      </c>
      <c r="V111" s="101">
        <f t="shared" si="38"/>
        <v>19.63</v>
      </c>
      <c r="W111" s="101">
        <f t="shared" si="38"/>
        <v>0</v>
      </c>
      <c r="X111" s="101">
        <f t="shared" si="38"/>
        <v>0</v>
      </c>
      <c r="Y111" s="101">
        <f t="shared" si="38"/>
        <v>0</v>
      </c>
      <c r="Z111" s="101">
        <f t="shared" si="38"/>
        <v>0</v>
      </c>
      <c r="AA111" s="101">
        <f t="shared" si="38"/>
        <v>0</v>
      </c>
      <c r="AB111" s="22"/>
    </row>
    <row r="112" spans="1:28" s="23" customFormat="1" ht="10.199999999999999" x14ac:dyDescent="0.2">
      <c r="A112" s="22"/>
      <c r="B112" s="22"/>
      <c r="C112" s="22"/>
      <c r="D112" s="22"/>
      <c r="E112" s="22" t="str">
        <f>E110</f>
        <v>начисления в соцфонды</v>
      </c>
      <c r="F112" s="22"/>
      <c r="G112" s="22" t="str">
        <f>IF($E112="","",INDEX(KPI!$G:$G,SUMIFS(KPI!$B:$B,KPI!$E:$E,$E112)))</f>
        <v>тыс.руб.</v>
      </c>
      <c r="H112" s="100">
        <f>структура!$V$13</f>
        <v>2</v>
      </c>
      <c r="I112" s="31"/>
      <c r="J112" s="98" t="str">
        <f>структура!$X$13</f>
        <v>фев</v>
      </c>
      <c r="K112" s="99"/>
      <c r="L112" s="22"/>
      <c r="M112" s="58"/>
      <c r="N112" s="22"/>
      <c r="O112" s="22"/>
      <c r="P112" s="101">
        <f t="shared" ref="P112:AA112" si="39">IF(P$1="",0,P94*$J$107)</f>
        <v>19.63</v>
      </c>
      <c r="Q112" s="101">
        <f t="shared" si="39"/>
        <v>19.63</v>
      </c>
      <c r="R112" s="101">
        <f t="shared" si="39"/>
        <v>19.63</v>
      </c>
      <c r="S112" s="101">
        <f t="shared" si="39"/>
        <v>19.63</v>
      </c>
      <c r="T112" s="101">
        <f t="shared" si="39"/>
        <v>19.63</v>
      </c>
      <c r="U112" s="101">
        <f t="shared" si="39"/>
        <v>19.63</v>
      </c>
      <c r="V112" s="101">
        <f t="shared" si="39"/>
        <v>19.63</v>
      </c>
      <c r="W112" s="101">
        <f t="shared" si="39"/>
        <v>0</v>
      </c>
      <c r="X112" s="101">
        <f t="shared" si="39"/>
        <v>0</v>
      </c>
      <c r="Y112" s="101">
        <f t="shared" si="39"/>
        <v>0</v>
      </c>
      <c r="Z112" s="101">
        <f t="shared" si="39"/>
        <v>0</v>
      </c>
      <c r="AA112" s="101">
        <f t="shared" si="39"/>
        <v>0</v>
      </c>
      <c r="AB112" s="22"/>
    </row>
    <row r="113" spans="1:28" s="23" customFormat="1" ht="10.199999999999999" x14ac:dyDescent="0.2">
      <c r="A113" s="22"/>
      <c r="B113" s="22"/>
      <c r="C113" s="22"/>
      <c r="D113" s="22"/>
      <c r="E113" s="22" t="str">
        <f>E110</f>
        <v>начисления в соцфонды</v>
      </c>
      <c r="F113" s="22"/>
      <c r="G113" s="22" t="str">
        <f>IF($E113="","",INDEX(KPI!$G:$G,SUMIFS(KPI!$B:$B,KPI!$E:$E,$E113)))</f>
        <v>тыс.руб.</v>
      </c>
      <c r="H113" s="100">
        <f>структура!$V$14</f>
        <v>3</v>
      </c>
      <c r="I113" s="31"/>
      <c r="J113" s="98" t="str">
        <f>структура!$X$14</f>
        <v>мар</v>
      </c>
      <c r="K113" s="99"/>
      <c r="L113" s="22"/>
      <c r="M113" s="58"/>
      <c r="N113" s="22"/>
      <c r="O113" s="22"/>
      <c r="P113" s="101">
        <f t="shared" ref="P113:AA113" si="40">IF(P$1="",0,P95*$J$107)</f>
        <v>19.63</v>
      </c>
      <c r="Q113" s="101">
        <f t="shared" si="40"/>
        <v>19.63</v>
      </c>
      <c r="R113" s="101">
        <f t="shared" si="40"/>
        <v>19.63</v>
      </c>
      <c r="S113" s="101">
        <f t="shared" si="40"/>
        <v>19.63</v>
      </c>
      <c r="T113" s="101">
        <f t="shared" si="40"/>
        <v>19.63</v>
      </c>
      <c r="U113" s="101">
        <f t="shared" si="40"/>
        <v>19.63</v>
      </c>
      <c r="V113" s="101">
        <f t="shared" si="40"/>
        <v>19.63</v>
      </c>
      <c r="W113" s="101">
        <f t="shared" si="40"/>
        <v>0</v>
      </c>
      <c r="X113" s="101">
        <f t="shared" si="40"/>
        <v>0</v>
      </c>
      <c r="Y113" s="101">
        <f t="shared" si="40"/>
        <v>0</v>
      </c>
      <c r="Z113" s="101">
        <f t="shared" si="40"/>
        <v>0</v>
      </c>
      <c r="AA113" s="101">
        <f t="shared" si="40"/>
        <v>0</v>
      </c>
      <c r="AB113" s="22"/>
    </row>
    <row r="114" spans="1:28" s="23" customFormat="1" ht="10.199999999999999" x14ac:dyDescent="0.2">
      <c r="A114" s="22"/>
      <c r="B114" s="22"/>
      <c r="C114" s="22"/>
      <c r="D114" s="22"/>
      <c r="E114" s="22" t="str">
        <f>E110</f>
        <v>начисления в соцфонды</v>
      </c>
      <c r="F114" s="22"/>
      <c r="G114" s="22" t="str">
        <f>IF($E114="","",INDEX(KPI!$G:$G,SUMIFS(KPI!$B:$B,KPI!$E:$E,$E114)))</f>
        <v>тыс.руб.</v>
      </c>
      <c r="H114" s="100">
        <f>структура!$V$15</f>
        <v>4</v>
      </c>
      <c r="I114" s="31"/>
      <c r="J114" s="98" t="str">
        <f>структура!$X$15</f>
        <v>апр</v>
      </c>
      <c r="K114" s="99"/>
      <c r="L114" s="22"/>
      <c r="M114" s="58"/>
      <c r="N114" s="22"/>
      <c r="O114" s="22"/>
      <c r="P114" s="101">
        <f t="shared" ref="P114:AA114" si="41">IF(P$1="",0,P96*$J$107)</f>
        <v>19.63</v>
      </c>
      <c r="Q114" s="101">
        <f t="shared" si="41"/>
        <v>19.63</v>
      </c>
      <c r="R114" s="101">
        <f t="shared" si="41"/>
        <v>19.63</v>
      </c>
      <c r="S114" s="101">
        <f t="shared" si="41"/>
        <v>19.63</v>
      </c>
      <c r="T114" s="101">
        <f t="shared" si="41"/>
        <v>19.63</v>
      </c>
      <c r="U114" s="101">
        <f t="shared" si="41"/>
        <v>19.63</v>
      </c>
      <c r="V114" s="101">
        <f t="shared" si="41"/>
        <v>19.63</v>
      </c>
      <c r="W114" s="101">
        <f t="shared" si="41"/>
        <v>0</v>
      </c>
      <c r="X114" s="101">
        <f t="shared" si="41"/>
        <v>0</v>
      </c>
      <c r="Y114" s="101">
        <f t="shared" si="41"/>
        <v>0</v>
      </c>
      <c r="Z114" s="101">
        <f t="shared" si="41"/>
        <v>0</v>
      </c>
      <c r="AA114" s="101">
        <f t="shared" si="41"/>
        <v>0</v>
      </c>
      <c r="AB114" s="22"/>
    </row>
    <row r="115" spans="1:28" s="23" customFormat="1" ht="10.199999999999999" x14ac:dyDescent="0.2">
      <c r="A115" s="22"/>
      <c r="B115" s="22"/>
      <c r="C115" s="22"/>
      <c r="D115" s="22"/>
      <c r="E115" s="22" t="str">
        <f>E110</f>
        <v>начисления в соцфонды</v>
      </c>
      <c r="F115" s="22"/>
      <c r="G115" s="22" t="str">
        <f>IF($E115="","",INDEX(KPI!$G:$G,SUMIFS(KPI!$B:$B,KPI!$E:$E,$E115)))</f>
        <v>тыс.руб.</v>
      </c>
      <c r="H115" s="100">
        <f>структура!$V$16</f>
        <v>5</v>
      </c>
      <c r="I115" s="31"/>
      <c r="J115" s="98" t="str">
        <f>структура!$X$16</f>
        <v>май</v>
      </c>
      <c r="K115" s="99"/>
      <c r="L115" s="22"/>
      <c r="M115" s="58"/>
      <c r="N115" s="22"/>
      <c r="O115" s="22"/>
      <c r="P115" s="101">
        <f t="shared" ref="P115:AA115" si="42">IF(P$1="",0,P97*$J$107)</f>
        <v>19.63</v>
      </c>
      <c r="Q115" s="101">
        <f t="shared" si="42"/>
        <v>19.63</v>
      </c>
      <c r="R115" s="101">
        <f t="shared" si="42"/>
        <v>19.63</v>
      </c>
      <c r="S115" s="101">
        <f t="shared" si="42"/>
        <v>19.63</v>
      </c>
      <c r="T115" s="101">
        <f t="shared" si="42"/>
        <v>19.63</v>
      </c>
      <c r="U115" s="101">
        <f t="shared" si="42"/>
        <v>19.63</v>
      </c>
      <c r="V115" s="101">
        <f t="shared" si="42"/>
        <v>19.63</v>
      </c>
      <c r="W115" s="101">
        <f t="shared" si="42"/>
        <v>0</v>
      </c>
      <c r="X115" s="101">
        <f t="shared" si="42"/>
        <v>0</v>
      </c>
      <c r="Y115" s="101">
        <f t="shared" si="42"/>
        <v>0</v>
      </c>
      <c r="Z115" s="101">
        <f t="shared" si="42"/>
        <v>0</v>
      </c>
      <c r="AA115" s="101">
        <f t="shared" si="42"/>
        <v>0</v>
      </c>
      <c r="AB115" s="22"/>
    </row>
    <row r="116" spans="1:28" s="23" customFormat="1" ht="10.199999999999999" x14ac:dyDescent="0.2">
      <c r="A116" s="22"/>
      <c r="B116" s="22"/>
      <c r="C116" s="22"/>
      <c r="D116" s="22"/>
      <c r="E116" s="22" t="str">
        <f>E110</f>
        <v>начисления в соцфонды</v>
      </c>
      <c r="F116" s="22"/>
      <c r="G116" s="22" t="str">
        <f>IF($E116="","",INDEX(KPI!$G:$G,SUMIFS(KPI!$B:$B,KPI!$E:$E,$E116)))</f>
        <v>тыс.руб.</v>
      </c>
      <c r="H116" s="100">
        <f>структура!$V$17</f>
        <v>6</v>
      </c>
      <c r="I116" s="31"/>
      <c r="J116" s="98" t="str">
        <f>структура!$X$17</f>
        <v>июн</v>
      </c>
      <c r="K116" s="99"/>
      <c r="L116" s="22"/>
      <c r="M116" s="58"/>
      <c r="N116" s="22"/>
      <c r="O116" s="22"/>
      <c r="P116" s="101">
        <f t="shared" ref="P116:AA116" si="43">IF(P$1="",0,P98*$J$107)</f>
        <v>19.63</v>
      </c>
      <c r="Q116" s="101">
        <f t="shared" si="43"/>
        <v>19.63</v>
      </c>
      <c r="R116" s="101">
        <f t="shared" si="43"/>
        <v>19.63</v>
      </c>
      <c r="S116" s="101">
        <f t="shared" si="43"/>
        <v>19.63</v>
      </c>
      <c r="T116" s="101">
        <f t="shared" si="43"/>
        <v>19.63</v>
      </c>
      <c r="U116" s="101">
        <f t="shared" si="43"/>
        <v>19.63</v>
      </c>
      <c r="V116" s="101">
        <f t="shared" si="43"/>
        <v>19.63</v>
      </c>
      <c r="W116" s="101">
        <f t="shared" si="43"/>
        <v>0</v>
      </c>
      <c r="X116" s="101">
        <f t="shared" si="43"/>
        <v>0</v>
      </c>
      <c r="Y116" s="101">
        <f t="shared" si="43"/>
        <v>0</v>
      </c>
      <c r="Z116" s="101">
        <f t="shared" si="43"/>
        <v>0</v>
      </c>
      <c r="AA116" s="101">
        <f t="shared" si="43"/>
        <v>0</v>
      </c>
      <c r="AB116" s="22"/>
    </row>
    <row r="117" spans="1:28" s="23" customFormat="1" ht="10.199999999999999" x14ac:dyDescent="0.2">
      <c r="A117" s="22"/>
      <c r="B117" s="22"/>
      <c r="C117" s="22"/>
      <c r="D117" s="22"/>
      <c r="E117" s="22" t="str">
        <f>E110</f>
        <v>начисления в соцфонды</v>
      </c>
      <c r="F117" s="22"/>
      <c r="G117" s="22" t="str">
        <f>IF($E117="","",INDEX(KPI!$G:$G,SUMIFS(KPI!$B:$B,KPI!$E:$E,$E117)))</f>
        <v>тыс.руб.</v>
      </c>
      <c r="H117" s="100">
        <f>структура!$V$18</f>
        <v>7</v>
      </c>
      <c r="I117" s="31"/>
      <c r="J117" s="98" t="str">
        <f>структура!$X$18</f>
        <v>июл</v>
      </c>
      <c r="K117" s="99"/>
      <c r="L117" s="22"/>
      <c r="M117" s="58"/>
      <c r="N117" s="22"/>
      <c r="O117" s="22"/>
      <c r="P117" s="101">
        <f t="shared" ref="P117:AA117" si="44">IF(P$1="",0,P99*$J$107)</f>
        <v>19.63</v>
      </c>
      <c r="Q117" s="101">
        <f t="shared" si="44"/>
        <v>19.63</v>
      </c>
      <c r="R117" s="101">
        <f t="shared" si="44"/>
        <v>19.63</v>
      </c>
      <c r="S117" s="101">
        <f t="shared" si="44"/>
        <v>19.63</v>
      </c>
      <c r="T117" s="101">
        <f t="shared" si="44"/>
        <v>19.63</v>
      </c>
      <c r="U117" s="101">
        <f t="shared" si="44"/>
        <v>19.63</v>
      </c>
      <c r="V117" s="101">
        <f t="shared" si="44"/>
        <v>19.63</v>
      </c>
      <c r="W117" s="101">
        <f t="shared" si="44"/>
        <v>0</v>
      </c>
      <c r="X117" s="101">
        <f t="shared" si="44"/>
        <v>0</v>
      </c>
      <c r="Y117" s="101">
        <f t="shared" si="44"/>
        <v>0</v>
      </c>
      <c r="Z117" s="101">
        <f t="shared" si="44"/>
        <v>0</v>
      </c>
      <c r="AA117" s="101">
        <f t="shared" si="44"/>
        <v>0</v>
      </c>
      <c r="AB117" s="22"/>
    </row>
    <row r="118" spans="1:28" s="23" customFormat="1" ht="10.199999999999999" x14ac:dyDescent="0.2">
      <c r="A118" s="22"/>
      <c r="B118" s="22"/>
      <c r="C118" s="22"/>
      <c r="D118" s="22"/>
      <c r="E118" s="22" t="str">
        <f>E110</f>
        <v>начисления в соцфонды</v>
      </c>
      <c r="F118" s="22"/>
      <c r="G118" s="22" t="str">
        <f>IF($E118="","",INDEX(KPI!$G:$G,SUMIFS(KPI!$B:$B,KPI!$E:$E,$E118)))</f>
        <v>тыс.руб.</v>
      </c>
      <c r="H118" s="100">
        <f>структура!$V$19</f>
        <v>8</v>
      </c>
      <c r="I118" s="31"/>
      <c r="J118" s="98" t="str">
        <f>структура!$X$19</f>
        <v>авг</v>
      </c>
      <c r="K118" s="99"/>
      <c r="L118" s="22"/>
      <c r="M118" s="58"/>
      <c r="N118" s="22"/>
      <c r="O118" s="22"/>
      <c r="P118" s="101">
        <f t="shared" ref="P118:AA118" si="45">IF(P$1="",0,P100*$J$107)</f>
        <v>19.63</v>
      </c>
      <c r="Q118" s="101">
        <f t="shared" si="45"/>
        <v>19.63</v>
      </c>
      <c r="R118" s="101">
        <f t="shared" si="45"/>
        <v>19.63</v>
      </c>
      <c r="S118" s="101">
        <f t="shared" si="45"/>
        <v>19.63</v>
      </c>
      <c r="T118" s="101">
        <f t="shared" si="45"/>
        <v>19.63</v>
      </c>
      <c r="U118" s="101">
        <f t="shared" si="45"/>
        <v>19.63</v>
      </c>
      <c r="V118" s="101">
        <f t="shared" si="45"/>
        <v>19.63</v>
      </c>
      <c r="W118" s="101">
        <f t="shared" si="45"/>
        <v>0</v>
      </c>
      <c r="X118" s="101">
        <f t="shared" si="45"/>
        <v>0</v>
      </c>
      <c r="Y118" s="101">
        <f t="shared" si="45"/>
        <v>0</v>
      </c>
      <c r="Z118" s="101">
        <f t="shared" si="45"/>
        <v>0</v>
      </c>
      <c r="AA118" s="101">
        <f t="shared" si="45"/>
        <v>0</v>
      </c>
      <c r="AB118" s="22"/>
    </row>
    <row r="119" spans="1:28" s="23" customFormat="1" ht="10.199999999999999" x14ac:dyDescent="0.2">
      <c r="A119" s="22"/>
      <c r="B119" s="22"/>
      <c r="C119" s="22"/>
      <c r="D119" s="22"/>
      <c r="E119" s="22" t="str">
        <f>E110</f>
        <v>начисления в соцфонды</v>
      </c>
      <c r="F119" s="22"/>
      <c r="G119" s="22" t="str">
        <f>IF($E119="","",INDEX(KPI!$G:$G,SUMIFS(KPI!$B:$B,KPI!$E:$E,$E119)))</f>
        <v>тыс.руб.</v>
      </c>
      <c r="H119" s="100">
        <f>структура!$V$20</f>
        <v>9</v>
      </c>
      <c r="I119" s="31"/>
      <c r="J119" s="98" t="str">
        <f>структура!$X$20</f>
        <v>сен</v>
      </c>
      <c r="K119" s="99"/>
      <c r="L119" s="22"/>
      <c r="M119" s="58"/>
      <c r="N119" s="22"/>
      <c r="O119" s="22"/>
      <c r="P119" s="101">
        <f t="shared" ref="P119:AA119" si="46">IF(P$1="",0,P101*$J$107)</f>
        <v>19.63</v>
      </c>
      <c r="Q119" s="101">
        <f t="shared" si="46"/>
        <v>19.63</v>
      </c>
      <c r="R119" s="101">
        <f t="shared" si="46"/>
        <v>19.63</v>
      </c>
      <c r="S119" s="101">
        <f t="shared" si="46"/>
        <v>19.63</v>
      </c>
      <c r="T119" s="101">
        <f t="shared" si="46"/>
        <v>19.63</v>
      </c>
      <c r="U119" s="101">
        <f t="shared" si="46"/>
        <v>19.63</v>
      </c>
      <c r="V119" s="101">
        <f t="shared" si="46"/>
        <v>19.63</v>
      </c>
      <c r="W119" s="101">
        <f t="shared" si="46"/>
        <v>0</v>
      </c>
      <c r="X119" s="101">
        <f t="shared" si="46"/>
        <v>0</v>
      </c>
      <c r="Y119" s="101">
        <f t="shared" si="46"/>
        <v>0</v>
      </c>
      <c r="Z119" s="101">
        <f t="shared" si="46"/>
        <v>0</v>
      </c>
      <c r="AA119" s="101">
        <f t="shared" si="46"/>
        <v>0</v>
      </c>
      <c r="AB119" s="22"/>
    </row>
    <row r="120" spans="1:28" s="23" customFormat="1" ht="10.199999999999999" x14ac:dyDescent="0.2">
      <c r="A120" s="22"/>
      <c r="B120" s="22"/>
      <c r="C120" s="22"/>
      <c r="D120" s="22"/>
      <c r="E120" s="22" t="str">
        <f>E110</f>
        <v>начисления в соцфонды</v>
      </c>
      <c r="F120" s="22"/>
      <c r="G120" s="22" t="str">
        <f>IF($E120="","",INDEX(KPI!$G:$G,SUMIFS(KPI!$B:$B,KPI!$E:$E,$E120)))</f>
        <v>тыс.руб.</v>
      </c>
      <c r="H120" s="100">
        <f>структура!$V$21</f>
        <v>10</v>
      </c>
      <c r="I120" s="31"/>
      <c r="J120" s="98" t="str">
        <f>структура!$X$21</f>
        <v>окт</v>
      </c>
      <c r="K120" s="99"/>
      <c r="L120" s="22"/>
      <c r="M120" s="58"/>
      <c r="N120" s="22"/>
      <c r="O120" s="22"/>
      <c r="P120" s="101">
        <f t="shared" ref="P120:AA120" si="47">IF(P$1="",0,P102*$J$107)</f>
        <v>19.63</v>
      </c>
      <c r="Q120" s="101">
        <f t="shared" si="47"/>
        <v>19.63</v>
      </c>
      <c r="R120" s="101">
        <f t="shared" si="47"/>
        <v>19.63</v>
      </c>
      <c r="S120" s="101">
        <f t="shared" si="47"/>
        <v>19.63</v>
      </c>
      <c r="T120" s="101">
        <f t="shared" si="47"/>
        <v>19.63</v>
      </c>
      <c r="U120" s="101">
        <f t="shared" si="47"/>
        <v>19.63</v>
      </c>
      <c r="V120" s="101">
        <f t="shared" si="47"/>
        <v>19.63</v>
      </c>
      <c r="W120" s="101">
        <f t="shared" si="47"/>
        <v>0</v>
      </c>
      <c r="X120" s="101">
        <f t="shared" si="47"/>
        <v>0</v>
      </c>
      <c r="Y120" s="101">
        <f t="shared" si="47"/>
        <v>0</v>
      </c>
      <c r="Z120" s="101">
        <f t="shared" si="47"/>
        <v>0</v>
      </c>
      <c r="AA120" s="101">
        <f t="shared" si="47"/>
        <v>0</v>
      </c>
      <c r="AB120" s="22"/>
    </row>
    <row r="121" spans="1:28" s="23" customFormat="1" ht="10.199999999999999" x14ac:dyDescent="0.2">
      <c r="A121" s="22"/>
      <c r="B121" s="22"/>
      <c r="C121" s="22"/>
      <c r="D121" s="22"/>
      <c r="E121" s="22" t="str">
        <f>E110</f>
        <v>начисления в соцфонды</v>
      </c>
      <c r="F121" s="22"/>
      <c r="G121" s="22" t="str">
        <f>IF($E121="","",INDEX(KPI!$G:$G,SUMIFS(KPI!$B:$B,KPI!$E:$E,$E121)))</f>
        <v>тыс.руб.</v>
      </c>
      <c r="H121" s="100">
        <f>структура!$V$22</f>
        <v>11</v>
      </c>
      <c r="I121" s="31"/>
      <c r="J121" s="98" t="str">
        <f>структура!$X$22</f>
        <v>ноя</v>
      </c>
      <c r="K121" s="99"/>
      <c r="L121" s="22"/>
      <c r="M121" s="58"/>
      <c r="N121" s="22"/>
      <c r="O121" s="22"/>
      <c r="P121" s="101">
        <f t="shared" ref="P121:AA121" si="48">IF(P$1="",0,P103*$J$107)</f>
        <v>19.63</v>
      </c>
      <c r="Q121" s="101">
        <f t="shared" si="48"/>
        <v>19.63</v>
      </c>
      <c r="R121" s="101">
        <f t="shared" si="48"/>
        <v>19.63</v>
      </c>
      <c r="S121" s="101">
        <f t="shared" si="48"/>
        <v>19.63</v>
      </c>
      <c r="T121" s="101">
        <f t="shared" si="48"/>
        <v>19.63</v>
      </c>
      <c r="U121" s="101">
        <f t="shared" si="48"/>
        <v>19.63</v>
      </c>
      <c r="V121" s="101">
        <f t="shared" si="48"/>
        <v>19.63</v>
      </c>
      <c r="W121" s="101">
        <f t="shared" si="48"/>
        <v>0</v>
      </c>
      <c r="X121" s="101">
        <f t="shared" si="48"/>
        <v>0</v>
      </c>
      <c r="Y121" s="101">
        <f t="shared" si="48"/>
        <v>0</v>
      </c>
      <c r="Z121" s="101">
        <f t="shared" si="48"/>
        <v>0</v>
      </c>
      <c r="AA121" s="101">
        <f t="shared" si="48"/>
        <v>0</v>
      </c>
      <c r="AB121" s="22"/>
    </row>
    <row r="122" spans="1:28" s="23" customFormat="1" ht="10.199999999999999" x14ac:dyDescent="0.2">
      <c r="A122" s="22"/>
      <c r="B122" s="22"/>
      <c r="C122" s="22"/>
      <c r="D122" s="22"/>
      <c r="E122" s="22" t="str">
        <f>E110</f>
        <v>начисления в соцфонды</v>
      </c>
      <c r="F122" s="22"/>
      <c r="G122" s="22" t="str">
        <f>IF($E122="","",INDEX(KPI!$G:$G,SUMIFS(KPI!$B:$B,KPI!$E:$E,$E122)))</f>
        <v>тыс.руб.</v>
      </c>
      <c r="H122" s="100">
        <f>структура!$V$23</f>
        <v>12</v>
      </c>
      <c r="I122" s="31"/>
      <c r="J122" s="98" t="str">
        <f>структура!$X$23</f>
        <v>дек</v>
      </c>
      <c r="K122" s="99"/>
      <c r="L122" s="22"/>
      <c r="M122" s="58"/>
      <c r="N122" s="22"/>
      <c r="O122" s="22"/>
      <c r="P122" s="101">
        <f t="shared" ref="P122:AA122" si="49">IF(P$1="",0,P104*$J$107)</f>
        <v>19.63</v>
      </c>
      <c r="Q122" s="101">
        <f t="shared" si="49"/>
        <v>19.63</v>
      </c>
      <c r="R122" s="101">
        <f t="shared" si="49"/>
        <v>19.63</v>
      </c>
      <c r="S122" s="101">
        <f t="shared" si="49"/>
        <v>19.63</v>
      </c>
      <c r="T122" s="101">
        <f t="shared" si="49"/>
        <v>19.63</v>
      </c>
      <c r="U122" s="101">
        <f t="shared" si="49"/>
        <v>19.63</v>
      </c>
      <c r="V122" s="101">
        <f t="shared" si="49"/>
        <v>19.63</v>
      </c>
      <c r="W122" s="101">
        <f t="shared" si="49"/>
        <v>0</v>
      </c>
      <c r="X122" s="101">
        <f t="shared" si="49"/>
        <v>0</v>
      </c>
      <c r="Y122" s="101">
        <f t="shared" si="49"/>
        <v>0</v>
      </c>
      <c r="Z122" s="101">
        <f t="shared" si="49"/>
        <v>0</v>
      </c>
      <c r="AA122" s="101">
        <f t="shared" si="49"/>
        <v>0</v>
      </c>
      <c r="AB122" s="22"/>
    </row>
    <row r="123" spans="1:28" ht="3.9" customHeight="1" x14ac:dyDescent="0.25">
      <c r="A123" s="2"/>
      <c r="B123" s="2"/>
      <c r="C123" s="2"/>
      <c r="D123" s="2"/>
      <c r="E123" s="21"/>
      <c r="F123" s="2"/>
      <c r="G123" s="21"/>
      <c r="H123" s="2"/>
      <c r="I123" s="28"/>
      <c r="J123" s="21"/>
      <c r="K123" s="28"/>
      <c r="L123" s="2"/>
      <c r="M123" s="52"/>
      <c r="N123" s="2"/>
      <c r="O123" s="2"/>
      <c r="P123" s="36"/>
      <c r="Q123" s="36"/>
      <c r="R123" s="36"/>
      <c r="S123" s="36"/>
      <c r="T123" s="36"/>
      <c r="U123" s="36"/>
      <c r="V123" s="36"/>
      <c r="W123" s="36"/>
      <c r="X123" s="36"/>
      <c r="Y123" s="36"/>
      <c r="Z123" s="36"/>
      <c r="AA123" s="36"/>
      <c r="AB123" s="2"/>
    </row>
    <row r="124" spans="1:28" ht="8.1" customHeight="1" x14ac:dyDescent="0.25">
      <c r="A124" s="2"/>
      <c r="B124" s="2"/>
      <c r="C124" s="2"/>
      <c r="D124" s="2"/>
      <c r="E124" s="2"/>
      <c r="F124" s="2"/>
      <c r="G124" s="2"/>
      <c r="H124" s="2"/>
      <c r="I124" s="28"/>
      <c r="J124" s="2"/>
      <c r="K124" s="28"/>
      <c r="L124" s="2"/>
      <c r="M124" s="52"/>
      <c r="N124" s="2"/>
      <c r="O124" s="2"/>
      <c r="P124" s="36"/>
      <c r="Q124" s="36"/>
      <c r="R124" s="36"/>
      <c r="S124" s="36"/>
      <c r="T124" s="36"/>
      <c r="U124" s="36"/>
      <c r="V124" s="36"/>
      <c r="W124" s="36"/>
      <c r="X124" s="36"/>
      <c r="Y124" s="36"/>
      <c r="Z124" s="36"/>
      <c r="AA124" s="36"/>
      <c r="AB124" s="2"/>
    </row>
    <row r="125" spans="1:28" s="5" customFormat="1" x14ac:dyDescent="0.25">
      <c r="A125" s="3"/>
      <c r="B125" s="3"/>
      <c r="C125" s="3"/>
      <c r="D125" s="111"/>
      <c r="E125" s="3" t="str">
        <f>KPI!$E$60</f>
        <v>оплаты в соцфонды</v>
      </c>
      <c r="F125" s="3"/>
      <c r="G125" s="3" t="str">
        <f>IF($E125="","",INDEX(KPI!$G:$G,SUMIFS(KPI!$B:$B,KPI!$E:$E,$E125)))</f>
        <v>тыс.руб.</v>
      </c>
      <c r="H125" s="116" t="str">
        <f>структура!$AL$20</f>
        <v>Заложен сдвиг на один месяц!</v>
      </c>
      <c r="I125" s="28"/>
      <c r="J125" s="44"/>
      <c r="K125" s="28"/>
      <c r="L125" s="3"/>
      <c r="M125" s="55">
        <f>SUM($O125:$AB125)</f>
        <v>1629.2899999999997</v>
      </c>
      <c r="N125" s="3"/>
      <c r="O125" s="3"/>
      <c r="P125" s="46">
        <f>IF(P$1="",0,IF(P$1=0,SUMIFS(P126:P137,H126:H137,"&gt;="&amp;MONTH(#REF!)),SUM(P126:P137)))</f>
        <v>215.92999999999998</v>
      </c>
      <c r="Q125" s="46">
        <f t="shared" ref="Q125" si="50">IF(Q$1="",0,SUM(Q126:Q137))</f>
        <v>235.55999999999997</v>
      </c>
      <c r="R125" s="46">
        <f t="shared" ref="R125:AA125" si="51">IF(R$1="",0,SUM(R126:R137))</f>
        <v>235.55999999999997</v>
      </c>
      <c r="S125" s="46">
        <f t="shared" si="51"/>
        <v>235.55999999999997</v>
      </c>
      <c r="T125" s="46">
        <f t="shared" si="51"/>
        <v>235.55999999999997</v>
      </c>
      <c r="U125" s="46">
        <f t="shared" si="51"/>
        <v>235.55999999999997</v>
      </c>
      <c r="V125" s="46">
        <f t="shared" si="51"/>
        <v>235.55999999999997</v>
      </c>
      <c r="W125" s="46">
        <f t="shared" si="51"/>
        <v>0</v>
      </c>
      <c r="X125" s="46">
        <f t="shared" si="51"/>
        <v>0</v>
      </c>
      <c r="Y125" s="46">
        <f t="shared" si="51"/>
        <v>0</v>
      </c>
      <c r="Z125" s="46">
        <f t="shared" si="51"/>
        <v>0</v>
      </c>
      <c r="AA125" s="46">
        <f t="shared" si="51"/>
        <v>0</v>
      </c>
      <c r="AB125" s="3"/>
    </row>
    <row r="126" spans="1:28" s="23" customFormat="1" ht="10.199999999999999" x14ac:dyDescent="0.2">
      <c r="A126" s="22"/>
      <c r="B126" s="22"/>
      <c r="C126" s="22"/>
      <c r="D126" s="22"/>
      <c r="E126" s="22" t="str">
        <f>E125</f>
        <v>оплаты в соцфонды</v>
      </c>
      <c r="F126" s="22"/>
      <c r="G126" s="22" t="str">
        <f>IF($E126="","",INDEX(KPI!$G:$G,SUMIFS(KPI!$B:$B,KPI!$E:$E,$E126)))</f>
        <v>тыс.руб.</v>
      </c>
      <c r="H126" s="100">
        <f>структура!$V$12</f>
        <v>1</v>
      </c>
      <c r="I126" s="31"/>
      <c r="J126" s="98" t="str">
        <f>структура!$X$12</f>
        <v>янв</v>
      </c>
      <c r="K126" s="99"/>
      <c r="L126" s="22"/>
      <c r="M126" s="58"/>
      <c r="N126" s="22"/>
      <c r="O126" s="22"/>
      <c r="P126" s="101">
        <f t="shared" ref="P126" si="52">IF(P$1="",0,O122)</f>
        <v>0</v>
      </c>
      <c r="Q126" s="101">
        <f>IF(Q$1="",0,P122)</f>
        <v>19.63</v>
      </c>
      <c r="R126" s="101">
        <f t="shared" ref="R126" si="53">IF(R$1="",0,Q122)</f>
        <v>19.63</v>
      </c>
      <c r="S126" s="101">
        <f t="shared" ref="S126" si="54">IF(S$1="",0,R122)</f>
        <v>19.63</v>
      </c>
      <c r="T126" s="101">
        <f t="shared" ref="T126" si="55">IF(T$1="",0,S122)</f>
        <v>19.63</v>
      </c>
      <c r="U126" s="101">
        <f t="shared" ref="U126" si="56">IF(U$1="",0,T122)</f>
        <v>19.63</v>
      </c>
      <c r="V126" s="101">
        <f t="shared" ref="V126" si="57">IF(V$1="",0,U122)</f>
        <v>19.63</v>
      </c>
      <c r="W126" s="101">
        <f t="shared" ref="W126" si="58">IF(W$1="",0,V122)</f>
        <v>0</v>
      </c>
      <c r="X126" s="101">
        <f t="shared" ref="X126" si="59">IF(X$1="",0,W122)</f>
        <v>0</v>
      </c>
      <c r="Y126" s="101">
        <f t="shared" ref="Y126" si="60">IF(Y$1="",0,X122)</f>
        <v>0</v>
      </c>
      <c r="Z126" s="101">
        <f t="shared" ref="Z126" si="61">IF(Z$1="",0,Y122)</f>
        <v>0</v>
      </c>
      <c r="AA126" s="101">
        <f t="shared" ref="AA126" si="62">IF(AA$1="",0,Z122)</f>
        <v>0</v>
      </c>
      <c r="AB126" s="22"/>
    </row>
    <row r="127" spans="1:28" s="23" customFormat="1" ht="10.199999999999999" x14ac:dyDescent="0.2">
      <c r="A127" s="22"/>
      <c r="B127" s="22"/>
      <c r="C127" s="22"/>
      <c r="D127" s="22"/>
      <c r="E127" s="22" t="str">
        <f>E125</f>
        <v>оплаты в соцфонды</v>
      </c>
      <c r="F127" s="22"/>
      <c r="G127" s="22" t="str">
        <f>IF($E127="","",INDEX(KPI!$G:$G,SUMIFS(KPI!$B:$B,KPI!$E:$E,$E127)))</f>
        <v>тыс.руб.</v>
      </c>
      <c r="H127" s="100">
        <f>структура!$V$13</f>
        <v>2</v>
      </c>
      <c r="I127" s="31"/>
      <c r="J127" s="98" t="str">
        <f>структура!$X$13</f>
        <v>фев</v>
      </c>
      <c r="K127" s="99"/>
      <c r="L127" s="22"/>
      <c r="M127" s="58"/>
      <c r="N127" s="22"/>
      <c r="O127" s="22"/>
      <c r="P127" s="101">
        <f>IF(P$1="",0,P111)</f>
        <v>19.63</v>
      </c>
      <c r="Q127" s="101">
        <f t="shared" ref="Q127:AA127" si="63">IF(Q$1="",0,Q111)</f>
        <v>19.63</v>
      </c>
      <c r="R127" s="101">
        <f t="shared" si="63"/>
        <v>19.63</v>
      </c>
      <c r="S127" s="101">
        <f t="shared" si="63"/>
        <v>19.63</v>
      </c>
      <c r="T127" s="101">
        <f t="shared" si="63"/>
        <v>19.63</v>
      </c>
      <c r="U127" s="101">
        <f t="shared" si="63"/>
        <v>19.63</v>
      </c>
      <c r="V127" s="101">
        <f t="shared" si="63"/>
        <v>19.63</v>
      </c>
      <c r="W127" s="101">
        <f t="shared" si="63"/>
        <v>0</v>
      </c>
      <c r="X127" s="101">
        <f t="shared" si="63"/>
        <v>0</v>
      </c>
      <c r="Y127" s="101">
        <f t="shared" si="63"/>
        <v>0</v>
      </c>
      <c r="Z127" s="101">
        <f t="shared" si="63"/>
        <v>0</v>
      </c>
      <c r="AA127" s="101">
        <f t="shared" si="63"/>
        <v>0</v>
      </c>
      <c r="AB127" s="22"/>
    </row>
    <row r="128" spans="1:28" s="23" customFormat="1" ht="10.199999999999999" x14ac:dyDescent="0.2">
      <c r="A128" s="22"/>
      <c r="B128" s="22"/>
      <c r="C128" s="22"/>
      <c r="D128" s="22"/>
      <c r="E128" s="22" t="str">
        <f>E125</f>
        <v>оплаты в соцфонды</v>
      </c>
      <c r="F128" s="22"/>
      <c r="G128" s="22" t="str">
        <f>IF($E128="","",INDEX(KPI!$G:$G,SUMIFS(KPI!$B:$B,KPI!$E:$E,$E128)))</f>
        <v>тыс.руб.</v>
      </c>
      <c r="H128" s="100">
        <f>структура!$V$14</f>
        <v>3</v>
      </c>
      <c r="I128" s="31"/>
      <c r="J128" s="98" t="str">
        <f>структура!$X$14</f>
        <v>мар</v>
      </c>
      <c r="K128" s="99"/>
      <c r="L128" s="22"/>
      <c r="M128" s="58"/>
      <c r="N128" s="22"/>
      <c r="O128" s="22"/>
      <c r="P128" s="101">
        <f t="shared" ref="P128:AA128" si="64">IF(P$1="",0,P112)</f>
        <v>19.63</v>
      </c>
      <c r="Q128" s="101">
        <f t="shared" si="64"/>
        <v>19.63</v>
      </c>
      <c r="R128" s="101">
        <f t="shared" si="64"/>
        <v>19.63</v>
      </c>
      <c r="S128" s="101">
        <f t="shared" si="64"/>
        <v>19.63</v>
      </c>
      <c r="T128" s="101">
        <f t="shared" si="64"/>
        <v>19.63</v>
      </c>
      <c r="U128" s="101">
        <f t="shared" si="64"/>
        <v>19.63</v>
      </c>
      <c r="V128" s="101">
        <f t="shared" si="64"/>
        <v>19.63</v>
      </c>
      <c r="W128" s="101">
        <f t="shared" si="64"/>
        <v>0</v>
      </c>
      <c r="X128" s="101">
        <f t="shared" si="64"/>
        <v>0</v>
      </c>
      <c r="Y128" s="101">
        <f t="shared" si="64"/>
        <v>0</v>
      </c>
      <c r="Z128" s="101">
        <f t="shared" si="64"/>
        <v>0</v>
      </c>
      <c r="AA128" s="101">
        <f t="shared" si="64"/>
        <v>0</v>
      </c>
      <c r="AB128" s="22"/>
    </row>
    <row r="129" spans="1:28" s="23" customFormat="1" ht="10.199999999999999" x14ac:dyDescent="0.2">
      <c r="A129" s="22"/>
      <c r="B129" s="22"/>
      <c r="C129" s="22"/>
      <c r="D129" s="22"/>
      <c r="E129" s="22" t="str">
        <f>E125</f>
        <v>оплаты в соцфонды</v>
      </c>
      <c r="F129" s="22"/>
      <c r="G129" s="22" t="str">
        <f>IF($E129="","",INDEX(KPI!$G:$G,SUMIFS(KPI!$B:$B,KPI!$E:$E,$E129)))</f>
        <v>тыс.руб.</v>
      </c>
      <c r="H129" s="100">
        <f>структура!$V$15</f>
        <v>4</v>
      </c>
      <c r="I129" s="31"/>
      <c r="J129" s="98" t="str">
        <f>структура!$X$15</f>
        <v>апр</v>
      </c>
      <c r="K129" s="99"/>
      <c r="L129" s="22"/>
      <c r="M129" s="58"/>
      <c r="N129" s="22"/>
      <c r="O129" s="22"/>
      <c r="P129" s="101">
        <f t="shared" ref="P129" si="65">IF(P$1="",0,P113)</f>
        <v>19.63</v>
      </c>
      <c r="Q129" s="101">
        <f>IF(Q$1="",0,Q113)</f>
        <v>19.63</v>
      </c>
      <c r="R129" s="101">
        <f t="shared" ref="R129:AA129" si="66">IF(R$1="",0,R113)</f>
        <v>19.63</v>
      </c>
      <c r="S129" s="101">
        <f t="shared" si="66"/>
        <v>19.63</v>
      </c>
      <c r="T129" s="101">
        <f t="shared" si="66"/>
        <v>19.63</v>
      </c>
      <c r="U129" s="101">
        <f t="shared" si="66"/>
        <v>19.63</v>
      </c>
      <c r="V129" s="101">
        <f t="shared" si="66"/>
        <v>19.63</v>
      </c>
      <c r="W129" s="101">
        <f t="shared" si="66"/>
        <v>0</v>
      </c>
      <c r="X129" s="101">
        <f t="shared" si="66"/>
        <v>0</v>
      </c>
      <c r="Y129" s="101">
        <f t="shared" si="66"/>
        <v>0</v>
      </c>
      <c r="Z129" s="101">
        <f t="shared" si="66"/>
        <v>0</v>
      </c>
      <c r="AA129" s="101">
        <f t="shared" si="66"/>
        <v>0</v>
      </c>
      <c r="AB129" s="22"/>
    </row>
    <row r="130" spans="1:28" s="23" customFormat="1" ht="10.199999999999999" x14ac:dyDescent="0.2">
      <c r="A130" s="22"/>
      <c r="B130" s="22"/>
      <c r="C130" s="22"/>
      <c r="D130" s="22"/>
      <c r="E130" s="22" t="str">
        <f>E125</f>
        <v>оплаты в соцфонды</v>
      </c>
      <c r="F130" s="22"/>
      <c r="G130" s="22" t="str">
        <f>IF($E130="","",INDEX(KPI!$G:$G,SUMIFS(KPI!$B:$B,KPI!$E:$E,$E130)))</f>
        <v>тыс.руб.</v>
      </c>
      <c r="H130" s="100">
        <f>структура!$V$16</f>
        <v>5</v>
      </c>
      <c r="I130" s="31"/>
      <c r="J130" s="98" t="str">
        <f>структура!$X$16</f>
        <v>май</v>
      </c>
      <c r="K130" s="99"/>
      <c r="L130" s="22"/>
      <c r="M130" s="58"/>
      <c r="N130" s="22"/>
      <c r="O130" s="22"/>
      <c r="P130" s="101">
        <f>IF(P$1="",0,P114)</f>
        <v>19.63</v>
      </c>
      <c r="Q130" s="101">
        <f t="shared" ref="Q130:AA130" si="67">IF(Q$1="",0,Q114)</f>
        <v>19.63</v>
      </c>
      <c r="R130" s="101">
        <f t="shared" si="67"/>
        <v>19.63</v>
      </c>
      <c r="S130" s="101">
        <f t="shared" si="67"/>
        <v>19.63</v>
      </c>
      <c r="T130" s="101">
        <f t="shared" si="67"/>
        <v>19.63</v>
      </c>
      <c r="U130" s="101">
        <f t="shared" si="67"/>
        <v>19.63</v>
      </c>
      <c r="V130" s="101">
        <f t="shared" si="67"/>
        <v>19.63</v>
      </c>
      <c r="W130" s="101">
        <f t="shared" si="67"/>
        <v>0</v>
      </c>
      <c r="X130" s="101">
        <f t="shared" si="67"/>
        <v>0</v>
      </c>
      <c r="Y130" s="101">
        <f t="shared" si="67"/>
        <v>0</v>
      </c>
      <c r="Z130" s="101">
        <f t="shared" si="67"/>
        <v>0</v>
      </c>
      <c r="AA130" s="101">
        <f t="shared" si="67"/>
        <v>0</v>
      </c>
      <c r="AB130" s="22"/>
    </row>
    <row r="131" spans="1:28" s="23" customFormat="1" ht="10.199999999999999" x14ac:dyDescent="0.2">
      <c r="A131" s="22"/>
      <c r="B131" s="22"/>
      <c r="C131" s="22"/>
      <c r="D131" s="22"/>
      <c r="E131" s="22" t="str">
        <f>E125</f>
        <v>оплаты в соцфонды</v>
      </c>
      <c r="F131" s="22"/>
      <c r="G131" s="22" t="str">
        <f>IF($E131="","",INDEX(KPI!$G:$G,SUMIFS(KPI!$B:$B,KPI!$E:$E,$E131)))</f>
        <v>тыс.руб.</v>
      </c>
      <c r="H131" s="100">
        <f>структура!$V$17</f>
        <v>6</v>
      </c>
      <c r="I131" s="31"/>
      <c r="J131" s="98" t="str">
        <f>структура!$X$17</f>
        <v>июн</v>
      </c>
      <c r="K131" s="99"/>
      <c r="L131" s="22"/>
      <c r="M131" s="58"/>
      <c r="N131" s="22"/>
      <c r="O131" s="22"/>
      <c r="P131" s="101">
        <f t="shared" ref="P131:AA131" si="68">IF(P$1="",0,P115)</f>
        <v>19.63</v>
      </c>
      <c r="Q131" s="101">
        <f t="shared" si="68"/>
        <v>19.63</v>
      </c>
      <c r="R131" s="101">
        <f t="shared" si="68"/>
        <v>19.63</v>
      </c>
      <c r="S131" s="101">
        <f t="shared" si="68"/>
        <v>19.63</v>
      </c>
      <c r="T131" s="101">
        <f t="shared" si="68"/>
        <v>19.63</v>
      </c>
      <c r="U131" s="101">
        <f t="shared" si="68"/>
        <v>19.63</v>
      </c>
      <c r="V131" s="101">
        <f t="shared" si="68"/>
        <v>19.63</v>
      </c>
      <c r="W131" s="101">
        <f t="shared" si="68"/>
        <v>0</v>
      </c>
      <c r="X131" s="101">
        <f t="shared" si="68"/>
        <v>0</v>
      </c>
      <c r="Y131" s="101">
        <f t="shared" si="68"/>
        <v>0</v>
      </c>
      <c r="Z131" s="101">
        <f t="shared" si="68"/>
        <v>0</v>
      </c>
      <c r="AA131" s="101">
        <f t="shared" si="68"/>
        <v>0</v>
      </c>
      <c r="AB131" s="22"/>
    </row>
    <row r="132" spans="1:28" s="23" customFormat="1" ht="10.199999999999999" x14ac:dyDescent="0.2">
      <c r="A132" s="22"/>
      <c r="B132" s="22"/>
      <c r="C132" s="22"/>
      <c r="D132" s="22"/>
      <c r="E132" s="22" t="str">
        <f>E125</f>
        <v>оплаты в соцфонды</v>
      </c>
      <c r="F132" s="22"/>
      <c r="G132" s="22" t="str">
        <f>IF($E132="","",INDEX(KPI!$G:$G,SUMIFS(KPI!$B:$B,KPI!$E:$E,$E132)))</f>
        <v>тыс.руб.</v>
      </c>
      <c r="H132" s="100">
        <f>структура!$V$18</f>
        <v>7</v>
      </c>
      <c r="I132" s="31"/>
      <c r="J132" s="98" t="str">
        <f>структура!$X$18</f>
        <v>июл</v>
      </c>
      <c r="K132" s="99"/>
      <c r="L132" s="22"/>
      <c r="M132" s="58"/>
      <c r="N132" s="22"/>
      <c r="O132" s="22"/>
      <c r="P132" s="101">
        <f t="shared" ref="P132:AA132" si="69">IF(P$1="",0,P116)</f>
        <v>19.63</v>
      </c>
      <c r="Q132" s="101">
        <f t="shared" si="69"/>
        <v>19.63</v>
      </c>
      <c r="R132" s="101">
        <f t="shared" si="69"/>
        <v>19.63</v>
      </c>
      <c r="S132" s="101">
        <f t="shared" si="69"/>
        <v>19.63</v>
      </c>
      <c r="T132" s="101">
        <f t="shared" si="69"/>
        <v>19.63</v>
      </c>
      <c r="U132" s="101">
        <f t="shared" si="69"/>
        <v>19.63</v>
      </c>
      <c r="V132" s="101">
        <f t="shared" si="69"/>
        <v>19.63</v>
      </c>
      <c r="W132" s="101">
        <f t="shared" si="69"/>
        <v>0</v>
      </c>
      <c r="X132" s="101">
        <f t="shared" si="69"/>
        <v>0</v>
      </c>
      <c r="Y132" s="101">
        <f t="shared" si="69"/>
        <v>0</v>
      </c>
      <c r="Z132" s="101">
        <f t="shared" si="69"/>
        <v>0</v>
      </c>
      <c r="AA132" s="101">
        <f t="shared" si="69"/>
        <v>0</v>
      </c>
      <c r="AB132" s="22"/>
    </row>
    <row r="133" spans="1:28" s="23" customFormat="1" ht="10.199999999999999" x14ac:dyDescent="0.2">
      <c r="A133" s="22"/>
      <c r="B133" s="22"/>
      <c r="C133" s="22"/>
      <c r="D133" s="22"/>
      <c r="E133" s="22" t="str">
        <f>E125</f>
        <v>оплаты в соцфонды</v>
      </c>
      <c r="F133" s="22"/>
      <c r="G133" s="22" t="str">
        <f>IF($E133="","",INDEX(KPI!$G:$G,SUMIFS(KPI!$B:$B,KPI!$E:$E,$E133)))</f>
        <v>тыс.руб.</v>
      </c>
      <c r="H133" s="100">
        <f>структура!$V$19</f>
        <v>8</v>
      </c>
      <c r="I133" s="31"/>
      <c r="J133" s="98" t="str">
        <f>структура!$X$19</f>
        <v>авг</v>
      </c>
      <c r="K133" s="99"/>
      <c r="L133" s="22"/>
      <c r="M133" s="58"/>
      <c r="N133" s="22"/>
      <c r="O133" s="22"/>
      <c r="P133" s="101">
        <f t="shared" ref="P133:AA133" si="70">IF(P$1="",0,P117)</f>
        <v>19.63</v>
      </c>
      <c r="Q133" s="101">
        <f t="shared" si="70"/>
        <v>19.63</v>
      </c>
      <c r="R133" s="101">
        <f t="shared" si="70"/>
        <v>19.63</v>
      </c>
      <c r="S133" s="101">
        <f t="shared" si="70"/>
        <v>19.63</v>
      </c>
      <c r="T133" s="101">
        <f t="shared" si="70"/>
        <v>19.63</v>
      </c>
      <c r="U133" s="101">
        <f t="shared" si="70"/>
        <v>19.63</v>
      </c>
      <c r="V133" s="101">
        <f t="shared" si="70"/>
        <v>19.63</v>
      </c>
      <c r="W133" s="101">
        <f t="shared" si="70"/>
        <v>0</v>
      </c>
      <c r="X133" s="101">
        <f t="shared" si="70"/>
        <v>0</v>
      </c>
      <c r="Y133" s="101">
        <f t="shared" si="70"/>
        <v>0</v>
      </c>
      <c r="Z133" s="101">
        <f t="shared" si="70"/>
        <v>0</v>
      </c>
      <c r="AA133" s="101">
        <f t="shared" si="70"/>
        <v>0</v>
      </c>
      <c r="AB133" s="22"/>
    </row>
    <row r="134" spans="1:28" s="23" customFormat="1" ht="10.199999999999999" x14ac:dyDescent="0.2">
      <c r="A134" s="22"/>
      <c r="B134" s="22"/>
      <c r="C134" s="22"/>
      <c r="D134" s="22"/>
      <c r="E134" s="22" t="str">
        <f>E125</f>
        <v>оплаты в соцфонды</v>
      </c>
      <c r="F134" s="22"/>
      <c r="G134" s="22" t="str">
        <f>IF($E134="","",INDEX(KPI!$G:$G,SUMIFS(KPI!$B:$B,KPI!$E:$E,$E134)))</f>
        <v>тыс.руб.</v>
      </c>
      <c r="H134" s="100">
        <f>структура!$V$20</f>
        <v>9</v>
      </c>
      <c r="I134" s="31"/>
      <c r="J134" s="98" t="str">
        <f>структура!$X$20</f>
        <v>сен</v>
      </c>
      <c r="K134" s="99"/>
      <c r="L134" s="22"/>
      <c r="M134" s="58"/>
      <c r="N134" s="22"/>
      <c r="O134" s="22"/>
      <c r="P134" s="101">
        <f t="shared" ref="P134:AA134" si="71">IF(P$1="",0,P118)</f>
        <v>19.63</v>
      </c>
      <c r="Q134" s="101">
        <f t="shared" si="71"/>
        <v>19.63</v>
      </c>
      <c r="R134" s="101">
        <f t="shared" si="71"/>
        <v>19.63</v>
      </c>
      <c r="S134" s="101">
        <f t="shared" si="71"/>
        <v>19.63</v>
      </c>
      <c r="T134" s="101">
        <f t="shared" si="71"/>
        <v>19.63</v>
      </c>
      <c r="U134" s="101">
        <f t="shared" si="71"/>
        <v>19.63</v>
      </c>
      <c r="V134" s="101">
        <f t="shared" si="71"/>
        <v>19.63</v>
      </c>
      <c r="W134" s="101">
        <f t="shared" si="71"/>
        <v>0</v>
      </c>
      <c r="X134" s="101">
        <f t="shared" si="71"/>
        <v>0</v>
      </c>
      <c r="Y134" s="101">
        <f t="shared" si="71"/>
        <v>0</v>
      </c>
      <c r="Z134" s="101">
        <f t="shared" si="71"/>
        <v>0</v>
      </c>
      <c r="AA134" s="101">
        <f t="shared" si="71"/>
        <v>0</v>
      </c>
      <c r="AB134" s="22"/>
    </row>
    <row r="135" spans="1:28" s="23" customFormat="1" ht="10.199999999999999" x14ac:dyDescent="0.2">
      <c r="A135" s="22"/>
      <c r="B135" s="22"/>
      <c r="C135" s="22"/>
      <c r="D135" s="22"/>
      <c r="E135" s="22" t="str">
        <f>E125</f>
        <v>оплаты в соцфонды</v>
      </c>
      <c r="F135" s="22"/>
      <c r="G135" s="22" t="str">
        <f>IF($E135="","",INDEX(KPI!$G:$G,SUMIFS(KPI!$B:$B,KPI!$E:$E,$E135)))</f>
        <v>тыс.руб.</v>
      </c>
      <c r="H135" s="100">
        <f>структура!$V$21</f>
        <v>10</v>
      </c>
      <c r="I135" s="31"/>
      <c r="J135" s="98" t="str">
        <f>структура!$X$21</f>
        <v>окт</v>
      </c>
      <c r="K135" s="99"/>
      <c r="L135" s="22"/>
      <c r="M135" s="58"/>
      <c r="N135" s="22"/>
      <c r="O135" s="22"/>
      <c r="P135" s="101">
        <f t="shared" ref="P135:AA135" si="72">IF(P$1="",0,P119)</f>
        <v>19.63</v>
      </c>
      <c r="Q135" s="101">
        <f t="shared" si="72"/>
        <v>19.63</v>
      </c>
      <c r="R135" s="101">
        <f t="shared" si="72"/>
        <v>19.63</v>
      </c>
      <c r="S135" s="101">
        <f t="shared" si="72"/>
        <v>19.63</v>
      </c>
      <c r="T135" s="101">
        <f t="shared" si="72"/>
        <v>19.63</v>
      </c>
      <c r="U135" s="101">
        <f t="shared" si="72"/>
        <v>19.63</v>
      </c>
      <c r="V135" s="101">
        <f t="shared" si="72"/>
        <v>19.63</v>
      </c>
      <c r="W135" s="101">
        <f t="shared" si="72"/>
        <v>0</v>
      </c>
      <c r="X135" s="101">
        <f t="shared" si="72"/>
        <v>0</v>
      </c>
      <c r="Y135" s="101">
        <f t="shared" si="72"/>
        <v>0</v>
      </c>
      <c r="Z135" s="101">
        <f t="shared" si="72"/>
        <v>0</v>
      </c>
      <c r="AA135" s="101">
        <f t="shared" si="72"/>
        <v>0</v>
      </c>
      <c r="AB135" s="22"/>
    </row>
    <row r="136" spans="1:28" s="23" customFormat="1" ht="10.199999999999999" x14ac:dyDescent="0.2">
      <c r="A136" s="22"/>
      <c r="B136" s="22"/>
      <c r="C136" s="22"/>
      <c r="D136" s="22"/>
      <c r="E136" s="22" t="str">
        <f>E125</f>
        <v>оплаты в соцфонды</v>
      </c>
      <c r="F136" s="22"/>
      <c r="G136" s="22" t="str">
        <f>IF($E136="","",INDEX(KPI!$G:$G,SUMIFS(KPI!$B:$B,KPI!$E:$E,$E136)))</f>
        <v>тыс.руб.</v>
      </c>
      <c r="H136" s="100">
        <f>структура!$V$22</f>
        <v>11</v>
      </c>
      <c r="I136" s="31"/>
      <c r="J136" s="98" t="str">
        <f>структура!$X$22</f>
        <v>ноя</v>
      </c>
      <c r="K136" s="99"/>
      <c r="L136" s="22"/>
      <c r="M136" s="58"/>
      <c r="N136" s="22"/>
      <c r="O136" s="22"/>
      <c r="P136" s="101">
        <f t="shared" ref="P136" si="73">IF(P$1="",0,P120)</f>
        <v>19.63</v>
      </c>
      <c r="Q136" s="101">
        <f>IF(Q$1="",0,Q120)</f>
        <v>19.63</v>
      </c>
      <c r="R136" s="101">
        <f t="shared" ref="R136:AA136" si="74">IF(R$1="",0,R120)</f>
        <v>19.63</v>
      </c>
      <c r="S136" s="101">
        <f t="shared" si="74"/>
        <v>19.63</v>
      </c>
      <c r="T136" s="101">
        <f t="shared" si="74"/>
        <v>19.63</v>
      </c>
      <c r="U136" s="101">
        <f t="shared" si="74"/>
        <v>19.63</v>
      </c>
      <c r="V136" s="101">
        <f t="shared" si="74"/>
        <v>19.63</v>
      </c>
      <c r="W136" s="101">
        <f t="shared" si="74"/>
        <v>0</v>
      </c>
      <c r="X136" s="101">
        <f t="shared" si="74"/>
        <v>0</v>
      </c>
      <c r="Y136" s="101">
        <f t="shared" si="74"/>
        <v>0</v>
      </c>
      <c r="Z136" s="101">
        <f t="shared" si="74"/>
        <v>0</v>
      </c>
      <c r="AA136" s="101">
        <f t="shared" si="74"/>
        <v>0</v>
      </c>
      <c r="AB136" s="22"/>
    </row>
    <row r="137" spans="1:28" s="23" customFormat="1" ht="10.199999999999999" x14ac:dyDescent="0.2">
      <c r="A137" s="22"/>
      <c r="B137" s="22"/>
      <c r="C137" s="22"/>
      <c r="D137" s="22"/>
      <c r="E137" s="22" t="str">
        <f>E125</f>
        <v>оплаты в соцфонды</v>
      </c>
      <c r="F137" s="22"/>
      <c r="G137" s="22" t="str">
        <f>IF($E137="","",INDEX(KPI!$G:$G,SUMIFS(KPI!$B:$B,KPI!$E:$E,$E137)))</f>
        <v>тыс.руб.</v>
      </c>
      <c r="H137" s="100">
        <f>структура!$V$23</f>
        <v>12</v>
      </c>
      <c r="I137" s="31"/>
      <c r="J137" s="98" t="str">
        <f>структура!$X$23</f>
        <v>дек</v>
      </c>
      <c r="K137" s="99"/>
      <c r="L137" s="22"/>
      <c r="M137" s="58"/>
      <c r="N137" s="22"/>
      <c r="O137" s="22"/>
      <c r="P137" s="101">
        <f t="shared" ref="P137" si="75">IF(P$1="",0,P121)</f>
        <v>19.63</v>
      </c>
      <c r="Q137" s="101">
        <f>IF(Q$1="",0,Q121)</f>
        <v>19.63</v>
      </c>
      <c r="R137" s="101">
        <f t="shared" ref="R137:AA137" si="76">IF(R$1="",0,R121)</f>
        <v>19.63</v>
      </c>
      <c r="S137" s="101">
        <f t="shared" si="76"/>
        <v>19.63</v>
      </c>
      <c r="T137" s="101">
        <f t="shared" si="76"/>
        <v>19.63</v>
      </c>
      <c r="U137" s="101">
        <f t="shared" si="76"/>
        <v>19.63</v>
      </c>
      <c r="V137" s="101">
        <f t="shared" si="76"/>
        <v>19.63</v>
      </c>
      <c r="W137" s="101">
        <f t="shared" si="76"/>
        <v>0</v>
      </c>
      <c r="X137" s="101">
        <f t="shared" si="76"/>
        <v>0</v>
      </c>
      <c r="Y137" s="101">
        <f t="shared" si="76"/>
        <v>0</v>
      </c>
      <c r="Z137" s="101">
        <f t="shared" si="76"/>
        <v>0</v>
      </c>
      <c r="AA137" s="101">
        <f t="shared" si="76"/>
        <v>0</v>
      </c>
      <c r="AB137" s="22"/>
    </row>
    <row r="138" spans="1:28" ht="3.9" customHeight="1" x14ac:dyDescent="0.25">
      <c r="A138" s="2"/>
      <c r="B138" s="2"/>
      <c r="C138" s="2"/>
      <c r="D138" s="2"/>
      <c r="E138" s="21"/>
      <c r="F138" s="2"/>
      <c r="G138" s="21"/>
      <c r="H138" s="2"/>
      <c r="I138" s="28"/>
      <c r="J138" s="21"/>
      <c r="K138" s="28"/>
      <c r="L138" s="2"/>
      <c r="M138" s="52"/>
      <c r="N138" s="2"/>
      <c r="O138" s="2"/>
      <c r="P138" s="36"/>
      <c r="Q138" s="36"/>
      <c r="R138" s="36"/>
      <c r="S138" s="36"/>
      <c r="T138" s="36"/>
      <c r="U138" s="36"/>
      <c r="V138" s="36"/>
      <c r="W138" s="36"/>
      <c r="X138" s="36"/>
      <c r="Y138" s="36"/>
      <c r="Z138" s="36"/>
      <c r="AA138" s="36"/>
      <c r="AB138" s="2"/>
    </row>
    <row r="139" spans="1:28" ht="8.1" customHeight="1" x14ac:dyDescent="0.25">
      <c r="A139" s="2"/>
      <c r="B139" s="2"/>
      <c r="C139" s="2"/>
      <c r="D139" s="2"/>
      <c r="E139" s="2"/>
      <c r="F139" s="2"/>
      <c r="G139" s="2"/>
      <c r="H139" s="2"/>
      <c r="I139" s="28"/>
      <c r="J139" s="2"/>
      <c r="K139" s="28"/>
      <c r="L139" s="2"/>
      <c r="M139" s="52"/>
      <c r="N139" s="2"/>
      <c r="O139" s="2"/>
      <c r="P139" s="36"/>
      <c r="Q139" s="36"/>
      <c r="R139" s="36"/>
      <c r="S139" s="36"/>
      <c r="T139" s="36"/>
      <c r="U139" s="36"/>
      <c r="V139" s="36"/>
      <c r="W139" s="36"/>
      <c r="X139" s="36"/>
      <c r="Y139" s="36"/>
      <c r="Z139" s="36"/>
      <c r="AA139" s="36"/>
      <c r="AB139" s="2"/>
    </row>
    <row r="140" spans="1:28" x14ac:dyDescent="0.25">
      <c r="A140" s="2"/>
      <c r="B140" s="2"/>
      <c r="C140" s="2"/>
      <c r="D140" s="2"/>
      <c r="E140" s="2"/>
      <c r="F140" s="2"/>
      <c r="G140" s="2"/>
      <c r="H140" s="2"/>
      <c r="I140" s="28"/>
      <c r="J140" s="2"/>
      <c r="K140" s="28"/>
      <c r="L140" s="2"/>
      <c r="M140" s="52"/>
      <c r="N140" s="2"/>
      <c r="O140" s="2"/>
      <c r="P140" s="36"/>
      <c r="Q140" s="36"/>
      <c r="R140" s="36"/>
      <c r="S140" s="36"/>
      <c r="T140" s="36"/>
      <c r="U140" s="36"/>
      <c r="V140" s="36"/>
      <c r="W140" s="36"/>
      <c r="X140" s="36"/>
      <c r="Y140" s="36"/>
      <c r="Z140" s="36"/>
      <c r="AA140" s="36"/>
      <c r="AB140" s="2"/>
    </row>
    <row r="141" spans="1:28" x14ac:dyDescent="0.25">
      <c r="A141" s="2"/>
      <c r="B141" s="2"/>
      <c r="C141" s="2"/>
      <c r="D141" s="2"/>
      <c r="E141" s="2"/>
      <c r="F141" s="2"/>
      <c r="G141" s="2"/>
      <c r="H141" s="2"/>
      <c r="I141" s="28"/>
      <c r="J141" s="2"/>
      <c r="K141" s="28"/>
      <c r="L141" s="2"/>
      <c r="M141" s="52"/>
      <c r="N141" s="2"/>
      <c r="O141" s="2"/>
      <c r="P141" s="36"/>
      <c r="Q141" s="36"/>
      <c r="R141" s="36"/>
      <c r="S141" s="36"/>
      <c r="T141" s="36"/>
      <c r="U141" s="36"/>
      <c r="V141" s="36"/>
      <c r="W141" s="36"/>
      <c r="X141" s="36"/>
      <c r="Y141" s="36"/>
      <c r="Z141" s="36"/>
      <c r="AA141" s="36"/>
      <c r="AB141" s="2"/>
    </row>
    <row r="142" spans="1:28" x14ac:dyDescent="0.25">
      <c r="A142" s="2"/>
      <c r="B142" s="2"/>
      <c r="C142" s="2"/>
      <c r="D142" s="2"/>
      <c r="E142" s="2"/>
      <c r="F142" s="2"/>
      <c r="G142" s="2"/>
      <c r="H142" s="2"/>
      <c r="I142" s="28"/>
      <c r="J142" s="2"/>
      <c r="K142" s="28"/>
      <c r="L142" s="2"/>
      <c r="M142" s="52"/>
      <c r="N142" s="2"/>
      <c r="O142" s="2"/>
      <c r="P142" s="36"/>
      <c r="Q142" s="36"/>
      <c r="R142" s="36"/>
      <c r="S142" s="36"/>
      <c r="T142" s="36"/>
      <c r="U142" s="36"/>
      <c r="V142" s="36"/>
      <c r="W142" s="36"/>
      <c r="X142" s="36"/>
      <c r="Y142" s="36"/>
      <c r="Z142" s="36"/>
      <c r="AA142" s="36"/>
      <c r="AB142" s="2"/>
    </row>
    <row r="143" spans="1:28" x14ac:dyDescent="0.25">
      <c r="A143" s="2"/>
      <c r="B143" s="2"/>
      <c r="C143" s="2"/>
      <c r="D143" s="2"/>
      <c r="E143" s="2"/>
      <c r="F143" s="2"/>
      <c r="G143" s="2"/>
      <c r="H143" s="2"/>
      <c r="I143" s="28"/>
      <c r="J143" s="2"/>
      <c r="K143" s="28"/>
      <c r="L143" s="2"/>
      <c r="M143" s="52"/>
      <c r="N143" s="2"/>
      <c r="O143" s="2"/>
      <c r="P143" s="36"/>
      <c r="Q143" s="36"/>
      <c r="R143" s="36"/>
      <c r="S143" s="36"/>
      <c r="T143" s="36"/>
      <c r="U143" s="36"/>
      <c r="V143" s="36"/>
      <c r="W143" s="36"/>
      <c r="X143" s="36"/>
      <c r="Y143" s="36"/>
      <c r="Z143" s="36"/>
      <c r="AA143" s="36"/>
      <c r="AB143" s="2"/>
    </row>
    <row r="144" spans="1:28" x14ac:dyDescent="0.25">
      <c r="A144" s="2"/>
      <c r="B144" s="2"/>
      <c r="C144" s="2"/>
      <c r="D144" s="2"/>
      <c r="E144" s="2"/>
      <c r="F144" s="2"/>
      <c r="G144" s="2"/>
      <c r="H144" s="2"/>
      <c r="I144" s="28"/>
      <c r="J144" s="2"/>
      <c r="K144" s="28"/>
      <c r="L144" s="2"/>
      <c r="M144" s="52"/>
      <c r="N144" s="2"/>
      <c r="O144" s="2"/>
      <c r="P144" s="36"/>
      <c r="Q144" s="36"/>
      <c r="R144" s="36"/>
      <c r="S144" s="36"/>
      <c r="T144" s="36"/>
      <c r="U144" s="36"/>
      <c r="V144" s="36"/>
      <c r="W144" s="36"/>
      <c r="X144" s="36"/>
      <c r="Y144" s="36"/>
      <c r="Z144" s="36"/>
      <c r="AA144" s="36"/>
      <c r="AB144" s="2"/>
    </row>
    <row r="145" spans="16:27" x14ac:dyDescent="0.25">
      <c r="P145" s="57"/>
      <c r="Q145" s="57"/>
      <c r="R145" s="57"/>
      <c r="S145" s="57"/>
      <c r="T145" s="57"/>
      <c r="U145" s="57"/>
      <c r="V145" s="57"/>
      <c r="W145" s="57"/>
      <c r="X145" s="57"/>
      <c r="Y145" s="57"/>
      <c r="Z145" s="57"/>
      <c r="AA145" s="57"/>
    </row>
    <row r="146" spans="16:27" x14ac:dyDescent="0.25">
      <c r="P146" s="57"/>
      <c r="Q146" s="57"/>
      <c r="R146" s="57"/>
      <c r="S146" s="57"/>
      <c r="T146" s="57"/>
      <c r="U146" s="57"/>
      <c r="V146" s="57"/>
      <c r="W146" s="57"/>
      <c r="X146" s="57"/>
      <c r="Y146" s="57"/>
      <c r="Z146" s="57"/>
      <c r="AA146" s="57"/>
    </row>
    <row r="147" spans="16:27" x14ac:dyDescent="0.25">
      <c r="P147" s="57"/>
      <c r="Q147" s="57"/>
      <c r="R147" s="57"/>
      <c r="S147" s="57"/>
      <c r="T147" s="57"/>
      <c r="U147" s="57"/>
      <c r="V147" s="57"/>
      <c r="W147" s="57"/>
      <c r="X147" s="57"/>
      <c r="Y147" s="57"/>
      <c r="Z147" s="57"/>
      <c r="AA147" s="57"/>
    </row>
    <row r="148" spans="16:27" x14ac:dyDescent="0.25">
      <c r="P148" s="57"/>
      <c r="Q148" s="57"/>
      <c r="R148" s="57"/>
      <c r="S148" s="57"/>
      <c r="T148" s="57"/>
      <c r="U148" s="57"/>
      <c r="V148" s="57"/>
      <c r="W148" s="57"/>
      <c r="X148" s="57"/>
      <c r="Y148" s="57"/>
      <c r="Z148" s="57"/>
      <c r="AA148" s="57"/>
    </row>
    <row r="149" spans="16:27" x14ac:dyDescent="0.25">
      <c r="P149" s="57"/>
      <c r="Q149" s="57"/>
      <c r="R149" s="57"/>
      <c r="S149" s="57"/>
      <c r="T149" s="57"/>
      <c r="U149" s="57"/>
      <c r="V149" s="57"/>
      <c r="W149" s="57"/>
      <c r="X149" s="57"/>
      <c r="Y149" s="57"/>
      <c r="Z149" s="57"/>
      <c r="AA149" s="57"/>
    </row>
    <row r="150" spans="16:27" x14ac:dyDescent="0.25">
      <c r="P150" s="57"/>
      <c r="Q150" s="57"/>
      <c r="R150" s="57"/>
      <c r="S150" s="57"/>
      <c r="T150" s="57"/>
      <c r="U150" s="57"/>
      <c r="V150" s="57"/>
      <c r="W150" s="57"/>
      <c r="X150" s="57"/>
      <c r="Y150" s="57"/>
      <c r="Z150" s="57"/>
      <c r="AA150" s="57"/>
    </row>
    <row r="151" spans="16:27" x14ac:dyDescent="0.25">
      <c r="P151" s="57"/>
      <c r="Q151" s="57"/>
      <c r="R151" s="57"/>
      <c r="S151" s="57"/>
      <c r="T151" s="57"/>
      <c r="U151" s="57"/>
      <c r="V151" s="57"/>
      <c r="W151" s="57"/>
      <c r="X151" s="57"/>
      <c r="Y151" s="57"/>
      <c r="Z151" s="57"/>
      <c r="AA151" s="57"/>
    </row>
    <row r="152" spans="16:27" x14ac:dyDescent="0.25">
      <c r="P152" s="57"/>
      <c r="Q152" s="57"/>
      <c r="R152" s="57"/>
      <c r="S152" s="57"/>
      <c r="T152" s="57"/>
      <c r="U152" s="57"/>
      <c r="V152" s="57"/>
      <c r="W152" s="57"/>
      <c r="X152" s="57"/>
      <c r="Y152" s="57"/>
      <c r="Z152" s="57"/>
      <c r="AA152" s="57"/>
    </row>
    <row r="153" spans="16:27" x14ac:dyDescent="0.25">
      <c r="P153" s="57"/>
      <c r="Q153" s="57"/>
      <c r="R153" s="57"/>
      <c r="S153" s="57"/>
      <c r="T153" s="57"/>
      <c r="U153" s="57"/>
      <c r="V153" s="57"/>
      <c r="W153" s="57"/>
      <c r="X153" s="57"/>
      <c r="Y153" s="57"/>
      <c r="Z153" s="57"/>
      <c r="AA153" s="57"/>
    </row>
    <row r="154" spans="16:27" x14ac:dyDescent="0.25">
      <c r="P154" s="57"/>
      <c r="Q154" s="57"/>
      <c r="R154" s="57"/>
      <c r="S154" s="57"/>
      <c r="T154" s="57"/>
      <c r="U154" s="57"/>
      <c r="V154" s="57"/>
      <c r="W154" s="57"/>
      <c r="X154" s="57"/>
      <c r="Y154" s="57"/>
      <c r="Z154" s="57"/>
      <c r="AA154" s="57"/>
    </row>
  </sheetData>
  <conditionalFormatting sqref="A2:L2 A40:XFD40 A7:L7 A3:B6 F3:L6 E1:L1 A9:XFD11 A8:D8 AB1:XFD8 A140:XFD1048576">
    <cfRule type="cellIs" dxfId="11071" priority="262" operator="equal">
      <formula>0</formula>
    </cfRule>
  </conditionalFormatting>
  <conditionalFormatting sqref="P40:AA40">
    <cfRule type="expression" dxfId="11070" priority="239">
      <formula>P$1=""</formula>
    </cfRule>
  </conditionalFormatting>
  <conditionalFormatting sqref="P40:AA40">
    <cfRule type="expression" dxfId="11069" priority="238">
      <formula>P$1=""</formula>
    </cfRule>
  </conditionalFormatting>
  <conditionalFormatting sqref="P40:AA40">
    <cfRule type="expression" dxfId="11068" priority="234">
      <formula>P$1=""</formula>
    </cfRule>
  </conditionalFormatting>
  <conditionalFormatting sqref="P40:AA40">
    <cfRule type="expression" dxfId="11067" priority="233">
      <formula>P$1=""</formula>
    </cfRule>
  </conditionalFormatting>
  <conditionalFormatting sqref="A21:H21 K21:N21 AB21:XFD21 A24:H24 K24:XFD24 I15:J24 A25:XFD39">
    <cfRule type="cellIs" dxfId="11066" priority="210" operator="equal">
      <formula>0</formula>
    </cfRule>
  </conditionalFormatting>
  <conditionalFormatting sqref="Q27:AA38">
    <cfRule type="expression" dxfId="11065" priority="209">
      <formula>Q$1=""</formula>
    </cfRule>
  </conditionalFormatting>
  <conditionalFormatting sqref="A22:H22 K22:N22 AB22:XFD22">
    <cfRule type="cellIs" dxfId="11064" priority="206" operator="equal">
      <formula>0</formula>
    </cfRule>
  </conditionalFormatting>
  <conditionalFormatting sqref="A23:H23 K23:N23 AB23:XFD23">
    <cfRule type="cellIs" dxfId="11063" priority="203" operator="equal">
      <formula>0</formula>
    </cfRule>
  </conditionalFormatting>
  <conditionalFormatting sqref="A42:XFD58 A72:XFD72 A59:G59 I59:XFD59 A60:O71 AB60:XFD71">
    <cfRule type="cellIs" dxfId="11062" priority="201" operator="equal">
      <formula>0</formula>
    </cfRule>
  </conditionalFormatting>
  <conditionalFormatting sqref="Q45:AA56">
    <cfRule type="expression" dxfId="11061" priority="200">
      <formula>Q$1=""</formula>
    </cfRule>
  </conditionalFormatting>
  <conditionalFormatting sqref="A41:H41 K41:XFD41">
    <cfRule type="cellIs" dxfId="11060" priority="199" operator="equal">
      <formula>0</formula>
    </cfRule>
  </conditionalFormatting>
  <conditionalFormatting sqref="I41:J41">
    <cfRule type="cellIs" dxfId="11059" priority="198" operator="equal">
      <formula>0</formula>
    </cfRule>
  </conditionalFormatting>
  <conditionalFormatting sqref="J41">
    <cfRule type="containsBlanks" dxfId="11058" priority="197">
      <formula>LEN(TRIM(J41))=0</formula>
    </cfRule>
  </conditionalFormatting>
  <conditionalFormatting sqref="H59">
    <cfRule type="cellIs" dxfId="11057" priority="195" operator="equal">
      <formula>0</formula>
    </cfRule>
  </conditionalFormatting>
  <conditionalFormatting sqref="P60:AA71">
    <cfRule type="cellIs" dxfId="11056" priority="194" operator="equal">
      <formula>0</formula>
    </cfRule>
  </conditionalFormatting>
  <conditionalFormatting sqref="Q60:AA71">
    <cfRule type="expression" dxfId="11055" priority="193">
      <formula>Q$1=""</formula>
    </cfRule>
  </conditionalFormatting>
  <conditionalFormatting sqref="A73:XFD73">
    <cfRule type="cellIs" dxfId="11054" priority="192" operator="equal">
      <formula>0</formula>
    </cfRule>
  </conditionalFormatting>
  <conditionalFormatting sqref="C3:E6">
    <cfRule type="cellIs" dxfId="11053" priority="113" operator="equal">
      <formula>0</formula>
    </cfRule>
  </conditionalFormatting>
  <conditionalFormatting sqref="A1:D1">
    <cfRule type="cellIs" dxfId="11052" priority="112" operator="equal">
      <formula>0</formula>
    </cfRule>
  </conditionalFormatting>
  <conditionalFormatting sqref="P45:P56 P60:P71 P27:AA38">
    <cfRule type="expression" dxfId="11051" priority="2120">
      <formula>AND($P$1=0,$H27&lt;MONTH(#REF!))</formula>
    </cfRule>
  </conditionalFormatting>
  <conditionalFormatting sqref="E8:L8">
    <cfRule type="cellIs" dxfId="11050" priority="98" operator="equal">
      <formula>0</formula>
    </cfRule>
  </conditionalFormatting>
  <conditionalFormatting sqref="M1:AA8">
    <cfRule type="cellIs" dxfId="11049" priority="97" operator="equal">
      <formula>0</formula>
    </cfRule>
  </conditionalFormatting>
  <conditionalFormatting sqref="A16:H16 K16:N16 AB16:XFD16">
    <cfRule type="cellIs" dxfId="11048" priority="96" operator="equal">
      <formula>0</formula>
    </cfRule>
  </conditionalFormatting>
  <conditionalFormatting sqref="A19:H19 K19:N19 AB19:XFD19">
    <cfRule type="cellIs" dxfId="11047" priority="93" operator="equal">
      <formula>0</formula>
    </cfRule>
  </conditionalFormatting>
  <conditionalFormatting sqref="A15:H15 K15:N15 AB15:XFD15">
    <cfRule type="cellIs" dxfId="11046" priority="90" operator="equal">
      <formula>0</formula>
    </cfRule>
  </conditionalFormatting>
  <conditionalFormatting sqref="A18:H18 K18:N18 AB18:XFD18">
    <cfRule type="cellIs" dxfId="11045" priority="87" operator="equal">
      <formula>0</formula>
    </cfRule>
  </conditionalFormatting>
  <conditionalFormatting sqref="A17:H17 K17:N17 AB17:XFD17">
    <cfRule type="cellIs" dxfId="11044" priority="84" operator="equal">
      <formula>0</formula>
    </cfRule>
  </conditionalFormatting>
  <conditionalFormatting sqref="A20:H20 K20:N20 AB20:XFD20">
    <cfRule type="cellIs" dxfId="11043" priority="81" operator="equal">
      <formula>0</formula>
    </cfRule>
  </conditionalFormatting>
  <conditionalFormatting sqref="O21:AA21">
    <cfRule type="cellIs" dxfId="11042" priority="78" operator="equal">
      <formula>0</formula>
    </cfRule>
  </conditionalFormatting>
  <conditionalFormatting sqref="P21:AA21">
    <cfRule type="containsBlanks" dxfId="11041" priority="77">
      <formula>LEN(TRIM(P21))=0</formula>
    </cfRule>
  </conditionalFormatting>
  <conditionalFormatting sqref="O22:AA22">
    <cfRule type="cellIs" dxfId="11040" priority="76" operator="equal">
      <formula>0</formula>
    </cfRule>
  </conditionalFormatting>
  <conditionalFormatting sqref="P22:AA22">
    <cfRule type="containsBlanks" dxfId="11039" priority="75">
      <formula>LEN(TRIM(P22))=0</formula>
    </cfRule>
  </conditionalFormatting>
  <conditionalFormatting sqref="O23:AA23">
    <cfRule type="cellIs" dxfId="11038" priority="74" operator="equal">
      <formula>0</formula>
    </cfRule>
  </conditionalFormatting>
  <conditionalFormatting sqref="O16:AA16">
    <cfRule type="cellIs" dxfId="11037" priority="73" operator="equal">
      <formula>0</formula>
    </cfRule>
  </conditionalFormatting>
  <conditionalFormatting sqref="P16:AA16">
    <cfRule type="containsBlanks" dxfId="11036" priority="72">
      <formula>LEN(TRIM(P16))=0</formula>
    </cfRule>
  </conditionalFormatting>
  <conditionalFormatting sqref="O19:AA19">
    <cfRule type="cellIs" dxfId="11035" priority="71" operator="equal">
      <formula>0</formula>
    </cfRule>
  </conditionalFormatting>
  <conditionalFormatting sqref="P19:AA19">
    <cfRule type="containsBlanks" dxfId="11034" priority="70">
      <formula>LEN(TRIM(P19))=0</formula>
    </cfRule>
  </conditionalFormatting>
  <conditionalFormatting sqref="O15:AA15">
    <cfRule type="cellIs" dxfId="11033" priority="69" operator="equal">
      <formula>0</formula>
    </cfRule>
  </conditionalFormatting>
  <conditionalFormatting sqref="P15:AA15">
    <cfRule type="containsBlanks" dxfId="11032" priority="68">
      <formula>LEN(TRIM(P15))=0</formula>
    </cfRule>
  </conditionalFormatting>
  <conditionalFormatting sqref="O18:AA18">
    <cfRule type="cellIs" dxfId="11031" priority="67" operator="equal">
      <formula>0</formula>
    </cfRule>
  </conditionalFormatting>
  <conditionalFormatting sqref="P18:AA18">
    <cfRule type="containsBlanks" dxfId="11030" priority="66">
      <formula>LEN(TRIM(P18))=0</formula>
    </cfRule>
  </conditionalFormatting>
  <conditionalFormatting sqref="O17:AA17">
    <cfRule type="cellIs" dxfId="11029" priority="65" operator="equal">
      <formula>0</formula>
    </cfRule>
  </conditionalFormatting>
  <conditionalFormatting sqref="P17:AA17">
    <cfRule type="containsBlanks" dxfId="11028" priority="64">
      <formula>LEN(TRIM(P17))=0</formula>
    </cfRule>
  </conditionalFormatting>
  <conditionalFormatting sqref="O20:AA20">
    <cfRule type="cellIs" dxfId="11027" priority="63" operator="equal">
      <formula>0</formula>
    </cfRule>
  </conditionalFormatting>
  <conditionalFormatting sqref="P20:AA20">
    <cfRule type="containsBlanks" dxfId="11026" priority="62">
      <formula>LEN(TRIM(P20))=0</formula>
    </cfRule>
  </conditionalFormatting>
  <conditionalFormatting sqref="A106:XFD106">
    <cfRule type="cellIs" dxfId="11025" priority="60" operator="equal">
      <formula>0</formula>
    </cfRule>
  </conditionalFormatting>
  <conditionalFormatting sqref="P106:AA106">
    <cfRule type="expression" dxfId="11024" priority="59">
      <formula>P$1=""</formula>
    </cfRule>
  </conditionalFormatting>
  <conditionalFormatting sqref="P106:AA106">
    <cfRule type="expression" dxfId="11023" priority="58">
      <formula>P$1=""</formula>
    </cfRule>
  </conditionalFormatting>
  <conditionalFormatting sqref="P106:AA106">
    <cfRule type="expression" dxfId="11022" priority="57">
      <formula>P$1=""</formula>
    </cfRule>
  </conditionalFormatting>
  <conditionalFormatting sqref="P106:AA106">
    <cfRule type="expression" dxfId="11021" priority="56">
      <formula>P$1=""</formula>
    </cfRule>
  </conditionalFormatting>
  <conditionalFormatting sqref="A87:H87 K87:N87 AB87:XFD87 A90:H90 K90:XFD90 I77:J80 I85:J90 A91:XFD105">
    <cfRule type="cellIs" dxfId="11020" priority="55" operator="equal">
      <formula>0</formula>
    </cfRule>
  </conditionalFormatting>
  <conditionalFormatting sqref="Q93:AA104">
    <cfRule type="expression" dxfId="11019" priority="54">
      <formula>Q$1=""</formula>
    </cfRule>
  </conditionalFormatting>
  <conditionalFormatting sqref="A88:H88 K88:N88 AB88:XFD88">
    <cfRule type="cellIs" dxfId="11018" priority="53" operator="equal">
      <formula>0</formula>
    </cfRule>
  </conditionalFormatting>
  <conditionalFormatting sqref="A89:H89 K89:N89 AB89:XFD89">
    <cfRule type="cellIs" dxfId="11017" priority="52" operator="equal">
      <formula>0</formula>
    </cfRule>
  </conditionalFormatting>
  <conditionalFormatting sqref="A108:XFD124 A138:XFD138 A125:G125 I125:XFD125 A126:O137 AB126:XFD137">
    <cfRule type="cellIs" dxfId="11016" priority="51" operator="equal">
      <formula>0</formula>
    </cfRule>
  </conditionalFormatting>
  <conditionalFormatting sqref="Q111:AA122">
    <cfRule type="expression" dxfId="11015" priority="50">
      <formula>Q$1=""</formula>
    </cfRule>
  </conditionalFormatting>
  <conditionalFormatting sqref="A107:H107 K107:XFD107">
    <cfRule type="cellIs" dxfId="11014" priority="49" operator="equal">
      <formula>0</formula>
    </cfRule>
  </conditionalFormatting>
  <conditionalFormatting sqref="I107:J107">
    <cfRule type="cellIs" dxfId="11013" priority="48" operator="equal">
      <formula>0</formula>
    </cfRule>
  </conditionalFormatting>
  <conditionalFormatting sqref="J107">
    <cfRule type="containsBlanks" dxfId="11012" priority="47">
      <formula>LEN(TRIM(J107))=0</formula>
    </cfRule>
  </conditionalFormatting>
  <conditionalFormatting sqref="H125">
    <cfRule type="cellIs" dxfId="11011" priority="46" operator="equal">
      <formula>0</formula>
    </cfRule>
  </conditionalFormatting>
  <conditionalFormatting sqref="P126:AA137">
    <cfRule type="cellIs" dxfId="11010" priority="45" operator="equal">
      <formula>0</formula>
    </cfRule>
  </conditionalFormatting>
  <conditionalFormatting sqref="Q126:AA137">
    <cfRule type="expression" dxfId="11009" priority="44">
      <formula>Q$1=""</formula>
    </cfRule>
  </conditionalFormatting>
  <conditionalFormatting sqref="A139:XFD139">
    <cfRule type="cellIs" dxfId="11008" priority="43" operator="equal">
      <formula>0</formula>
    </cfRule>
  </conditionalFormatting>
  <conditionalFormatting sqref="P111:P122 P126:P137 P93:AA104">
    <cfRule type="expression" dxfId="11007" priority="61">
      <formula>AND($P$1=0,$H93&lt;MONTH(#REF!))</formula>
    </cfRule>
  </conditionalFormatting>
  <conditionalFormatting sqref="A78:D78 K78:N78 AB78:XFD78 F78:H78">
    <cfRule type="cellIs" dxfId="11006" priority="42" operator="equal">
      <formula>0</formula>
    </cfRule>
  </conditionalFormatting>
  <conditionalFormatting sqref="A85:D85 K85:N85 AB85:XFD85 F85:H85">
    <cfRule type="cellIs" dxfId="11005" priority="41" operator="equal">
      <formula>0</formula>
    </cfRule>
  </conditionalFormatting>
  <conditionalFormatting sqref="A77:H77 K77:N77 AB77:XFD77 E78:E86">
    <cfRule type="cellIs" dxfId="11004" priority="40" operator="equal">
      <formula>0</formula>
    </cfRule>
  </conditionalFormatting>
  <conditionalFormatting sqref="A80:D80 K80:N80 AB80:XFD80 F80:H80">
    <cfRule type="cellIs" dxfId="11003" priority="39" operator="equal">
      <formula>0</formula>
    </cfRule>
  </conditionalFormatting>
  <conditionalFormatting sqref="A79:D79 K79:N79 AB79:XFD79 F79:H79">
    <cfRule type="cellIs" dxfId="11002" priority="38" operator="equal">
      <formula>0</formula>
    </cfRule>
  </conditionalFormatting>
  <conditionalFormatting sqref="A86:D86 K86:N86 AB86:XFD86 F86:H86">
    <cfRule type="cellIs" dxfId="11001" priority="37" operator="equal">
      <formula>0</formula>
    </cfRule>
  </conditionalFormatting>
  <conditionalFormatting sqref="O87:AA87">
    <cfRule type="cellIs" dxfId="11000" priority="36" operator="equal">
      <formula>0</formula>
    </cfRule>
  </conditionalFormatting>
  <conditionalFormatting sqref="P87:AA87">
    <cfRule type="containsBlanks" dxfId="10999" priority="35">
      <formula>LEN(TRIM(P87))=0</formula>
    </cfRule>
  </conditionalFormatting>
  <conditionalFormatting sqref="O88:AA88">
    <cfRule type="cellIs" dxfId="10998" priority="34" operator="equal">
      <formula>0</formula>
    </cfRule>
  </conditionalFormatting>
  <conditionalFormatting sqref="P88:AA88">
    <cfRule type="containsBlanks" dxfId="10997" priority="33">
      <formula>LEN(TRIM(P88))=0</formula>
    </cfRule>
  </conditionalFormatting>
  <conditionalFormatting sqref="O89:AA89">
    <cfRule type="cellIs" dxfId="10996" priority="32" operator="equal">
      <formula>0</formula>
    </cfRule>
  </conditionalFormatting>
  <conditionalFormatting sqref="O78:AA78">
    <cfRule type="cellIs" dxfId="10995" priority="31" operator="equal">
      <formula>0</formula>
    </cfRule>
  </conditionalFormatting>
  <conditionalFormatting sqref="P78:AA78">
    <cfRule type="containsBlanks" dxfId="10994" priority="30">
      <formula>LEN(TRIM(P78))=0</formula>
    </cfRule>
  </conditionalFormatting>
  <conditionalFormatting sqref="O85:AA85">
    <cfRule type="cellIs" dxfId="10993" priority="29" operator="equal">
      <formula>0</formula>
    </cfRule>
  </conditionalFormatting>
  <conditionalFormatting sqref="P85:AA85">
    <cfRule type="containsBlanks" dxfId="10992" priority="28">
      <formula>LEN(TRIM(P85))=0</formula>
    </cfRule>
  </conditionalFormatting>
  <conditionalFormatting sqref="O77:AA77">
    <cfRule type="cellIs" dxfId="10991" priority="27" operator="equal">
      <formula>0</formula>
    </cfRule>
  </conditionalFormatting>
  <conditionalFormatting sqref="P77:AA77">
    <cfRule type="containsBlanks" dxfId="10990" priority="26">
      <formula>LEN(TRIM(P77))=0</formula>
    </cfRule>
  </conditionalFormatting>
  <conditionalFormatting sqref="O80:AA80">
    <cfRule type="cellIs" dxfId="10989" priority="25" operator="equal">
      <formula>0</formula>
    </cfRule>
  </conditionalFormatting>
  <conditionalFormatting sqref="P80:AA80">
    <cfRule type="containsBlanks" dxfId="10988" priority="24">
      <formula>LEN(TRIM(P80))=0</formula>
    </cfRule>
  </conditionalFormatting>
  <conditionalFormatting sqref="O79:AA79">
    <cfRule type="cellIs" dxfId="10987" priority="23" operator="equal">
      <formula>0</formula>
    </cfRule>
  </conditionalFormatting>
  <conditionalFormatting sqref="P79:AA79">
    <cfRule type="containsBlanks" dxfId="10986" priority="22">
      <formula>LEN(TRIM(P79))=0</formula>
    </cfRule>
  </conditionalFormatting>
  <conditionalFormatting sqref="O86:AA86">
    <cfRule type="cellIs" dxfId="10985" priority="21" operator="equal">
      <formula>0</formula>
    </cfRule>
  </conditionalFormatting>
  <conditionalFormatting sqref="P86:AA86">
    <cfRule type="containsBlanks" dxfId="10984" priority="20">
      <formula>LEN(TRIM(P86))=0</formula>
    </cfRule>
  </conditionalFormatting>
  <conditionalFormatting sqref="A74:XFD74 A76:XFD76 A75:B75 F75:XFD75">
    <cfRule type="cellIs" dxfId="10983" priority="19" operator="equal">
      <formula>0</formula>
    </cfRule>
  </conditionalFormatting>
  <conditionalFormatting sqref="C75:E75">
    <cfRule type="cellIs" dxfId="10982" priority="18" operator="equal">
      <formula>0</formula>
    </cfRule>
  </conditionalFormatting>
  <conditionalFormatting sqref="A12:XFD12 A14:XFD14 A13:B13 F13:XFD13">
    <cfRule type="cellIs" dxfId="10981" priority="17" operator="equal">
      <formula>0</formula>
    </cfRule>
  </conditionalFormatting>
  <conditionalFormatting sqref="C13:E13">
    <cfRule type="cellIs" dxfId="10980" priority="16" operator="equal">
      <formula>0</formula>
    </cfRule>
  </conditionalFormatting>
  <conditionalFormatting sqref="I81:J81 I84:J84">
    <cfRule type="cellIs" dxfId="10979" priority="15" operator="equal">
      <formula>0</formula>
    </cfRule>
  </conditionalFormatting>
  <conditionalFormatting sqref="A84:D84 K84:N84 AB84:XFD84 F84:H84">
    <cfRule type="cellIs" dxfId="10978" priority="14" operator="equal">
      <formula>0</formula>
    </cfRule>
  </conditionalFormatting>
  <conditionalFormatting sqref="A81:D81 K81:N81 AB81:XFD81 F81:H81">
    <cfRule type="cellIs" dxfId="10977" priority="13" operator="equal">
      <formula>0</formula>
    </cfRule>
  </conditionalFormatting>
  <conditionalFormatting sqref="O84:AA84">
    <cfRule type="cellIs" dxfId="10976" priority="12" operator="equal">
      <formula>0</formula>
    </cfRule>
  </conditionalFormatting>
  <conditionalFormatting sqref="P84:AA84">
    <cfRule type="containsBlanks" dxfId="10975" priority="11">
      <formula>LEN(TRIM(P84))=0</formula>
    </cfRule>
  </conditionalFormatting>
  <conditionalFormatting sqref="O81:AA81">
    <cfRule type="cellIs" dxfId="10974" priority="10" operator="equal">
      <formula>0</formula>
    </cfRule>
  </conditionalFormatting>
  <conditionalFormatting sqref="P81:AA81">
    <cfRule type="containsBlanks" dxfId="10973" priority="9">
      <formula>LEN(TRIM(P81))=0</formula>
    </cfRule>
  </conditionalFormatting>
  <conditionalFormatting sqref="I82:J82">
    <cfRule type="cellIs" dxfId="10972" priority="8" operator="equal">
      <formula>0</formula>
    </cfRule>
  </conditionalFormatting>
  <conditionalFormatting sqref="A82:D82 K82:N82 AB82:XFD82 F82:H82">
    <cfRule type="cellIs" dxfId="10971" priority="7" operator="equal">
      <formula>0</formula>
    </cfRule>
  </conditionalFormatting>
  <conditionalFormatting sqref="O82:AA82">
    <cfRule type="cellIs" dxfId="10970" priority="6" operator="equal">
      <formula>0</formula>
    </cfRule>
  </conditionalFormatting>
  <conditionalFormatting sqref="P82:AA82">
    <cfRule type="containsBlanks" dxfId="10969" priority="5">
      <formula>LEN(TRIM(P82))=0</formula>
    </cfRule>
  </conditionalFormatting>
  <conditionalFormatting sqref="I83:J83">
    <cfRule type="cellIs" dxfId="10968" priority="4" operator="equal">
      <formula>0</formula>
    </cfRule>
  </conditionalFormatting>
  <conditionalFormatting sqref="A83:D83 K83:N83 AB83:XFD83 F83:H83">
    <cfRule type="cellIs" dxfId="10967" priority="3" operator="equal">
      <formula>0</formula>
    </cfRule>
  </conditionalFormatting>
  <conditionalFormatting sqref="O83:AA83">
    <cfRule type="cellIs" dxfId="10966" priority="2" operator="equal">
      <formula>0</formula>
    </cfRule>
  </conditionalFormatting>
  <conditionalFormatting sqref="P83:AA83">
    <cfRule type="containsBlanks" dxfId="10965" priority="1">
      <formula>LEN(TRIM(P83))=0</formula>
    </cfRule>
  </conditionalFormatting>
  <hyperlinks>
    <hyperlink ref="A1:D1" location="оглавление!A1" tooltip="оглавление" display="оглавление"/>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B493"/>
  <sheetViews>
    <sheetView showGridLines="0" workbookViewId="0">
      <pane xSplit="14" ySplit="10" topLeftCell="O11" activePane="bottomRight" state="frozen"/>
      <selection pane="topRight" activeCell="O1" sqref="O1"/>
      <selection pane="bottomLeft" activeCell="A11" sqref="A11"/>
      <selection pane="bottomRight" activeCell="C12" sqref="C12"/>
    </sheetView>
  </sheetViews>
  <sheetFormatPr defaultColWidth="9.109375" defaultRowHeight="12" x14ac:dyDescent="0.25"/>
  <cols>
    <col min="1" max="4" width="2.6640625"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
        <v>191</v>
      </c>
      <c r="N1" s="42"/>
      <c r="O1" s="42"/>
      <c r="P1" s="43">
        <f>IF($J$13="","",IF(MONTH($J$13)&lt;&gt;1,0,1))</f>
        <v>1</v>
      </c>
      <c r="Q1" s="43">
        <f t="shared" ref="Q1:AA1" si="0">IF(P1="","",IF(P1+1&gt;$J$16,"",P1+1))</f>
        <v>2</v>
      </c>
      <c r="R1" s="43">
        <f t="shared" si="0"/>
        <v>3</v>
      </c>
      <c r="S1" s="43">
        <f t="shared" si="0"/>
        <v>4</v>
      </c>
      <c r="T1" s="43">
        <f t="shared" si="0"/>
        <v>5</v>
      </c>
      <c r="U1" s="43">
        <f t="shared" si="0"/>
        <v>6</v>
      </c>
      <c r="V1" s="43">
        <f t="shared" si="0"/>
        <v>7</v>
      </c>
      <c r="W1" s="43" t="str">
        <f t="shared" si="0"/>
        <v/>
      </c>
      <c r="X1" s="43" t="str">
        <f t="shared" si="0"/>
        <v/>
      </c>
      <c r="Y1" s="43" t="str">
        <f t="shared" si="0"/>
        <v/>
      </c>
      <c r="Z1" s="43" t="str">
        <f t="shared" si="0"/>
        <v/>
      </c>
      <c r="AA1" s="43" t="str">
        <f t="shared" si="0"/>
        <v/>
      </c>
      <c r="AB1" s="2"/>
    </row>
    <row r="2" spans="1:28" x14ac:dyDescent="0.25">
      <c r="A2" s="2"/>
      <c r="B2" s="2"/>
      <c r="C2" s="2"/>
      <c r="D2" s="2"/>
      <c r="E2" s="2"/>
      <c r="F2" s="2"/>
      <c r="G2" s="2"/>
      <c r="H2" s="2"/>
      <c r="I2" s="28"/>
      <c r="J2" s="2"/>
      <c r="K2" s="28"/>
      <c r="L2" s="2"/>
      <c r="M2" s="52"/>
      <c r="N2" s="2"/>
      <c r="O2" s="2"/>
      <c r="P2" s="36"/>
      <c r="Q2" s="36"/>
      <c r="R2" s="2"/>
      <c r="S2" s="2"/>
      <c r="T2" s="2"/>
      <c r="U2" s="2"/>
      <c r="V2" s="2"/>
      <c r="W2" s="2"/>
      <c r="X2" s="2"/>
      <c r="Y2" s="2"/>
      <c r="Z2" s="2"/>
      <c r="AA2" s="2"/>
      <c r="AB2" s="2"/>
    </row>
    <row r="3" spans="1:28" x14ac:dyDescent="0.25">
      <c r="A3" s="2"/>
      <c r="B3" s="2"/>
      <c r="C3" s="89" t="str">
        <f>методология!$E$4</f>
        <v>Инвестмодель базы отдыха - Беседки &amp; Веревочный парк</v>
      </c>
      <c r="D3" s="20"/>
      <c r="E3" s="20"/>
      <c r="F3" s="2"/>
      <c r="G3" s="2"/>
      <c r="H3" s="2"/>
      <c r="I3" s="28"/>
      <c r="J3" s="2"/>
      <c r="K3" s="28"/>
      <c r="L3" s="2"/>
      <c r="M3" s="52"/>
      <c r="N3" s="2"/>
      <c r="O3" s="2"/>
      <c r="P3" s="2"/>
      <c r="Q3" s="2"/>
      <c r="R3" s="2"/>
      <c r="S3" s="2"/>
      <c r="T3" s="2"/>
      <c r="U3" s="2"/>
      <c r="V3" s="2"/>
      <c r="W3" s="2"/>
      <c r="X3" s="2"/>
      <c r="Y3" s="2"/>
      <c r="Z3" s="2"/>
      <c r="AA3" s="2"/>
      <c r="AB3" s="2"/>
    </row>
    <row r="4" spans="1:28" x14ac:dyDescent="0.25">
      <c r="A4" s="2"/>
      <c r="B4" s="2"/>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2"/>
      <c r="B5" s="2"/>
      <c r="C5" s="2"/>
      <c r="D5" s="2"/>
      <c r="E5" s="2"/>
      <c r="F5" s="2"/>
      <c r="G5" s="154" t="s">
        <v>309</v>
      </c>
      <c r="H5" s="2"/>
      <c r="I5" s="28"/>
      <c r="J5" s="2"/>
      <c r="K5" s="28"/>
      <c r="L5" s="2"/>
      <c r="M5" s="52"/>
      <c r="N5" s="2"/>
      <c r="O5" s="2"/>
      <c r="P5" s="2"/>
      <c r="Q5" s="2"/>
      <c r="R5" s="2"/>
      <c r="S5" s="2"/>
      <c r="T5" s="2"/>
      <c r="U5" s="2"/>
      <c r="V5" s="2"/>
      <c r="W5" s="2"/>
      <c r="X5" s="2"/>
      <c r="Y5" s="2"/>
      <c r="Z5" s="2"/>
      <c r="AA5" s="2"/>
      <c r="AB5" s="2"/>
    </row>
    <row r="6" spans="1:28" x14ac:dyDescent="0.25">
      <c r="A6" s="2"/>
      <c r="B6" s="2"/>
      <c r="C6" s="225" t="s">
        <v>305</v>
      </c>
      <c r="D6" s="210"/>
      <c r="E6" s="226"/>
      <c r="F6" s="2"/>
      <c r="G6" s="104" t="str">
        <f>сценарии!$J$7</f>
        <v>сценарий-1</v>
      </c>
      <c r="H6" s="2"/>
      <c r="I6" s="28"/>
      <c r="J6" s="2"/>
      <c r="K6" s="28"/>
      <c r="L6" s="2"/>
      <c r="M6" s="52"/>
      <c r="N6" s="2"/>
      <c r="O6" s="2"/>
      <c r="P6" s="96" t="str">
        <f>IF(P$1="","",IF(P$1&gt;0,YEAR(P8)&amp;"г.",""))</f>
        <v>2022г.</v>
      </c>
      <c r="Q6" s="96" t="str">
        <f t="shared" ref="Q6:AA6" si="1">IF(Q$1="","",IF(Q$1&gt;0,YEAR(Q8)&amp;"г.",""))</f>
        <v>2023г.</v>
      </c>
      <c r="R6" s="96" t="str">
        <f t="shared" si="1"/>
        <v>2024г.</v>
      </c>
      <c r="S6" s="96" t="str">
        <f t="shared" si="1"/>
        <v>2025г.</v>
      </c>
      <c r="T6" s="96" t="str">
        <f t="shared" si="1"/>
        <v>2026г.</v>
      </c>
      <c r="U6" s="96" t="str">
        <f t="shared" si="1"/>
        <v>2027г.</v>
      </c>
      <c r="V6" s="96" t="str">
        <f t="shared" si="1"/>
        <v>2028г.</v>
      </c>
      <c r="W6" s="96" t="str">
        <f t="shared" si="1"/>
        <v/>
      </c>
      <c r="X6" s="96" t="str">
        <f t="shared" si="1"/>
        <v/>
      </c>
      <c r="Y6" s="96" t="str">
        <f t="shared" si="1"/>
        <v/>
      </c>
      <c r="Z6" s="96" t="str">
        <f t="shared" si="1"/>
        <v/>
      </c>
      <c r="AA6" s="96" t="str">
        <f t="shared" si="1"/>
        <v/>
      </c>
      <c r="AB6" s="2"/>
    </row>
    <row r="7" spans="1:28" x14ac:dyDescent="0.25">
      <c r="A7" s="2"/>
      <c r="B7" s="2"/>
      <c r="C7" s="2"/>
      <c r="D7" s="2"/>
      <c r="E7" s="2" t="s">
        <v>166</v>
      </c>
      <c r="F7" s="2"/>
      <c r="G7" s="2"/>
      <c r="H7" s="2"/>
      <c r="I7" s="28"/>
      <c r="J7" s="2"/>
      <c r="K7" s="28"/>
      <c r="L7" s="2"/>
      <c r="M7" s="52"/>
      <c r="N7" s="2"/>
      <c r="O7" s="2"/>
      <c r="P7" s="94">
        <f>IF($J$13="","",$J$13)</f>
        <v>44562</v>
      </c>
      <c r="Q7" s="94">
        <f>IF(Q$1="","",P8+1)</f>
        <v>44927</v>
      </c>
      <c r="R7" s="94">
        <f t="shared" ref="R7:AA7" si="2">IF(R$1="","",Q8+1)</f>
        <v>45292</v>
      </c>
      <c r="S7" s="94">
        <f t="shared" si="2"/>
        <v>45658</v>
      </c>
      <c r="T7" s="94">
        <f t="shared" si="2"/>
        <v>46023</v>
      </c>
      <c r="U7" s="94">
        <f t="shared" si="2"/>
        <v>46388</v>
      </c>
      <c r="V7" s="94">
        <f t="shared" si="2"/>
        <v>46753</v>
      </c>
      <c r="W7" s="94" t="str">
        <f t="shared" si="2"/>
        <v/>
      </c>
      <c r="X7" s="94" t="str">
        <f t="shared" si="2"/>
        <v/>
      </c>
      <c r="Y7" s="94" t="str">
        <f t="shared" si="2"/>
        <v/>
      </c>
      <c r="Z7" s="94" t="str">
        <f t="shared" si="2"/>
        <v/>
      </c>
      <c r="AA7" s="94" t="str">
        <f t="shared" si="2"/>
        <v/>
      </c>
      <c r="AB7" s="2"/>
    </row>
    <row r="8" spans="1:28" s="5" customFormat="1" x14ac:dyDescent="0.25">
      <c r="A8" s="3"/>
      <c r="B8" s="3"/>
      <c r="C8" s="3"/>
      <c r="D8" s="3"/>
      <c r="E8" s="3" t="str">
        <f>KPI!$E$8</f>
        <v>KPI</v>
      </c>
      <c r="F8" s="3"/>
      <c r="G8" s="28" t="str">
        <f>KPI!$G$8</f>
        <v>ед.изм.</v>
      </c>
      <c r="H8" s="3"/>
      <c r="I8" s="28"/>
      <c r="J8" s="3"/>
      <c r="K8" s="28"/>
      <c r="L8" s="3"/>
      <c r="M8" s="53" t="s">
        <v>8</v>
      </c>
      <c r="N8" s="3"/>
      <c r="O8" s="3"/>
      <c r="P8" s="95">
        <f>IF(P7="","",EOMONTH(P7,12-MONTH(P7)))</f>
        <v>44926</v>
      </c>
      <c r="Q8" s="95">
        <f>IF(Q$1="","",EOMONTH(Q$7,11))</f>
        <v>45291</v>
      </c>
      <c r="R8" s="95">
        <f t="shared" ref="R8:AA8" si="3">IF(R$1="","",EOMONTH(R$7,11))</f>
        <v>45657</v>
      </c>
      <c r="S8" s="95">
        <f t="shared" si="3"/>
        <v>46022</v>
      </c>
      <c r="T8" s="95">
        <f t="shared" si="3"/>
        <v>46387</v>
      </c>
      <c r="U8" s="95">
        <f t="shared" si="3"/>
        <v>46752</v>
      </c>
      <c r="V8" s="95">
        <f t="shared" si="3"/>
        <v>47118</v>
      </c>
      <c r="W8" s="95" t="str">
        <f t="shared" si="3"/>
        <v/>
      </c>
      <c r="X8" s="95" t="str">
        <f t="shared" si="3"/>
        <v/>
      </c>
      <c r="Y8" s="95" t="str">
        <f t="shared" si="3"/>
        <v/>
      </c>
      <c r="Z8" s="95" t="str">
        <f t="shared" si="3"/>
        <v/>
      </c>
      <c r="AA8" s="95" t="str">
        <f t="shared" si="3"/>
        <v/>
      </c>
      <c r="AB8" s="3"/>
    </row>
    <row r="9" spans="1:28" ht="3.9" customHeight="1" x14ac:dyDescent="0.25">
      <c r="A9" s="2"/>
      <c r="B9" s="2"/>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customHeight="1" x14ac:dyDescent="0.25">
      <c r="A10" s="2"/>
      <c r="B10" s="2"/>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x14ac:dyDescent="0.25">
      <c r="A11" s="3"/>
      <c r="B11" s="3"/>
      <c r="C11" s="3"/>
      <c r="D11" s="3"/>
      <c r="E11" s="3" t="str">
        <f>структура!$S$8</f>
        <v>операционный период</v>
      </c>
      <c r="F11" s="3"/>
      <c r="G11" s="3"/>
      <c r="H11" s="3"/>
      <c r="I11" s="28"/>
      <c r="J11" s="3"/>
      <c r="K11" s="28"/>
      <c r="L11" s="3"/>
      <c r="M11" s="55"/>
      <c r="N11" s="3"/>
      <c r="O11" s="3"/>
      <c r="P11" s="46"/>
      <c r="Q11" s="46"/>
      <c r="R11" s="46"/>
      <c r="S11" s="46"/>
      <c r="T11" s="46"/>
      <c r="U11" s="46"/>
      <c r="V11" s="46"/>
      <c r="W11" s="46"/>
      <c r="X11" s="46"/>
      <c r="Y11" s="46"/>
      <c r="Z11" s="46"/>
      <c r="AA11" s="46"/>
      <c r="AB11" s="3"/>
    </row>
    <row r="12" spans="1:28" ht="3.9" customHeight="1" x14ac:dyDescent="0.25">
      <c r="A12" s="2"/>
      <c r="B12" s="2"/>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x14ac:dyDescent="0.25">
      <c r="A13" s="3"/>
      <c r="B13" s="3"/>
      <c r="C13" s="3"/>
      <c r="D13" s="3"/>
      <c r="E13" s="3" t="str">
        <f>KPI!$E$29</f>
        <v>месяц начала операционной деятельности</v>
      </c>
      <c r="F13" s="3"/>
      <c r="G13" s="3"/>
      <c r="H13" s="3"/>
      <c r="I13" s="3"/>
      <c r="J13" s="44">
        <f>EOMONTH(капитал!$J$15,0)+1</f>
        <v>44562</v>
      </c>
      <c r="K13" s="3"/>
      <c r="L13" s="3"/>
      <c r="M13" s="55"/>
      <c r="N13" s="3"/>
      <c r="O13" s="3"/>
      <c r="P13" s="46"/>
      <c r="Q13" s="46"/>
      <c r="R13" s="46"/>
      <c r="S13" s="46"/>
      <c r="T13" s="46"/>
      <c r="U13" s="46"/>
      <c r="V13" s="46"/>
      <c r="W13" s="46"/>
      <c r="X13" s="46"/>
      <c r="Y13" s="46"/>
      <c r="Z13" s="46"/>
      <c r="AA13" s="46"/>
      <c r="AB13" s="3"/>
    </row>
    <row r="14" spans="1:28" ht="3.9" customHeight="1" x14ac:dyDescent="0.25">
      <c r="A14" s="2"/>
      <c r="B14" s="2"/>
      <c r="C14" s="2"/>
      <c r="D14" s="2"/>
      <c r="E14" s="21"/>
      <c r="F14" s="2"/>
      <c r="G14" s="2"/>
      <c r="H14" s="2"/>
      <c r="I14" s="28"/>
      <c r="J14" s="21"/>
      <c r="K14" s="28"/>
      <c r="L14" s="3"/>
      <c r="M14" s="52"/>
      <c r="N14" s="2"/>
      <c r="O14" s="2"/>
      <c r="P14" s="36"/>
      <c r="Q14" s="36"/>
      <c r="R14" s="36"/>
      <c r="S14" s="36"/>
      <c r="T14" s="36"/>
      <c r="U14" s="36"/>
      <c r="V14" s="36"/>
      <c r="W14" s="36"/>
      <c r="X14" s="36"/>
      <c r="Y14" s="36"/>
      <c r="Z14" s="36"/>
      <c r="AA14" s="36"/>
      <c r="AB14" s="2"/>
    </row>
    <row r="15" spans="1:28" ht="3.9" customHeight="1" x14ac:dyDescent="0.25">
      <c r="A15" s="2"/>
      <c r="B15" s="2"/>
      <c r="C15" s="2"/>
      <c r="D15" s="2"/>
      <c r="E15" s="2"/>
      <c r="F15" s="2"/>
      <c r="G15" s="2"/>
      <c r="H15" s="2"/>
      <c r="I15" s="28"/>
      <c r="J15" s="2"/>
      <c r="K15" s="28"/>
      <c r="L15" s="3"/>
      <c r="M15" s="52"/>
      <c r="N15" s="2"/>
      <c r="O15" s="2"/>
      <c r="P15" s="36"/>
      <c r="Q15" s="36"/>
      <c r="R15" s="36"/>
      <c r="S15" s="36"/>
      <c r="T15" s="36"/>
      <c r="U15" s="36"/>
      <c r="V15" s="36"/>
      <c r="W15" s="36"/>
      <c r="X15" s="36"/>
      <c r="Y15" s="36"/>
      <c r="Z15" s="36"/>
      <c r="AA15" s="36"/>
      <c r="AB15" s="2"/>
    </row>
    <row r="16" spans="1:28" s="5" customFormat="1" x14ac:dyDescent="0.25">
      <c r="A16" s="3"/>
      <c r="B16" s="3"/>
      <c r="C16" s="3"/>
      <c r="D16" s="3"/>
      <c r="E16" s="3" t="str">
        <f>KPI!$E$30</f>
        <v>горизонт моделирования</v>
      </c>
      <c r="F16" s="3"/>
      <c r="G16" s="3" t="str">
        <f>IF($E16="","",INDEX(KPI!$G:$G,SUMIFS(KPI!$B:$B,KPI!$E:$E,$E16)))</f>
        <v>к-во лет</v>
      </c>
      <c r="H16" s="3"/>
      <c r="I16" s="6" t="s">
        <v>0</v>
      </c>
      <c r="J16" s="203">
        <v>7</v>
      </c>
      <c r="K16" s="30" t="s">
        <v>9</v>
      </c>
      <c r="L16" s="3"/>
      <c r="M16" s="55"/>
      <c r="N16" s="3"/>
      <c r="O16" s="3"/>
      <c r="P16" s="46"/>
      <c r="Q16" s="46"/>
      <c r="R16" s="46"/>
      <c r="S16" s="46"/>
      <c r="T16" s="46"/>
      <c r="U16" s="46"/>
      <c r="V16" s="46"/>
      <c r="W16" s="46"/>
      <c r="X16" s="46"/>
      <c r="Y16" s="46"/>
      <c r="Z16" s="46"/>
      <c r="AA16" s="46"/>
      <c r="AB16" s="3"/>
    </row>
    <row r="17" spans="1:28" ht="3.9" customHeight="1" x14ac:dyDescent="0.25">
      <c r="A17" s="2"/>
      <c r="B17" s="2"/>
      <c r="C17" s="2"/>
      <c r="D17" s="2"/>
      <c r="E17" s="21"/>
      <c r="F17" s="2"/>
      <c r="G17" s="21"/>
      <c r="H17" s="2"/>
      <c r="I17" s="28"/>
      <c r="J17" s="21"/>
      <c r="K17" s="28"/>
      <c r="L17" s="2"/>
      <c r="M17" s="52"/>
      <c r="N17" s="2"/>
      <c r="O17" s="2"/>
      <c r="P17" s="36"/>
      <c r="Q17" s="36"/>
      <c r="R17" s="36"/>
      <c r="S17" s="36"/>
      <c r="T17" s="36"/>
      <c r="U17" s="36"/>
      <c r="V17" s="36"/>
      <c r="W17" s="36"/>
      <c r="X17" s="36"/>
      <c r="Y17" s="36"/>
      <c r="Z17" s="36"/>
      <c r="AA17" s="36"/>
      <c r="AB17" s="2"/>
    </row>
    <row r="18" spans="1:28" ht="8.1" customHeight="1" x14ac:dyDescent="0.25">
      <c r="A18" s="2"/>
      <c r="B18" s="2"/>
      <c r="C18" s="2"/>
      <c r="D18" s="2"/>
      <c r="E18" s="2"/>
      <c r="F18" s="2"/>
      <c r="G18" s="2"/>
      <c r="H18" s="2"/>
      <c r="I18" s="28"/>
      <c r="J18" s="2"/>
      <c r="K18" s="28"/>
      <c r="L18" s="2"/>
      <c r="M18" s="52"/>
      <c r="N18" s="2"/>
      <c r="O18" s="2"/>
      <c r="P18" s="36"/>
      <c r="Q18" s="36"/>
      <c r="R18" s="36"/>
      <c r="S18" s="36"/>
      <c r="T18" s="36"/>
      <c r="U18" s="36"/>
      <c r="V18" s="36"/>
      <c r="W18" s="36"/>
      <c r="X18" s="36"/>
      <c r="Y18" s="36"/>
      <c r="Z18" s="36"/>
      <c r="AA18" s="36"/>
      <c r="AB18" s="2"/>
    </row>
    <row r="19" spans="1:28" s="5" customFormat="1" x14ac:dyDescent="0.25">
      <c r="A19" s="3"/>
      <c r="B19" s="3"/>
      <c r="C19" s="3"/>
      <c r="D19" s="3"/>
      <c r="E19" s="3" t="str">
        <f>KPI!$E$31</f>
        <v>наполняемость арендаторами</v>
      </c>
      <c r="F19" s="3"/>
      <c r="G19" s="3" t="str">
        <f>IF($E19="","",INDEX(KPI!$G:$G,SUMIFS(KPI!$B:$B,KPI!$E:$E,$E19)))</f>
        <v>%</v>
      </c>
      <c r="H19" s="3"/>
      <c r="I19" s="28"/>
      <c r="J19" s="44"/>
      <c r="K19" s="28"/>
      <c r="L19" s="3"/>
      <c r="M19" s="55"/>
      <c r="N19" s="3"/>
      <c r="O19" s="3"/>
      <c r="P19" s="104" t="str">
        <f>сценарии!$J$7</f>
        <v>сценарий-1</v>
      </c>
      <c r="Q19" s="46"/>
      <c r="R19" s="46"/>
      <c r="S19" s="46"/>
      <c r="T19" s="46"/>
      <c r="U19" s="46"/>
      <c r="V19" s="46"/>
      <c r="W19" s="46"/>
      <c r="X19" s="46"/>
      <c r="Y19" s="46"/>
      <c r="Z19" s="46"/>
      <c r="AA19" s="46"/>
      <c r="AB19" s="3"/>
    </row>
    <row r="20" spans="1:28" s="23" customFormat="1" ht="10.199999999999999" x14ac:dyDescent="0.2">
      <c r="A20" s="22"/>
      <c r="B20" s="22"/>
      <c r="C20" s="22"/>
      <c r="D20" s="22"/>
      <c r="E20" s="22" t="str">
        <f>E19</f>
        <v>наполняемость арендаторами</v>
      </c>
      <c r="F20" s="22"/>
      <c r="G20" s="22" t="str">
        <f>IF($E20="","",INDEX(KPI!$G:$G,SUMIFS(KPI!$B:$B,KPI!$E:$E,$E20)))</f>
        <v>%</v>
      </c>
      <c r="H20" s="100">
        <f>структура!$V$12</f>
        <v>1</v>
      </c>
      <c r="I20" s="31"/>
      <c r="J20" s="98" t="str">
        <f>структура!$X$12</f>
        <v>янв</v>
      </c>
      <c r="K20" s="99"/>
      <c r="L20" s="22"/>
      <c r="M20" s="58"/>
      <c r="N20" s="22"/>
      <c r="O20" s="22"/>
      <c r="P20" s="102">
        <f>IF(P$1="",0,SUMIFS(сценарии!P:P,сценарии!$E:$E,$E20,сценарии!$J:$J,$J20,сценарии!$M:$M,$P$19))</f>
        <v>0.2</v>
      </c>
      <c r="Q20" s="102">
        <f>IF(Q$1="",0,SUMIFS(сценарии!Q:Q,сценарии!$E:$E,$E20,сценарии!$J:$J,$J20,сценарии!$M:$M,$P$19))</f>
        <v>0.2</v>
      </c>
      <c r="R20" s="102">
        <f>IF(R$1="",0,SUMIFS(сценарии!R:R,сценарии!$E:$E,$E20,сценарии!$J:$J,$J20,сценарии!$M:$M,$P$19))</f>
        <v>0.2</v>
      </c>
      <c r="S20" s="102">
        <f>IF(S$1="",0,SUMIFS(сценарии!S:S,сценарии!$E:$E,$E20,сценарии!$J:$J,$J20,сценарии!$M:$M,$P$19))</f>
        <v>0.2</v>
      </c>
      <c r="T20" s="102">
        <f>IF(T$1="",0,SUMIFS(сценарии!T:T,сценарии!$E:$E,$E20,сценарии!$J:$J,$J20,сценарии!$M:$M,$P$19))</f>
        <v>0.2</v>
      </c>
      <c r="U20" s="102">
        <f>IF(U$1="",0,SUMIFS(сценарии!U:U,сценарии!$E:$E,$E20,сценарии!$J:$J,$J20,сценарии!$M:$M,$P$19))</f>
        <v>0.2</v>
      </c>
      <c r="V20" s="102">
        <f>IF(V$1="",0,SUMIFS(сценарии!V:V,сценарии!$E:$E,$E20,сценарии!$J:$J,$J20,сценарии!$M:$M,$P$19))</f>
        <v>0.2</v>
      </c>
      <c r="W20" s="102">
        <f>IF(W$1="",0,SUMIFS(сценарии!W:W,сценарии!$E:$E,$E20,сценарии!$J:$J,$J20,сценарии!$M:$M,$P$19))</f>
        <v>0</v>
      </c>
      <c r="X20" s="102">
        <f>IF(X$1="",0,SUMIFS(сценарии!X:X,сценарии!$E:$E,$E20,сценарии!$J:$J,$J20,сценарии!$M:$M,$P$19))</f>
        <v>0</v>
      </c>
      <c r="Y20" s="102">
        <f>IF(Y$1="",0,SUMIFS(сценарии!Y:Y,сценарии!$E:$E,$E20,сценарии!$J:$J,$J20,сценарии!$M:$M,$P$19))</f>
        <v>0</v>
      </c>
      <c r="Z20" s="102">
        <f>IF(Z$1="",0,SUMIFS(сценарии!Z:Z,сценарии!$E:$E,$E20,сценарии!$J:$J,$J20,сценарии!$M:$M,$P$19))</f>
        <v>0</v>
      </c>
      <c r="AA20" s="102">
        <f>IF(AA$1="",0,SUMIFS(сценарии!AA:AA,сценарии!$E:$E,$E20,сценарии!$J:$J,$J20,сценарии!$M:$M,$P$19))</f>
        <v>0</v>
      </c>
      <c r="AB20" s="22"/>
    </row>
    <row r="21" spans="1:28" s="23" customFormat="1" ht="10.199999999999999" x14ac:dyDescent="0.2">
      <c r="A21" s="22"/>
      <c r="B21" s="22"/>
      <c r="C21" s="22"/>
      <c r="D21" s="22"/>
      <c r="E21" s="22" t="str">
        <f>E19</f>
        <v>наполняемость арендаторами</v>
      </c>
      <c r="F21" s="22"/>
      <c r="G21" s="22" t="str">
        <f>IF($E21="","",INDEX(KPI!$G:$G,SUMIFS(KPI!$B:$B,KPI!$E:$E,$E21)))</f>
        <v>%</v>
      </c>
      <c r="H21" s="100">
        <f>структура!$V$13</f>
        <v>2</v>
      </c>
      <c r="I21" s="31"/>
      <c r="J21" s="98" t="str">
        <f>структура!$X$13</f>
        <v>фев</v>
      </c>
      <c r="K21" s="99"/>
      <c r="L21" s="22"/>
      <c r="M21" s="58"/>
      <c r="N21" s="22"/>
      <c r="O21" s="22"/>
      <c r="P21" s="102">
        <f>IF(P$1="",0,SUMIFS(сценарии!P:P,сценарии!$E:$E,$E21,сценарии!$J:$J,$J21,сценарии!$M:$M,$P$19))</f>
        <v>0.2</v>
      </c>
      <c r="Q21" s="102">
        <f>IF(Q$1="",0,SUMIFS(сценарии!Q:Q,сценарии!$E:$E,$E21,сценарии!$J:$J,$J21,сценарии!$M:$M,$P$19))</f>
        <v>0.2</v>
      </c>
      <c r="R21" s="102">
        <f>IF(R$1="",0,SUMIFS(сценарии!R:R,сценарии!$E:$E,$E21,сценарии!$J:$J,$J21,сценарии!$M:$M,$P$19))</f>
        <v>0.2</v>
      </c>
      <c r="S21" s="102">
        <f>IF(S$1="",0,SUMIFS(сценарии!S:S,сценарии!$E:$E,$E21,сценарии!$J:$J,$J21,сценарии!$M:$M,$P$19))</f>
        <v>0.2</v>
      </c>
      <c r="T21" s="102">
        <f>IF(T$1="",0,SUMIFS(сценарии!T:T,сценарии!$E:$E,$E21,сценарии!$J:$J,$J21,сценарии!$M:$M,$P$19))</f>
        <v>0.2</v>
      </c>
      <c r="U21" s="102">
        <f>IF(U$1="",0,SUMIFS(сценарии!U:U,сценарии!$E:$E,$E21,сценарии!$J:$J,$J21,сценарии!$M:$M,$P$19))</f>
        <v>0.2</v>
      </c>
      <c r="V21" s="102">
        <f>IF(V$1="",0,SUMIFS(сценарии!V:V,сценарии!$E:$E,$E21,сценарии!$J:$J,$J21,сценарии!$M:$M,$P$19))</f>
        <v>0.2</v>
      </c>
      <c r="W21" s="102">
        <f>IF(W$1="",0,SUMIFS(сценарии!W:W,сценарии!$E:$E,$E21,сценарии!$J:$J,$J21,сценарии!$M:$M,$P$19))</f>
        <v>0</v>
      </c>
      <c r="X21" s="102">
        <f>IF(X$1="",0,SUMIFS(сценарии!X:X,сценарии!$E:$E,$E21,сценарии!$J:$J,$J21,сценарии!$M:$M,$P$19))</f>
        <v>0</v>
      </c>
      <c r="Y21" s="102">
        <f>IF(Y$1="",0,SUMIFS(сценарии!Y:Y,сценарии!$E:$E,$E21,сценарии!$J:$J,$J21,сценарии!$M:$M,$P$19))</f>
        <v>0</v>
      </c>
      <c r="Z21" s="102">
        <f>IF(Z$1="",0,SUMIFS(сценарии!Z:Z,сценарии!$E:$E,$E21,сценарии!$J:$J,$J21,сценарии!$M:$M,$P$19))</f>
        <v>0</v>
      </c>
      <c r="AA21" s="102">
        <f>IF(AA$1="",0,SUMIFS(сценарии!AA:AA,сценарии!$E:$E,$E21,сценарии!$J:$J,$J21,сценарии!$M:$M,$P$19))</f>
        <v>0</v>
      </c>
      <c r="AB21" s="22"/>
    </row>
    <row r="22" spans="1:28" s="23" customFormat="1" ht="10.199999999999999" x14ac:dyDescent="0.2">
      <c r="A22" s="22"/>
      <c r="B22" s="22"/>
      <c r="C22" s="22"/>
      <c r="D22" s="22"/>
      <c r="E22" s="22" t="str">
        <f>E19</f>
        <v>наполняемость арендаторами</v>
      </c>
      <c r="F22" s="22"/>
      <c r="G22" s="22" t="str">
        <f>IF($E22="","",INDEX(KPI!$G:$G,SUMIFS(KPI!$B:$B,KPI!$E:$E,$E22)))</f>
        <v>%</v>
      </c>
      <c r="H22" s="100">
        <f>структура!$V$14</f>
        <v>3</v>
      </c>
      <c r="I22" s="31"/>
      <c r="J22" s="98" t="str">
        <f>структура!$X$14</f>
        <v>мар</v>
      </c>
      <c r="K22" s="99"/>
      <c r="L22" s="22"/>
      <c r="M22" s="58"/>
      <c r="N22" s="22"/>
      <c r="O22" s="22"/>
      <c r="P22" s="102">
        <f>IF(P$1="",0,SUMIFS(сценарии!P:P,сценарии!$E:$E,$E22,сценарии!$J:$J,$J22,сценарии!$M:$M,$P$19))</f>
        <v>0.25</v>
      </c>
      <c r="Q22" s="102">
        <f>IF(Q$1="",0,SUMIFS(сценарии!Q:Q,сценарии!$E:$E,$E22,сценарии!$J:$J,$J22,сценарии!$M:$M,$P$19))</f>
        <v>0.25</v>
      </c>
      <c r="R22" s="102">
        <f>IF(R$1="",0,SUMIFS(сценарии!R:R,сценарии!$E:$E,$E22,сценарии!$J:$J,$J22,сценарии!$M:$M,$P$19))</f>
        <v>0.25</v>
      </c>
      <c r="S22" s="102">
        <f>IF(S$1="",0,SUMIFS(сценарии!S:S,сценарии!$E:$E,$E22,сценарии!$J:$J,$J22,сценарии!$M:$M,$P$19))</f>
        <v>0.25</v>
      </c>
      <c r="T22" s="102">
        <f>IF(T$1="",0,SUMIFS(сценарии!T:T,сценарии!$E:$E,$E22,сценарии!$J:$J,$J22,сценарии!$M:$M,$P$19))</f>
        <v>0.25</v>
      </c>
      <c r="U22" s="102">
        <f>IF(U$1="",0,SUMIFS(сценарии!U:U,сценарии!$E:$E,$E22,сценарии!$J:$J,$J22,сценарии!$M:$M,$P$19))</f>
        <v>0.25</v>
      </c>
      <c r="V22" s="102">
        <f>IF(V$1="",0,SUMIFS(сценарии!V:V,сценарии!$E:$E,$E22,сценарии!$J:$J,$J22,сценарии!$M:$M,$P$19))</f>
        <v>0.25</v>
      </c>
      <c r="W22" s="102">
        <f>IF(W$1="",0,SUMIFS(сценарии!W:W,сценарии!$E:$E,$E22,сценарии!$J:$J,$J22,сценарии!$M:$M,$P$19))</f>
        <v>0</v>
      </c>
      <c r="X22" s="102">
        <f>IF(X$1="",0,SUMIFS(сценарии!X:X,сценарии!$E:$E,$E22,сценарии!$J:$J,$J22,сценарии!$M:$M,$P$19))</f>
        <v>0</v>
      </c>
      <c r="Y22" s="102">
        <f>IF(Y$1="",0,SUMIFS(сценарии!Y:Y,сценарии!$E:$E,$E22,сценарии!$J:$J,$J22,сценарии!$M:$M,$P$19))</f>
        <v>0</v>
      </c>
      <c r="Z22" s="102">
        <f>IF(Z$1="",0,SUMIFS(сценарии!Z:Z,сценарии!$E:$E,$E22,сценарии!$J:$J,$J22,сценарии!$M:$M,$P$19))</f>
        <v>0</v>
      </c>
      <c r="AA22" s="102">
        <f>IF(AA$1="",0,SUMIFS(сценарии!AA:AA,сценарии!$E:$E,$E22,сценарии!$J:$J,$J22,сценарии!$M:$M,$P$19))</f>
        <v>0</v>
      </c>
      <c r="AB22" s="22"/>
    </row>
    <row r="23" spans="1:28" s="23" customFormat="1" ht="10.199999999999999" x14ac:dyDescent="0.2">
      <c r="A23" s="22"/>
      <c r="B23" s="22"/>
      <c r="C23" s="22"/>
      <c r="D23" s="22"/>
      <c r="E23" s="22" t="str">
        <f>E19</f>
        <v>наполняемость арендаторами</v>
      </c>
      <c r="F23" s="22"/>
      <c r="G23" s="22" t="str">
        <f>IF($E23="","",INDEX(KPI!$G:$G,SUMIFS(KPI!$B:$B,KPI!$E:$E,$E23)))</f>
        <v>%</v>
      </c>
      <c r="H23" s="100">
        <f>структура!$V$15</f>
        <v>4</v>
      </c>
      <c r="I23" s="31"/>
      <c r="J23" s="98" t="str">
        <f>структура!$X$15</f>
        <v>апр</v>
      </c>
      <c r="K23" s="99"/>
      <c r="L23" s="22"/>
      <c r="M23" s="58"/>
      <c r="N23" s="22"/>
      <c r="O23" s="22"/>
      <c r="P23" s="102">
        <f>IF(P$1="",0,SUMIFS(сценарии!P:P,сценарии!$E:$E,$E23,сценарии!$J:$J,$J23,сценарии!$M:$M,$P$19))</f>
        <v>0.3</v>
      </c>
      <c r="Q23" s="102">
        <f>IF(Q$1="",0,SUMIFS(сценарии!Q:Q,сценарии!$E:$E,$E23,сценарии!$J:$J,$J23,сценарии!$M:$M,$P$19))</f>
        <v>0.3</v>
      </c>
      <c r="R23" s="102">
        <f>IF(R$1="",0,SUMIFS(сценарии!R:R,сценарии!$E:$E,$E23,сценарии!$J:$J,$J23,сценарии!$M:$M,$P$19))</f>
        <v>0.3</v>
      </c>
      <c r="S23" s="102">
        <f>IF(S$1="",0,SUMIFS(сценарии!S:S,сценарии!$E:$E,$E23,сценарии!$J:$J,$J23,сценарии!$M:$M,$P$19))</f>
        <v>0.3</v>
      </c>
      <c r="T23" s="102">
        <f>IF(T$1="",0,SUMIFS(сценарии!T:T,сценарии!$E:$E,$E23,сценарии!$J:$J,$J23,сценарии!$M:$M,$P$19))</f>
        <v>0.3</v>
      </c>
      <c r="U23" s="102">
        <f>IF(U$1="",0,SUMIFS(сценарии!U:U,сценарии!$E:$E,$E23,сценарии!$J:$J,$J23,сценарии!$M:$M,$P$19))</f>
        <v>0.3</v>
      </c>
      <c r="V23" s="102">
        <f>IF(V$1="",0,SUMIFS(сценарии!V:V,сценарии!$E:$E,$E23,сценарии!$J:$J,$J23,сценарии!$M:$M,$P$19))</f>
        <v>0.3</v>
      </c>
      <c r="W23" s="102">
        <f>IF(W$1="",0,SUMIFS(сценарии!W:W,сценарии!$E:$E,$E23,сценарии!$J:$J,$J23,сценарии!$M:$M,$P$19))</f>
        <v>0</v>
      </c>
      <c r="X23" s="102">
        <f>IF(X$1="",0,SUMIFS(сценарии!X:X,сценарии!$E:$E,$E23,сценарии!$J:$J,$J23,сценарии!$M:$M,$P$19))</f>
        <v>0</v>
      </c>
      <c r="Y23" s="102">
        <f>IF(Y$1="",0,SUMIFS(сценарии!Y:Y,сценарии!$E:$E,$E23,сценарии!$J:$J,$J23,сценарии!$M:$M,$P$19))</f>
        <v>0</v>
      </c>
      <c r="Z23" s="102">
        <f>IF(Z$1="",0,SUMIFS(сценарии!Z:Z,сценарии!$E:$E,$E23,сценарии!$J:$J,$J23,сценарии!$M:$M,$P$19))</f>
        <v>0</v>
      </c>
      <c r="AA23" s="102">
        <f>IF(AA$1="",0,SUMIFS(сценарии!AA:AA,сценарии!$E:$E,$E23,сценарии!$J:$J,$J23,сценарии!$M:$M,$P$19))</f>
        <v>0</v>
      </c>
      <c r="AB23" s="22"/>
    </row>
    <row r="24" spans="1:28" s="23" customFormat="1" ht="10.199999999999999" x14ac:dyDescent="0.2">
      <c r="A24" s="22"/>
      <c r="B24" s="22"/>
      <c r="C24" s="22"/>
      <c r="D24" s="22"/>
      <c r="E24" s="22" t="str">
        <f>E19</f>
        <v>наполняемость арендаторами</v>
      </c>
      <c r="F24" s="22"/>
      <c r="G24" s="22" t="str">
        <f>IF($E24="","",INDEX(KPI!$G:$G,SUMIFS(KPI!$B:$B,KPI!$E:$E,$E24)))</f>
        <v>%</v>
      </c>
      <c r="H24" s="100">
        <f>структура!$V$16</f>
        <v>5</v>
      </c>
      <c r="I24" s="31"/>
      <c r="J24" s="98" t="str">
        <f>структура!$X$16</f>
        <v>май</v>
      </c>
      <c r="K24" s="99"/>
      <c r="L24" s="22"/>
      <c r="M24" s="58"/>
      <c r="N24" s="22"/>
      <c r="O24" s="22"/>
      <c r="P24" s="102">
        <f>IF(P$1="",0,SUMIFS(сценарии!P:P,сценарии!$E:$E,$E24,сценарии!$J:$J,$J24,сценарии!$M:$M,$P$19))</f>
        <v>0.3</v>
      </c>
      <c r="Q24" s="102">
        <f>IF(Q$1="",0,SUMIFS(сценарии!Q:Q,сценарии!$E:$E,$E24,сценарии!$J:$J,$J24,сценарии!$M:$M,$P$19))</f>
        <v>0.3</v>
      </c>
      <c r="R24" s="102">
        <f>IF(R$1="",0,SUMIFS(сценарии!R:R,сценарии!$E:$E,$E24,сценарии!$J:$J,$J24,сценарии!$M:$M,$P$19))</f>
        <v>0.3</v>
      </c>
      <c r="S24" s="102">
        <f>IF(S$1="",0,SUMIFS(сценарии!S:S,сценарии!$E:$E,$E24,сценарии!$J:$J,$J24,сценарии!$M:$M,$P$19))</f>
        <v>0.3</v>
      </c>
      <c r="T24" s="102">
        <f>IF(T$1="",0,SUMIFS(сценарии!T:T,сценарии!$E:$E,$E24,сценарии!$J:$J,$J24,сценарии!$M:$M,$P$19))</f>
        <v>0.3</v>
      </c>
      <c r="U24" s="102">
        <f>IF(U$1="",0,SUMIFS(сценарии!U:U,сценарии!$E:$E,$E24,сценарии!$J:$J,$J24,сценарии!$M:$M,$P$19))</f>
        <v>0.3</v>
      </c>
      <c r="V24" s="102">
        <f>IF(V$1="",0,SUMIFS(сценарии!V:V,сценарии!$E:$E,$E24,сценарии!$J:$J,$J24,сценарии!$M:$M,$P$19))</f>
        <v>0.3</v>
      </c>
      <c r="W24" s="102">
        <f>IF(W$1="",0,SUMIFS(сценарии!W:W,сценарии!$E:$E,$E24,сценарии!$J:$J,$J24,сценарии!$M:$M,$P$19))</f>
        <v>0</v>
      </c>
      <c r="X24" s="102">
        <f>IF(X$1="",0,SUMIFS(сценарии!X:X,сценарии!$E:$E,$E24,сценарии!$J:$J,$J24,сценарии!$M:$M,$P$19))</f>
        <v>0</v>
      </c>
      <c r="Y24" s="102">
        <f>IF(Y$1="",0,SUMIFS(сценарии!Y:Y,сценарии!$E:$E,$E24,сценарии!$J:$J,$J24,сценарии!$M:$M,$P$19))</f>
        <v>0</v>
      </c>
      <c r="Z24" s="102">
        <f>IF(Z$1="",0,SUMIFS(сценарии!Z:Z,сценарии!$E:$E,$E24,сценарии!$J:$J,$J24,сценарии!$M:$M,$P$19))</f>
        <v>0</v>
      </c>
      <c r="AA24" s="102">
        <f>IF(AA$1="",0,SUMIFS(сценарии!AA:AA,сценарии!$E:$E,$E24,сценарии!$J:$J,$J24,сценарии!$M:$M,$P$19))</f>
        <v>0</v>
      </c>
      <c r="AB24" s="22"/>
    </row>
    <row r="25" spans="1:28" s="23" customFormat="1" ht="10.199999999999999" x14ac:dyDescent="0.2">
      <c r="A25" s="22"/>
      <c r="B25" s="22"/>
      <c r="C25" s="22"/>
      <c r="D25" s="22"/>
      <c r="E25" s="22" t="str">
        <f>E19</f>
        <v>наполняемость арендаторами</v>
      </c>
      <c r="F25" s="22"/>
      <c r="G25" s="22" t="str">
        <f>IF($E25="","",INDEX(KPI!$G:$G,SUMIFS(KPI!$B:$B,KPI!$E:$E,$E25)))</f>
        <v>%</v>
      </c>
      <c r="H25" s="100">
        <f>структура!$V$17</f>
        <v>6</v>
      </c>
      <c r="I25" s="31"/>
      <c r="J25" s="98" t="str">
        <f>структура!$X$17</f>
        <v>июн</v>
      </c>
      <c r="K25" s="99"/>
      <c r="L25" s="22"/>
      <c r="M25" s="58"/>
      <c r="N25" s="22"/>
      <c r="O25" s="22"/>
      <c r="P25" s="102">
        <f>IF(P$1="",0,SUMIFS(сценарии!P:P,сценарии!$E:$E,$E25,сценарии!$J:$J,$J25,сценарии!$M:$M,$P$19))</f>
        <v>0.4</v>
      </c>
      <c r="Q25" s="102">
        <f>IF(Q$1="",0,SUMIFS(сценарии!Q:Q,сценарии!$E:$E,$E25,сценарии!$J:$J,$J25,сценарии!$M:$M,$P$19))</f>
        <v>0.4</v>
      </c>
      <c r="R25" s="102">
        <f>IF(R$1="",0,SUMIFS(сценарии!R:R,сценарии!$E:$E,$E25,сценарии!$J:$J,$J25,сценарии!$M:$M,$P$19))</f>
        <v>0.4</v>
      </c>
      <c r="S25" s="102">
        <f>IF(S$1="",0,SUMIFS(сценарии!S:S,сценарии!$E:$E,$E25,сценарии!$J:$J,$J25,сценарии!$M:$M,$P$19))</f>
        <v>0.4</v>
      </c>
      <c r="T25" s="102">
        <f>IF(T$1="",0,SUMIFS(сценарии!T:T,сценарии!$E:$E,$E25,сценарии!$J:$J,$J25,сценарии!$M:$M,$P$19))</f>
        <v>0.4</v>
      </c>
      <c r="U25" s="102">
        <f>IF(U$1="",0,SUMIFS(сценарии!U:U,сценарии!$E:$E,$E25,сценарии!$J:$J,$J25,сценарии!$M:$M,$P$19))</f>
        <v>0.4</v>
      </c>
      <c r="V25" s="102">
        <f>IF(V$1="",0,SUMIFS(сценарии!V:V,сценарии!$E:$E,$E25,сценарии!$J:$J,$J25,сценарии!$M:$M,$P$19))</f>
        <v>0.4</v>
      </c>
      <c r="W25" s="102">
        <f>IF(W$1="",0,SUMIFS(сценарии!W:W,сценарии!$E:$E,$E25,сценарии!$J:$J,$J25,сценарии!$M:$M,$P$19))</f>
        <v>0</v>
      </c>
      <c r="X25" s="102">
        <f>IF(X$1="",0,SUMIFS(сценарии!X:X,сценарии!$E:$E,$E25,сценарии!$J:$J,$J25,сценарии!$M:$M,$P$19))</f>
        <v>0</v>
      </c>
      <c r="Y25" s="102">
        <f>IF(Y$1="",0,SUMIFS(сценарии!Y:Y,сценарии!$E:$E,$E25,сценарии!$J:$J,$J25,сценарии!$M:$M,$P$19))</f>
        <v>0</v>
      </c>
      <c r="Z25" s="102">
        <f>IF(Z$1="",0,SUMIFS(сценарии!Z:Z,сценарии!$E:$E,$E25,сценарии!$J:$J,$J25,сценарии!$M:$M,$P$19))</f>
        <v>0</v>
      </c>
      <c r="AA25" s="102">
        <f>IF(AA$1="",0,SUMIFS(сценарии!AA:AA,сценарии!$E:$E,$E25,сценарии!$J:$J,$J25,сценарии!$M:$M,$P$19))</f>
        <v>0</v>
      </c>
      <c r="AB25" s="22"/>
    </row>
    <row r="26" spans="1:28" s="23" customFormat="1" ht="10.199999999999999" x14ac:dyDescent="0.2">
      <c r="A26" s="22"/>
      <c r="B26" s="22"/>
      <c r="C26" s="22"/>
      <c r="D26" s="22"/>
      <c r="E26" s="22" t="str">
        <f>E19</f>
        <v>наполняемость арендаторами</v>
      </c>
      <c r="F26" s="22"/>
      <c r="G26" s="22" t="str">
        <f>IF($E26="","",INDEX(KPI!$G:$G,SUMIFS(KPI!$B:$B,KPI!$E:$E,$E26)))</f>
        <v>%</v>
      </c>
      <c r="H26" s="100">
        <f>структура!$V$18</f>
        <v>7</v>
      </c>
      <c r="I26" s="31"/>
      <c r="J26" s="98" t="str">
        <f>структура!$X$18</f>
        <v>июл</v>
      </c>
      <c r="K26" s="99"/>
      <c r="L26" s="22"/>
      <c r="M26" s="58"/>
      <c r="N26" s="22"/>
      <c r="O26" s="22"/>
      <c r="P26" s="102">
        <f>IF(P$1="",0,SUMIFS(сценарии!P:P,сценарии!$E:$E,$E26,сценарии!$J:$J,$J26,сценарии!$M:$M,$P$19))</f>
        <v>0.4</v>
      </c>
      <c r="Q26" s="102">
        <f>IF(Q$1="",0,SUMIFS(сценарии!Q:Q,сценарии!$E:$E,$E26,сценарии!$J:$J,$J26,сценарии!$M:$M,$P$19))</f>
        <v>0.4</v>
      </c>
      <c r="R26" s="102">
        <f>IF(R$1="",0,SUMIFS(сценарии!R:R,сценарии!$E:$E,$E26,сценарии!$J:$J,$J26,сценарии!$M:$M,$P$19))</f>
        <v>0.4</v>
      </c>
      <c r="S26" s="102">
        <f>IF(S$1="",0,SUMIFS(сценарии!S:S,сценарии!$E:$E,$E26,сценарии!$J:$J,$J26,сценарии!$M:$M,$P$19))</f>
        <v>0.4</v>
      </c>
      <c r="T26" s="102">
        <f>IF(T$1="",0,SUMIFS(сценарии!T:T,сценарии!$E:$E,$E26,сценарии!$J:$J,$J26,сценарии!$M:$M,$P$19))</f>
        <v>0.4</v>
      </c>
      <c r="U26" s="102">
        <f>IF(U$1="",0,SUMIFS(сценарии!U:U,сценарии!$E:$E,$E26,сценарии!$J:$J,$J26,сценарии!$M:$M,$P$19))</f>
        <v>0.4</v>
      </c>
      <c r="V26" s="102">
        <f>IF(V$1="",0,SUMIFS(сценарии!V:V,сценарии!$E:$E,$E26,сценарии!$J:$J,$J26,сценарии!$M:$M,$P$19))</f>
        <v>0.4</v>
      </c>
      <c r="W26" s="102">
        <f>IF(W$1="",0,SUMIFS(сценарии!W:W,сценарии!$E:$E,$E26,сценарии!$J:$J,$J26,сценарии!$M:$M,$P$19))</f>
        <v>0</v>
      </c>
      <c r="X26" s="102">
        <f>IF(X$1="",0,SUMIFS(сценарии!X:X,сценарии!$E:$E,$E26,сценарии!$J:$J,$J26,сценарии!$M:$M,$P$19))</f>
        <v>0</v>
      </c>
      <c r="Y26" s="102">
        <f>IF(Y$1="",0,SUMIFS(сценарии!Y:Y,сценарии!$E:$E,$E26,сценарии!$J:$J,$J26,сценарии!$M:$M,$P$19))</f>
        <v>0</v>
      </c>
      <c r="Z26" s="102">
        <f>IF(Z$1="",0,SUMIFS(сценарии!Z:Z,сценарии!$E:$E,$E26,сценарии!$J:$J,$J26,сценарии!$M:$M,$P$19))</f>
        <v>0</v>
      </c>
      <c r="AA26" s="102">
        <f>IF(AA$1="",0,SUMIFS(сценарии!AA:AA,сценарии!$E:$E,$E26,сценарии!$J:$J,$J26,сценарии!$M:$M,$P$19))</f>
        <v>0</v>
      </c>
      <c r="AB26" s="22"/>
    </row>
    <row r="27" spans="1:28" s="23" customFormat="1" ht="10.199999999999999" x14ac:dyDescent="0.2">
      <c r="A27" s="22"/>
      <c r="B27" s="22"/>
      <c r="C27" s="22"/>
      <c r="D27" s="22"/>
      <c r="E27" s="22" t="str">
        <f>E19</f>
        <v>наполняемость арендаторами</v>
      </c>
      <c r="F27" s="22"/>
      <c r="G27" s="22" t="str">
        <f>IF($E27="","",INDEX(KPI!$G:$G,SUMIFS(KPI!$B:$B,KPI!$E:$E,$E27)))</f>
        <v>%</v>
      </c>
      <c r="H27" s="100">
        <f>структура!$V$19</f>
        <v>8</v>
      </c>
      <c r="I27" s="31"/>
      <c r="J27" s="98" t="str">
        <f>структура!$X$19</f>
        <v>авг</v>
      </c>
      <c r="K27" s="99"/>
      <c r="L27" s="22"/>
      <c r="M27" s="58"/>
      <c r="N27" s="22"/>
      <c r="O27" s="22"/>
      <c r="P27" s="102">
        <f>IF(P$1="",0,SUMIFS(сценарии!P:P,сценарии!$E:$E,$E27,сценарии!$J:$J,$J27,сценарии!$M:$M,$P$19))</f>
        <v>0.4</v>
      </c>
      <c r="Q27" s="102">
        <f>IF(Q$1="",0,SUMIFS(сценарии!Q:Q,сценарии!$E:$E,$E27,сценарии!$J:$J,$J27,сценарии!$M:$M,$P$19))</f>
        <v>0.4</v>
      </c>
      <c r="R27" s="102">
        <f>IF(R$1="",0,SUMIFS(сценарии!R:R,сценарии!$E:$E,$E27,сценарии!$J:$J,$J27,сценарии!$M:$M,$P$19))</f>
        <v>0.4</v>
      </c>
      <c r="S27" s="102">
        <f>IF(S$1="",0,SUMIFS(сценарии!S:S,сценарии!$E:$E,$E27,сценарии!$J:$J,$J27,сценарии!$M:$M,$P$19))</f>
        <v>0.4</v>
      </c>
      <c r="T27" s="102">
        <f>IF(T$1="",0,SUMIFS(сценарии!T:T,сценарии!$E:$E,$E27,сценарии!$J:$J,$J27,сценарии!$M:$M,$P$19))</f>
        <v>0.4</v>
      </c>
      <c r="U27" s="102">
        <f>IF(U$1="",0,SUMIFS(сценарии!U:U,сценарии!$E:$E,$E27,сценарии!$J:$J,$J27,сценарии!$M:$M,$P$19))</f>
        <v>0.4</v>
      </c>
      <c r="V27" s="102">
        <f>IF(V$1="",0,SUMIFS(сценарии!V:V,сценарии!$E:$E,$E27,сценарии!$J:$J,$J27,сценарии!$M:$M,$P$19))</f>
        <v>0.4</v>
      </c>
      <c r="W27" s="102">
        <f>IF(W$1="",0,SUMIFS(сценарии!W:W,сценарии!$E:$E,$E27,сценарии!$J:$J,$J27,сценарии!$M:$M,$P$19))</f>
        <v>0</v>
      </c>
      <c r="X27" s="102">
        <f>IF(X$1="",0,SUMIFS(сценарии!X:X,сценарии!$E:$E,$E27,сценарии!$J:$J,$J27,сценарии!$M:$M,$P$19))</f>
        <v>0</v>
      </c>
      <c r="Y27" s="102">
        <f>IF(Y$1="",0,SUMIFS(сценарии!Y:Y,сценарии!$E:$E,$E27,сценарии!$J:$J,$J27,сценарии!$M:$M,$P$19))</f>
        <v>0</v>
      </c>
      <c r="Z27" s="102">
        <f>IF(Z$1="",0,SUMIFS(сценарии!Z:Z,сценарии!$E:$E,$E27,сценарии!$J:$J,$J27,сценарии!$M:$M,$P$19))</f>
        <v>0</v>
      </c>
      <c r="AA27" s="102">
        <f>IF(AA$1="",0,SUMIFS(сценарии!AA:AA,сценарии!$E:$E,$E27,сценарии!$J:$J,$J27,сценарии!$M:$M,$P$19))</f>
        <v>0</v>
      </c>
      <c r="AB27" s="22"/>
    </row>
    <row r="28" spans="1:28" s="23" customFormat="1" ht="10.199999999999999" x14ac:dyDescent="0.2">
      <c r="A28" s="22"/>
      <c r="B28" s="22"/>
      <c r="C28" s="22"/>
      <c r="D28" s="22"/>
      <c r="E28" s="22" t="str">
        <f>E19</f>
        <v>наполняемость арендаторами</v>
      </c>
      <c r="F28" s="22"/>
      <c r="G28" s="22" t="str">
        <f>IF($E28="","",INDEX(KPI!$G:$G,SUMIFS(KPI!$B:$B,KPI!$E:$E,$E28)))</f>
        <v>%</v>
      </c>
      <c r="H28" s="100">
        <f>структура!$V$20</f>
        <v>9</v>
      </c>
      <c r="I28" s="31"/>
      <c r="J28" s="98" t="str">
        <f>структура!$X$20</f>
        <v>сен</v>
      </c>
      <c r="K28" s="99"/>
      <c r="L28" s="22"/>
      <c r="M28" s="58"/>
      <c r="N28" s="22"/>
      <c r="O28" s="22"/>
      <c r="P28" s="102">
        <f>IF(P$1="",0,SUMIFS(сценарии!P:P,сценарии!$E:$E,$E28,сценарии!$J:$J,$J28,сценарии!$M:$M,$P$19))</f>
        <v>0.35</v>
      </c>
      <c r="Q28" s="102">
        <f>IF(Q$1="",0,SUMIFS(сценарии!Q:Q,сценарии!$E:$E,$E28,сценарии!$J:$J,$J28,сценарии!$M:$M,$P$19))</f>
        <v>0.35</v>
      </c>
      <c r="R28" s="102">
        <f>IF(R$1="",0,SUMIFS(сценарии!R:R,сценарии!$E:$E,$E28,сценарии!$J:$J,$J28,сценарии!$M:$M,$P$19))</f>
        <v>0.35</v>
      </c>
      <c r="S28" s="102">
        <f>IF(S$1="",0,SUMIFS(сценарии!S:S,сценарии!$E:$E,$E28,сценарии!$J:$J,$J28,сценарии!$M:$M,$P$19))</f>
        <v>0.35</v>
      </c>
      <c r="T28" s="102">
        <f>IF(T$1="",0,SUMIFS(сценарии!T:T,сценарии!$E:$E,$E28,сценарии!$J:$J,$J28,сценарии!$M:$M,$P$19))</f>
        <v>0.35</v>
      </c>
      <c r="U28" s="102">
        <f>IF(U$1="",0,SUMIFS(сценарии!U:U,сценарии!$E:$E,$E28,сценарии!$J:$J,$J28,сценарии!$M:$M,$P$19))</f>
        <v>0.35</v>
      </c>
      <c r="V28" s="102">
        <f>IF(V$1="",0,SUMIFS(сценарии!V:V,сценарии!$E:$E,$E28,сценарии!$J:$J,$J28,сценарии!$M:$M,$P$19))</f>
        <v>0.35</v>
      </c>
      <c r="W28" s="102">
        <f>IF(W$1="",0,SUMIFS(сценарии!W:W,сценарии!$E:$E,$E28,сценарии!$J:$J,$J28,сценарии!$M:$M,$P$19))</f>
        <v>0</v>
      </c>
      <c r="X28" s="102">
        <f>IF(X$1="",0,SUMIFS(сценарии!X:X,сценарии!$E:$E,$E28,сценарии!$J:$J,$J28,сценарии!$M:$M,$P$19))</f>
        <v>0</v>
      </c>
      <c r="Y28" s="102">
        <f>IF(Y$1="",0,SUMIFS(сценарии!Y:Y,сценарии!$E:$E,$E28,сценарии!$J:$J,$J28,сценарии!$M:$M,$P$19))</f>
        <v>0</v>
      </c>
      <c r="Z28" s="102">
        <f>IF(Z$1="",0,SUMIFS(сценарии!Z:Z,сценарии!$E:$E,$E28,сценарии!$J:$J,$J28,сценарии!$M:$M,$P$19))</f>
        <v>0</v>
      </c>
      <c r="AA28" s="102">
        <f>IF(AA$1="",0,SUMIFS(сценарии!AA:AA,сценарии!$E:$E,$E28,сценарии!$J:$J,$J28,сценарии!$M:$M,$P$19))</f>
        <v>0</v>
      </c>
      <c r="AB28" s="22"/>
    </row>
    <row r="29" spans="1:28" s="23" customFormat="1" ht="10.199999999999999" x14ac:dyDescent="0.2">
      <c r="A29" s="22"/>
      <c r="B29" s="22"/>
      <c r="C29" s="22"/>
      <c r="D29" s="22"/>
      <c r="E29" s="22" t="str">
        <f>E19</f>
        <v>наполняемость арендаторами</v>
      </c>
      <c r="F29" s="22"/>
      <c r="G29" s="22" t="str">
        <f>IF($E29="","",INDEX(KPI!$G:$G,SUMIFS(KPI!$B:$B,KPI!$E:$E,$E29)))</f>
        <v>%</v>
      </c>
      <c r="H29" s="100">
        <f>структура!$V$21</f>
        <v>10</v>
      </c>
      <c r="I29" s="31"/>
      <c r="J29" s="98" t="str">
        <f>структура!$X$21</f>
        <v>окт</v>
      </c>
      <c r="K29" s="99"/>
      <c r="L29" s="22"/>
      <c r="M29" s="58"/>
      <c r="N29" s="22"/>
      <c r="O29" s="22"/>
      <c r="P29" s="102">
        <f>IF(P$1="",0,SUMIFS(сценарии!P:P,сценарии!$E:$E,$E29,сценарии!$J:$J,$J29,сценарии!$M:$M,$P$19))</f>
        <v>0.28000000000000003</v>
      </c>
      <c r="Q29" s="102">
        <f>IF(Q$1="",0,SUMIFS(сценарии!Q:Q,сценарии!$E:$E,$E29,сценарии!$J:$J,$J29,сценарии!$M:$M,$P$19))</f>
        <v>0.28000000000000003</v>
      </c>
      <c r="R29" s="102">
        <f>IF(R$1="",0,SUMIFS(сценарии!R:R,сценарии!$E:$E,$E29,сценарии!$J:$J,$J29,сценарии!$M:$M,$P$19))</f>
        <v>0.28000000000000003</v>
      </c>
      <c r="S29" s="102">
        <f>IF(S$1="",0,SUMIFS(сценарии!S:S,сценарии!$E:$E,$E29,сценарии!$J:$J,$J29,сценарии!$M:$M,$P$19))</f>
        <v>0.28000000000000003</v>
      </c>
      <c r="T29" s="102">
        <f>IF(T$1="",0,SUMIFS(сценарии!T:T,сценарии!$E:$E,$E29,сценарии!$J:$J,$J29,сценарии!$M:$M,$P$19))</f>
        <v>0.28000000000000003</v>
      </c>
      <c r="U29" s="102">
        <f>IF(U$1="",0,SUMIFS(сценарии!U:U,сценарии!$E:$E,$E29,сценарии!$J:$J,$J29,сценарии!$M:$M,$P$19))</f>
        <v>0.28000000000000003</v>
      </c>
      <c r="V29" s="102">
        <f>IF(V$1="",0,SUMIFS(сценарии!V:V,сценарии!$E:$E,$E29,сценарии!$J:$J,$J29,сценарии!$M:$M,$P$19))</f>
        <v>0.28000000000000003</v>
      </c>
      <c r="W29" s="102">
        <f>IF(W$1="",0,SUMIFS(сценарии!W:W,сценарии!$E:$E,$E29,сценарии!$J:$J,$J29,сценарии!$M:$M,$P$19))</f>
        <v>0</v>
      </c>
      <c r="X29" s="102">
        <f>IF(X$1="",0,SUMIFS(сценарии!X:X,сценарии!$E:$E,$E29,сценарии!$J:$J,$J29,сценарии!$M:$M,$P$19))</f>
        <v>0</v>
      </c>
      <c r="Y29" s="102">
        <f>IF(Y$1="",0,SUMIFS(сценарии!Y:Y,сценарии!$E:$E,$E29,сценарии!$J:$J,$J29,сценарии!$M:$M,$P$19))</f>
        <v>0</v>
      </c>
      <c r="Z29" s="102">
        <f>IF(Z$1="",0,SUMIFS(сценарии!Z:Z,сценарии!$E:$E,$E29,сценарии!$J:$J,$J29,сценарии!$M:$M,$P$19))</f>
        <v>0</v>
      </c>
      <c r="AA29" s="102">
        <f>IF(AA$1="",0,SUMIFS(сценарии!AA:AA,сценарии!$E:$E,$E29,сценарии!$J:$J,$J29,сценарии!$M:$M,$P$19))</f>
        <v>0</v>
      </c>
      <c r="AB29" s="22"/>
    </row>
    <row r="30" spans="1:28" s="23" customFormat="1" ht="10.199999999999999" x14ac:dyDescent="0.2">
      <c r="A30" s="22"/>
      <c r="B30" s="22"/>
      <c r="C30" s="22"/>
      <c r="D30" s="22"/>
      <c r="E30" s="22" t="str">
        <f>E19</f>
        <v>наполняемость арендаторами</v>
      </c>
      <c r="F30" s="22"/>
      <c r="G30" s="22" t="str">
        <f>IF($E30="","",INDEX(KPI!$G:$G,SUMIFS(KPI!$B:$B,KPI!$E:$E,$E30)))</f>
        <v>%</v>
      </c>
      <c r="H30" s="100">
        <f>структура!$V$22</f>
        <v>11</v>
      </c>
      <c r="I30" s="31"/>
      <c r="J30" s="98" t="str">
        <f>структура!$X$22</f>
        <v>ноя</v>
      </c>
      <c r="K30" s="99"/>
      <c r="L30" s="22"/>
      <c r="M30" s="58"/>
      <c r="N30" s="22"/>
      <c r="O30" s="22"/>
      <c r="P30" s="102">
        <f>IF(P$1="",0,SUMIFS(сценарии!P:P,сценарии!$E:$E,$E30,сценарии!$J:$J,$J30,сценарии!$M:$M,$P$19))</f>
        <v>0.25</v>
      </c>
      <c r="Q30" s="102">
        <f>IF(Q$1="",0,SUMIFS(сценарии!Q:Q,сценарии!$E:$E,$E30,сценарии!$J:$J,$J30,сценарии!$M:$M,$P$19))</f>
        <v>0.25</v>
      </c>
      <c r="R30" s="102">
        <f>IF(R$1="",0,SUMIFS(сценарии!R:R,сценарии!$E:$E,$E30,сценарии!$J:$J,$J30,сценарии!$M:$M,$P$19))</f>
        <v>0.25</v>
      </c>
      <c r="S30" s="102">
        <f>IF(S$1="",0,SUMIFS(сценарии!S:S,сценарии!$E:$E,$E30,сценарии!$J:$J,$J30,сценарии!$M:$M,$P$19))</f>
        <v>0.25</v>
      </c>
      <c r="T30" s="102">
        <f>IF(T$1="",0,SUMIFS(сценарии!T:T,сценарии!$E:$E,$E30,сценарии!$J:$J,$J30,сценарии!$M:$M,$P$19))</f>
        <v>0.25</v>
      </c>
      <c r="U30" s="102">
        <f>IF(U$1="",0,SUMIFS(сценарии!U:U,сценарии!$E:$E,$E30,сценарии!$J:$J,$J30,сценарии!$M:$M,$P$19))</f>
        <v>0.25</v>
      </c>
      <c r="V30" s="102">
        <f>IF(V$1="",0,SUMIFS(сценарии!V:V,сценарии!$E:$E,$E30,сценарии!$J:$J,$J30,сценарии!$M:$M,$P$19))</f>
        <v>0.25</v>
      </c>
      <c r="W30" s="102">
        <f>IF(W$1="",0,SUMIFS(сценарии!W:W,сценарии!$E:$E,$E30,сценарии!$J:$J,$J30,сценарии!$M:$M,$P$19))</f>
        <v>0</v>
      </c>
      <c r="X30" s="102">
        <f>IF(X$1="",0,SUMIFS(сценарии!X:X,сценарии!$E:$E,$E30,сценарии!$J:$J,$J30,сценарии!$M:$M,$P$19))</f>
        <v>0</v>
      </c>
      <c r="Y30" s="102">
        <f>IF(Y$1="",0,SUMIFS(сценарии!Y:Y,сценарии!$E:$E,$E30,сценарии!$J:$J,$J30,сценарии!$M:$M,$P$19))</f>
        <v>0</v>
      </c>
      <c r="Z30" s="102">
        <f>IF(Z$1="",0,SUMIFS(сценарии!Z:Z,сценарии!$E:$E,$E30,сценарии!$J:$J,$J30,сценарии!$M:$M,$P$19))</f>
        <v>0</v>
      </c>
      <c r="AA30" s="102">
        <f>IF(AA$1="",0,SUMIFS(сценарии!AA:AA,сценарии!$E:$E,$E30,сценарии!$J:$J,$J30,сценарии!$M:$M,$P$19))</f>
        <v>0</v>
      </c>
      <c r="AB30" s="22"/>
    </row>
    <row r="31" spans="1:28" s="23" customFormat="1" ht="10.199999999999999" x14ac:dyDescent="0.2">
      <c r="A31" s="22"/>
      <c r="B31" s="22"/>
      <c r="C31" s="22"/>
      <c r="D31" s="22"/>
      <c r="E31" s="22" t="str">
        <f>E19</f>
        <v>наполняемость арендаторами</v>
      </c>
      <c r="F31" s="22"/>
      <c r="G31" s="22" t="str">
        <f>IF($E31="","",INDEX(KPI!$G:$G,SUMIFS(KPI!$B:$B,KPI!$E:$E,$E31)))</f>
        <v>%</v>
      </c>
      <c r="H31" s="100">
        <f>структура!$V$23</f>
        <v>12</v>
      </c>
      <c r="I31" s="31"/>
      <c r="J31" s="98" t="str">
        <f>структура!$X$23</f>
        <v>дек</v>
      </c>
      <c r="K31" s="99"/>
      <c r="L31" s="22"/>
      <c r="M31" s="58"/>
      <c r="N31" s="22"/>
      <c r="O31" s="22"/>
      <c r="P31" s="102">
        <f>IF(P$1="",0,SUMIFS(сценарии!P:P,сценарии!$E:$E,$E31,сценарии!$J:$J,$J31,сценарии!$M:$M,$P$19))</f>
        <v>0.2</v>
      </c>
      <c r="Q31" s="102">
        <f>IF(Q$1="",0,SUMIFS(сценарии!Q:Q,сценарии!$E:$E,$E31,сценарии!$J:$J,$J31,сценарии!$M:$M,$P$19))</f>
        <v>0.2</v>
      </c>
      <c r="R31" s="102">
        <f>IF(R$1="",0,SUMIFS(сценарии!R:R,сценарии!$E:$E,$E31,сценарии!$J:$J,$J31,сценарии!$M:$M,$P$19))</f>
        <v>0.2</v>
      </c>
      <c r="S31" s="102">
        <f>IF(S$1="",0,SUMIFS(сценарии!S:S,сценарии!$E:$E,$E31,сценарии!$J:$J,$J31,сценарии!$M:$M,$P$19))</f>
        <v>0.2</v>
      </c>
      <c r="T31" s="102">
        <f>IF(T$1="",0,SUMIFS(сценарии!T:T,сценарии!$E:$E,$E31,сценарии!$J:$J,$J31,сценарии!$M:$M,$P$19))</f>
        <v>0.2</v>
      </c>
      <c r="U31" s="102">
        <f>IF(U$1="",0,SUMIFS(сценарии!U:U,сценарии!$E:$E,$E31,сценарии!$J:$J,$J31,сценарии!$M:$M,$P$19))</f>
        <v>0.2</v>
      </c>
      <c r="V31" s="102">
        <f>IF(V$1="",0,SUMIFS(сценарии!V:V,сценарии!$E:$E,$E31,сценарии!$J:$J,$J31,сценарии!$M:$M,$P$19))</f>
        <v>0.2</v>
      </c>
      <c r="W31" s="102">
        <f>IF(W$1="",0,SUMIFS(сценарии!W:W,сценарии!$E:$E,$E31,сценарии!$J:$J,$J31,сценарии!$M:$M,$P$19))</f>
        <v>0</v>
      </c>
      <c r="X31" s="102">
        <f>IF(X$1="",0,SUMIFS(сценарии!X:X,сценарии!$E:$E,$E31,сценарии!$J:$J,$J31,сценарии!$M:$M,$P$19))</f>
        <v>0</v>
      </c>
      <c r="Y31" s="102">
        <f>IF(Y$1="",0,SUMIFS(сценарии!Y:Y,сценарии!$E:$E,$E31,сценарии!$J:$J,$J31,сценарии!$M:$M,$P$19))</f>
        <v>0</v>
      </c>
      <c r="Z31" s="102">
        <f>IF(Z$1="",0,SUMIFS(сценарии!Z:Z,сценарии!$E:$E,$E31,сценарии!$J:$J,$J31,сценарии!$M:$M,$P$19))</f>
        <v>0</v>
      </c>
      <c r="AA31" s="102">
        <f>IF(AA$1="",0,SUMIFS(сценарии!AA:AA,сценарии!$E:$E,$E31,сценарии!$J:$J,$J31,сценарии!$M:$M,$P$19))</f>
        <v>0</v>
      </c>
      <c r="AB31" s="22"/>
    </row>
    <row r="32" spans="1:28" ht="3.9" customHeight="1" x14ac:dyDescent="0.25">
      <c r="A32" s="2"/>
      <c r="B32" s="2"/>
      <c r="C32" s="2"/>
      <c r="D32" s="2"/>
      <c r="E32" s="21"/>
      <c r="F32" s="2"/>
      <c r="G32" s="21"/>
      <c r="H32" s="2"/>
      <c r="I32" s="28"/>
      <c r="J32" s="21"/>
      <c r="K32" s="28"/>
      <c r="L32" s="2"/>
      <c r="M32" s="52"/>
      <c r="N32" s="2"/>
      <c r="O32" s="2"/>
      <c r="P32" s="36"/>
      <c r="Q32" s="36"/>
      <c r="R32" s="36"/>
      <c r="S32" s="36"/>
      <c r="T32" s="36"/>
      <c r="U32" s="36"/>
      <c r="V32" s="36"/>
      <c r="W32" s="36"/>
      <c r="X32" s="36"/>
      <c r="Y32" s="36"/>
      <c r="Z32" s="36"/>
      <c r="AA32" s="36"/>
      <c r="AB32" s="2"/>
    </row>
    <row r="33" spans="1:28" ht="8.1" customHeight="1" x14ac:dyDescent="0.25">
      <c r="A33" s="2"/>
      <c r="B33" s="2"/>
      <c r="C33" s="2"/>
      <c r="D33" s="2"/>
      <c r="E33" s="2"/>
      <c r="F33" s="2"/>
      <c r="G33" s="2"/>
      <c r="H33" s="2"/>
      <c r="I33" s="28"/>
      <c r="J33" s="2"/>
      <c r="K33" s="28"/>
      <c r="L33" s="2"/>
      <c r="M33" s="52"/>
      <c r="N33" s="2"/>
      <c r="O33" s="2"/>
      <c r="P33" s="36"/>
      <c r="Q33" s="36"/>
      <c r="R33" s="36"/>
      <c r="S33" s="36"/>
      <c r="T33" s="36"/>
      <c r="U33" s="36"/>
      <c r="V33" s="36"/>
      <c r="W33" s="36"/>
      <c r="X33" s="36"/>
      <c r="Y33" s="36"/>
      <c r="Z33" s="36"/>
      <c r="AA33" s="36"/>
      <c r="AB33" s="2"/>
    </row>
    <row r="34" spans="1:28" s="5" customFormat="1" x14ac:dyDescent="0.25">
      <c r="A34" s="3"/>
      <c r="B34" s="3"/>
      <c r="C34" s="3"/>
      <c r="D34" s="3"/>
      <c r="E34" s="3" t="str">
        <f>KPI!$E$32</f>
        <v>стоимость аренды в сутки</v>
      </c>
      <c r="F34" s="3"/>
      <c r="G34" s="3" t="str">
        <f>IF($E34="","",INDEX(KPI!$G:$G,SUMIFS(KPI!$B:$B,KPI!$E:$E,$E34)))</f>
        <v>руб.</v>
      </c>
      <c r="H34" s="3"/>
      <c r="I34" s="28"/>
      <c r="J34" s="3"/>
      <c r="K34" s="28"/>
      <c r="L34" s="3"/>
      <c r="M34" s="55" t="s">
        <v>400</v>
      </c>
      <c r="N34" s="3"/>
      <c r="O34" s="3"/>
      <c r="P34" s="46"/>
      <c r="Q34" s="46"/>
      <c r="R34" s="46"/>
      <c r="S34" s="46"/>
      <c r="T34" s="46"/>
      <c r="U34" s="46"/>
      <c r="V34" s="46"/>
      <c r="W34" s="46"/>
      <c r="X34" s="46"/>
      <c r="Y34" s="46"/>
      <c r="Z34" s="46"/>
      <c r="AA34" s="46"/>
      <c r="AB34" s="3"/>
    </row>
    <row r="35" spans="1:28" ht="3.9" customHeight="1" x14ac:dyDescent="0.25">
      <c r="A35" s="2"/>
      <c r="B35" s="2"/>
      <c r="C35" s="2"/>
      <c r="D35" s="2"/>
      <c r="E35" s="2"/>
      <c r="F35" s="2"/>
      <c r="G35" s="2"/>
      <c r="H35" s="2"/>
      <c r="I35" s="28"/>
      <c r="J35" s="2"/>
      <c r="K35" s="28"/>
      <c r="L35" s="2"/>
      <c r="M35" s="52"/>
      <c r="N35" s="2"/>
      <c r="O35" s="2"/>
      <c r="P35" s="36"/>
      <c r="Q35" s="36"/>
      <c r="R35" s="36"/>
      <c r="S35" s="36"/>
      <c r="T35" s="36"/>
      <c r="U35" s="36"/>
      <c r="V35" s="36"/>
      <c r="W35" s="36"/>
      <c r="X35" s="36"/>
      <c r="Y35" s="36"/>
      <c r="Z35" s="36"/>
      <c r="AA35" s="36"/>
      <c r="AB35" s="2"/>
    </row>
    <row r="36" spans="1:28" x14ac:dyDescent="0.25">
      <c r="A36" s="2"/>
      <c r="B36" s="2"/>
      <c r="C36" s="2"/>
      <c r="D36" s="2"/>
      <c r="E36" s="48" t="str">
        <f>структура!$AF$12</f>
        <v>беседка большая</v>
      </c>
      <c r="F36" s="2"/>
      <c r="G36" s="2" t="str">
        <f>G34</f>
        <v>руб.</v>
      </c>
      <c r="H36" s="2"/>
      <c r="I36" s="6" t="s">
        <v>0</v>
      </c>
      <c r="J36" s="45">
        <v>6000</v>
      </c>
      <c r="K36" s="28"/>
      <c r="L36" s="2"/>
      <c r="M36" s="52">
        <f>J36/20</f>
        <v>300</v>
      </c>
      <c r="N36" s="2"/>
      <c r="O36" s="2"/>
      <c r="P36" s="36"/>
      <c r="Q36" s="36"/>
      <c r="R36" s="36"/>
      <c r="S36" s="36"/>
      <c r="T36" s="36"/>
      <c r="U36" s="36"/>
      <c r="V36" s="36"/>
      <c r="W36" s="36"/>
      <c r="X36" s="36"/>
      <c r="Y36" s="36"/>
      <c r="Z36" s="36"/>
      <c r="AA36" s="36"/>
      <c r="AB36" s="2"/>
    </row>
    <row r="37" spans="1:28" x14ac:dyDescent="0.25">
      <c r="A37" s="2"/>
      <c r="B37" s="2"/>
      <c r="C37" s="2"/>
      <c r="D37" s="2"/>
      <c r="E37" s="49" t="str">
        <f>структура!$AF$13</f>
        <v>беседка малая</v>
      </c>
      <c r="F37" s="2"/>
      <c r="G37" s="2" t="str">
        <f>G34</f>
        <v>руб.</v>
      </c>
      <c r="H37" s="2"/>
      <c r="I37" s="6" t="s">
        <v>0</v>
      </c>
      <c r="J37" s="45">
        <v>4600</v>
      </c>
      <c r="K37" s="28"/>
      <c r="L37" s="2"/>
      <c r="M37" s="52">
        <f>J37/10</f>
        <v>460</v>
      </c>
      <c r="N37" s="2"/>
      <c r="O37" s="2"/>
      <c r="P37" s="36"/>
      <c r="Q37" s="36"/>
      <c r="R37" s="36"/>
      <c r="S37" s="36"/>
      <c r="T37" s="36"/>
      <c r="U37" s="36"/>
      <c r="V37" s="36"/>
      <c r="W37" s="36"/>
      <c r="X37" s="36"/>
      <c r="Y37" s="36"/>
      <c r="Z37" s="36"/>
      <c r="AA37" s="36"/>
      <c r="AB37" s="2"/>
    </row>
    <row r="38" spans="1:28" x14ac:dyDescent="0.25">
      <c r="A38" s="2"/>
      <c r="B38" s="2"/>
      <c r="C38" s="2"/>
      <c r="D38" s="2"/>
      <c r="E38" s="49" t="str">
        <f>структура!$AF$14</f>
        <v>прочие для сдачи в аренду</v>
      </c>
      <c r="F38" s="2"/>
      <c r="G38" s="2" t="str">
        <f>G34</f>
        <v>руб.</v>
      </c>
      <c r="H38" s="2"/>
      <c r="I38" s="6" t="s">
        <v>0</v>
      </c>
      <c r="J38" s="45"/>
      <c r="K38" s="28"/>
      <c r="L38" s="2"/>
      <c r="M38" s="52"/>
      <c r="N38" s="2"/>
      <c r="O38" s="2"/>
      <c r="P38" s="36"/>
      <c r="Q38" s="36"/>
      <c r="R38" s="36"/>
      <c r="S38" s="36"/>
      <c r="T38" s="36"/>
      <c r="U38" s="36"/>
      <c r="V38" s="36"/>
      <c r="W38" s="36"/>
      <c r="X38" s="36"/>
      <c r="Y38" s="36"/>
      <c r="Z38" s="36"/>
      <c r="AA38" s="36"/>
      <c r="AB38" s="2"/>
    </row>
    <row r="39" spans="1:28" ht="3.9" customHeight="1" x14ac:dyDescent="0.25">
      <c r="A39" s="2"/>
      <c r="B39" s="2"/>
      <c r="C39" s="2"/>
      <c r="D39" s="2"/>
      <c r="E39" s="50"/>
      <c r="F39" s="2"/>
      <c r="G39" s="2"/>
      <c r="H39" s="2"/>
      <c r="I39" s="28"/>
      <c r="J39" s="2"/>
      <c r="K39" s="28"/>
      <c r="L39" s="2"/>
      <c r="M39" s="52"/>
      <c r="N39" s="2"/>
      <c r="O39" s="2"/>
      <c r="P39" s="36"/>
      <c r="Q39" s="36"/>
      <c r="R39" s="36"/>
      <c r="S39" s="36"/>
      <c r="T39" s="36"/>
      <c r="U39" s="36"/>
      <c r="V39" s="36"/>
      <c r="W39" s="36"/>
      <c r="X39" s="36"/>
      <c r="Y39" s="36"/>
      <c r="Z39" s="36"/>
      <c r="AA39" s="36"/>
      <c r="AB39" s="2"/>
    </row>
    <row r="40" spans="1:28" ht="3.9" customHeight="1" x14ac:dyDescent="0.25">
      <c r="A40" s="2"/>
      <c r="B40" s="2"/>
      <c r="C40" s="2"/>
      <c r="D40" s="2"/>
      <c r="E40" s="2"/>
      <c r="F40" s="2"/>
      <c r="G40" s="2"/>
      <c r="H40" s="2"/>
      <c r="I40" s="28"/>
      <c r="J40" s="2"/>
      <c r="K40" s="28"/>
      <c r="L40" s="2"/>
      <c r="M40" s="52"/>
      <c r="N40" s="2"/>
      <c r="O40" s="2"/>
      <c r="P40" s="36"/>
      <c r="Q40" s="36"/>
      <c r="R40" s="36"/>
      <c r="S40" s="36"/>
      <c r="T40" s="36"/>
      <c r="U40" s="36"/>
      <c r="V40" s="36"/>
      <c r="W40" s="36"/>
      <c r="X40" s="36"/>
      <c r="Y40" s="36"/>
      <c r="Z40" s="36"/>
      <c r="AA40" s="36"/>
      <c r="AB40" s="2"/>
    </row>
    <row r="41" spans="1:28" s="5" customFormat="1" x14ac:dyDescent="0.25">
      <c r="A41" s="3"/>
      <c r="B41" s="3"/>
      <c r="C41" s="3"/>
      <c r="D41" s="3"/>
      <c r="E41" s="89" t="str">
        <f>KPI!$E$33</f>
        <v>средний арендный чек</v>
      </c>
      <c r="F41" s="89"/>
      <c r="G41" s="89" t="str">
        <f>IF($E41="","",INDEX(KPI!$G:$G,SUMIFS(KPI!$B:$B,KPI!$E:$E,$E41)))</f>
        <v>руб.</v>
      </c>
      <c r="H41" s="89"/>
      <c r="I41" s="90"/>
      <c r="J41" s="91" t="str">
        <f>структура!$AL$18</f>
        <v>одинаковая наполняемость</v>
      </c>
      <c r="K41" s="90"/>
      <c r="L41" s="89"/>
      <c r="M41" s="92">
        <f>IF(SUM(капитал!$J$67:$J$70)=0,0,SUMPRODUCT(капитал!$J$67:$J$70,$J$36:$J$39)/SUM(капитал!$J$67:$J$70))</f>
        <v>5246.1538461538457</v>
      </c>
      <c r="N41" s="3"/>
      <c r="O41" s="3"/>
      <c r="P41" s="93">
        <f>IF(P1="",0,IF(SUM(капитал!$J$67:$J$70)=0,0,SUMPRODUCT(капитал!$J$67:$J$70,$J$36:$J$39)/SUM(капитал!$J$67:$J$70)))</f>
        <v>5246.1538461538457</v>
      </c>
      <c r="Q41" s="93">
        <f>IF(Q1="",0,IF(SUM(капитал!$J$67:$J$70)=0,0,SUMPRODUCT(капитал!$J$67:$J$70,$J$36:$J$39)/SUM(капитал!$J$67:$J$70)))</f>
        <v>5246.1538461538457</v>
      </c>
      <c r="R41" s="93">
        <f>IF(R1="",0,IF(SUM(капитал!$J$67:$J$70)=0,0,SUMPRODUCT(капитал!$J$67:$J$70,$J$36:$J$39)/SUM(капитал!$J$67:$J$70)))</f>
        <v>5246.1538461538457</v>
      </c>
      <c r="S41" s="93">
        <f>IF(S1="",0,IF(SUM(капитал!$J$67:$J$70)=0,0,SUMPRODUCT(капитал!$J$67:$J$70,$J$36:$J$39)/SUM(капитал!$J$67:$J$70)))</f>
        <v>5246.1538461538457</v>
      </c>
      <c r="T41" s="93">
        <f>IF(T1="",0,IF(SUM(капитал!$J$67:$J$70)=0,0,SUMPRODUCT(капитал!$J$67:$J$70,$J$36:$J$39)/SUM(капитал!$J$67:$J$70)))</f>
        <v>5246.1538461538457</v>
      </c>
      <c r="U41" s="93">
        <f>IF(U1="",0,IF(SUM(капитал!$J$67:$J$70)=0,0,SUMPRODUCT(капитал!$J$67:$J$70,$J$36:$J$39)/SUM(капитал!$J$67:$J$70)))</f>
        <v>5246.1538461538457</v>
      </c>
      <c r="V41" s="93">
        <f>IF(V1="",0,IF(SUM(капитал!$J$67:$J$70)=0,0,SUMPRODUCT(капитал!$J$67:$J$70,$J$36:$J$39)/SUM(капитал!$J$67:$J$70)))</f>
        <v>5246.1538461538457</v>
      </c>
      <c r="W41" s="93">
        <f>IF(W1="",0,IF(SUM(капитал!$J$67:$J$70)=0,0,SUMPRODUCT(капитал!$J$67:$J$70,$J$36:$J$39)/SUM(капитал!$J$67:$J$70)))</f>
        <v>0</v>
      </c>
      <c r="X41" s="93">
        <f>IF(X1="",0,IF(SUM(капитал!$J$67:$J$70)=0,0,SUMPRODUCT(капитал!$J$67:$J$70,$J$36:$J$39)/SUM(капитал!$J$67:$J$70)))</f>
        <v>0</v>
      </c>
      <c r="Y41" s="93">
        <f>IF(Y1="",0,IF(SUM(капитал!$J$67:$J$70)=0,0,SUMPRODUCT(капитал!$J$67:$J$70,$J$36:$J$39)/SUM(капитал!$J$67:$J$70)))</f>
        <v>0</v>
      </c>
      <c r="Z41" s="93">
        <f>IF(Z1="",0,IF(SUM(капитал!$J$67:$J$70)=0,0,SUMPRODUCT(капитал!$J$67:$J$70,$J$36:$J$39)/SUM(капитал!$J$67:$J$70)))</f>
        <v>0</v>
      </c>
      <c r="AA41" s="93">
        <f>IF(AA1="",0,IF(SUM(капитал!$J$67:$J$70)=0,0,SUMPRODUCT(капитал!$J$67:$J$70,$J$36:$J$39)/SUM(капитал!$J$67:$J$70)))</f>
        <v>0</v>
      </c>
      <c r="AB41" s="3"/>
    </row>
    <row r="42" spans="1:28" ht="8.1" customHeight="1" x14ac:dyDescent="0.25">
      <c r="A42" s="2"/>
      <c r="B42" s="2"/>
      <c r="C42" s="2"/>
      <c r="D42" s="2"/>
      <c r="E42" s="2"/>
      <c r="F42" s="2"/>
      <c r="G42" s="2"/>
      <c r="H42" s="2"/>
      <c r="I42" s="28"/>
      <c r="J42" s="2"/>
      <c r="K42" s="28"/>
      <c r="L42" s="2"/>
      <c r="M42" s="52"/>
      <c r="N42" s="2"/>
      <c r="O42" s="2"/>
      <c r="P42" s="36"/>
      <c r="Q42" s="36"/>
      <c r="R42" s="36"/>
      <c r="S42" s="36"/>
      <c r="T42" s="36"/>
      <c r="U42" s="36"/>
      <c r="V42" s="36"/>
      <c r="W42" s="36"/>
      <c r="X42" s="36"/>
      <c r="Y42" s="36"/>
      <c r="Z42" s="36"/>
      <c r="AA42" s="36"/>
      <c r="AB42" s="2"/>
    </row>
    <row r="43" spans="1:28" s="5" customFormat="1" x14ac:dyDescent="0.25">
      <c r="A43" s="3"/>
      <c r="B43" s="3"/>
      <c r="C43" s="3"/>
      <c r="D43" s="3"/>
      <c r="E43" s="3" t="str">
        <f>KPI!$E$34</f>
        <v>количество арендных сделок</v>
      </c>
      <c r="F43" s="3"/>
      <c r="G43" s="3" t="str">
        <f>IF($E43="","",INDEX(KPI!$G:$G,SUMIFS(KPI!$B:$B,KPI!$E:$E,$E43)))</f>
        <v>шт</v>
      </c>
      <c r="H43" s="3"/>
      <c r="I43" s="28"/>
      <c r="J43" s="44"/>
      <c r="K43" s="28"/>
      <c r="L43" s="3"/>
      <c r="M43" s="55"/>
      <c r="N43" s="3"/>
      <c r="O43" s="3"/>
      <c r="P43" s="46">
        <f>IF(P$1="",0,IF(P$1=0,SUMIFS(P44:P55,H44:H55,"&gt;="&amp;MONTH($J$13)),SUM(P44:P55)))</f>
        <v>1392</v>
      </c>
      <c r="Q43" s="46">
        <f t="shared" ref="Q43:AA43" si="4">IF(Q$1="",0,SUM(Q44:Q55))</f>
        <v>1392</v>
      </c>
      <c r="R43" s="46">
        <f t="shared" si="4"/>
        <v>1395</v>
      </c>
      <c r="S43" s="46">
        <f t="shared" si="4"/>
        <v>1392</v>
      </c>
      <c r="T43" s="46">
        <f t="shared" si="4"/>
        <v>1392</v>
      </c>
      <c r="U43" s="46">
        <f t="shared" si="4"/>
        <v>1392</v>
      </c>
      <c r="V43" s="46">
        <f t="shared" si="4"/>
        <v>1395</v>
      </c>
      <c r="W43" s="46">
        <f t="shared" si="4"/>
        <v>0</v>
      </c>
      <c r="X43" s="46">
        <f t="shared" si="4"/>
        <v>0</v>
      </c>
      <c r="Y43" s="46">
        <f t="shared" si="4"/>
        <v>0</v>
      </c>
      <c r="Z43" s="46">
        <f t="shared" si="4"/>
        <v>0</v>
      </c>
      <c r="AA43" s="46">
        <f t="shared" si="4"/>
        <v>0</v>
      </c>
      <c r="AB43" s="3"/>
    </row>
    <row r="44" spans="1:28" s="23" customFormat="1" ht="10.199999999999999" x14ac:dyDescent="0.2">
      <c r="A44" s="22"/>
      <c r="B44" s="22"/>
      <c r="C44" s="22"/>
      <c r="D44" s="22"/>
      <c r="E44" s="22" t="str">
        <f t="shared" ref="E44:E55" si="5">$E$43</f>
        <v>количество арендных сделок</v>
      </c>
      <c r="F44" s="22"/>
      <c r="G44" s="22" t="str">
        <f>IF($E44="","",INDEX(KPI!$G:$G,SUMIFS(KPI!$B:$B,KPI!$E:$E,$E44)))</f>
        <v>шт</v>
      </c>
      <c r="H44" s="100">
        <f>структура!$V$12</f>
        <v>1</v>
      </c>
      <c r="I44" s="31"/>
      <c r="J44" s="98" t="str">
        <f>структура!$X$12</f>
        <v>янв</v>
      </c>
      <c r="K44" s="99"/>
      <c r="L44" s="22"/>
      <c r="M44" s="58"/>
      <c r="N44" s="22"/>
      <c r="O44" s="22"/>
      <c r="P44" s="101">
        <f>IF(P$1="",0,INT(SUM(капитал!$J$67:$J$70)*DAY(EOMONTH(P$8,$H44-MONTH(P$8)))*P20))</f>
        <v>80</v>
      </c>
      <c r="Q44" s="101">
        <f>IF(Q$1="",0,INT(SUM(капитал!$J$67:$J$70)*DAY(EOMONTH(Q$8,$H44-MONTH(Q$8)))*Q20))</f>
        <v>80</v>
      </c>
      <c r="R44" s="101">
        <f>IF(R$1="",0,INT(SUM(капитал!$J$67:$J$70)*DAY(EOMONTH(R$8,$H44-MONTH(R$8)))*R20))</f>
        <v>80</v>
      </c>
      <c r="S44" s="101">
        <f>IF(S$1="",0,INT(SUM(капитал!$J$67:$J$70)*DAY(EOMONTH(S$8,$H44-MONTH(S$8)))*S20))</f>
        <v>80</v>
      </c>
      <c r="T44" s="101">
        <f>IF(T$1="",0,INT(SUM(капитал!$J$67:$J$70)*DAY(EOMONTH(T$8,$H44-MONTH(T$8)))*T20))</f>
        <v>80</v>
      </c>
      <c r="U44" s="101">
        <f>IF(U$1="",0,INT(SUM(капитал!$J$67:$J$70)*DAY(EOMONTH(U$8,$H44-MONTH(U$8)))*U20))</f>
        <v>80</v>
      </c>
      <c r="V44" s="101">
        <f>IF(V$1="",0,INT(SUM(капитал!$J$67:$J$70)*DAY(EOMONTH(V$8,$H44-MONTH(V$8)))*V20))</f>
        <v>80</v>
      </c>
      <c r="W44" s="101">
        <f>IF(W$1="",0,INT(SUM(капитал!$J$67:$J$70)*DAY(EOMONTH(W$8,$H44-MONTH(W$8)))*W20))</f>
        <v>0</v>
      </c>
      <c r="X44" s="101">
        <f>IF(X$1="",0,INT(SUM(капитал!$J$67:$J$70)*DAY(EOMONTH(X$8,$H44-MONTH(X$8)))*X20))</f>
        <v>0</v>
      </c>
      <c r="Y44" s="101">
        <f>IF(Y$1="",0,INT(SUM(капитал!$J$67:$J$70)*DAY(EOMONTH(Y$8,$H44-MONTH(Y$8)))*Y20))</f>
        <v>0</v>
      </c>
      <c r="Z44" s="101">
        <f>IF(Z$1="",0,INT(SUM(капитал!$J$67:$J$70)*DAY(EOMONTH(Z$8,$H44-MONTH(Z$8)))*Z20))</f>
        <v>0</v>
      </c>
      <c r="AA44" s="101">
        <f>IF(AA$1="",0,INT(SUM(капитал!$J$67:$J$70)*DAY(EOMONTH(AA$8,$H44-MONTH(AA$8)))*AA20))</f>
        <v>0</v>
      </c>
      <c r="AB44" s="22"/>
    </row>
    <row r="45" spans="1:28" s="23" customFormat="1" ht="10.199999999999999" x14ac:dyDescent="0.2">
      <c r="A45" s="22"/>
      <c r="B45" s="22"/>
      <c r="C45" s="22"/>
      <c r="D45" s="22"/>
      <c r="E45" s="22" t="str">
        <f t="shared" si="5"/>
        <v>количество арендных сделок</v>
      </c>
      <c r="F45" s="22"/>
      <c r="G45" s="22" t="str">
        <f>IF($E45="","",INDEX(KPI!$G:$G,SUMIFS(KPI!$B:$B,KPI!$E:$E,$E45)))</f>
        <v>шт</v>
      </c>
      <c r="H45" s="100">
        <f>структура!$V$13</f>
        <v>2</v>
      </c>
      <c r="I45" s="31"/>
      <c r="J45" s="98" t="str">
        <f>структура!$X$13</f>
        <v>фев</v>
      </c>
      <c r="K45" s="99"/>
      <c r="L45" s="22"/>
      <c r="M45" s="58"/>
      <c r="N45" s="22"/>
      <c r="O45" s="22"/>
      <c r="P45" s="101">
        <f>IF(P$1="",0,INT(SUM(капитал!$J$67:$J$70)*DAY(EOMONTH(P$8,$H45-MONTH(P$8)))*P21))</f>
        <v>72</v>
      </c>
      <c r="Q45" s="101">
        <f>IF(Q$1="",0,INT(SUM(капитал!$J$67:$J$70)*DAY(EOMONTH(Q$8,$H45-MONTH(Q$8)))*Q21))</f>
        <v>72</v>
      </c>
      <c r="R45" s="101">
        <f>IF(R$1="",0,INT(SUM(капитал!$J$67:$J$70)*DAY(EOMONTH(R$8,$H45-MONTH(R$8)))*R21))</f>
        <v>75</v>
      </c>
      <c r="S45" s="101">
        <f>IF(S$1="",0,INT(SUM(капитал!$J$67:$J$70)*DAY(EOMONTH(S$8,$H45-MONTH(S$8)))*S21))</f>
        <v>72</v>
      </c>
      <c r="T45" s="101">
        <f>IF(T$1="",0,INT(SUM(капитал!$J$67:$J$70)*DAY(EOMONTH(T$8,$H45-MONTH(T$8)))*T21))</f>
        <v>72</v>
      </c>
      <c r="U45" s="101">
        <f>IF(U$1="",0,INT(SUM(капитал!$J$67:$J$70)*DAY(EOMONTH(U$8,$H45-MONTH(U$8)))*U21))</f>
        <v>72</v>
      </c>
      <c r="V45" s="101">
        <f>IF(V$1="",0,INT(SUM(капитал!$J$67:$J$70)*DAY(EOMONTH(V$8,$H45-MONTH(V$8)))*V21))</f>
        <v>75</v>
      </c>
      <c r="W45" s="101">
        <f>IF(W$1="",0,INT(SUM(капитал!$J$67:$J$70)*DAY(EOMONTH(W$8,$H45-MONTH(W$8)))*W21))</f>
        <v>0</v>
      </c>
      <c r="X45" s="101">
        <f>IF(X$1="",0,INT(SUM(капитал!$J$67:$J$70)*DAY(EOMONTH(X$8,$H45-MONTH(X$8)))*X21))</f>
        <v>0</v>
      </c>
      <c r="Y45" s="101">
        <f>IF(Y$1="",0,INT(SUM(капитал!$J$67:$J$70)*DAY(EOMONTH(Y$8,$H45-MONTH(Y$8)))*Y21))</f>
        <v>0</v>
      </c>
      <c r="Z45" s="101">
        <f>IF(Z$1="",0,INT(SUM(капитал!$J$67:$J$70)*DAY(EOMONTH(Z$8,$H45-MONTH(Z$8)))*Z21))</f>
        <v>0</v>
      </c>
      <c r="AA45" s="101">
        <f>IF(AA$1="",0,INT(SUM(капитал!$J$67:$J$70)*DAY(EOMONTH(AA$8,$H45-MONTH(AA$8)))*AA21))</f>
        <v>0</v>
      </c>
      <c r="AB45" s="22"/>
    </row>
    <row r="46" spans="1:28" s="23" customFormat="1" ht="10.199999999999999" x14ac:dyDescent="0.2">
      <c r="A46" s="22"/>
      <c r="B46" s="22"/>
      <c r="C46" s="22"/>
      <c r="D46" s="22"/>
      <c r="E46" s="22" t="str">
        <f t="shared" si="5"/>
        <v>количество арендных сделок</v>
      </c>
      <c r="F46" s="22"/>
      <c r="G46" s="22" t="str">
        <f>IF($E46="","",INDEX(KPI!$G:$G,SUMIFS(KPI!$B:$B,KPI!$E:$E,$E46)))</f>
        <v>шт</v>
      </c>
      <c r="H46" s="100">
        <f>структура!$V$14</f>
        <v>3</v>
      </c>
      <c r="I46" s="31"/>
      <c r="J46" s="98" t="str">
        <f>структура!$X$14</f>
        <v>мар</v>
      </c>
      <c r="K46" s="99"/>
      <c r="L46" s="22"/>
      <c r="M46" s="58"/>
      <c r="N46" s="22"/>
      <c r="O46" s="22"/>
      <c r="P46" s="101">
        <f>IF(P$1="",0,INT(SUM(капитал!$J$67:$J$70)*DAY(EOMONTH(P$8,$H46-MONTH(P$8)))*P22))</f>
        <v>100</v>
      </c>
      <c r="Q46" s="101">
        <f>IF(Q$1="",0,INT(SUM(капитал!$J$67:$J$70)*DAY(EOMONTH(Q$8,$H46-MONTH(Q$8)))*Q22))</f>
        <v>100</v>
      </c>
      <c r="R46" s="101">
        <f>IF(R$1="",0,INT(SUM(капитал!$J$67:$J$70)*DAY(EOMONTH(R$8,$H46-MONTH(R$8)))*R22))</f>
        <v>100</v>
      </c>
      <c r="S46" s="101">
        <f>IF(S$1="",0,INT(SUM(капитал!$J$67:$J$70)*DAY(EOMONTH(S$8,$H46-MONTH(S$8)))*S22))</f>
        <v>100</v>
      </c>
      <c r="T46" s="101">
        <f>IF(T$1="",0,INT(SUM(капитал!$J$67:$J$70)*DAY(EOMONTH(T$8,$H46-MONTH(T$8)))*T22))</f>
        <v>100</v>
      </c>
      <c r="U46" s="101">
        <f>IF(U$1="",0,INT(SUM(капитал!$J$67:$J$70)*DAY(EOMONTH(U$8,$H46-MONTH(U$8)))*U22))</f>
        <v>100</v>
      </c>
      <c r="V46" s="101">
        <f>IF(V$1="",0,INT(SUM(капитал!$J$67:$J$70)*DAY(EOMONTH(V$8,$H46-MONTH(V$8)))*V22))</f>
        <v>100</v>
      </c>
      <c r="W46" s="101">
        <f>IF(W$1="",0,INT(SUM(капитал!$J$67:$J$70)*DAY(EOMONTH(W$8,$H46-MONTH(W$8)))*W22))</f>
        <v>0</v>
      </c>
      <c r="X46" s="101">
        <f>IF(X$1="",0,INT(SUM(капитал!$J$67:$J$70)*DAY(EOMONTH(X$8,$H46-MONTH(X$8)))*X22))</f>
        <v>0</v>
      </c>
      <c r="Y46" s="101">
        <f>IF(Y$1="",0,INT(SUM(капитал!$J$67:$J$70)*DAY(EOMONTH(Y$8,$H46-MONTH(Y$8)))*Y22))</f>
        <v>0</v>
      </c>
      <c r="Z46" s="101">
        <f>IF(Z$1="",0,INT(SUM(капитал!$J$67:$J$70)*DAY(EOMONTH(Z$8,$H46-MONTH(Z$8)))*Z22))</f>
        <v>0</v>
      </c>
      <c r="AA46" s="101">
        <f>IF(AA$1="",0,INT(SUM(капитал!$J$67:$J$70)*DAY(EOMONTH(AA$8,$H46-MONTH(AA$8)))*AA22))</f>
        <v>0</v>
      </c>
      <c r="AB46" s="22"/>
    </row>
    <row r="47" spans="1:28" s="23" customFormat="1" ht="10.199999999999999" x14ac:dyDescent="0.2">
      <c r="A47" s="22"/>
      <c r="B47" s="22"/>
      <c r="C47" s="22"/>
      <c r="D47" s="22"/>
      <c r="E47" s="22" t="str">
        <f t="shared" si="5"/>
        <v>количество арендных сделок</v>
      </c>
      <c r="F47" s="22"/>
      <c r="G47" s="22" t="str">
        <f>IF($E47="","",INDEX(KPI!$G:$G,SUMIFS(KPI!$B:$B,KPI!$E:$E,$E47)))</f>
        <v>шт</v>
      </c>
      <c r="H47" s="100">
        <f>структура!$V$15</f>
        <v>4</v>
      </c>
      <c r="I47" s="31"/>
      <c r="J47" s="98" t="str">
        <f>структура!$X$15</f>
        <v>апр</v>
      </c>
      <c r="K47" s="99"/>
      <c r="L47" s="22"/>
      <c r="M47" s="58"/>
      <c r="N47" s="22"/>
      <c r="O47" s="22"/>
      <c r="P47" s="101">
        <f>IF(P$1="",0,INT(SUM(капитал!$J$67:$J$70)*DAY(EOMONTH(P$8,$H47-MONTH(P$8)))*P23))</f>
        <v>117</v>
      </c>
      <c r="Q47" s="101">
        <f>IF(Q$1="",0,INT(SUM(капитал!$J$67:$J$70)*DAY(EOMONTH(Q$8,$H47-MONTH(Q$8)))*Q23))</f>
        <v>117</v>
      </c>
      <c r="R47" s="101">
        <f>IF(R$1="",0,INT(SUM(капитал!$J$67:$J$70)*DAY(EOMONTH(R$8,$H47-MONTH(R$8)))*R23))</f>
        <v>117</v>
      </c>
      <c r="S47" s="101">
        <f>IF(S$1="",0,INT(SUM(капитал!$J$67:$J$70)*DAY(EOMONTH(S$8,$H47-MONTH(S$8)))*S23))</f>
        <v>117</v>
      </c>
      <c r="T47" s="101">
        <f>IF(T$1="",0,INT(SUM(капитал!$J$67:$J$70)*DAY(EOMONTH(T$8,$H47-MONTH(T$8)))*T23))</f>
        <v>117</v>
      </c>
      <c r="U47" s="101">
        <f>IF(U$1="",0,INT(SUM(капитал!$J$67:$J$70)*DAY(EOMONTH(U$8,$H47-MONTH(U$8)))*U23))</f>
        <v>117</v>
      </c>
      <c r="V47" s="101">
        <f>IF(V$1="",0,INT(SUM(капитал!$J$67:$J$70)*DAY(EOMONTH(V$8,$H47-MONTH(V$8)))*V23))</f>
        <v>117</v>
      </c>
      <c r="W47" s="101">
        <f>IF(W$1="",0,INT(SUM(капитал!$J$67:$J$70)*DAY(EOMONTH(W$8,$H47-MONTH(W$8)))*W23))</f>
        <v>0</v>
      </c>
      <c r="X47" s="101">
        <f>IF(X$1="",0,INT(SUM(капитал!$J$67:$J$70)*DAY(EOMONTH(X$8,$H47-MONTH(X$8)))*X23))</f>
        <v>0</v>
      </c>
      <c r="Y47" s="101">
        <f>IF(Y$1="",0,INT(SUM(капитал!$J$67:$J$70)*DAY(EOMONTH(Y$8,$H47-MONTH(Y$8)))*Y23))</f>
        <v>0</v>
      </c>
      <c r="Z47" s="101">
        <f>IF(Z$1="",0,INT(SUM(капитал!$J$67:$J$70)*DAY(EOMONTH(Z$8,$H47-MONTH(Z$8)))*Z23))</f>
        <v>0</v>
      </c>
      <c r="AA47" s="101">
        <f>IF(AA$1="",0,INT(SUM(капитал!$J$67:$J$70)*DAY(EOMONTH(AA$8,$H47-MONTH(AA$8)))*AA23))</f>
        <v>0</v>
      </c>
      <c r="AB47" s="22"/>
    </row>
    <row r="48" spans="1:28" s="23" customFormat="1" ht="10.199999999999999" x14ac:dyDescent="0.2">
      <c r="A48" s="22"/>
      <c r="B48" s="22"/>
      <c r="C48" s="22"/>
      <c r="D48" s="22"/>
      <c r="E48" s="22" t="str">
        <f t="shared" si="5"/>
        <v>количество арендных сделок</v>
      </c>
      <c r="F48" s="22"/>
      <c r="G48" s="22" t="str">
        <f>IF($E48="","",INDEX(KPI!$G:$G,SUMIFS(KPI!$B:$B,KPI!$E:$E,$E48)))</f>
        <v>шт</v>
      </c>
      <c r="H48" s="100">
        <f>структура!$V$16</f>
        <v>5</v>
      </c>
      <c r="I48" s="31"/>
      <c r="J48" s="98" t="str">
        <f>структура!$X$16</f>
        <v>май</v>
      </c>
      <c r="K48" s="99"/>
      <c r="L48" s="22"/>
      <c r="M48" s="58"/>
      <c r="N48" s="22"/>
      <c r="O48" s="22"/>
      <c r="P48" s="101">
        <f>IF(P$1="",0,INT(SUM(капитал!$J$67:$J$70)*DAY(EOMONTH(P$8,$H48-MONTH(P$8)))*P24))</f>
        <v>120</v>
      </c>
      <c r="Q48" s="101">
        <f>IF(Q$1="",0,INT(SUM(капитал!$J$67:$J$70)*DAY(EOMONTH(Q$8,$H48-MONTH(Q$8)))*Q24))</f>
        <v>120</v>
      </c>
      <c r="R48" s="101">
        <f>IF(R$1="",0,INT(SUM(капитал!$J$67:$J$70)*DAY(EOMONTH(R$8,$H48-MONTH(R$8)))*R24))</f>
        <v>120</v>
      </c>
      <c r="S48" s="101">
        <f>IF(S$1="",0,INT(SUM(капитал!$J$67:$J$70)*DAY(EOMONTH(S$8,$H48-MONTH(S$8)))*S24))</f>
        <v>120</v>
      </c>
      <c r="T48" s="101">
        <f>IF(T$1="",0,INT(SUM(капитал!$J$67:$J$70)*DAY(EOMONTH(T$8,$H48-MONTH(T$8)))*T24))</f>
        <v>120</v>
      </c>
      <c r="U48" s="101">
        <f>IF(U$1="",0,INT(SUM(капитал!$J$67:$J$70)*DAY(EOMONTH(U$8,$H48-MONTH(U$8)))*U24))</f>
        <v>120</v>
      </c>
      <c r="V48" s="101">
        <f>IF(V$1="",0,INT(SUM(капитал!$J$67:$J$70)*DAY(EOMONTH(V$8,$H48-MONTH(V$8)))*V24))</f>
        <v>120</v>
      </c>
      <c r="W48" s="101">
        <f>IF(W$1="",0,INT(SUM(капитал!$J$67:$J$70)*DAY(EOMONTH(W$8,$H48-MONTH(W$8)))*W24))</f>
        <v>0</v>
      </c>
      <c r="X48" s="101">
        <f>IF(X$1="",0,INT(SUM(капитал!$J$67:$J$70)*DAY(EOMONTH(X$8,$H48-MONTH(X$8)))*X24))</f>
        <v>0</v>
      </c>
      <c r="Y48" s="101">
        <f>IF(Y$1="",0,INT(SUM(капитал!$J$67:$J$70)*DAY(EOMONTH(Y$8,$H48-MONTH(Y$8)))*Y24))</f>
        <v>0</v>
      </c>
      <c r="Z48" s="101">
        <f>IF(Z$1="",0,INT(SUM(капитал!$J$67:$J$70)*DAY(EOMONTH(Z$8,$H48-MONTH(Z$8)))*Z24))</f>
        <v>0</v>
      </c>
      <c r="AA48" s="101">
        <f>IF(AA$1="",0,INT(SUM(капитал!$J$67:$J$70)*DAY(EOMONTH(AA$8,$H48-MONTH(AA$8)))*AA24))</f>
        <v>0</v>
      </c>
      <c r="AB48" s="22"/>
    </row>
    <row r="49" spans="1:28" s="23" customFormat="1" ht="10.199999999999999" x14ac:dyDescent="0.2">
      <c r="A49" s="22"/>
      <c r="B49" s="22"/>
      <c r="C49" s="22"/>
      <c r="D49" s="22"/>
      <c r="E49" s="22" t="str">
        <f t="shared" si="5"/>
        <v>количество арендных сделок</v>
      </c>
      <c r="F49" s="22"/>
      <c r="G49" s="22" t="str">
        <f>IF($E49="","",INDEX(KPI!$G:$G,SUMIFS(KPI!$B:$B,KPI!$E:$E,$E49)))</f>
        <v>шт</v>
      </c>
      <c r="H49" s="100">
        <f>структура!$V$17</f>
        <v>6</v>
      </c>
      <c r="I49" s="31"/>
      <c r="J49" s="98" t="str">
        <f>структура!$X$17</f>
        <v>июн</v>
      </c>
      <c r="K49" s="99"/>
      <c r="L49" s="22"/>
      <c r="M49" s="58"/>
      <c r="N49" s="22"/>
      <c r="O49" s="22"/>
      <c r="P49" s="101">
        <f>IF(P$1="",0,INT(SUM(капитал!$J$67:$J$70)*DAY(EOMONTH(P$8,$H49-MONTH(P$8)))*P25))</f>
        <v>156</v>
      </c>
      <c r="Q49" s="101">
        <f>IF(Q$1="",0,INT(SUM(капитал!$J$67:$J$70)*DAY(EOMONTH(Q$8,$H49-MONTH(Q$8)))*Q25))</f>
        <v>156</v>
      </c>
      <c r="R49" s="101">
        <f>IF(R$1="",0,INT(SUM(капитал!$J$67:$J$70)*DAY(EOMONTH(R$8,$H49-MONTH(R$8)))*R25))</f>
        <v>156</v>
      </c>
      <c r="S49" s="101">
        <f>IF(S$1="",0,INT(SUM(капитал!$J$67:$J$70)*DAY(EOMONTH(S$8,$H49-MONTH(S$8)))*S25))</f>
        <v>156</v>
      </c>
      <c r="T49" s="101">
        <f>IF(T$1="",0,INT(SUM(капитал!$J$67:$J$70)*DAY(EOMONTH(T$8,$H49-MONTH(T$8)))*T25))</f>
        <v>156</v>
      </c>
      <c r="U49" s="101">
        <f>IF(U$1="",0,INT(SUM(капитал!$J$67:$J$70)*DAY(EOMONTH(U$8,$H49-MONTH(U$8)))*U25))</f>
        <v>156</v>
      </c>
      <c r="V49" s="101">
        <f>IF(V$1="",0,INT(SUM(капитал!$J$67:$J$70)*DAY(EOMONTH(V$8,$H49-MONTH(V$8)))*V25))</f>
        <v>156</v>
      </c>
      <c r="W49" s="101">
        <f>IF(W$1="",0,INT(SUM(капитал!$J$67:$J$70)*DAY(EOMONTH(W$8,$H49-MONTH(W$8)))*W25))</f>
        <v>0</v>
      </c>
      <c r="X49" s="101">
        <f>IF(X$1="",0,INT(SUM(капитал!$J$67:$J$70)*DAY(EOMONTH(X$8,$H49-MONTH(X$8)))*X25))</f>
        <v>0</v>
      </c>
      <c r="Y49" s="101">
        <f>IF(Y$1="",0,INT(SUM(капитал!$J$67:$J$70)*DAY(EOMONTH(Y$8,$H49-MONTH(Y$8)))*Y25))</f>
        <v>0</v>
      </c>
      <c r="Z49" s="101">
        <f>IF(Z$1="",0,INT(SUM(капитал!$J$67:$J$70)*DAY(EOMONTH(Z$8,$H49-MONTH(Z$8)))*Z25))</f>
        <v>0</v>
      </c>
      <c r="AA49" s="101">
        <f>IF(AA$1="",0,INT(SUM(капитал!$J$67:$J$70)*DAY(EOMONTH(AA$8,$H49-MONTH(AA$8)))*AA25))</f>
        <v>0</v>
      </c>
      <c r="AB49" s="22"/>
    </row>
    <row r="50" spans="1:28" s="23" customFormat="1" ht="10.199999999999999" x14ac:dyDescent="0.2">
      <c r="A50" s="22"/>
      <c r="B50" s="22"/>
      <c r="C50" s="22"/>
      <c r="D50" s="22"/>
      <c r="E50" s="22" t="str">
        <f t="shared" si="5"/>
        <v>количество арендных сделок</v>
      </c>
      <c r="F50" s="22"/>
      <c r="G50" s="22" t="str">
        <f>IF($E50="","",INDEX(KPI!$G:$G,SUMIFS(KPI!$B:$B,KPI!$E:$E,$E50)))</f>
        <v>шт</v>
      </c>
      <c r="H50" s="100">
        <f>структура!$V$18</f>
        <v>7</v>
      </c>
      <c r="I50" s="31"/>
      <c r="J50" s="98" t="str">
        <f>структура!$X$18</f>
        <v>июл</v>
      </c>
      <c r="K50" s="99"/>
      <c r="L50" s="22"/>
      <c r="M50" s="58"/>
      <c r="N50" s="22"/>
      <c r="O50" s="22"/>
      <c r="P50" s="101">
        <f>IF(P$1="",0,INT(SUM(капитал!$J$67:$J$70)*DAY(EOMONTH(P$8,$H50-MONTH(P$8)))*P26))</f>
        <v>161</v>
      </c>
      <c r="Q50" s="101">
        <f>IF(Q$1="",0,INT(SUM(капитал!$J$67:$J$70)*DAY(EOMONTH(Q$8,$H50-MONTH(Q$8)))*Q26))</f>
        <v>161</v>
      </c>
      <c r="R50" s="101">
        <f>IF(R$1="",0,INT(SUM(капитал!$J$67:$J$70)*DAY(EOMONTH(R$8,$H50-MONTH(R$8)))*R26))</f>
        <v>161</v>
      </c>
      <c r="S50" s="101">
        <f>IF(S$1="",0,INT(SUM(капитал!$J$67:$J$70)*DAY(EOMONTH(S$8,$H50-MONTH(S$8)))*S26))</f>
        <v>161</v>
      </c>
      <c r="T50" s="101">
        <f>IF(T$1="",0,INT(SUM(капитал!$J$67:$J$70)*DAY(EOMONTH(T$8,$H50-MONTH(T$8)))*T26))</f>
        <v>161</v>
      </c>
      <c r="U50" s="101">
        <f>IF(U$1="",0,INT(SUM(капитал!$J$67:$J$70)*DAY(EOMONTH(U$8,$H50-MONTH(U$8)))*U26))</f>
        <v>161</v>
      </c>
      <c r="V50" s="101">
        <f>IF(V$1="",0,INT(SUM(капитал!$J$67:$J$70)*DAY(EOMONTH(V$8,$H50-MONTH(V$8)))*V26))</f>
        <v>161</v>
      </c>
      <c r="W50" s="101">
        <f>IF(W$1="",0,INT(SUM(капитал!$J$67:$J$70)*DAY(EOMONTH(W$8,$H50-MONTH(W$8)))*W26))</f>
        <v>0</v>
      </c>
      <c r="X50" s="101">
        <f>IF(X$1="",0,INT(SUM(капитал!$J$67:$J$70)*DAY(EOMONTH(X$8,$H50-MONTH(X$8)))*X26))</f>
        <v>0</v>
      </c>
      <c r="Y50" s="101">
        <f>IF(Y$1="",0,INT(SUM(капитал!$J$67:$J$70)*DAY(EOMONTH(Y$8,$H50-MONTH(Y$8)))*Y26))</f>
        <v>0</v>
      </c>
      <c r="Z50" s="101">
        <f>IF(Z$1="",0,INT(SUM(капитал!$J$67:$J$70)*DAY(EOMONTH(Z$8,$H50-MONTH(Z$8)))*Z26))</f>
        <v>0</v>
      </c>
      <c r="AA50" s="101">
        <f>IF(AA$1="",0,INT(SUM(капитал!$J$67:$J$70)*DAY(EOMONTH(AA$8,$H50-MONTH(AA$8)))*AA26))</f>
        <v>0</v>
      </c>
      <c r="AB50" s="22"/>
    </row>
    <row r="51" spans="1:28" s="23" customFormat="1" ht="10.199999999999999" x14ac:dyDescent="0.2">
      <c r="A51" s="22"/>
      <c r="B51" s="22"/>
      <c r="C51" s="22"/>
      <c r="D51" s="22"/>
      <c r="E51" s="22" t="str">
        <f t="shared" si="5"/>
        <v>количество арендных сделок</v>
      </c>
      <c r="F51" s="22"/>
      <c r="G51" s="22" t="str">
        <f>IF($E51="","",INDEX(KPI!$G:$G,SUMIFS(KPI!$B:$B,KPI!$E:$E,$E51)))</f>
        <v>шт</v>
      </c>
      <c r="H51" s="100">
        <f>структура!$V$19</f>
        <v>8</v>
      </c>
      <c r="I51" s="31"/>
      <c r="J51" s="98" t="str">
        <f>структура!$X$19</f>
        <v>авг</v>
      </c>
      <c r="K51" s="99"/>
      <c r="L51" s="22"/>
      <c r="M51" s="58"/>
      <c r="N51" s="22"/>
      <c r="O51" s="22"/>
      <c r="P51" s="101">
        <f>IF(P$1="",0,INT(SUM(капитал!$J$67:$J$70)*DAY(EOMONTH(P$8,$H51-MONTH(P$8)))*P27))</f>
        <v>161</v>
      </c>
      <c r="Q51" s="101">
        <f>IF(Q$1="",0,INT(SUM(капитал!$J$67:$J$70)*DAY(EOMONTH(Q$8,$H51-MONTH(Q$8)))*Q27))</f>
        <v>161</v>
      </c>
      <c r="R51" s="101">
        <f>IF(R$1="",0,INT(SUM(капитал!$J$67:$J$70)*DAY(EOMONTH(R$8,$H51-MONTH(R$8)))*R27))</f>
        <v>161</v>
      </c>
      <c r="S51" s="101">
        <f>IF(S$1="",0,INT(SUM(капитал!$J$67:$J$70)*DAY(EOMONTH(S$8,$H51-MONTH(S$8)))*S27))</f>
        <v>161</v>
      </c>
      <c r="T51" s="101">
        <f>IF(T$1="",0,INT(SUM(капитал!$J$67:$J$70)*DAY(EOMONTH(T$8,$H51-MONTH(T$8)))*T27))</f>
        <v>161</v>
      </c>
      <c r="U51" s="101">
        <f>IF(U$1="",0,INT(SUM(капитал!$J$67:$J$70)*DAY(EOMONTH(U$8,$H51-MONTH(U$8)))*U27))</f>
        <v>161</v>
      </c>
      <c r="V51" s="101">
        <f>IF(V$1="",0,INT(SUM(капитал!$J$67:$J$70)*DAY(EOMONTH(V$8,$H51-MONTH(V$8)))*V27))</f>
        <v>161</v>
      </c>
      <c r="W51" s="101">
        <f>IF(W$1="",0,INT(SUM(капитал!$J$67:$J$70)*DAY(EOMONTH(W$8,$H51-MONTH(W$8)))*W27))</f>
        <v>0</v>
      </c>
      <c r="X51" s="101">
        <f>IF(X$1="",0,INT(SUM(капитал!$J$67:$J$70)*DAY(EOMONTH(X$8,$H51-MONTH(X$8)))*X27))</f>
        <v>0</v>
      </c>
      <c r="Y51" s="101">
        <f>IF(Y$1="",0,INT(SUM(капитал!$J$67:$J$70)*DAY(EOMONTH(Y$8,$H51-MONTH(Y$8)))*Y27))</f>
        <v>0</v>
      </c>
      <c r="Z51" s="101">
        <f>IF(Z$1="",0,INT(SUM(капитал!$J$67:$J$70)*DAY(EOMONTH(Z$8,$H51-MONTH(Z$8)))*Z27))</f>
        <v>0</v>
      </c>
      <c r="AA51" s="101">
        <f>IF(AA$1="",0,INT(SUM(капитал!$J$67:$J$70)*DAY(EOMONTH(AA$8,$H51-MONTH(AA$8)))*AA27))</f>
        <v>0</v>
      </c>
      <c r="AB51" s="22"/>
    </row>
    <row r="52" spans="1:28" s="23" customFormat="1" ht="10.199999999999999" x14ac:dyDescent="0.2">
      <c r="A52" s="22"/>
      <c r="B52" s="22"/>
      <c r="C52" s="22"/>
      <c r="D52" s="22"/>
      <c r="E52" s="22" t="str">
        <f t="shared" si="5"/>
        <v>количество арендных сделок</v>
      </c>
      <c r="F52" s="22"/>
      <c r="G52" s="22" t="str">
        <f>IF($E52="","",INDEX(KPI!$G:$G,SUMIFS(KPI!$B:$B,KPI!$E:$E,$E52)))</f>
        <v>шт</v>
      </c>
      <c r="H52" s="100">
        <f>структура!$V$20</f>
        <v>9</v>
      </c>
      <c r="I52" s="31"/>
      <c r="J52" s="98" t="str">
        <f>структура!$X$20</f>
        <v>сен</v>
      </c>
      <c r="K52" s="99"/>
      <c r="L52" s="22"/>
      <c r="M52" s="58"/>
      <c r="N52" s="22"/>
      <c r="O52" s="22"/>
      <c r="P52" s="101">
        <f>IF(P$1="",0,INT(SUM(капитал!$J$67:$J$70)*DAY(EOMONTH(P$8,$H52-MONTH(P$8)))*P28))</f>
        <v>136</v>
      </c>
      <c r="Q52" s="101">
        <f>IF(Q$1="",0,INT(SUM(капитал!$J$67:$J$70)*DAY(EOMONTH(Q$8,$H52-MONTH(Q$8)))*Q28))</f>
        <v>136</v>
      </c>
      <c r="R52" s="101">
        <f>IF(R$1="",0,INT(SUM(капитал!$J$67:$J$70)*DAY(EOMONTH(R$8,$H52-MONTH(R$8)))*R28))</f>
        <v>136</v>
      </c>
      <c r="S52" s="101">
        <f>IF(S$1="",0,INT(SUM(капитал!$J$67:$J$70)*DAY(EOMONTH(S$8,$H52-MONTH(S$8)))*S28))</f>
        <v>136</v>
      </c>
      <c r="T52" s="101">
        <f>IF(T$1="",0,INT(SUM(капитал!$J$67:$J$70)*DAY(EOMONTH(T$8,$H52-MONTH(T$8)))*T28))</f>
        <v>136</v>
      </c>
      <c r="U52" s="101">
        <f>IF(U$1="",0,INT(SUM(капитал!$J$67:$J$70)*DAY(EOMONTH(U$8,$H52-MONTH(U$8)))*U28))</f>
        <v>136</v>
      </c>
      <c r="V52" s="101">
        <f>IF(V$1="",0,INT(SUM(капитал!$J$67:$J$70)*DAY(EOMONTH(V$8,$H52-MONTH(V$8)))*V28))</f>
        <v>136</v>
      </c>
      <c r="W52" s="101">
        <f>IF(W$1="",0,INT(SUM(капитал!$J$67:$J$70)*DAY(EOMONTH(W$8,$H52-MONTH(W$8)))*W28))</f>
        <v>0</v>
      </c>
      <c r="X52" s="101">
        <f>IF(X$1="",0,INT(SUM(капитал!$J$67:$J$70)*DAY(EOMONTH(X$8,$H52-MONTH(X$8)))*X28))</f>
        <v>0</v>
      </c>
      <c r="Y52" s="101">
        <f>IF(Y$1="",0,INT(SUM(капитал!$J$67:$J$70)*DAY(EOMONTH(Y$8,$H52-MONTH(Y$8)))*Y28))</f>
        <v>0</v>
      </c>
      <c r="Z52" s="101">
        <f>IF(Z$1="",0,INT(SUM(капитал!$J$67:$J$70)*DAY(EOMONTH(Z$8,$H52-MONTH(Z$8)))*Z28))</f>
        <v>0</v>
      </c>
      <c r="AA52" s="101">
        <f>IF(AA$1="",0,INT(SUM(капитал!$J$67:$J$70)*DAY(EOMONTH(AA$8,$H52-MONTH(AA$8)))*AA28))</f>
        <v>0</v>
      </c>
      <c r="AB52" s="22"/>
    </row>
    <row r="53" spans="1:28" s="23" customFormat="1" ht="10.199999999999999" x14ac:dyDescent="0.2">
      <c r="A53" s="22"/>
      <c r="B53" s="22"/>
      <c r="C53" s="22"/>
      <c r="D53" s="22"/>
      <c r="E53" s="22" t="str">
        <f t="shared" si="5"/>
        <v>количество арендных сделок</v>
      </c>
      <c r="F53" s="22"/>
      <c r="G53" s="22" t="str">
        <f>IF($E53="","",INDEX(KPI!$G:$G,SUMIFS(KPI!$B:$B,KPI!$E:$E,$E53)))</f>
        <v>шт</v>
      </c>
      <c r="H53" s="100">
        <f>структура!$V$21</f>
        <v>10</v>
      </c>
      <c r="I53" s="31"/>
      <c r="J53" s="98" t="str">
        <f>структура!$X$21</f>
        <v>окт</v>
      </c>
      <c r="K53" s="99"/>
      <c r="L53" s="22"/>
      <c r="M53" s="58"/>
      <c r="N53" s="22"/>
      <c r="O53" s="22"/>
      <c r="P53" s="101">
        <f>IF(P$1="",0,INT(SUM(капитал!$J$67:$J$70)*DAY(EOMONTH(P$8,$H53-MONTH(P$8)))*P29))</f>
        <v>112</v>
      </c>
      <c r="Q53" s="101">
        <f>IF(Q$1="",0,INT(SUM(капитал!$J$67:$J$70)*DAY(EOMONTH(Q$8,$H53-MONTH(Q$8)))*Q29))</f>
        <v>112</v>
      </c>
      <c r="R53" s="101">
        <f>IF(R$1="",0,INT(SUM(капитал!$J$67:$J$70)*DAY(EOMONTH(R$8,$H53-MONTH(R$8)))*R29))</f>
        <v>112</v>
      </c>
      <c r="S53" s="101">
        <f>IF(S$1="",0,INT(SUM(капитал!$J$67:$J$70)*DAY(EOMONTH(S$8,$H53-MONTH(S$8)))*S29))</f>
        <v>112</v>
      </c>
      <c r="T53" s="101">
        <f>IF(T$1="",0,INT(SUM(капитал!$J$67:$J$70)*DAY(EOMONTH(T$8,$H53-MONTH(T$8)))*T29))</f>
        <v>112</v>
      </c>
      <c r="U53" s="101">
        <f>IF(U$1="",0,INT(SUM(капитал!$J$67:$J$70)*DAY(EOMONTH(U$8,$H53-MONTH(U$8)))*U29))</f>
        <v>112</v>
      </c>
      <c r="V53" s="101">
        <f>IF(V$1="",0,INT(SUM(капитал!$J$67:$J$70)*DAY(EOMONTH(V$8,$H53-MONTH(V$8)))*V29))</f>
        <v>112</v>
      </c>
      <c r="W53" s="101">
        <f>IF(W$1="",0,INT(SUM(капитал!$J$67:$J$70)*DAY(EOMONTH(W$8,$H53-MONTH(W$8)))*W29))</f>
        <v>0</v>
      </c>
      <c r="X53" s="101">
        <f>IF(X$1="",0,INT(SUM(капитал!$J$67:$J$70)*DAY(EOMONTH(X$8,$H53-MONTH(X$8)))*X29))</f>
        <v>0</v>
      </c>
      <c r="Y53" s="101">
        <f>IF(Y$1="",0,INT(SUM(капитал!$J$67:$J$70)*DAY(EOMONTH(Y$8,$H53-MONTH(Y$8)))*Y29))</f>
        <v>0</v>
      </c>
      <c r="Z53" s="101">
        <f>IF(Z$1="",0,INT(SUM(капитал!$J$67:$J$70)*DAY(EOMONTH(Z$8,$H53-MONTH(Z$8)))*Z29))</f>
        <v>0</v>
      </c>
      <c r="AA53" s="101">
        <f>IF(AA$1="",0,INT(SUM(капитал!$J$67:$J$70)*DAY(EOMONTH(AA$8,$H53-MONTH(AA$8)))*AA29))</f>
        <v>0</v>
      </c>
      <c r="AB53" s="22"/>
    </row>
    <row r="54" spans="1:28" s="23" customFormat="1" ht="10.199999999999999" x14ac:dyDescent="0.2">
      <c r="A54" s="22"/>
      <c r="B54" s="22"/>
      <c r="C54" s="22"/>
      <c r="D54" s="22"/>
      <c r="E54" s="22" t="str">
        <f t="shared" si="5"/>
        <v>количество арендных сделок</v>
      </c>
      <c r="F54" s="22"/>
      <c r="G54" s="22" t="str">
        <f>IF($E54="","",INDEX(KPI!$G:$G,SUMIFS(KPI!$B:$B,KPI!$E:$E,$E54)))</f>
        <v>шт</v>
      </c>
      <c r="H54" s="100">
        <f>структура!$V$22</f>
        <v>11</v>
      </c>
      <c r="I54" s="31"/>
      <c r="J54" s="98" t="str">
        <f>структура!$X$22</f>
        <v>ноя</v>
      </c>
      <c r="K54" s="99"/>
      <c r="L54" s="22"/>
      <c r="M54" s="58"/>
      <c r="N54" s="22"/>
      <c r="O54" s="22"/>
      <c r="P54" s="101">
        <f>IF(P$1="",0,INT(SUM(капитал!$J$67:$J$70)*DAY(EOMONTH(P$8,$H54-MONTH(P$8)))*P30))</f>
        <v>97</v>
      </c>
      <c r="Q54" s="101">
        <f>IF(Q$1="",0,INT(SUM(капитал!$J$67:$J$70)*DAY(EOMONTH(Q$8,$H54-MONTH(Q$8)))*Q30))</f>
        <v>97</v>
      </c>
      <c r="R54" s="101">
        <f>IF(R$1="",0,INT(SUM(капитал!$J$67:$J$70)*DAY(EOMONTH(R$8,$H54-MONTH(R$8)))*R30))</f>
        <v>97</v>
      </c>
      <c r="S54" s="101">
        <f>IF(S$1="",0,INT(SUM(капитал!$J$67:$J$70)*DAY(EOMONTH(S$8,$H54-MONTH(S$8)))*S30))</f>
        <v>97</v>
      </c>
      <c r="T54" s="101">
        <f>IF(T$1="",0,INT(SUM(капитал!$J$67:$J$70)*DAY(EOMONTH(T$8,$H54-MONTH(T$8)))*T30))</f>
        <v>97</v>
      </c>
      <c r="U54" s="101">
        <f>IF(U$1="",0,INT(SUM(капитал!$J$67:$J$70)*DAY(EOMONTH(U$8,$H54-MONTH(U$8)))*U30))</f>
        <v>97</v>
      </c>
      <c r="V54" s="101">
        <f>IF(V$1="",0,INT(SUM(капитал!$J$67:$J$70)*DAY(EOMONTH(V$8,$H54-MONTH(V$8)))*V30))</f>
        <v>97</v>
      </c>
      <c r="W54" s="101">
        <f>IF(W$1="",0,INT(SUM(капитал!$J$67:$J$70)*DAY(EOMONTH(W$8,$H54-MONTH(W$8)))*W30))</f>
        <v>0</v>
      </c>
      <c r="X54" s="101">
        <f>IF(X$1="",0,INT(SUM(капитал!$J$67:$J$70)*DAY(EOMONTH(X$8,$H54-MONTH(X$8)))*X30))</f>
        <v>0</v>
      </c>
      <c r="Y54" s="101">
        <f>IF(Y$1="",0,INT(SUM(капитал!$J$67:$J$70)*DAY(EOMONTH(Y$8,$H54-MONTH(Y$8)))*Y30))</f>
        <v>0</v>
      </c>
      <c r="Z54" s="101">
        <f>IF(Z$1="",0,INT(SUM(капитал!$J$67:$J$70)*DAY(EOMONTH(Z$8,$H54-MONTH(Z$8)))*Z30))</f>
        <v>0</v>
      </c>
      <c r="AA54" s="101">
        <f>IF(AA$1="",0,INT(SUM(капитал!$J$67:$J$70)*DAY(EOMONTH(AA$8,$H54-MONTH(AA$8)))*AA30))</f>
        <v>0</v>
      </c>
      <c r="AB54" s="22"/>
    </row>
    <row r="55" spans="1:28" s="23" customFormat="1" ht="10.199999999999999" x14ac:dyDescent="0.2">
      <c r="A55" s="22"/>
      <c r="B55" s="22"/>
      <c r="C55" s="22"/>
      <c r="D55" s="22"/>
      <c r="E55" s="22" t="str">
        <f t="shared" si="5"/>
        <v>количество арендных сделок</v>
      </c>
      <c r="F55" s="22"/>
      <c r="G55" s="22" t="str">
        <f>IF($E55="","",INDEX(KPI!$G:$G,SUMIFS(KPI!$B:$B,KPI!$E:$E,$E55)))</f>
        <v>шт</v>
      </c>
      <c r="H55" s="100">
        <f>структура!$V$23</f>
        <v>12</v>
      </c>
      <c r="I55" s="31"/>
      <c r="J55" s="98" t="str">
        <f>структура!$X$23</f>
        <v>дек</v>
      </c>
      <c r="K55" s="99"/>
      <c r="L55" s="22"/>
      <c r="M55" s="58"/>
      <c r="N55" s="22"/>
      <c r="O55" s="22"/>
      <c r="P55" s="101">
        <f>IF(P$1="",0,INT(SUM(капитал!$J$67:$J$70)*DAY(EOMONTH(P$8,$H55-MONTH(P$8)))*P31))</f>
        <v>80</v>
      </c>
      <c r="Q55" s="101">
        <f>IF(Q$1="",0,INT(SUM(капитал!$J$67:$J$70)*DAY(EOMONTH(Q$8,$H55-MONTH(Q$8)))*Q31))</f>
        <v>80</v>
      </c>
      <c r="R55" s="101">
        <f>IF(R$1="",0,INT(SUM(капитал!$J$67:$J$70)*DAY(EOMONTH(R$8,$H55-MONTH(R$8)))*R31))</f>
        <v>80</v>
      </c>
      <c r="S55" s="101">
        <f>IF(S$1="",0,INT(SUM(капитал!$J$67:$J$70)*DAY(EOMONTH(S$8,$H55-MONTH(S$8)))*S31))</f>
        <v>80</v>
      </c>
      <c r="T55" s="101">
        <f>IF(T$1="",0,INT(SUM(капитал!$J$67:$J$70)*DAY(EOMONTH(T$8,$H55-MONTH(T$8)))*T31))</f>
        <v>80</v>
      </c>
      <c r="U55" s="101">
        <f>IF(U$1="",0,INT(SUM(капитал!$J$67:$J$70)*DAY(EOMONTH(U$8,$H55-MONTH(U$8)))*U31))</f>
        <v>80</v>
      </c>
      <c r="V55" s="101">
        <f>IF(V$1="",0,INT(SUM(капитал!$J$67:$J$70)*DAY(EOMONTH(V$8,$H55-MONTH(V$8)))*V31))</f>
        <v>80</v>
      </c>
      <c r="W55" s="101">
        <f>IF(W$1="",0,INT(SUM(капитал!$J$67:$J$70)*DAY(EOMONTH(W$8,$H55-MONTH(W$8)))*W31))</f>
        <v>0</v>
      </c>
      <c r="X55" s="101">
        <f>IF(X$1="",0,INT(SUM(капитал!$J$67:$J$70)*DAY(EOMONTH(X$8,$H55-MONTH(X$8)))*X31))</f>
        <v>0</v>
      </c>
      <c r="Y55" s="101">
        <f>IF(Y$1="",0,INT(SUM(капитал!$J$67:$J$70)*DAY(EOMONTH(Y$8,$H55-MONTH(Y$8)))*Y31))</f>
        <v>0</v>
      </c>
      <c r="Z55" s="101">
        <f>IF(Z$1="",0,INT(SUM(капитал!$J$67:$J$70)*DAY(EOMONTH(Z$8,$H55-MONTH(Z$8)))*Z31))</f>
        <v>0</v>
      </c>
      <c r="AA55" s="101">
        <f>IF(AA$1="",0,INT(SUM(капитал!$J$67:$J$70)*DAY(EOMONTH(AA$8,$H55-MONTH(AA$8)))*AA31))</f>
        <v>0</v>
      </c>
      <c r="AB55" s="22"/>
    </row>
    <row r="56" spans="1:28" ht="3.9" customHeight="1" x14ac:dyDescent="0.25">
      <c r="A56" s="2"/>
      <c r="B56" s="2"/>
      <c r="C56" s="2"/>
      <c r="D56" s="2"/>
      <c r="E56" s="21"/>
      <c r="F56" s="2"/>
      <c r="G56" s="21"/>
      <c r="H56" s="2"/>
      <c r="I56" s="28"/>
      <c r="J56" s="21"/>
      <c r="K56" s="28"/>
      <c r="L56" s="2"/>
      <c r="M56" s="52"/>
      <c r="N56" s="2"/>
      <c r="O56" s="2"/>
      <c r="P56" s="36"/>
      <c r="Q56" s="36"/>
      <c r="R56" s="36"/>
      <c r="S56" s="36"/>
      <c r="T56" s="36"/>
      <c r="U56" s="36"/>
      <c r="V56" s="36"/>
      <c r="W56" s="36"/>
      <c r="X56" s="36"/>
      <c r="Y56" s="36"/>
      <c r="Z56" s="36"/>
      <c r="AA56" s="36"/>
      <c r="AB56" s="2"/>
    </row>
    <row r="57" spans="1:28" ht="8.1" customHeight="1" x14ac:dyDescent="0.25">
      <c r="A57" s="2"/>
      <c r="B57" s="2"/>
      <c r="C57" s="2"/>
      <c r="D57" s="2"/>
      <c r="E57" s="2"/>
      <c r="F57" s="2"/>
      <c r="G57" s="2"/>
      <c r="H57" s="2"/>
      <c r="I57" s="28"/>
      <c r="J57" s="2"/>
      <c r="K57" s="28"/>
      <c r="L57" s="2"/>
      <c r="M57" s="52"/>
      <c r="N57" s="2"/>
      <c r="O57" s="2"/>
      <c r="P57" s="36"/>
      <c r="Q57" s="36"/>
      <c r="R57" s="36"/>
      <c r="S57" s="36"/>
      <c r="T57" s="36"/>
      <c r="U57" s="36"/>
      <c r="V57" s="36"/>
      <c r="W57" s="36"/>
      <c r="X57" s="36"/>
      <c r="Y57" s="36"/>
      <c r="Z57" s="36"/>
      <c r="AA57" s="36"/>
      <c r="AB57" s="2"/>
    </row>
    <row r="58" spans="1:28" s="5" customFormat="1" x14ac:dyDescent="0.25">
      <c r="A58" s="3"/>
      <c r="B58" s="3"/>
      <c r="C58" s="3"/>
      <c r="D58" s="108"/>
      <c r="E58" s="3" t="str">
        <f>KPI!$E$35</f>
        <v>доход от сдачи в аренду</v>
      </c>
      <c r="F58" s="3"/>
      <c r="G58" s="3" t="str">
        <f>IF($E58="","",INDEX(KPI!$G:$G,SUMIFS(KPI!$B:$B,KPI!$E:$E,$E58)))</f>
        <v>тыс.руб.</v>
      </c>
      <c r="H58" s="3"/>
      <c r="I58" s="28"/>
      <c r="J58" s="44"/>
      <c r="K58" s="28"/>
      <c r="L58" s="3"/>
      <c r="M58" s="55">
        <f>SUM($O58:$AB58)</f>
        <v>51149.999999999993</v>
      </c>
      <c r="N58" s="3"/>
      <c r="O58" s="3"/>
      <c r="P58" s="46">
        <f>IF(P$1="",0,IF(P$1=0,SUMIFS(P59:P70,H59:H70,"&gt;="&amp;MONTH($J$13)),SUM(P59:P70)))</f>
        <v>7302.6461538461535</v>
      </c>
      <c r="Q58" s="46">
        <f t="shared" ref="Q58" si="6">IF(Q$1="",0,SUM(Q59:Q70))</f>
        <v>7302.6461538461535</v>
      </c>
      <c r="R58" s="46">
        <f t="shared" ref="R58" si="7">IF(R$1="",0,SUM(R59:R70))</f>
        <v>7318.3846153846152</v>
      </c>
      <c r="S58" s="46">
        <f t="shared" ref="S58" si="8">IF(S$1="",0,SUM(S59:S70))</f>
        <v>7302.6461538461535</v>
      </c>
      <c r="T58" s="46">
        <f t="shared" ref="T58" si="9">IF(T$1="",0,SUM(T59:T70))</f>
        <v>7302.6461538461535</v>
      </c>
      <c r="U58" s="46">
        <f t="shared" ref="U58" si="10">IF(U$1="",0,SUM(U59:U70))</f>
        <v>7302.6461538461535</v>
      </c>
      <c r="V58" s="46">
        <f t="shared" ref="V58" si="11">IF(V$1="",0,SUM(V59:V70))</f>
        <v>7318.3846153846152</v>
      </c>
      <c r="W58" s="46">
        <f t="shared" ref="W58" si="12">IF(W$1="",0,SUM(W59:W70))</f>
        <v>0</v>
      </c>
      <c r="X58" s="46">
        <f t="shared" ref="X58" si="13">IF(X$1="",0,SUM(X59:X70))</f>
        <v>0</v>
      </c>
      <c r="Y58" s="46">
        <f t="shared" ref="Y58" si="14">IF(Y$1="",0,SUM(Y59:Y70))</f>
        <v>0</v>
      </c>
      <c r="Z58" s="46">
        <f t="shared" ref="Z58" si="15">IF(Z$1="",0,SUM(Z59:Z70))</f>
        <v>0</v>
      </c>
      <c r="AA58" s="46">
        <f t="shared" ref="AA58" si="16">IF(AA$1="",0,SUM(AA59:AA70))</f>
        <v>0</v>
      </c>
      <c r="AB58" s="3"/>
    </row>
    <row r="59" spans="1:28" s="23" customFormat="1" ht="10.199999999999999" x14ac:dyDescent="0.2">
      <c r="A59" s="22"/>
      <c r="B59" s="22"/>
      <c r="C59" s="22"/>
      <c r="D59" s="22"/>
      <c r="E59" s="22" t="str">
        <f t="shared" ref="E59:E70" si="17">$E$58</f>
        <v>доход от сдачи в аренду</v>
      </c>
      <c r="F59" s="22"/>
      <c r="G59" s="22" t="str">
        <f>IF($E59="","",INDEX(KPI!$G:$G,SUMIFS(KPI!$B:$B,KPI!$E:$E,$E59)))</f>
        <v>тыс.руб.</v>
      </c>
      <c r="H59" s="100">
        <f>структура!$V$12</f>
        <v>1</v>
      </c>
      <c r="I59" s="31"/>
      <c r="J59" s="98" t="str">
        <f>структура!$X$12</f>
        <v>янв</v>
      </c>
      <c r="K59" s="99"/>
      <c r="L59" s="22"/>
      <c r="M59" s="58"/>
      <c r="N59" s="22"/>
      <c r="O59" s="22"/>
      <c r="P59" s="101">
        <f t="shared" ref="P59:AA59" si="18">IF(P$1="",0,P$41*P44/1000)</f>
        <v>419.69230769230762</v>
      </c>
      <c r="Q59" s="101">
        <f t="shared" si="18"/>
        <v>419.69230769230762</v>
      </c>
      <c r="R59" s="101">
        <f t="shared" si="18"/>
        <v>419.69230769230762</v>
      </c>
      <c r="S59" s="101">
        <f t="shared" si="18"/>
        <v>419.69230769230762</v>
      </c>
      <c r="T59" s="101">
        <f t="shared" si="18"/>
        <v>419.69230769230762</v>
      </c>
      <c r="U59" s="101">
        <f t="shared" si="18"/>
        <v>419.69230769230762</v>
      </c>
      <c r="V59" s="101">
        <f t="shared" si="18"/>
        <v>419.69230769230762</v>
      </c>
      <c r="W59" s="101">
        <f t="shared" si="18"/>
        <v>0</v>
      </c>
      <c r="X59" s="101">
        <f t="shared" si="18"/>
        <v>0</v>
      </c>
      <c r="Y59" s="101">
        <f t="shared" si="18"/>
        <v>0</v>
      </c>
      <c r="Z59" s="101">
        <f t="shared" si="18"/>
        <v>0</v>
      </c>
      <c r="AA59" s="101">
        <f t="shared" si="18"/>
        <v>0</v>
      </c>
      <c r="AB59" s="22"/>
    </row>
    <row r="60" spans="1:28" s="23" customFormat="1" ht="10.199999999999999" x14ac:dyDescent="0.2">
      <c r="A60" s="22"/>
      <c r="B60" s="22"/>
      <c r="C60" s="22"/>
      <c r="D60" s="22"/>
      <c r="E60" s="22" t="str">
        <f t="shared" si="17"/>
        <v>доход от сдачи в аренду</v>
      </c>
      <c r="F60" s="22"/>
      <c r="G60" s="22" t="str">
        <f>IF($E60="","",INDEX(KPI!$G:$G,SUMIFS(KPI!$B:$B,KPI!$E:$E,$E60)))</f>
        <v>тыс.руб.</v>
      </c>
      <c r="H60" s="100">
        <f>структура!$V$13</f>
        <v>2</v>
      </c>
      <c r="I60" s="31"/>
      <c r="J60" s="98" t="str">
        <f>структура!$X$13</f>
        <v>фев</v>
      </c>
      <c r="K60" s="99"/>
      <c r="L60" s="22"/>
      <c r="M60" s="58"/>
      <c r="N60" s="22"/>
      <c r="O60" s="22"/>
      <c r="P60" s="101">
        <f t="shared" ref="P60:AA60" si="19">IF(P$1="",0,P$41*P45/1000)</f>
        <v>377.72307692307686</v>
      </c>
      <c r="Q60" s="101">
        <f t="shared" si="19"/>
        <v>377.72307692307686</v>
      </c>
      <c r="R60" s="101">
        <f t="shared" si="19"/>
        <v>393.46153846153845</v>
      </c>
      <c r="S60" s="101">
        <f t="shared" si="19"/>
        <v>377.72307692307686</v>
      </c>
      <c r="T60" s="101">
        <f t="shared" si="19"/>
        <v>377.72307692307686</v>
      </c>
      <c r="U60" s="101">
        <f t="shared" si="19"/>
        <v>377.72307692307686</v>
      </c>
      <c r="V60" s="101">
        <f t="shared" si="19"/>
        <v>393.46153846153845</v>
      </c>
      <c r="W60" s="101">
        <f t="shared" si="19"/>
        <v>0</v>
      </c>
      <c r="X60" s="101">
        <f t="shared" si="19"/>
        <v>0</v>
      </c>
      <c r="Y60" s="101">
        <f t="shared" si="19"/>
        <v>0</v>
      </c>
      <c r="Z60" s="101">
        <f t="shared" si="19"/>
        <v>0</v>
      </c>
      <c r="AA60" s="101">
        <f t="shared" si="19"/>
        <v>0</v>
      </c>
      <c r="AB60" s="22"/>
    </row>
    <row r="61" spans="1:28" s="23" customFormat="1" ht="10.199999999999999" x14ac:dyDescent="0.2">
      <c r="A61" s="22"/>
      <c r="B61" s="22"/>
      <c r="C61" s="22"/>
      <c r="D61" s="22"/>
      <c r="E61" s="22" t="str">
        <f t="shared" si="17"/>
        <v>доход от сдачи в аренду</v>
      </c>
      <c r="F61" s="22"/>
      <c r="G61" s="22" t="str">
        <f>IF($E61="","",INDEX(KPI!$G:$G,SUMIFS(KPI!$B:$B,KPI!$E:$E,$E61)))</f>
        <v>тыс.руб.</v>
      </c>
      <c r="H61" s="100">
        <f>структура!$V$14</f>
        <v>3</v>
      </c>
      <c r="I61" s="31"/>
      <c r="J61" s="98" t="str">
        <f>структура!$X$14</f>
        <v>мар</v>
      </c>
      <c r="K61" s="99"/>
      <c r="L61" s="22"/>
      <c r="M61" s="58"/>
      <c r="N61" s="22"/>
      <c r="O61" s="22"/>
      <c r="P61" s="101">
        <f t="shared" ref="P61:AA61" si="20">IF(P$1="",0,P$41*P46/1000)</f>
        <v>524.61538461538464</v>
      </c>
      <c r="Q61" s="101">
        <f t="shared" si="20"/>
        <v>524.61538461538464</v>
      </c>
      <c r="R61" s="101">
        <f t="shared" si="20"/>
        <v>524.61538461538464</v>
      </c>
      <c r="S61" s="101">
        <f t="shared" si="20"/>
        <v>524.61538461538464</v>
      </c>
      <c r="T61" s="101">
        <f t="shared" si="20"/>
        <v>524.61538461538464</v>
      </c>
      <c r="U61" s="101">
        <f t="shared" si="20"/>
        <v>524.61538461538464</v>
      </c>
      <c r="V61" s="101">
        <f t="shared" si="20"/>
        <v>524.61538461538464</v>
      </c>
      <c r="W61" s="101">
        <f t="shared" si="20"/>
        <v>0</v>
      </c>
      <c r="X61" s="101">
        <f t="shared" si="20"/>
        <v>0</v>
      </c>
      <c r="Y61" s="101">
        <f t="shared" si="20"/>
        <v>0</v>
      </c>
      <c r="Z61" s="101">
        <f t="shared" si="20"/>
        <v>0</v>
      </c>
      <c r="AA61" s="101">
        <f t="shared" si="20"/>
        <v>0</v>
      </c>
      <c r="AB61" s="22"/>
    </row>
    <row r="62" spans="1:28" s="23" customFormat="1" ht="10.199999999999999" x14ac:dyDescent="0.2">
      <c r="A62" s="22"/>
      <c r="B62" s="22"/>
      <c r="C62" s="22"/>
      <c r="D62" s="22"/>
      <c r="E62" s="22" t="str">
        <f t="shared" si="17"/>
        <v>доход от сдачи в аренду</v>
      </c>
      <c r="F62" s="22"/>
      <c r="G62" s="22" t="str">
        <f>IF($E62="","",INDEX(KPI!$G:$G,SUMIFS(KPI!$B:$B,KPI!$E:$E,$E62)))</f>
        <v>тыс.руб.</v>
      </c>
      <c r="H62" s="100">
        <f>структура!$V$15</f>
        <v>4</v>
      </c>
      <c r="I62" s="31"/>
      <c r="J62" s="98" t="str">
        <f>структура!$X$15</f>
        <v>апр</v>
      </c>
      <c r="K62" s="99"/>
      <c r="L62" s="22"/>
      <c r="M62" s="58"/>
      <c r="N62" s="22"/>
      <c r="O62" s="22"/>
      <c r="P62" s="101">
        <f t="shared" ref="P62:AA62" si="21">IF(P$1="",0,P$41*P47/1000)</f>
        <v>613.79999999999995</v>
      </c>
      <c r="Q62" s="101">
        <f t="shared" si="21"/>
        <v>613.79999999999995</v>
      </c>
      <c r="R62" s="101">
        <f t="shared" si="21"/>
        <v>613.79999999999995</v>
      </c>
      <c r="S62" s="101">
        <f t="shared" si="21"/>
        <v>613.79999999999995</v>
      </c>
      <c r="T62" s="101">
        <f t="shared" si="21"/>
        <v>613.79999999999995</v>
      </c>
      <c r="U62" s="101">
        <f t="shared" si="21"/>
        <v>613.79999999999995</v>
      </c>
      <c r="V62" s="101">
        <f t="shared" si="21"/>
        <v>613.79999999999995</v>
      </c>
      <c r="W62" s="101">
        <f t="shared" si="21"/>
        <v>0</v>
      </c>
      <c r="X62" s="101">
        <f t="shared" si="21"/>
        <v>0</v>
      </c>
      <c r="Y62" s="101">
        <f t="shared" si="21"/>
        <v>0</v>
      </c>
      <c r="Z62" s="101">
        <f t="shared" si="21"/>
        <v>0</v>
      </c>
      <c r="AA62" s="101">
        <f t="shared" si="21"/>
        <v>0</v>
      </c>
      <c r="AB62" s="22"/>
    </row>
    <row r="63" spans="1:28" s="23" customFormat="1" ht="10.199999999999999" x14ac:dyDescent="0.2">
      <c r="A63" s="22"/>
      <c r="B63" s="22"/>
      <c r="C63" s="22"/>
      <c r="D63" s="22"/>
      <c r="E63" s="22" t="str">
        <f t="shared" si="17"/>
        <v>доход от сдачи в аренду</v>
      </c>
      <c r="F63" s="22"/>
      <c r="G63" s="22" t="str">
        <f>IF($E63="","",INDEX(KPI!$G:$G,SUMIFS(KPI!$B:$B,KPI!$E:$E,$E63)))</f>
        <v>тыс.руб.</v>
      </c>
      <c r="H63" s="100">
        <f>структура!$V$16</f>
        <v>5</v>
      </c>
      <c r="I63" s="31"/>
      <c r="J63" s="98" t="str">
        <f>структура!$X$16</f>
        <v>май</v>
      </c>
      <c r="K63" s="99"/>
      <c r="L63" s="22"/>
      <c r="M63" s="58"/>
      <c r="N63" s="22"/>
      <c r="O63" s="22"/>
      <c r="P63" s="101">
        <f t="shared" ref="P63:AA63" si="22">IF(P$1="",0,P$41*P48/1000)</f>
        <v>629.53846153846155</v>
      </c>
      <c r="Q63" s="101">
        <f t="shared" si="22"/>
        <v>629.53846153846155</v>
      </c>
      <c r="R63" s="101">
        <f t="shared" si="22"/>
        <v>629.53846153846155</v>
      </c>
      <c r="S63" s="101">
        <f t="shared" si="22"/>
        <v>629.53846153846155</v>
      </c>
      <c r="T63" s="101">
        <f t="shared" si="22"/>
        <v>629.53846153846155</v>
      </c>
      <c r="U63" s="101">
        <f t="shared" si="22"/>
        <v>629.53846153846155</v>
      </c>
      <c r="V63" s="101">
        <f t="shared" si="22"/>
        <v>629.53846153846155</v>
      </c>
      <c r="W63" s="101">
        <f t="shared" si="22"/>
        <v>0</v>
      </c>
      <c r="X63" s="101">
        <f t="shared" si="22"/>
        <v>0</v>
      </c>
      <c r="Y63" s="101">
        <f t="shared" si="22"/>
        <v>0</v>
      </c>
      <c r="Z63" s="101">
        <f t="shared" si="22"/>
        <v>0</v>
      </c>
      <c r="AA63" s="101">
        <f t="shared" si="22"/>
        <v>0</v>
      </c>
      <c r="AB63" s="22"/>
    </row>
    <row r="64" spans="1:28" s="23" customFormat="1" ht="10.199999999999999" x14ac:dyDescent="0.2">
      <c r="A64" s="22"/>
      <c r="B64" s="22"/>
      <c r="C64" s="22"/>
      <c r="D64" s="22"/>
      <c r="E64" s="22" t="str">
        <f t="shared" si="17"/>
        <v>доход от сдачи в аренду</v>
      </c>
      <c r="F64" s="22"/>
      <c r="G64" s="22" t="str">
        <f>IF($E64="","",INDEX(KPI!$G:$G,SUMIFS(KPI!$B:$B,KPI!$E:$E,$E64)))</f>
        <v>тыс.руб.</v>
      </c>
      <c r="H64" s="100">
        <f>структура!$V$17</f>
        <v>6</v>
      </c>
      <c r="I64" s="31"/>
      <c r="J64" s="98" t="str">
        <f>структура!$X$17</f>
        <v>июн</v>
      </c>
      <c r="K64" s="99"/>
      <c r="L64" s="22"/>
      <c r="M64" s="58"/>
      <c r="N64" s="22"/>
      <c r="O64" s="22"/>
      <c r="P64" s="101">
        <f t="shared" ref="P64:AA64" si="23">IF(P$1="",0,P$41*P49/1000)</f>
        <v>818.39999999999986</v>
      </c>
      <c r="Q64" s="101">
        <f t="shared" si="23"/>
        <v>818.39999999999986</v>
      </c>
      <c r="R64" s="101">
        <f t="shared" si="23"/>
        <v>818.39999999999986</v>
      </c>
      <c r="S64" s="101">
        <f t="shared" si="23"/>
        <v>818.39999999999986</v>
      </c>
      <c r="T64" s="101">
        <f t="shared" si="23"/>
        <v>818.39999999999986</v>
      </c>
      <c r="U64" s="101">
        <f t="shared" si="23"/>
        <v>818.39999999999986</v>
      </c>
      <c r="V64" s="101">
        <f t="shared" si="23"/>
        <v>818.39999999999986</v>
      </c>
      <c r="W64" s="101">
        <f t="shared" si="23"/>
        <v>0</v>
      </c>
      <c r="X64" s="101">
        <f t="shared" si="23"/>
        <v>0</v>
      </c>
      <c r="Y64" s="101">
        <f t="shared" si="23"/>
        <v>0</v>
      </c>
      <c r="Z64" s="101">
        <f t="shared" si="23"/>
        <v>0</v>
      </c>
      <c r="AA64" s="101">
        <f t="shared" si="23"/>
        <v>0</v>
      </c>
      <c r="AB64" s="22"/>
    </row>
    <row r="65" spans="1:28" s="23" customFormat="1" ht="10.199999999999999" x14ac:dyDescent="0.2">
      <c r="A65" s="22"/>
      <c r="B65" s="22"/>
      <c r="C65" s="22"/>
      <c r="D65" s="22"/>
      <c r="E65" s="22" t="str">
        <f t="shared" si="17"/>
        <v>доход от сдачи в аренду</v>
      </c>
      <c r="F65" s="22"/>
      <c r="G65" s="22" t="str">
        <f>IF($E65="","",INDEX(KPI!$G:$G,SUMIFS(KPI!$B:$B,KPI!$E:$E,$E65)))</f>
        <v>тыс.руб.</v>
      </c>
      <c r="H65" s="100">
        <f>структура!$V$18</f>
        <v>7</v>
      </c>
      <c r="I65" s="31"/>
      <c r="J65" s="98" t="str">
        <f>структура!$X$18</f>
        <v>июл</v>
      </c>
      <c r="K65" s="99"/>
      <c r="L65" s="22"/>
      <c r="M65" s="58"/>
      <c r="N65" s="22"/>
      <c r="O65" s="22"/>
      <c r="P65" s="101">
        <f t="shared" ref="P65:AA65" si="24">IF(P$1="",0,P$41*P50/1000)</f>
        <v>844.63076923076915</v>
      </c>
      <c r="Q65" s="101">
        <f t="shared" si="24"/>
        <v>844.63076923076915</v>
      </c>
      <c r="R65" s="101">
        <f t="shared" si="24"/>
        <v>844.63076923076915</v>
      </c>
      <c r="S65" s="101">
        <f t="shared" si="24"/>
        <v>844.63076923076915</v>
      </c>
      <c r="T65" s="101">
        <f t="shared" si="24"/>
        <v>844.63076923076915</v>
      </c>
      <c r="U65" s="101">
        <f t="shared" si="24"/>
        <v>844.63076923076915</v>
      </c>
      <c r="V65" s="101">
        <f t="shared" si="24"/>
        <v>844.63076923076915</v>
      </c>
      <c r="W65" s="101">
        <f t="shared" si="24"/>
        <v>0</v>
      </c>
      <c r="X65" s="101">
        <f t="shared" si="24"/>
        <v>0</v>
      </c>
      <c r="Y65" s="101">
        <f t="shared" si="24"/>
        <v>0</v>
      </c>
      <c r="Z65" s="101">
        <f t="shared" si="24"/>
        <v>0</v>
      </c>
      <c r="AA65" s="101">
        <f t="shared" si="24"/>
        <v>0</v>
      </c>
      <c r="AB65" s="22"/>
    </row>
    <row r="66" spans="1:28" s="23" customFormat="1" ht="10.199999999999999" x14ac:dyDescent="0.2">
      <c r="A66" s="22"/>
      <c r="B66" s="22"/>
      <c r="C66" s="22"/>
      <c r="D66" s="22"/>
      <c r="E66" s="22" t="str">
        <f t="shared" si="17"/>
        <v>доход от сдачи в аренду</v>
      </c>
      <c r="F66" s="22"/>
      <c r="G66" s="22" t="str">
        <f>IF($E66="","",INDEX(KPI!$G:$G,SUMIFS(KPI!$B:$B,KPI!$E:$E,$E66)))</f>
        <v>тыс.руб.</v>
      </c>
      <c r="H66" s="100">
        <f>структура!$V$19</f>
        <v>8</v>
      </c>
      <c r="I66" s="31"/>
      <c r="J66" s="98" t="str">
        <f>структура!$X$19</f>
        <v>авг</v>
      </c>
      <c r="K66" s="99"/>
      <c r="L66" s="22"/>
      <c r="M66" s="58"/>
      <c r="N66" s="22"/>
      <c r="O66" s="22"/>
      <c r="P66" s="101">
        <f t="shared" ref="P66:AA66" si="25">IF(P$1="",0,P$41*P51/1000)</f>
        <v>844.63076923076915</v>
      </c>
      <c r="Q66" s="101">
        <f t="shared" si="25"/>
        <v>844.63076923076915</v>
      </c>
      <c r="R66" s="101">
        <f t="shared" si="25"/>
        <v>844.63076923076915</v>
      </c>
      <c r="S66" s="101">
        <f t="shared" si="25"/>
        <v>844.63076923076915</v>
      </c>
      <c r="T66" s="101">
        <f t="shared" si="25"/>
        <v>844.63076923076915</v>
      </c>
      <c r="U66" s="101">
        <f t="shared" si="25"/>
        <v>844.63076923076915</v>
      </c>
      <c r="V66" s="101">
        <f t="shared" si="25"/>
        <v>844.63076923076915</v>
      </c>
      <c r="W66" s="101">
        <f t="shared" si="25"/>
        <v>0</v>
      </c>
      <c r="X66" s="101">
        <f t="shared" si="25"/>
        <v>0</v>
      </c>
      <c r="Y66" s="101">
        <f t="shared" si="25"/>
        <v>0</v>
      </c>
      <c r="Z66" s="101">
        <f t="shared" si="25"/>
        <v>0</v>
      </c>
      <c r="AA66" s="101">
        <f t="shared" si="25"/>
        <v>0</v>
      </c>
      <c r="AB66" s="22"/>
    </row>
    <row r="67" spans="1:28" s="23" customFormat="1" ht="10.199999999999999" x14ac:dyDescent="0.2">
      <c r="A67" s="22"/>
      <c r="B67" s="22"/>
      <c r="C67" s="22"/>
      <c r="D67" s="22"/>
      <c r="E67" s="22" t="str">
        <f t="shared" si="17"/>
        <v>доход от сдачи в аренду</v>
      </c>
      <c r="F67" s="22"/>
      <c r="G67" s="22" t="str">
        <f>IF($E67="","",INDEX(KPI!$G:$G,SUMIFS(KPI!$B:$B,KPI!$E:$E,$E67)))</f>
        <v>тыс.руб.</v>
      </c>
      <c r="H67" s="100">
        <f>структура!$V$20</f>
        <v>9</v>
      </c>
      <c r="I67" s="31"/>
      <c r="J67" s="98" t="str">
        <f>структура!$X$20</f>
        <v>сен</v>
      </c>
      <c r="K67" s="99"/>
      <c r="L67" s="22"/>
      <c r="M67" s="58"/>
      <c r="N67" s="22"/>
      <c r="O67" s="22"/>
      <c r="P67" s="101">
        <f t="shared" ref="P67:AA67" si="26">IF(P$1="",0,P$41*P52/1000)</f>
        <v>713.47692307692296</v>
      </c>
      <c r="Q67" s="101">
        <f t="shared" si="26"/>
        <v>713.47692307692296</v>
      </c>
      <c r="R67" s="101">
        <f t="shared" si="26"/>
        <v>713.47692307692296</v>
      </c>
      <c r="S67" s="101">
        <f t="shared" si="26"/>
        <v>713.47692307692296</v>
      </c>
      <c r="T67" s="101">
        <f t="shared" si="26"/>
        <v>713.47692307692296</v>
      </c>
      <c r="U67" s="101">
        <f t="shared" si="26"/>
        <v>713.47692307692296</v>
      </c>
      <c r="V67" s="101">
        <f t="shared" si="26"/>
        <v>713.47692307692296</v>
      </c>
      <c r="W67" s="101">
        <f t="shared" si="26"/>
        <v>0</v>
      </c>
      <c r="X67" s="101">
        <f t="shared" si="26"/>
        <v>0</v>
      </c>
      <c r="Y67" s="101">
        <f t="shared" si="26"/>
        <v>0</v>
      </c>
      <c r="Z67" s="101">
        <f t="shared" si="26"/>
        <v>0</v>
      </c>
      <c r="AA67" s="101">
        <f t="shared" si="26"/>
        <v>0</v>
      </c>
      <c r="AB67" s="22"/>
    </row>
    <row r="68" spans="1:28" s="23" customFormat="1" ht="10.199999999999999" x14ac:dyDescent="0.2">
      <c r="A68" s="22"/>
      <c r="B68" s="22"/>
      <c r="C68" s="22"/>
      <c r="D68" s="22"/>
      <c r="E68" s="22" t="str">
        <f t="shared" si="17"/>
        <v>доход от сдачи в аренду</v>
      </c>
      <c r="F68" s="22"/>
      <c r="G68" s="22" t="str">
        <f>IF($E68="","",INDEX(KPI!$G:$G,SUMIFS(KPI!$B:$B,KPI!$E:$E,$E68)))</f>
        <v>тыс.руб.</v>
      </c>
      <c r="H68" s="100">
        <f>структура!$V$21</f>
        <v>10</v>
      </c>
      <c r="I68" s="31"/>
      <c r="J68" s="98" t="str">
        <f>структура!$X$21</f>
        <v>окт</v>
      </c>
      <c r="K68" s="99"/>
      <c r="L68" s="22"/>
      <c r="M68" s="58"/>
      <c r="N68" s="22"/>
      <c r="O68" s="22"/>
      <c r="P68" s="101">
        <f t="shared" ref="P68:AA68" si="27">IF(P$1="",0,P$41*P53/1000)</f>
        <v>587.56923076923078</v>
      </c>
      <c r="Q68" s="101">
        <f t="shared" si="27"/>
        <v>587.56923076923078</v>
      </c>
      <c r="R68" s="101">
        <f t="shared" si="27"/>
        <v>587.56923076923078</v>
      </c>
      <c r="S68" s="101">
        <f t="shared" si="27"/>
        <v>587.56923076923078</v>
      </c>
      <c r="T68" s="101">
        <f t="shared" si="27"/>
        <v>587.56923076923078</v>
      </c>
      <c r="U68" s="101">
        <f t="shared" si="27"/>
        <v>587.56923076923078</v>
      </c>
      <c r="V68" s="101">
        <f t="shared" si="27"/>
        <v>587.56923076923078</v>
      </c>
      <c r="W68" s="101">
        <f t="shared" si="27"/>
        <v>0</v>
      </c>
      <c r="X68" s="101">
        <f t="shared" si="27"/>
        <v>0</v>
      </c>
      <c r="Y68" s="101">
        <f t="shared" si="27"/>
        <v>0</v>
      </c>
      <c r="Z68" s="101">
        <f t="shared" si="27"/>
        <v>0</v>
      </c>
      <c r="AA68" s="101">
        <f t="shared" si="27"/>
        <v>0</v>
      </c>
      <c r="AB68" s="22"/>
    </row>
    <row r="69" spans="1:28" s="23" customFormat="1" ht="10.199999999999999" x14ac:dyDescent="0.2">
      <c r="A69" s="22"/>
      <c r="B69" s="22"/>
      <c r="C69" s="22"/>
      <c r="D69" s="22"/>
      <c r="E69" s="22" t="str">
        <f t="shared" si="17"/>
        <v>доход от сдачи в аренду</v>
      </c>
      <c r="F69" s="22"/>
      <c r="G69" s="22" t="str">
        <f>IF($E69="","",INDEX(KPI!$G:$G,SUMIFS(KPI!$B:$B,KPI!$E:$E,$E69)))</f>
        <v>тыс.руб.</v>
      </c>
      <c r="H69" s="100">
        <f>структура!$V$22</f>
        <v>11</v>
      </c>
      <c r="I69" s="31"/>
      <c r="J69" s="98" t="str">
        <f>структура!$X$22</f>
        <v>ноя</v>
      </c>
      <c r="K69" s="99"/>
      <c r="L69" s="22"/>
      <c r="M69" s="58"/>
      <c r="N69" s="22"/>
      <c r="O69" s="22"/>
      <c r="P69" s="101">
        <f t="shared" ref="P69:AA69" si="28">IF(P$1="",0,P$41*P54/1000)</f>
        <v>508.87692307692305</v>
      </c>
      <c r="Q69" s="101">
        <f t="shared" si="28"/>
        <v>508.87692307692305</v>
      </c>
      <c r="R69" s="101">
        <f t="shared" si="28"/>
        <v>508.87692307692305</v>
      </c>
      <c r="S69" s="101">
        <f t="shared" si="28"/>
        <v>508.87692307692305</v>
      </c>
      <c r="T69" s="101">
        <f t="shared" si="28"/>
        <v>508.87692307692305</v>
      </c>
      <c r="U69" s="101">
        <f t="shared" si="28"/>
        <v>508.87692307692305</v>
      </c>
      <c r="V69" s="101">
        <f t="shared" si="28"/>
        <v>508.87692307692305</v>
      </c>
      <c r="W69" s="101">
        <f t="shared" si="28"/>
        <v>0</v>
      </c>
      <c r="X69" s="101">
        <f t="shared" si="28"/>
        <v>0</v>
      </c>
      <c r="Y69" s="101">
        <f t="shared" si="28"/>
        <v>0</v>
      </c>
      <c r="Z69" s="101">
        <f t="shared" si="28"/>
        <v>0</v>
      </c>
      <c r="AA69" s="101">
        <f t="shared" si="28"/>
        <v>0</v>
      </c>
      <c r="AB69" s="22"/>
    </row>
    <row r="70" spans="1:28" s="23" customFormat="1" ht="10.199999999999999" x14ac:dyDescent="0.2">
      <c r="A70" s="22"/>
      <c r="B70" s="22"/>
      <c r="C70" s="22"/>
      <c r="D70" s="22"/>
      <c r="E70" s="22" t="str">
        <f t="shared" si="17"/>
        <v>доход от сдачи в аренду</v>
      </c>
      <c r="F70" s="22"/>
      <c r="G70" s="22" t="str">
        <f>IF($E70="","",INDEX(KPI!$G:$G,SUMIFS(KPI!$B:$B,KPI!$E:$E,$E70)))</f>
        <v>тыс.руб.</v>
      </c>
      <c r="H70" s="100">
        <f>структура!$V$23</f>
        <v>12</v>
      </c>
      <c r="I70" s="31"/>
      <c r="J70" s="98" t="str">
        <f>структура!$X$23</f>
        <v>дек</v>
      </c>
      <c r="K70" s="99"/>
      <c r="L70" s="22"/>
      <c r="M70" s="58"/>
      <c r="N70" s="22"/>
      <c r="O70" s="22"/>
      <c r="P70" s="101">
        <f t="shared" ref="P70:AA70" si="29">IF(P$1="",0,P$41*P55/1000)</f>
        <v>419.69230769230762</v>
      </c>
      <c r="Q70" s="101">
        <f t="shared" si="29"/>
        <v>419.69230769230762</v>
      </c>
      <c r="R70" s="101">
        <f t="shared" si="29"/>
        <v>419.69230769230762</v>
      </c>
      <c r="S70" s="101">
        <f t="shared" si="29"/>
        <v>419.69230769230762</v>
      </c>
      <c r="T70" s="101">
        <f t="shared" si="29"/>
        <v>419.69230769230762</v>
      </c>
      <c r="U70" s="101">
        <f t="shared" si="29"/>
        <v>419.69230769230762</v>
      </c>
      <c r="V70" s="101">
        <f t="shared" si="29"/>
        <v>419.69230769230762</v>
      </c>
      <c r="W70" s="101">
        <f t="shared" si="29"/>
        <v>0</v>
      </c>
      <c r="X70" s="101">
        <f t="shared" si="29"/>
        <v>0</v>
      </c>
      <c r="Y70" s="101">
        <f t="shared" si="29"/>
        <v>0</v>
      </c>
      <c r="Z70" s="101">
        <f t="shared" si="29"/>
        <v>0</v>
      </c>
      <c r="AA70" s="101">
        <f t="shared" si="29"/>
        <v>0</v>
      </c>
      <c r="AB70" s="22"/>
    </row>
    <row r="71" spans="1:28" ht="3.9" customHeight="1" x14ac:dyDescent="0.25">
      <c r="A71" s="2"/>
      <c r="B71" s="2"/>
      <c r="C71" s="2"/>
      <c r="D71" s="2"/>
      <c r="E71" s="21"/>
      <c r="F71" s="2"/>
      <c r="G71" s="21"/>
      <c r="H71" s="2"/>
      <c r="I71" s="28"/>
      <c r="J71" s="21"/>
      <c r="K71" s="28"/>
      <c r="L71" s="2"/>
      <c r="M71" s="52"/>
      <c r="N71" s="2"/>
      <c r="O71" s="2"/>
      <c r="P71" s="36"/>
      <c r="Q71" s="36"/>
      <c r="R71" s="36"/>
      <c r="S71" s="36"/>
      <c r="T71" s="36"/>
      <c r="U71" s="36"/>
      <c r="V71" s="36"/>
      <c r="W71" s="36"/>
      <c r="X71" s="36"/>
      <c r="Y71" s="36"/>
      <c r="Z71" s="36"/>
      <c r="AA71" s="36"/>
      <c r="AB71" s="2"/>
    </row>
    <row r="72" spans="1:28" ht="8.1" customHeight="1" x14ac:dyDescent="0.25">
      <c r="A72" s="2"/>
      <c r="B72" s="2"/>
      <c r="C72" s="2"/>
      <c r="D72" s="2"/>
      <c r="E72" s="2"/>
      <c r="F72" s="2"/>
      <c r="G72" s="2"/>
      <c r="H72" s="2"/>
      <c r="I72" s="28"/>
      <c r="J72" s="2"/>
      <c r="K72" s="28"/>
      <c r="L72" s="2"/>
      <c r="M72" s="52"/>
      <c r="N72" s="2"/>
      <c r="O72" s="2"/>
      <c r="P72" s="36"/>
      <c r="Q72" s="36"/>
      <c r="R72" s="36"/>
      <c r="S72" s="36"/>
      <c r="T72" s="36"/>
      <c r="U72" s="36"/>
      <c r="V72" s="36"/>
      <c r="W72" s="36"/>
      <c r="X72" s="36"/>
      <c r="Y72" s="36"/>
      <c r="Z72" s="36"/>
      <c r="AA72" s="36"/>
      <c r="AB72" s="2"/>
    </row>
    <row r="73" spans="1:28" s="5" customFormat="1" x14ac:dyDescent="0.25">
      <c r="A73" s="3"/>
      <c r="B73" s="3"/>
      <c r="C73" s="3"/>
      <c r="D73" s="3"/>
      <c r="E73" s="3" t="str">
        <f>KPI!$E$36</f>
        <v>максимальное кол-во человек на объект</v>
      </c>
      <c r="F73" s="3"/>
      <c r="G73" s="3" t="str">
        <f>IF($E73="","",INDEX(KPI!$G:$G,SUMIFS(KPI!$B:$B,KPI!$E:$E,$E73)))</f>
        <v>чел</v>
      </c>
      <c r="H73" s="3"/>
      <c r="I73" s="28"/>
      <c r="J73" s="3"/>
      <c r="K73" s="28"/>
      <c r="L73" s="3"/>
      <c r="M73" s="55"/>
      <c r="N73" s="3"/>
      <c r="O73" s="3"/>
      <c r="P73" s="46"/>
      <c r="Q73" s="46"/>
      <c r="R73" s="46"/>
      <c r="S73" s="46"/>
      <c r="T73" s="46"/>
      <c r="U73" s="46"/>
      <c r="V73" s="46"/>
      <c r="W73" s="46"/>
      <c r="X73" s="46"/>
      <c r="Y73" s="46"/>
      <c r="Z73" s="46"/>
      <c r="AA73" s="46"/>
      <c r="AB73" s="3"/>
    </row>
    <row r="74" spans="1:28" ht="3.9" customHeight="1" x14ac:dyDescent="0.25">
      <c r="A74" s="2"/>
      <c r="B74" s="2"/>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x14ac:dyDescent="0.25">
      <c r="A75" s="2"/>
      <c r="B75" s="2"/>
      <c r="C75" s="2"/>
      <c r="D75" s="2"/>
      <c r="E75" s="48" t="str">
        <f>структура!$AF$12</f>
        <v>беседка большая</v>
      </c>
      <c r="F75" s="2"/>
      <c r="G75" s="2" t="str">
        <f>G73</f>
        <v>чел</v>
      </c>
      <c r="H75" s="2"/>
      <c r="I75" s="6" t="s">
        <v>0</v>
      </c>
      <c r="J75" s="45">
        <v>20</v>
      </c>
      <c r="K75" s="28"/>
      <c r="L75" s="2"/>
      <c r="M75" s="52"/>
      <c r="N75" s="2"/>
      <c r="O75" s="2"/>
      <c r="P75" s="36"/>
      <c r="Q75" s="36"/>
      <c r="R75" s="36"/>
      <c r="S75" s="36"/>
      <c r="T75" s="36"/>
      <c r="U75" s="36"/>
      <c r="V75" s="36"/>
      <c r="W75" s="36"/>
      <c r="X75" s="36"/>
      <c r="Y75" s="36"/>
      <c r="Z75" s="36"/>
      <c r="AA75" s="36"/>
      <c r="AB75" s="2"/>
    </row>
    <row r="76" spans="1:28" x14ac:dyDescent="0.25">
      <c r="A76" s="2"/>
      <c r="B76" s="2"/>
      <c r="C76" s="2"/>
      <c r="D76" s="2"/>
      <c r="E76" s="49" t="str">
        <f>структура!$AF$13</f>
        <v>беседка малая</v>
      </c>
      <c r="F76" s="2"/>
      <c r="G76" s="2" t="str">
        <f>G73</f>
        <v>чел</v>
      </c>
      <c r="H76" s="2"/>
      <c r="I76" s="6" t="s">
        <v>0</v>
      </c>
      <c r="J76" s="45">
        <v>10</v>
      </c>
      <c r="K76" s="28"/>
      <c r="L76" s="2"/>
      <c r="M76" s="52"/>
      <c r="N76" s="2"/>
      <c r="O76" s="2"/>
      <c r="P76" s="36"/>
      <c r="Q76" s="36"/>
      <c r="R76" s="36"/>
      <c r="S76" s="36"/>
      <c r="T76" s="36"/>
      <c r="U76" s="36"/>
      <c r="V76" s="36"/>
      <c r="W76" s="36"/>
      <c r="X76" s="36"/>
      <c r="Y76" s="36"/>
      <c r="Z76" s="36"/>
      <c r="AA76" s="36"/>
      <c r="AB76" s="2"/>
    </row>
    <row r="77" spans="1:28" x14ac:dyDescent="0.25">
      <c r="A77" s="2"/>
      <c r="B77" s="2"/>
      <c r="C77" s="2"/>
      <c r="D77" s="2"/>
      <c r="E77" s="49" t="str">
        <f>структура!$AF$14</f>
        <v>прочие для сдачи в аренду</v>
      </c>
      <c r="F77" s="2"/>
      <c r="G77" s="2" t="str">
        <f>G73</f>
        <v>чел</v>
      </c>
      <c r="H77" s="2"/>
      <c r="I77" s="6" t="s">
        <v>0</v>
      </c>
      <c r="J77" s="45"/>
      <c r="K77" s="28"/>
      <c r="L77" s="2"/>
      <c r="M77" s="52"/>
      <c r="N77" s="2"/>
      <c r="O77" s="2"/>
      <c r="P77" s="36"/>
      <c r="Q77" s="36"/>
      <c r="R77" s="36"/>
      <c r="S77" s="36"/>
      <c r="T77" s="36"/>
      <c r="U77" s="36"/>
      <c r="V77" s="36"/>
      <c r="W77" s="36"/>
      <c r="X77" s="36"/>
      <c r="Y77" s="36"/>
      <c r="Z77" s="36"/>
      <c r="AA77" s="36"/>
      <c r="AB77" s="2"/>
    </row>
    <row r="78" spans="1:28" ht="3.9" customHeight="1" x14ac:dyDescent="0.25">
      <c r="A78" s="2"/>
      <c r="B78" s="2"/>
      <c r="C78" s="2"/>
      <c r="D78" s="2"/>
      <c r="E78" s="50"/>
      <c r="F78" s="2"/>
      <c r="G78" s="2"/>
      <c r="H78" s="2"/>
      <c r="I78" s="28"/>
      <c r="J78" s="2"/>
      <c r="K78" s="28"/>
      <c r="L78" s="2"/>
      <c r="M78" s="52"/>
      <c r="N78" s="2"/>
      <c r="O78" s="2"/>
      <c r="P78" s="36"/>
      <c r="Q78" s="36"/>
      <c r="R78" s="36"/>
      <c r="S78" s="36"/>
      <c r="T78" s="36"/>
      <c r="U78" s="36"/>
      <c r="V78" s="36"/>
      <c r="W78" s="36"/>
      <c r="X78" s="36"/>
      <c r="Y78" s="36"/>
      <c r="Z78" s="36"/>
      <c r="AA78" s="36"/>
      <c r="AB78" s="2"/>
    </row>
    <row r="79" spans="1:28" ht="8.1" customHeight="1" x14ac:dyDescent="0.25">
      <c r="A79" s="2"/>
      <c r="B79" s="2"/>
      <c r="C79" s="2"/>
      <c r="D79" s="2"/>
      <c r="E79" s="2"/>
      <c r="F79" s="2"/>
      <c r="G79" s="2"/>
      <c r="H79" s="2"/>
      <c r="I79" s="28"/>
      <c r="J79" s="2"/>
      <c r="K79" s="28"/>
      <c r="L79" s="2"/>
      <c r="M79" s="52"/>
      <c r="N79" s="2"/>
      <c r="O79" s="2"/>
      <c r="P79" s="36"/>
      <c r="Q79" s="36"/>
      <c r="R79" s="36"/>
      <c r="S79" s="36"/>
      <c r="T79" s="36"/>
      <c r="U79" s="36"/>
      <c r="V79" s="36"/>
      <c r="W79" s="36"/>
      <c r="X79" s="36"/>
      <c r="Y79" s="36"/>
      <c r="Z79" s="36"/>
      <c r="AA79" s="36"/>
      <c r="AB79" s="2"/>
    </row>
    <row r="80" spans="1:28" s="5" customFormat="1" x14ac:dyDescent="0.25">
      <c r="A80" s="3"/>
      <c r="B80" s="3"/>
      <c r="C80" s="3"/>
      <c r="D80" s="3"/>
      <c r="E80" s="3" t="str">
        <f>KPI!$E$37</f>
        <v>средняя наполняемость одного объекта</v>
      </c>
      <c r="F80" s="3"/>
      <c r="G80" s="3" t="str">
        <f>IF($E80="","",INDEX(KPI!$G:$G,SUMIFS(KPI!$B:$B,KPI!$E:$E,$E80)))</f>
        <v>чел</v>
      </c>
      <c r="H80" s="3"/>
      <c r="I80" s="28"/>
      <c r="J80" s="104" t="str">
        <f>сценарии!$J$7</f>
        <v>сценарий-1</v>
      </c>
      <c r="K80" s="28"/>
      <c r="L80" s="3"/>
      <c r="M80" s="55"/>
      <c r="N80" s="3"/>
      <c r="O80" s="3"/>
      <c r="P80" s="46"/>
      <c r="Q80" s="46"/>
      <c r="R80" s="46"/>
      <c r="S80" s="46"/>
      <c r="T80" s="46"/>
      <c r="U80" s="46"/>
      <c r="V80" s="46"/>
      <c r="W80" s="46"/>
      <c r="X80" s="46"/>
      <c r="Y80" s="46"/>
      <c r="Z80" s="46"/>
      <c r="AA80" s="46"/>
      <c r="AB80" s="3"/>
    </row>
    <row r="81" spans="1:28" ht="3.9" customHeight="1" x14ac:dyDescent="0.25">
      <c r="A81" s="2"/>
      <c r="B81" s="2"/>
      <c r="C81" s="2"/>
      <c r="D81" s="2"/>
      <c r="E81" s="2"/>
      <c r="F81" s="2"/>
      <c r="G81" s="2"/>
      <c r="H81" s="2"/>
      <c r="I81" s="28"/>
      <c r="J81" s="2"/>
      <c r="K81" s="28"/>
      <c r="L81" s="2"/>
      <c r="M81" s="52"/>
      <c r="N81" s="2"/>
      <c r="O81" s="2"/>
      <c r="P81" s="36"/>
      <c r="Q81" s="36"/>
      <c r="R81" s="36"/>
      <c r="S81" s="36"/>
      <c r="T81" s="36"/>
      <c r="U81" s="36"/>
      <c r="V81" s="36"/>
      <c r="W81" s="36"/>
      <c r="X81" s="36"/>
      <c r="Y81" s="36"/>
      <c r="Z81" s="36"/>
      <c r="AA81" s="36"/>
      <c r="AB81" s="2"/>
    </row>
    <row r="82" spans="1:28" x14ac:dyDescent="0.25">
      <c r="A82" s="2"/>
      <c r="B82" s="2"/>
      <c r="C82" s="2"/>
      <c r="D82" s="2"/>
      <c r="E82" s="48" t="str">
        <f>структура!$AF$12</f>
        <v>беседка большая</v>
      </c>
      <c r="F82" s="2"/>
      <c r="G82" s="2" t="str">
        <f>G80</f>
        <v>чел</v>
      </c>
      <c r="H82" s="2"/>
      <c r="I82" s="28"/>
      <c r="J82" s="219">
        <f>SUMIFS(сценарии!J:J,сценарии!$E:$E,$E82,сценарии!$M:$M,$J$80)</f>
        <v>12</v>
      </c>
      <c r="K82" s="105" t="str">
        <f>IF(J82&gt;J75,структура!$AL$19,"")</f>
        <v/>
      </c>
      <c r="L82" s="2"/>
      <c r="M82" s="52"/>
      <c r="N82" s="2"/>
      <c r="O82" s="2"/>
      <c r="P82" s="36"/>
      <c r="Q82" s="36"/>
      <c r="R82" s="36"/>
      <c r="S82" s="36"/>
      <c r="T82" s="36"/>
      <c r="U82" s="36"/>
      <c r="V82" s="36"/>
      <c r="W82" s="36"/>
      <c r="X82" s="36"/>
      <c r="Y82" s="36"/>
      <c r="Z82" s="36"/>
      <c r="AA82" s="36"/>
      <c r="AB82" s="2"/>
    </row>
    <row r="83" spans="1:28" x14ac:dyDescent="0.25">
      <c r="A83" s="2"/>
      <c r="B83" s="2"/>
      <c r="C83" s="2"/>
      <c r="D83" s="2"/>
      <c r="E83" s="49" t="str">
        <f>структура!$AF$13</f>
        <v>беседка малая</v>
      </c>
      <c r="F83" s="2"/>
      <c r="G83" s="2" t="str">
        <f>G80</f>
        <v>чел</v>
      </c>
      <c r="H83" s="2"/>
      <c r="I83" s="28"/>
      <c r="J83" s="219">
        <f>SUMIFS(сценарии!J:J,сценарии!$E:$E,$E83,сценарии!$M:$M,$J$80)</f>
        <v>7</v>
      </c>
      <c r="K83" s="105" t="str">
        <f>IF(J83&gt;J76,структура!$AL$19,"")</f>
        <v/>
      </c>
      <c r="L83" s="2"/>
      <c r="M83" s="52"/>
      <c r="N83" s="2"/>
      <c r="O83" s="2"/>
      <c r="P83" s="36"/>
      <c r="Q83" s="36"/>
      <c r="R83" s="36"/>
      <c r="S83" s="36"/>
      <c r="T83" s="36"/>
      <c r="U83" s="36"/>
      <c r="V83" s="36"/>
      <c r="W83" s="36"/>
      <c r="X83" s="36"/>
      <c r="Y83" s="36"/>
      <c r="Z83" s="36"/>
      <c r="AA83" s="36"/>
      <c r="AB83" s="2"/>
    </row>
    <row r="84" spans="1:28" x14ac:dyDescent="0.25">
      <c r="A84" s="2"/>
      <c r="B84" s="2"/>
      <c r="C84" s="2"/>
      <c r="D84" s="2"/>
      <c r="E84" s="49" t="str">
        <f>структура!$AF$14</f>
        <v>прочие для сдачи в аренду</v>
      </c>
      <c r="F84" s="2"/>
      <c r="G84" s="2" t="str">
        <f>G80</f>
        <v>чел</v>
      </c>
      <c r="H84" s="2"/>
      <c r="I84" s="28"/>
      <c r="J84" s="219">
        <f>SUMIFS(сценарии!J:J,сценарии!$E:$E,$E84,сценарии!$M:$M,$J$80)</f>
        <v>0</v>
      </c>
      <c r="K84" s="28"/>
      <c r="L84" s="2"/>
      <c r="M84" s="52"/>
      <c r="N84" s="2"/>
      <c r="O84" s="2"/>
      <c r="P84" s="36"/>
      <c r="Q84" s="36"/>
      <c r="R84" s="36"/>
      <c r="S84" s="36"/>
      <c r="T84" s="36"/>
      <c r="U84" s="36"/>
      <c r="V84" s="36"/>
      <c r="W84" s="36"/>
      <c r="X84" s="36"/>
      <c r="Y84" s="36"/>
      <c r="Z84" s="36"/>
      <c r="AA84" s="36"/>
      <c r="AB84" s="2"/>
    </row>
    <row r="85" spans="1:28" ht="3.9" customHeight="1" x14ac:dyDescent="0.25">
      <c r="A85" s="2"/>
      <c r="B85" s="2"/>
      <c r="C85" s="2"/>
      <c r="D85" s="2"/>
      <c r="E85" s="50"/>
      <c r="F85" s="2"/>
      <c r="G85" s="2"/>
      <c r="H85" s="2"/>
      <c r="I85" s="28"/>
      <c r="J85" s="2"/>
      <c r="K85" s="28"/>
      <c r="L85" s="2"/>
      <c r="M85" s="52"/>
      <c r="N85" s="2"/>
      <c r="O85" s="2"/>
      <c r="P85" s="36"/>
      <c r="Q85" s="36"/>
      <c r="R85" s="36"/>
      <c r="S85" s="36"/>
      <c r="T85" s="36"/>
      <c r="U85" s="36"/>
      <c r="V85" s="36"/>
      <c r="W85" s="36"/>
      <c r="X85" s="36"/>
      <c r="Y85" s="36"/>
      <c r="Z85" s="36"/>
      <c r="AA85" s="36"/>
      <c r="AB85" s="2"/>
    </row>
    <row r="86" spans="1:28" ht="3.9" customHeight="1" x14ac:dyDescent="0.25">
      <c r="A86" s="2"/>
      <c r="B86" s="2"/>
      <c r="C86" s="2"/>
      <c r="D86" s="2"/>
      <c r="E86" s="2"/>
      <c r="F86" s="2"/>
      <c r="G86" s="2"/>
      <c r="H86" s="2"/>
      <c r="I86" s="28"/>
      <c r="J86" s="2"/>
      <c r="K86" s="28"/>
      <c r="L86" s="2"/>
      <c r="M86" s="52"/>
      <c r="N86" s="2"/>
      <c r="O86" s="2"/>
      <c r="P86" s="36"/>
      <c r="Q86" s="36"/>
      <c r="R86" s="36"/>
      <c r="S86" s="36"/>
      <c r="T86" s="36"/>
      <c r="U86" s="36"/>
      <c r="V86" s="36"/>
      <c r="W86" s="36"/>
      <c r="X86" s="36"/>
      <c r="Y86" s="36"/>
      <c r="Z86" s="36"/>
      <c r="AA86" s="36"/>
      <c r="AB86" s="2"/>
    </row>
    <row r="87" spans="1:28" s="5" customFormat="1" x14ac:dyDescent="0.25">
      <c r="A87" s="3"/>
      <c r="B87" s="3"/>
      <c r="C87" s="3"/>
      <c r="D87" s="3"/>
      <c r="E87" s="89" t="str">
        <f>KPI!$E$37</f>
        <v>средняя наполняемость одного объекта</v>
      </c>
      <c r="F87" s="89"/>
      <c r="G87" s="89" t="str">
        <f>IF($E87="","",INDEX(KPI!$G:$G,SUMIFS(KPI!$B:$B,KPI!$E:$E,$E87)))</f>
        <v>чел</v>
      </c>
      <c r="H87" s="89"/>
      <c r="I87" s="90"/>
      <c r="J87" s="91" t="str">
        <f>структура!$AL$18</f>
        <v>одинаковая наполняемость</v>
      </c>
      <c r="K87" s="90"/>
      <c r="L87" s="89"/>
      <c r="M87" s="92">
        <f>IF(SUM(капитал!$J$67:$J$70)=0,0,INT(SUMPRODUCT(капитал!$J$67:$J$70,$J$82:$J$85)/SUM(капитал!$J$67:$J$70)))</f>
        <v>9</v>
      </c>
      <c r="N87" s="3"/>
      <c r="O87" s="3"/>
      <c r="P87" s="93">
        <f>IF(P$1="",0,IF(SUM(капитал!$J$67:$J$70)=0,0,INT(SUMPRODUCT(капитал!$J$67:$J$70,$J$82:$J$85)/SUM(капитал!$J$67:$J$70))))</f>
        <v>9</v>
      </c>
      <c r="Q87" s="93">
        <f>IF(Q$1="",0,IF(SUM(капитал!$J$67:$J$70)=0,0,INT(SUMPRODUCT(капитал!$J$67:$J$70,$J$82:$J$85)/SUM(капитал!$J$67:$J$70))))</f>
        <v>9</v>
      </c>
      <c r="R87" s="93">
        <f>IF(R$1="",0,IF(SUM(капитал!$J$67:$J$70)=0,0,INT(SUMPRODUCT(капитал!$J$67:$J$70,$J$82:$J$85)/SUM(капитал!$J$67:$J$70))))</f>
        <v>9</v>
      </c>
      <c r="S87" s="93">
        <f>IF(S$1="",0,IF(SUM(капитал!$J$67:$J$70)=0,0,INT(SUMPRODUCT(капитал!$J$67:$J$70,$J$82:$J$85)/SUM(капитал!$J$67:$J$70))))</f>
        <v>9</v>
      </c>
      <c r="T87" s="93">
        <f>IF(T$1="",0,IF(SUM(капитал!$J$67:$J$70)=0,0,INT(SUMPRODUCT(капитал!$J$67:$J$70,$J$82:$J$85)/SUM(капитал!$J$67:$J$70))))</f>
        <v>9</v>
      </c>
      <c r="U87" s="93">
        <f>IF(U$1="",0,IF(SUM(капитал!$J$67:$J$70)=0,0,INT(SUMPRODUCT(капитал!$J$67:$J$70,$J$82:$J$85)/SUM(капитал!$J$67:$J$70))))</f>
        <v>9</v>
      </c>
      <c r="V87" s="93">
        <f>IF(V$1="",0,IF(SUM(капитал!$J$67:$J$70)=0,0,INT(SUMPRODUCT(капитал!$J$67:$J$70,$J$82:$J$85)/SUM(капитал!$J$67:$J$70))))</f>
        <v>9</v>
      </c>
      <c r="W87" s="93">
        <f>IF(W$1="",0,IF(SUM(капитал!$J$67:$J$70)=0,0,INT(SUMPRODUCT(капитал!$J$67:$J$70,$J$82:$J$85)/SUM(капитал!$J$67:$J$70))))</f>
        <v>0</v>
      </c>
      <c r="X87" s="93">
        <f>IF(X$1="",0,IF(SUM(капитал!$J$67:$J$70)=0,0,INT(SUMPRODUCT(капитал!$J$67:$J$70,$J$82:$J$85)/SUM(капитал!$J$67:$J$70))))</f>
        <v>0</v>
      </c>
      <c r="Y87" s="93">
        <f>IF(Y$1="",0,IF(SUM(капитал!$J$67:$J$70)=0,0,INT(SUMPRODUCT(капитал!$J$67:$J$70,$J$82:$J$85)/SUM(капитал!$J$67:$J$70))))</f>
        <v>0</v>
      </c>
      <c r="Z87" s="93">
        <f>IF(Z$1="",0,IF(SUM(капитал!$J$67:$J$70)=0,0,INT(SUMPRODUCT(капитал!$J$67:$J$70,$J$82:$J$85)/SUM(капитал!$J$67:$J$70))))</f>
        <v>0</v>
      </c>
      <c r="AA87" s="93">
        <f>IF(AA$1="",0,IF(SUM(капитал!$J$67:$J$70)=0,0,INT(SUMPRODUCT(капитал!$J$67:$J$70,$J$82:$J$85)/SUM(капитал!$J$67:$J$70))))</f>
        <v>0</v>
      </c>
      <c r="AB87" s="3"/>
    </row>
    <row r="88" spans="1:28" ht="8.1" customHeight="1" x14ac:dyDescent="0.25">
      <c r="A88" s="2"/>
      <c r="B88" s="2"/>
      <c r="C88" s="2"/>
      <c r="D88" s="2"/>
      <c r="E88" s="2"/>
      <c r="F88" s="2"/>
      <c r="G88" s="2"/>
      <c r="H88" s="2"/>
      <c r="I88" s="28"/>
      <c r="J88" s="2"/>
      <c r="K88" s="28"/>
      <c r="L88" s="2"/>
      <c r="M88" s="52"/>
      <c r="N88" s="2"/>
      <c r="O88" s="2"/>
      <c r="P88" s="36"/>
      <c r="Q88" s="36"/>
      <c r="R88" s="36"/>
      <c r="S88" s="36"/>
      <c r="T88" s="36"/>
      <c r="U88" s="36"/>
      <c r="V88" s="36"/>
      <c r="W88" s="36"/>
      <c r="X88" s="36"/>
      <c r="Y88" s="36"/>
      <c r="Z88" s="36"/>
      <c r="AA88" s="36"/>
      <c r="AB88" s="2"/>
    </row>
    <row r="89" spans="1:28" s="5" customFormat="1" x14ac:dyDescent="0.25">
      <c r="A89" s="3"/>
      <c r="B89" s="3"/>
      <c r="C89" s="3"/>
      <c r="D89" s="3"/>
      <c r="E89" s="3" t="str">
        <f>KPI!$E$38</f>
        <v>траффик арендаторов</v>
      </c>
      <c r="F89" s="3"/>
      <c r="G89" s="3" t="str">
        <f>IF($E89="","",INDEX(KPI!$G:$G,SUMIFS(KPI!$B:$B,KPI!$E:$E,$E89)))</f>
        <v>чел</v>
      </c>
      <c r="H89" s="3"/>
      <c r="I89" s="28"/>
      <c r="J89" s="44"/>
      <c r="K89" s="28"/>
      <c r="L89" s="3"/>
      <c r="M89" s="55"/>
      <c r="N89" s="3"/>
      <c r="O89" s="3"/>
      <c r="P89" s="46">
        <f>IF(P$1="",0,IF(P$1=0,SUMIFS(P90:P101,H90:H101,"&gt;="&amp;MONTH($J$13)),SUM(P90:P101)))</f>
        <v>12528</v>
      </c>
      <c r="Q89" s="46">
        <f t="shared" ref="Q89" si="30">IF(Q$1="",0,SUM(Q90:Q101))</f>
        <v>12528</v>
      </c>
      <c r="R89" s="46">
        <f t="shared" ref="R89" si="31">IF(R$1="",0,SUM(R90:R101))</f>
        <v>12555</v>
      </c>
      <c r="S89" s="46">
        <f t="shared" ref="S89" si="32">IF(S$1="",0,SUM(S90:S101))</f>
        <v>12528</v>
      </c>
      <c r="T89" s="46">
        <f t="shared" ref="T89" si="33">IF(T$1="",0,SUM(T90:T101))</f>
        <v>12528</v>
      </c>
      <c r="U89" s="46">
        <f t="shared" ref="U89" si="34">IF(U$1="",0,SUM(U90:U101))</f>
        <v>12528</v>
      </c>
      <c r="V89" s="46">
        <f t="shared" ref="V89" si="35">IF(V$1="",0,SUM(V90:V101))</f>
        <v>12555</v>
      </c>
      <c r="W89" s="46">
        <f t="shared" ref="W89" si="36">IF(W$1="",0,SUM(W90:W101))</f>
        <v>0</v>
      </c>
      <c r="X89" s="46">
        <f t="shared" ref="X89" si="37">IF(X$1="",0,SUM(X90:X101))</f>
        <v>0</v>
      </c>
      <c r="Y89" s="46">
        <f t="shared" ref="Y89" si="38">IF(Y$1="",0,SUM(Y90:Y101))</f>
        <v>0</v>
      </c>
      <c r="Z89" s="46">
        <f t="shared" ref="Z89" si="39">IF(Z$1="",0,SUM(Z90:Z101))</f>
        <v>0</v>
      </c>
      <c r="AA89" s="46">
        <f t="shared" ref="AA89" si="40">IF(AA$1="",0,SUM(AA90:AA101))</f>
        <v>0</v>
      </c>
      <c r="AB89" s="3"/>
    </row>
    <row r="90" spans="1:28" s="23" customFormat="1" ht="10.199999999999999" x14ac:dyDescent="0.2">
      <c r="A90" s="22"/>
      <c r="B90" s="22"/>
      <c r="C90" s="22"/>
      <c r="D90" s="22"/>
      <c r="E90" s="22" t="str">
        <f>E89</f>
        <v>траффик арендаторов</v>
      </c>
      <c r="F90" s="22"/>
      <c r="G90" s="22" t="str">
        <f>IF($E90="","",INDEX(KPI!$G:$G,SUMIFS(KPI!$B:$B,KPI!$E:$E,$E90)))</f>
        <v>чел</v>
      </c>
      <c r="H90" s="100">
        <f>структура!$V$12</f>
        <v>1</v>
      </c>
      <c r="I90" s="31"/>
      <c r="J90" s="98" t="str">
        <f>структура!$X$12</f>
        <v>янв</v>
      </c>
      <c r="K90" s="99"/>
      <c r="L90" s="22"/>
      <c r="M90" s="58"/>
      <c r="N90" s="22"/>
      <c r="O90" s="22"/>
      <c r="P90" s="101">
        <f>IF(P$1="",0,P44*P$87)</f>
        <v>720</v>
      </c>
      <c r="Q90" s="101">
        <f t="shared" ref="Q90:AA90" si="41">IF(Q$1="",0,Q44*Q$87)</f>
        <v>720</v>
      </c>
      <c r="R90" s="101">
        <f t="shared" si="41"/>
        <v>720</v>
      </c>
      <c r="S90" s="101">
        <f t="shared" si="41"/>
        <v>720</v>
      </c>
      <c r="T90" s="101">
        <f t="shared" si="41"/>
        <v>720</v>
      </c>
      <c r="U90" s="101">
        <f t="shared" si="41"/>
        <v>720</v>
      </c>
      <c r="V90" s="101">
        <f t="shared" si="41"/>
        <v>720</v>
      </c>
      <c r="W90" s="101">
        <f t="shared" si="41"/>
        <v>0</v>
      </c>
      <c r="X90" s="101">
        <f t="shared" si="41"/>
        <v>0</v>
      </c>
      <c r="Y90" s="101">
        <f t="shared" si="41"/>
        <v>0</v>
      </c>
      <c r="Z90" s="101">
        <f t="shared" si="41"/>
        <v>0</v>
      </c>
      <c r="AA90" s="101">
        <f t="shared" si="41"/>
        <v>0</v>
      </c>
      <c r="AB90" s="22"/>
    </row>
    <row r="91" spans="1:28" s="23" customFormat="1" ht="10.199999999999999" x14ac:dyDescent="0.2">
      <c r="A91" s="22"/>
      <c r="B91" s="22"/>
      <c r="C91" s="22"/>
      <c r="D91" s="22"/>
      <c r="E91" s="22" t="str">
        <f>E89</f>
        <v>траффик арендаторов</v>
      </c>
      <c r="F91" s="22"/>
      <c r="G91" s="22" t="str">
        <f>IF($E91="","",INDEX(KPI!$G:$G,SUMIFS(KPI!$B:$B,KPI!$E:$E,$E91)))</f>
        <v>чел</v>
      </c>
      <c r="H91" s="100">
        <f>структура!$V$13</f>
        <v>2</v>
      </c>
      <c r="I91" s="31"/>
      <c r="J91" s="98" t="str">
        <f>структура!$X$13</f>
        <v>фев</v>
      </c>
      <c r="K91" s="99"/>
      <c r="L91" s="22"/>
      <c r="M91" s="58"/>
      <c r="N91" s="22"/>
      <c r="O91" s="22"/>
      <c r="P91" s="101">
        <f t="shared" ref="P91:AA91" si="42">IF(P$1="",0,P45*P$87)</f>
        <v>648</v>
      </c>
      <c r="Q91" s="101">
        <f t="shared" si="42"/>
        <v>648</v>
      </c>
      <c r="R91" s="101">
        <f t="shared" si="42"/>
        <v>675</v>
      </c>
      <c r="S91" s="101">
        <f t="shared" si="42"/>
        <v>648</v>
      </c>
      <c r="T91" s="101">
        <f t="shared" si="42"/>
        <v>648</v>
      </c>
      <c r="U91" s="101">
        <f t="shared" si="42"/>
        <v>648</v>
      </c>
      <c r="V91" s="101">
        <f t="shared" si="42"/>
        <v>675</v>
      </c>
      <c r="W91" s="101">
        <f t="shared" si="42"/>
        <v>0</v>
      </c>
      <c r="X91" s="101">
        <f t="shared" si="42"/>
        <v>0</v>
      </c>
      <c r="Y91" s="101">
        <f t="shared" si="42"/>
        <v>0</v>
      </c>
      <c r="Z91" s="101">
        <f t="shared" si="42"/>
        <v>0</v>
      </c>
      <c r="AA91" s="101">
        <f t="shared" si="42"/>
        <v>0</v>
      </c>
      <c r="AB91" s="22"/>
    </row>
    <row r="92" spans="1:28" s="23" customFormat="1" ht="10.199999999999999" x14ac:dyDescent="0.2">
      <c r="A92" s="22"/>
      <c r="B92" s="22"/>
      <c r="C92" s="22"/>
      <c r="D92" s="22"/>
      <c r="E92" s="22" t="str">
        <f>E89</f>
        <v>траффик арендаторов</v>
      </c>
      <c r="F92" s="22"/>
      <c r="G92" s="22" t="str">
        <f>IF($E92="","",INDEX(KPI!$G:$G,SUMIFS(KPI!$B:$B,KPI!$E:$E,$E92)))</f>
        <v>чел</v>
      </c>
      <c r="H92" s="100">
        <f>структура!$V$14</f>
        <v>3</v>
      </c>
      <c r="I92" s="31"/>
      <c r="J92" s="98" t="str">
        <f>структура!$X$14</f>
        <v>мар</v>
      </c>
      <c r="K92" s="99"/>
      <c r="L92" s="22"/>
      <c r="M92" s="58"/>
      <c r="N92" s="22"/>
      <c r="O92" s="22"/>
      <c r="P92" s="101">
        <f t="shared" ref="P92:AA92" si="43">IF(P$1="",0,P46*P$87)</f>
        <v>900</v>
      </c>
      <c r="Q92" s="101">
        <f t="shared" si="43"/>
        <v>900</v>
      </c>
      <c r="R92" s="101">
        <f t="shared" si="43"/>
        <v>900</v>
      </c>
      <c r="S92" s="101">
        <f t="shared" si="43"/>
        <v>900</v>
      </c>
      <c r="T92" s="101">
        <f t="shared" si="43"/>
        <v>900</v>
      </c>
      <c r="U92" s="101">
        <f t="shared" si="43"/>
        <v>900</v>
      </c>
      <c r="V92" s="101">
        <f t="shared" si="43"/>
        <v>900</v>
      </c>
      <c r="W92" s="101">
        <f t="shared" si="43"/>
        <v>0</v>
      </c>
      <c r="X92" s="101">
        <f t="shared" si="43"/>
        <v>0</v>
      </c>
      <c r="Y92" s="101">
        <f t="shared" si="43"/>
        <v>0</v>
      </c>
      <c r="Z92" s="101">
        <f t="shared" si="43"/>
        <v>0</v>
      </c>
      <c r="AA92" s="101">
        <f t="shared" si="43"/>
        <v>0</v>
      </c>
      <c r="AB92" s="22"/>
    </row>
    <row r="93" spans="1:28" s="23" customFormat="1" ht="10.199999999999999" x14ac:dyDescent="0.2">
      <c r="A93" s="22"/>
      <c r="B93" s="22"/>
      <c r="C93" s="22"/>
      <c r="D93" s="22"/>
      <c r="E93" s="22" t="str">
        <f>E89</f>
        <v>траффик арендаторов</v>
      </c>
      <c r="F93" s="22"/>
      <c r="G93" s="22" t="str">
        <f>IF($E93="","",INDEX(KPI!$G:$G,SUMIFS(KPI!$B:$B,KPI!$E:$E,$E93)))</f>
        <v>чел</v>
      </c>
      <c r="H93" s="100">
        <f>структура!$V$15</f>
        <v>4</v>
      </c>
      <c r="I93" s="31"/>
      <c r="J93" s="98" t="str">
        <f>структура!$X$15</f>
        <v>апр</v>
      </c>
      <c r="K93" s="99"/>
      <c r="L93" s="22"/>
      <c r="M93" s="58"/>
      <c r="N93" s="22"/>
      <c r="O93" s="22"/>
      <c r="P93" s="101">
        <f t="shared" ref="P93:AA93" si="44">IF(P$1="",0,P47*P$87)</f>
        <v>1053</v>
      </c>
      <c r="Q93" s="101">
        <f t="shared" si="44"/>
        <v>1053</v>
      </c>
      <c r="R93" s="101">
        <f t="shared" si="44"/>
        <v>1053</v>
      </c>
      <c r="S93" s="101">
        <f t="shared" si="44"/>
        <v>1053</v>
      </c>
      <c r="T93" s="101">
        <f t="shared" si="44"/>
        <v>1053</v>
      </c>
      <c r="U93" s="101">
        <f t="shared" si="44"/>
        <v>1053</v>
      </c>
      <c r="V93" s="101">
        <f t="shared" si="44"/>
        <v>1053</v>
      </c>
      <c r="W93" s="101">
        <f t="shared" si="44"/>
        <v>0</v>
      </c>
      <c r="X93" s="101">
        <f t="shared" si="44"/>
        <v>0</v>
      </c>
      <c r="Y93" s="101">
        <f t="shared" si="44"/>
        <v>0</v>
      </c>
      <c r="Z93" s="101">
        <f t="shared" si="44"/>
        <v>0</v>
      </c>
      <c r="AA93" s="101">
        <f t="shared" si="44"/>
        <v>0</v>
      </c>
      <c r="AB93" s="22"/>
    </row>
    <row r="94" spans="1:28" s="23" customFormat="1" ht="10.199999999999999" x14ac:dyDescent="0.2">
      <c r="A94" s="22"/>
      <c r="B94" s="22"/>
      <c r="C94" s="22"/>
      <c r="D94" s="22"/>
      <c r="E94" s="22" t="str">
        <f>E89</f>
        <v>траффик арендаторов</v>
      </c>
      <c r="F94" s="22"/>
      <c r="G94" s="22" t="str">
        <f>IF($E94="","",INDEX(KPI!$G:$G,SUMIFS(KPI!$B:$B,KPI!$E:$E,$E94)))</f>
        <v>чел</v>
      </c>
      <c r="H94" s="100">
        <f>структура!$V$16</f>
        <v>5</v>
      </c>
      <c r="I94" s="31"/>
      <c r="J94" s="98" t="str">
        <f>структура!$X$16</f>
        <v>май</v>
      </c>
      <c r="K94" s="99"/>
      <c r="L94" s="22"/>
      <c r="M94" s="58"/>
      <c r="N94" s="22"/>
      <c r="O94" s="22"/>
      <c r="P94" s="101">
        <f t="shared" ref="P94:AA94" si="45">IF(P$1="",0,P48*P$87)</f>
        <v>1080</v>
      </c>
      <c r="Q94" s="101">
        <f t="shared" si="45"/>
        <v>1080</v>
      </c>
      <c r="R94" s="101">
        <f t="shared" si="45"/>
        <v>1080</v>
      </c>
      <c r="S94" s="101">
        <f t="shared" si="45"/>
        <v>1080</v>
      </c>
      <c r="T94" s="101">
        <f t="shared" si="45"/>
        <v>1080</v>
      </c>
      <c r="U94" s="101">
        <f t="shared" si="45"/>
        <v>1080</v>
      </c>
      <c r="V94" s="101">
        <f t="shared" si="45"/>
        <v>1080</v>
      </c>
      <c r="W94" s="101">
        <f t="shared" si="45"/>
        <v>0</v>
      </c>
      <c r="X94" s="101">
        <f t="shared" si="45"/>
        <v>0</v>
      </c>
      <c r="Y94" s="101">
        <f t="shared" si="45"/>
        <v>0</v>
      </c>
      <c r="Z94" s="101">
        <f t="shared" si="45"/>
        <v>0</v>
      </c>
      <c r="AA94" s="101">
        <f t="shared" si="45"/>
        <v>0</v>
      </c>
      <c r="AB94" s="22"/>
    </row>
    <row r="95" spans="1:28" s="23" customFormat="1" ht="10.199999999999999" x14ac:dyDescent="0.2">
      <c r="A95" s="22"/>
      <c r="B95" s="22"/>
      <c r="C95" s="22"/>
      <c r="D95" s="22"/>
      <c r="E95" s="22" t="str">
        <f>E89</f>
        <v>траффик арендаторов</v>
      </c>
      <c r="F95" s="22"/>
      <c r="G95" s="22" t="str">
        <f>IF($E95="","",INDEX(KPI!$G:$G,SUMIFS(KPI!$B:$B,KPI!$E:$E,$E95)))</f>
        <v>чел</v>
      </c>
      <c r="H95" s="100">
        <f>структура!$V$17</f>
        <v>6</v>
      </c>
      <c r="I95" s="31"/>
      <c r="J95" s="98" t="str">
        <f>структура!$X$17</f>
        <v>июн</v>
      </c>
      <c r="K95" s="99"/>
      <c r="L95" s="22"/>
      <c r="M95" s="58"/>
      <c r="N95" s="22"/>
      <c r="O95" s="22"/>
      <c r="P95" s="101">
        <f t="shared" ref="P95:AA95" si="46">IF(P$1="",0,P49*P$87)</f>
        <v>1404</v>
      </c>
      <c r="Q95" s="101">
        <f t="shared" si="46"/>
        <v>1404</v>
      </c>
      <c r="R95" s="101">
        <f t="shared" si="46"/>
        <v>1404</v>
      </c>
      <c r="S95" s="101">
        <f t="shared" si="46"/>
        <v>1404</v>
      </c>
      <c r="T95" s="101">
        <f t="shared" si="46"/>
        <v>1404</v>
      </c>
      <c r="U95" s="101">
        <f t="shared" si="46"/>
        <v>1404</v>
      </c>
      <c r="V95" s="101">
        <f t="shared" si="46"/>
        <v>1404</v>
      </c>
      <c r="W95" s="101">
        <f t="shared" si="46"/>
        <v>0</v>
      </c>
      <c r="X95" s="101">
        <f t="shared" si="46"/>
        <v>0</v>
      </c>
      <c r="Y95" s="101">
        <f t="shared" si="46"/>
        <v>0</v>
      </c>
      <c r="Z95" s="101">
        <f t="shared" si="46"/>
        <v>0</v>
      </c>
      <c r="AA95" s="101">
        <f t="shared" si="46"/>
        <v>0</v>
      </c>
      <c r="AB95" s="22"/>
    </row>
    <row r="96" spans="1:28" s="23" customFormat="1" ht="10.199999999999999" x14ac:dyDescent="0.2">
      <c r="A96" s="22"/>
      <c r="B96" s="22"/>
      <c r="C96" s="22"/>
      <c r="D96" s="22"/>
      <c r="E96" s="22" t="str">
        <f>E89</f>
        <v>траффик арендаторов</v>
      </c>
      <c r="F96" s="22"/>
      <c r="G96" s="22" t="str">
        <f>IF($E96="","",INDEX(KPI!$G:$G,SUMIFS(KPI!$B:$B,KPI!$E:$E,$E96)))</f>
        <v>чел</v>
      </c>
      <c r="H96" s="100">
        <f>структура!$V$18</f>
        <v>7</v>
      </c>
      <c r="I96" s="31"/>
      <c r="J96" s="98" t="str">
        <f>структура!$X$18</f>
        <v>июл</v>
      </c>
      <c r="K96" s="99"/>
      <c r="L96" s="22"/>
      <c r="M96" s="58"/>
      <c r="N96" s="22"/>
      <c r="O96" s="22"/>
      <c r="P96" s="101">
        <f t="shared" ref="P96:AA96" si="47">IF(P$1="",0,P50*P$87)</f>
        <v>1449</v>
      </c>
      <c r="Q96" s="101">
        <f t="shared" si="47"/>
        <v>1449</v>
      </c>
      <c r="R96" s="101">
        <f t="shared" si="47"/>
        <v>1449</v>
      </c>
      <c r="S96" s="101">
        <f t="shared" si="47"/>
        <v>1449</v>
      </c>
      <c r="T96" s="101">
        <f t="shared" si="47"/>
        <v>1449</v>
      </c>
      <c r="U96" s="101">
        <f t="shared" si="47"/>
        <v>1449</v>
      </c>
      <c r="V96" s="101">
        <f t="shared" si="47"/>
        <v>1449</v>
      </c>
      <c r="W96" s="101">
        <f t="shared" si="47"/>
        <v>0</v>
      </c>
      <c r="X96" s="101">
        <f t="shared" si="47"/>
        <v>0</v>
      </c>
      <c r="Y96" s="101">
        <f t="shared" si="47"/>
        <v>0</v>
      </c>
      <c r="Z96" s="101">
        <f t="shared" si="47"/>
        <v>0</v>
      </c>
      <c r="AA96" s="101">
        <f t="shared" si="47"/>
        <v>0</v>
      </c>
      <c r="AB96" s="22"/>
    </row>
    <row r="97" spans="1:28" s="23" customFormat="1" ht="10.199999999999999" x14ac:dyDescent="0.2">
      <c r="A97" s="22"/>
      <c r="B97" s="22"/>
      <c r="C97" s="22"/>
      <c r="D97" s="22"/>
      <c r="E97" s="22" t="str">
        <f>E89</f>
        <v>траффик арендаторов</v>
      </c>
      <c r="F97" s="22"/>
      <c r="G97" s="22" t="str">
        <f>IF($E97="","",INDEX(KPI!$G:$G,SUMIFS(KPI!$B:$B,KPI!$E:$E,$E97)))</f>
        <v>чел</v>
      </c>
      <c r="H97" s="100">
        <f>структура!$V$19</f>
        <v>8</v>
      </c>
      <c r="I97" s="31"/>
      <c r="J97" s="98" t="str">
        <f>структура!$X$19</f>
        <v>авг</v>
      </c>
      <c r="K97" s="99"/>
      <c r="L97" s="22"/>
      <c r="M97" s="58"/>
      <c r="N97" s="22"/>
      <c r="O97" s="22"/>
      <c r="P97" s="101">
        <f t="shared" ref="P97:AA97" si="48">IF(P$1="",0,P51*P$87)</f>
        <v>1449</v>
      </c>
      <c r="Q97" s="101">
        <f t="shared" si="48"/>
        <v>1449</v>
      </c>
      <c r="R97" s="101">
        <f t="shared" si="48"/>
        <v>1449</v>
      </c>
      <c r="S97" s="101">
        <f t="shared" si="48"/>
        <v>1449</v>
      </c>
      <c r="T97" s="101">
        <f t="shared" si="48"/>
        <v>1449</v>
      </c>
      <c r="U97" s="101">
        <f t="shared" si="48"/>
        <v>1449</v>
      </c>
      <c r="V97" s="101">
        <f t="shared" si="48"/>
        <v>1449</v>
      </c>
      <c r="W97" s="101">
        <f t="shared" si="48"/>
        <v>0</v>
      </c>
      <c r="X97" s="101">
        <f t="shared" si="48"/>
        <v>0</v>
      </c>
      <c r="Y97" s="101">
        <f t="shared" si="48"/>
        <v>0</v>
      </c>
      <c r="Z97" s="101">
        <f t="shared" si="48"/>
        <v>0</v>
      </c>
      <c r="AA97" s="101">
        <f t="shared" si="48"/>
        <v>0</v>
      </c>
      <c r="AB97" s="22"/>
    </row>
    <row r="98" spans="1:28" s="23" customFormat="1" ht="10.199999999999999" x14ac:dyDescent="0.2">
      <c r="A98" s="22"/>
      <c r="B98" s="22"/>
      <c r="C98" s="22"/>
      <c r="D98" s="22"/>
      <c r="E98" s="22" t="str">
        <f>E89</f>
        <v>траффик арендаторов</v>
      </c>
      <c r="F98" s="22"/>
      <c r="G98" s="22" t="str">
        <f>IF($E98="","",INDEX(KPI!$G:$G,SUMIFS(KPI!$B:$B,KPI!$E:$E,$E98)))</f>
        <v>чел</v>
      </c>
      <c r="H98" s="100">
        <f>структура!$V$20</f>
        <v>9</v>
      </c>
      <c r="I98" s="31"/>
      <c r="J98" s="98" t="str">
        <f>структура!$X$20</f>
        <v>сен</v>
      </c>
      <c r="K98" s="99"/>
      <c r="L98" s="22"/>
      <c r="M98" s="58"/>
      <c r="N98" s="22"/>
      <c r="O98" s="22"/>
      <c r="P98" s="101">
        <f t="shared" ref="P98:AA98" si="49">IF(P$1="",0,P52*P$87)</f>
        <v>1224</v>
      </c>
      <c r="Q98" s="101">
        <f t="shared" si="49"/>
        <v>1224</v>
      </c>
      <c r="R98" s="101">
        <f t="shared" si="49"/>
        <v>1224</v>
      </c>
      <c r="S98" s="101">
        <f t="shared" si="49"/>
        <v>1224</v>
      </c>
      <c r="T98" s="101">
        <f t="shared" si="49"/>
        <v>1224</v>
      </c>
      <c r="U98" s="101">
        <f t="shared" si="49"/>
        <v>1224</v>
      </c>
      <c r="V98" s="101">
        <f t="shared" si="49"/>
        <v>1224</v>
      </c>
      <c r="W98" s="101">
        <f t="shared" si="49"/>
        <v>0</v>
      </c>
      <c r="X98" s="101">
        <f t="shared" si="49"/>
        <v>0</v>
      </c>
      <c r="Y98" s="101">
        <f t="shared" si="49"/>
        <v>0</v>
      </c>
      <c r="Z98" s="101">
        <f t="shared" si="49"/>
        <v>0</v>
      </c>
      <c r="AA98" s="101">
        <f t="shared" si="49"/>
        <v>0</v>
      </c>
      <c r="AB98" s="22"/>
    </row>
    <row r="99" spans="1:28" s="23" customFormat="1" ht="10.199999999999999" x14ac:dyDescent="0.2">
      <c r="A99" s="22"/>
      <c r="B99" s="22"/>
      <c r="C99" s="22"/>
      <c r="D99" s="22"/>
      <c r="E99" s="22" t="str">
        <f>E89</f>
        <v>траффик арендаторов</v>
      </c>
      <c r="F99" s="22"/>
      <c r="G99" s="22" t="str">
        <f>IF($E99="","",INDEX(KPI!$G:$G,SUMIFS(KPI!$B:$B,KPI!$E:$E,$E99)))</f>
        <v>чел</v>
      </c>
      <c r="H99" s="100">
        <f>структура!$V$21</f>
        <v>10</v>
      </c>
      <c r="I99" s="31"/>
      <c r="J99" s="98" t="str">
        <f>структура!$X$21</f>
        <v>окт</v>
      </c>
      <c r="K99" s="99"/>
      <c r="L99" s="22"/>
      <c r="M99" s="58"/>
      <c r="N99" s="22"/>
      <c r="O99" s="22"/>
      <c r="P99" s="101">
        <f t="shared" ref="P99:AA99" si="50">IF(P$1="",0,P53*P$87)</f>
        <v>1008</v>
      </c>
      <c r="Q99" s="101">
        <f t="shared" si="50"/>
        <v>1008</v>
      </c>
      <c r="R99" s="101">
        <f t="shared" si="50"/>
        <v>1008</v>
      </c>
      <c r="S99" s="101">
        <f t="shared" si="50"/>
        <v>1008</v>
      </c>
      <c r="T99" s="101">
        <f t="shared" si="50"/>
        <v>1008</v>
      </c>
      <c r="U99" s="101">
        <f t="shared" si="50"/>
        <v>1008</v>
      </c>
      <c r="V99" s="101">
        <f t="shared" si="50"/>
        <v>1008</v>
      </c>
      <c r="W99" s="101">
        <f t="shared" si="50"/>
        <v>0</v>
      </c>
      <c r="X99" s="101">
        <f t="shared" si="50"/>
        <v>0</v>
      </c>
      <c r="Y99" s="101">
        <f t="shared" si="50"/>
        <v>0</v>
      </c>
      <c r="Z99" s="101">
        <f t="shared" si="50"/>
        <v>0</v>
      </c>
      <c r="AA99" s="101">
        <f t="shared" si="50"/>
        <v>0</v>
      </c>
      <c r="AB99" s="22"/>
    </row>
    <row r="100" spans="1:28" s="23" customFormat="1" ht="10.199999999999999" x14ac:dyDescent="0.2">
      <c r="A100" s="22"/>
      <c r="B100" s="22"/>
      <c r="C100" s="22"/>
      <c r="D100" s="22"/>
      <c r="E100" s="22" t="str">
        <f>E89</f>
        <v>траффик арендаторов</v>
      </c>
      <c r="F100" s="22"/>
      <c r="G100" s="22" t="str">
        <f>IF($E100="","",INDEX(KPI!$G:$G,SUMIFS(KPI!$B:$B,KPI!$E:$E,$E100)))</f>
        <v>чел</v>
      </c>
      <c r="H100" s="100">
        <f>структура!$V$22</f>
        <v>11</v>
      </c>
      <c r="I100" s="31"/>
      <c r="J100" s="98" t="str">
        <f>структура!$X$22</f>
        <v>ноя</v>
      </c>
      <c r="K100" s="99"/>
      <c r="L100" s="22"/>
      <c r="M100" s="58"/>
      <c r="N100" s="22"/>
      <c r="O100" s="22"/>
      <c r="P100" s="101">
        <f t="shared" ref="P100:AA100" si="51">IF(P$1="",0,P54*P$87)</f>
        <v>873</v>
      </c>
      <c r="Q100" s="101">
        <f t="shared" si="51"/>
        <v>873</v>
      </c>
      <c r="R100" s="101">
        <f t="shared" si="51"/>
        <v>873</v>
      </c>
      <c r="S100" s="101">
        <f t="shared" si="51"/>
        <v>873</v>
      </c>
      <c r="T100" s="101">
        <f t="shared" si="51"/>
        <v>873</v>
      </c>
      <c r="U100" s="101">
        <f t="shared" si="51"/>
        <v>873</v>
      </c>
      <c r="V100" s="101">
        <f t="shared" si="51"/>
        <v>873</v>
      </c>
      <c r="W100" s="101">
        <f t="shared" si="51"/>
        <v>0</v>
      </c>
      <c r="X100" s="101">
        <f t="shared" si="51"/>
        <v>0</v>
      </c>
      <c r="Y100" s="101">
        <f t="shared" si="51"/>
        <v>0</v>
      </c>
      <c r="Z100" s="101">
        <f t="shared" si="51"/>
        <v>0</v>
      </c>
      <c r="AA100" s="101">
        <f t="shared" si="51"/>
        <v>0</v>
      </c>
      <c r="AB100" s="22"/>
    </row>
    <row r="101" spans="1:28" s="23" customFormat="1" ht="10.199999999999999" x14ac:dyDescent="0.2">
      <c r="A101" s="22"/>
      <c r="B101" s="22"/>
      <c r="C101" s="22"/>
      <c r="D101" s="22"/>
      <c r="E101" s="22" t="str">
        <f>E89</f>
        <v>траффик арендаторов</v>
      </c>
      <c r="F101" s="22"/>
      <c r="G101" s="22" t="str">
        <f>IF($E101="","",INDEX(KPI!$G:$G,SUMIFS(KPI!$B:$B,KPI!$E:$E,$E101)))</f>
        <v>чел</v>
      </c>
      <c r="H101" s="100">
        <f>структура!$V$23</f>
        <v>12</v>
      </c>
      <c r="I101" s="31"/>
      <c r="J101" s="98" t="str">
        <f>структура!$X$23</f>
        <v>дек</v>
      </c>
      <c r="K101" s="99"/>
      <c r="L101" s="22"/>
      <c r="M101" s="58"/>
      <c r="N101" s="22"/>
      <c r="O101" s="22"/>
      <c r="P101" s="101">
        <f t="shared" ref="P101:AA101" si="52">IF(P$1="",0,P55*P$87)</f>
        <v>720</v>
      </c>
      <c r="Q101" s="101">
        <f t="shared" si="52"/>
        <v>720</v>
      </c>
      <c r="R101" s="101">
        <f t="shared" si="52"/>
        <v>720</v>
      </c>
      <c r="S101" s="101">
        <f t="shared" si="52"/>
        <v>720</v>
      </c>
      <c r="T101" s="101">
        <f t="shared" si="52"/>
        <v>720</v>
      </c>
      <c r="U101" s="101">
        <f t="shared" si="52"/>
        <v>720</v>
      </c>
      <c r="V101" s="101">
        <f t="shared" si="52"/>
        <v>720</v>
      </c>
      <c r="W101" s="101">
        <f t="shared" si="52"/>
        <v>0</v>
      </c>
      <c r="X101" s="101">
        <f t="shared" si="52"/>
        <v>0</v>
      </c>
      <c r="Y101" s="101">
        <f t="shared" si="52"/>
        <v>0</v>
      </c>
      <c r="Z101" s="101">
        <f t="shared" si="52"/>
        <v>0</v>
      </c>
      <c r="AA101" s="101">
        <f t="shared" si="52"/>
        <v>0</v>
      </c>
      <c r="AB101" s="22"/>
    </row>
    <row r="102" spans="1:28" ht="3.9" customHeight="1" x14ac:dyDescent="0.25">
      <c r="A102" s="2"/>
      <c r="B102" s="2"/>
      <c r="C102" s="2"/>
      <c r="D102" s="2"/>
      <c r="E102" s="21"/>
      <c r="F102" s="2"/>
      <c r="G102" s="21"/>
      <c r="H102" s="2"/>
      <c r="I102" s="28"/>
      <c r="J102" s="21"/>
      <c r="K102" s="28"/>
      <c r="L102" s="2"/>
      <c r="M102" s="52"/>
      <c r="N102" s="2"/>
      <c r="O102" s="2"/>
      <c r="P102" s="36"/>
      <c r="Q102" s="36"/>
      <c r="R102" s="36"/>
      <c r="S102" s="36"/>
      <c r="T102" s="36"/>
      <c r="U102" s="36"/>
      <c r="V102" s="36"/>
      <c r="W102" s="36"/>
      <c r="X102" s="36"/>
      <c r="Y102" s="36"/>
      <c r="Z102" s="36"/>
      <c r="AA102" s="36"/>
      <c r="AB102" s="2"/>
    </row>
    <row r="103" spans="1:28" ht="8.1" customHeight="1" x14ac:dyDescent="0.25">
      <c r="A103" s="2"/>
      <c r="B103" s="2"/>
      <c r="C103" s="2"/>
      <c r="D103" s="2"/>
      <c r="E103" s="2"/>
      <c r="F103" s="2"/>
      <c r="G103" s="2"/>
      <c r="H103" s="2"/>
      <c r="I103" s="28"/>
      <c r="J103" s="2"/>
      <c r="K103" s="28"/>
      <c r="L103" s="2"/>
      <c r="M103" s="52"/>
      <c r="N103" s="2"/>
      <c r="O103" s="2"/>
      <c r="P103" s="36"/>
      <c r="Q103" s="36"/>
      <c r="R103" s="36"/>
      <c r="S103" s="36"/>
      <c r="T103" s="36"/>
      <c r="U103" s="36"/>
      <c r="V103" s="36"/>
      <c r="W103" s="36"/>
      <c r="X103" s="36"/>
      <c r="Y103" s="36"/>
      <c r="Z103" s="36"/>
      <c r="AA103" s="36"/>
      <c r="AB103" s="2"/>
    </row>
    <row r="104" spans="1:28" s="5" customFormat="1" x14ac:dyDescent="0.25">
      <c r="A104" s="3"/>
      <c r="B104" s="3"/>
      <c r="C104" s="3"/>
      <c r="D104" s="3"/>
      <c r="E104" s="3" t="str">
        <f>KPI!$E$41</f>
        <v>%-нт прироста "безарендного" траффика</v>
      </c>
      <c r="F104" s="3"/>
      <c r="G104" s="3" t="str">
        <f>IF($E104="","",INDEX(KPI!$G:$G,SUMIFS(KPI!$B:$B,KPI!$E:$E,$E104)))</f>
        <v>%</v>
      </c>
      <c r="H104" s="3"/>
      <c r="I104" s="6"/>
      <c r="J104" s="218">
        <f>SUMIFS(сценарии!J:J,сценарии!$E:$E,$E104,сценарии!$M:$M,$L$104)</f>
        <v>0.1</v>
      </c>
      <c r="K104" s="28"/>
      <c r="L104" s="104" t="str">
        <f>сценарии!$J$7</f>
        <v>сценарий-1</v>
      </c>
      <c r="M104" s="55"/>
      <c r="N104" s="3"/>
      <c r="O104" s="3"/>
      <c r="P104" s="46"/>
      <c r="Q104" s="46"/>
      <c r="R104" s="46"/>
      <c r="S104" s="46"/>
      <c r="T104" s="46"/>
      <c r="U104" s="46"/>
      <c r="V104" s="46"/>
      <c r="W104" s="46"/>
      <c r="X104" s="46"/>
      <c r="Y104" s="46"/>
      <c r="Z104" s="46"/>
      <c r="AA104" s="46"/>
      <c r="AB104" s="3"/>
    </row>
    <row r="105" spans="1:28" ht="3.9" customHeight="1" x14ac:dyDescent="0.25">
      <c r="A105" s="2"/>
      <c r="B105" s="2"/>
      <c r="C105" s="2"/>
      <c r="D105" s="2"/>
      <c r="E105" s="2"/>
      <c r="F105" s="2"/>
      <c r="G105" s="2"/>
      <c r="H105" s="2"/>
      <c r="I105" s="28"/>
      <c r="J105" s="2"/>
      <c r="K105" s="28"/>
      <c r="L105" s="2"/>
      <c r="M105" s="52"/>
      <c r="N105" s="2"/>
      <c r="O105" s="2"/>
      <c r="P105" s="36"/>
      <c r="Q105" s="36"/>
      <c r="R105" s="36"/>
      <c r="S105" s="36"/>
      <c r="T105" s="36"/>
      <c r="U105" s="36"/>
      <c r="V105" s="36"/>
      <c r="W105" s="36"/>
      <c r="X105" s="36"/>
      <c r="Y105" s="36"/>
      <c r="Z105" s="36"/>
      <c r="AA105" s="36"/>
      <c r="AB105" s="2"/>
    </row>
    <row r="106" spans="1:28" ht="8.1" customHeight="1" x14ac:dyDescent="0.25">
      <c r="A106" s="2"/>
      <c r="B106" s="2"/>
      <c r="C106" s="2"/>
      <c r="D106" s="2"/>
      <c r="E106" s="2"/>
      <c r="F106" s="2"/>
      <c r="G106" s="2"/>
      <c r="H106" s="2"/>
      <c r="I106" s="28"/>
      <c r="J106" s="2"/>
      <c r="K106" s="28"/>
      <c r="L106" s="2"/>
      <c r="M106" s="52"/>
      <c r="N106" s="2"/>
      <c r="O106" s="2"/>
      <c r="P106" s="36"/>
      <c r="Q106" s="36"/>
      <c r="R106" s="36"/>
      <c r="S106" s="36"/>
      <c r="T106" s="36"/>
      <c r="U106" s="36"/>
      <c r="V106" s="36"/>
      <c r="W106" s="36"/>
      <c r="X106" s="36"/>
      <c r="Y106" s="36"/>
      <c r="Z106" s="36"/>
      <c r="AA106" s="36"/>
      <c r="AB106" s="2"/>
    </row>
    <row r="107" spans="1:28" x14ac:dyDescent="0.25">
      <c r="A107" s="2"/>
      <c r="B107" s="2"/>
      <c r="C107" s="2"/>
      <c r="D107" s="2"/>
      <c r="E107" s="3" t="str">
        <f>KPI!$E$115</f>
        <v>средний чек услуг веревочного парка</v>
      </c>
      <c r="F107" s="3"/>
      <c r="G107" s="3" t="str">
        <f>IF($E107="","",INDEX(KPI!$G:$G,SUMIFS(KPI!$B:$B,KPI!$E:$E,$E107)))</f>
        <v>руб.</v>
      </c>
      <c r="H107" s="3"/>
      <c r="I107" s="28"/>
      <c r="J107" s="44"/>
      <c r="K107" s="28"/>
      <c r="L107" s="3"/>
      <c r="M107" s="55"/>
      <c r="N107" s="2"/>
      <c r="O107" s="2"/>
      <c r="P107" s="36"/>
      <c r="Q107" s="36"/>
      <c r="R107" s="36"/>
      <c r="S107" s="36"/>
      <c r="T107" s="36"/>
      <c r="U107" s="36"/>
      <c r="V107" s="36"/>
      <c r="W107" s="36"/>
      <c r="X107" s="36"/>
      <c r="Y107" s="36"/>
      <c r="Z107" s="36"/>
      <c r="AA107" s="36"/>
      <c r="AB107" s="2"/>
    </row>
    <row r="108" spans="1:28" s="23" customFormat="1" ht="10.199999999999999" x14ac:dyDescent="0.2">
      <c r="A108" s="22"/>
      <c r="B108" s="22"/>
      <c r="C108" s="22"/>
      <c r="D108" s="22"/>
      <c r="E108" s="22" t="str">
        <f>E107</f>
        <v>средний чек услуг веревочного парка</v>
      </c>
      <c r="F108" s="22"/>
      <c r="G108" s="22" t="str">
        <f>IF($E108="","",INDEX(KPI!$G:$G,SUMIFS(KPI!$B:$B,KPI!$E:$E,$E108)))</f>
        <v>руб.</v>
      </c>
      <c r="H108" s="100">
        <f>структура!$V$12</f>
        <v>1</v>
      </c>
      <c r="I108" s="31"/>
      <c r="J108" s="98" t="str">
        <f>структура!$X$12</f>
        <v>янв</v>
      </c>
      <c r="K108" s="99"/>
      <c r="L108" s="31" t="s">
        <v>0</v>
      </c>
      <c r="M108" s="106">
        <v>300</v>
      </c>
      <c r="N108" s="22"/>
      <c r="O108" s="22"/>
      <c r="P108" s="100"/>
      <c r="Q108" s="100"/>
      <c r="R108" s="100"/>
      <c r="S108" s="100"/>
      <c r="T108" s="100"/>
      <c r="U108" s="100"/>
      <c r="V108" s="100"/>
      <c r="W108" s="100"/>
      <c r="X108" s="100"/>
      <c r="Y108" s="100"/>
      <c r="Z108" s="100"/>
      <c r="AA108" s="100"/>
      <c r="AB108" s="22"/>
    </row>
    <row r="109" spans="1:28" s="23" customFormat="1" ht="10.199999999999999" x14ac:dyDescent="0.2">
      <c r="A109" s="22"/>
      <c r="B109" s="22"/>
      <c r="C109" s="22"/>
      <c r="D109" s="22"/>
      <c r="E109" s="22" t="str">
        <f>E107</f>
        <v>средний чек услуг веревочного парка</v>
      </c>
      <c r="F109" s="22"/>
      <c r="G109" s="22" t="str">
        <f>IF($E109="","",INDEX(KPI!$G:$G,SUMIFS(KPI!$B:$B,KPI!$E:$E,$E109)))</f>
        <v>руб.</v>
      </c>
      <c r="H109" s="100">
        <f>структура!$V$13</f>
        <v>2</v>
      </c>
      <c r="I109" s="31"/>
      <c r="J109" s="98" t="str">
        <f>структура!$X$13</f>
        <v>фев</v>
      </c>
      <c r="K109" s="99"/>
      <c r="L109" s="31" t="s">
        <v>0</v>
      </c>
      <c r="M109" s="106">
        <v>300</v>
      </c>
      <c r="N109" s="22"/>
      <c r="O109" s="22"/>
      <c r="P109" s="100"/>
      <c r="Q109" s="100"/>
      <c r="R109" s="100"/>
      <c r="S109" s="100"/>
      <c r="T109" s="100"/>
      <c r="U109" s="100"/>
      <c r="V109" s="100"/>
      <c r="W109" s="100"/>
      <c r="X109" s="100"/>
      <c r="Y109" s="100"/>
      <c r="Z109" s="100"/>
      <c r="AA109" s="100"/>
      <c r="AB109" s="22"/>
    </row>
    <row r="110" spans="1:28" s="23" customFormat="1" ht="10.199999999999999" x14ac:dyDescent="0.2">
      <c r="A110" s="22"/>
      <c r="B110" s="22"/>
      <c r="C110" s="22"/>
      <c r="D110" s="22"/>
      <c r="E110" s="22" t="str">
        <f>E107</f>
        <v>средний чек услуг веревочного парка</v>
      </c>
      <c r="F110" s="22"/>
      <c r="G110" s="22" t="str">
        <f>IF($E110="","",INDEX(KPI!$G:$G,SUMIFS(KPI!$B:$B,KPI!$E:$E,$E110)))</f>
        <v>руб.</v>
      </c>
      <c r="H110" s="100">
        <f>структура!$V$14</f>
        <v>3</v>
      </c>
      <c r="I110" s="31"/>
      <c r="J110" s="98" t="str">
        <f>структура!$X$14</f>
        <v>мар</v>
      </c>
      <c r="K110" s="99"/>
      <c r="L110" s="31" t="s">
        <v>0</v>
      </c>
      <c r="M110" s="106">
        <v>300</v>
      </c>
      <c r="N110" s="22"/>
      <c r="O110" s="22"/>
      <c r="P110" s="100"/>
      <c r="Q110" s="100"/>
      <c r="R110" s="100"/>
      <c r="S110" s="100"/>
      <c r="T110" s="100"/>
      <c r="U110" s="100"/>
      <c r="V110" s="100"/>
      <c r="W110" s="100"/>
      <c r="X110" s="100"/>
      <c r="Y110" s="100"/>
      <c r="Z110" s="100"/>
      <c r="AA110" s="100"/>
      <c r="AB110" s="22"/>
    </row>
    <row r="111" spans="1:28" s="23" customFormat="1" ht="10.199999999999999" x14ac:dyDescent="0.2">
      <c r="A111" s="22"/>
      <c r="B111" s="22"/>
      <c r="C111" s="22"/>
      <c r="D111" s="22"/>
      <c r="E111" s="22" t="str">
        <f>E107</f>
        <v>средний чек услуг веревочного парка</v>
      </c>
      <c r="F111" s="22"/>
      <c r="G111" s="22" t="str">
        <f>IF($E111="","",INDEX(KPI!$G:$G,SUMIFS(KPI!$B:$B,KPI!$E:$E,$E111)))</f>
        <v>руб.</v>
      </c>
      <c r="H111" s="100">
        <f>структура!$V$15</f>
        <v>4</v>
      </c>
      <c r="I111" s="31"/>
      <c r="J111" s="98" t="str">
        <f>структура!$X$15</f>
        <v>апр</v>
      </c>
      <c r="K111" s="99"/>
      <c r="L111" s="31" t="s">
        <v>0</v>
      </c>
      <c r="M111" s="106">
        <v>300</v>
      </c>
      <c r="N111" s="22"/>
      <c r="O111" s="22"/>
      <c r="P111" s="100"/>
      <c r="Q111" s="100"/>
      <c r="R111" s="100"/>
      <c r="S111" s="100"/>
      <c r="T111" s="100"/>
      <c r="U111" s="100"/>
      <c r="V111" s="100"/>
      <c r="W111" s="100"/>
      <c r="X111" s="100"/>
      <c r="Y111" s="100"/>
      <c r="Z111" s="100"/>
      <c r="AA111" s="100"/>
      <c r="AB111" s="22"/>
    </row>
    <row r="112" spans="1:28" s="23" customFormat="1" ht="10.199999999999999" x14ac:dyDescent="0.2">
      <c r="A112" s="22"/>
      <c r="B112" s="22"/>
      <c r="C112" s="22"/>
      <c r="D112" s="22"/>
      <c r="E112" s="22" t="str">
        <f>E107</f>
        <v>средний чек услуг веревочного парка</v>
      </c>
      <c r="F112" s="22"/>
      <c r="G112" s="22" t="str">
        <f>IF($E112="","",INDEX(KPI!$G:$G,SUMIFS(KPI!$B:$B,KPI!$E:$E,$E112)))</f>
        <v>руб.</v>
      </c>
      <c r="H112" s="100">
        <f>структура!$V$16</f>
        <v>5</v>
      </c>
      <c r="I112" s="31"/>
      <c r="J112" s="98" t="str">
        <f>структура!$X$16</f>
        <v>май</v>
      </c>
      <c r="K112" s="99"/>
      <c r="L112" s="31" t="s">
        <v>0</v>
      </c>
      <c r="M112" s="106">
        <v>300</v>
      </c>
      <c r="N112" s="22"/>
      <c r="O112" s="22"/>
      <c r="P112" s="100"/>
      <c r="Q112" s="100"/>
      <c r="R112" s="100"/>
      <c r="S112" s="100"/>
      <c r="T112" s="100"/>
      <c r="U112" s="100"/>
      <c r="V112" s="100"/>
      <c r="W112" s="100"/>
      <c r="X112" s="100"/>
      <c r="Y112" s="100"/>
      <c r="Z112" s="100"/>
      <c r="AA112" s="100"/>
      <c r="AB112" s="22"/>
    </row>
    <row r="113" spans="1:28" s="23" customFormat="1" ht="10.199999999999999" x14ac:dyDescent="0.2">
      <c r="A113" s="22"/>
      <c r="B113" s="22"/>
      <c r="C113" s="22"/>
      <c r="D113" s="22"/>
      <c r="E113" s="22" t="str">
        <f>E107</f>
        <v>средний чек услуг веревочного парка</v>
      </c>
      <c r="F113" s="22"/>
      <c r="G113" s="22" t="str">
        <f>IF($E113="","",INDEX(KPI!$G:$G,SUMIFS(KPI!$B:$B,KPI!$E:$E,$E113)))</f>
        <v>руб.</v>
      </c>
      <c r="H113" s="100">
        <f>структура!$V$17</f>
        <v>6</v>
      </c>
      <c r="I113" s="31"/>
      <c r="J113" s="98" t="str">
        <f>структура!$X$17</f>
        <v>июн</v>
      </c>
      <c r="K113" s="99"/>
      <c r="L113" s="31" t="s">
        <v>0</v>
      </c>
      <c r="M113" s="106">
        <v>300</v>
      </c>
      <c r="N113" s="22"/>
      <c r="O113" s="22"/>
      <c r="P113" s="100"/>
      <c r="Q113" s="100"/>
      <c r="R113" s="100"/>
      <c r="S113" s="100"/>
      <c r="T113" s="100"/>
      <c r="U113" s="100"/>
      <c r="V113" s="100"/>
      <c r="W113" s="100"/>
      <c r="X113" s="100"/>
      <c r="Y113" s="100"/>
      <c r="Z113" s="100"/>
      <c r="AA113" s="100"/>
      <c r="AB113" s="22"/>
    </row>
    <row r="114" spans="1:28" s="23" customFormat="1" ht="10.199999999999999" x14ac:dyDescent="0.2">
      <c r="A114" s="22"/>
      <c r="B114" s="22"/>
      <c r="C114" s="22"/>
      <c r="D114" s="22"/>
      <c r="E114" s="22" t="str">
        <f>E107</f>
        <v>средний чек услуг веревочного парка</v>
      </c>
      <c r="F114" s="22"/>
      <c r="G114" s="22" t="str">
        <f>IF($E114="","",INDEX(KPI!$G:$G,SUMIFS(KPI!$B:$B,KPI!$E:$E,$E114)))</f>
        <v>руб.</v>
      </c>
      <c r="H114" s="100">
        <f>структура!$V$18</f>
        <v>7</v>
      </c>
      <c r="I114" s="31"/>
      <c r="J114" s="98" t="str">
        <f>структура!$X$18</f>
        <v>июл</v>
      </c>
      <c r="K114" s="99"/>
      <c r="L114" s="31" t="s">
        <v>0</v>
      </c>
      <c r="M114" s="106">
        <v>300</v>
      </c>
      <c r="N114" s="22"/>
      <c r="O114" s="22"/>
      <c r="P114" s="100"/>
      <c r="Q114" s="100"/>
      <c r="R114" s="100"/>
      <c r="S114" s="100"/>
      <c r="T114" s="100"/>
      <c r="U114" s="100"/>
      <c r="V114" s="100"/>
      <c r="W114" s="100"/>
      <c r="X114" s="100"/>
      <c r="Y114" s="100"/>
      <c r="Z114" s="100"/>
      <c r="AA114" s="100"/>
      <c r="AB114" s="22"/>
    </row>
    <row r="115" spans="1:28" s="23" customFormat="1" ht="10.199999999999999" x14ac:dyDescent="0.2">
      <c r="A115" s="22"/>
      <c r="B115" s="22"/>
      <c r="C115" s="22"/>
      <c r="D115" s="22"/>
      <c r="E115" s="22" t="str">
        <f>E107</f>
        <v>средний чек услуг веревочного парка</v>
      </c>
      <c r="F115" s="22"/>
      <c r="G115" s="22" t="str">
        <f>IF($E115="","",INDEX(KPI!$G:$G,SUMIFS(KPI!$B:$B,KPI!$E:$E,$E115)))</f>
        <v>руб.</v>
      </c>
      <c r="H115" s="100">
        <f>структура!$V$19</f>
        <v>8</v>
      </c>
      <c r="I115" s="31"/>
      <c r="J115" s="98" t="str">
        <f>структура!$X$19</f>
        <v>авг</v>
      </c>
      <c r="K115" s="99"/>
      <c r="L115" s="31" t="s">
        <v>0</v>
      </c>
      <c r="M115" s="106">
        <v>300</v>
      </c>
      <c r="N115" s="22"/>
      <c r="O115" s="22"/>
      <c r="P115" s="100"/>
      <c r="Q115" s="100"/>
      <c r="R115" s="100"/>
      <c r="S115" s="100"/>
      <c r="T115" s="100"/>
      <c r="U115" s="100"/>
      <c r="V115" s="100"/>
      <c r="W115" s="100"/>
      <c r="X115" s="100"/>
      <c r="Y115" s="100"/>
      <c r="Z115" s="100"/>
      <c r="AA115" s="100"/>
      <c r="AB115" s="22"/>
    </row>
    <row r="116" spans="1:28" s="23" customFormat="1" ht="10.199999999999999" x14ac:dyDescent="0.2">
      <c r="A116" s="22"/>
      <c r="B116" s="22"/>
      <c r="C116" s="22"/>
      <c r="D116" s="22"/>
      <c r="E116" s="22" t="str">
        <f>E107</f>
        <v>средний чек услуг веревочного парка</v>
      </c>
      <c r="F116" s="22"/>
      <c r="G116" s="22" t="str">
        <f>IF($E116="","",INDEX(KPI!$G:$G,SUMIFS(KPI!$B:$B,KPI!$E:$E,$E116)))</f>
        <v>руб.</v>
      </c>
      <c r="H116" s="100">
        <f>структура!$V$20</f>
        <v>9</v>
      </c>
      <c r="I116" s="31"/>
      <c r="J116" s="98" t="str">
        <f>структура!$X$20</f>
        <v>сен</v>
      </c>
      <c r="K116" s="99"/>
      <c r="L116" s="31" t="s">
        <v>0</v>
      </c>
      <c r="M116" s="106">
        <v>300</v>
      </c>
      <c r="N116" s="22"/>
      <c r="O116" s="22"/>
      <c r="P116" s="100"/>
      <c r="Q116" s="100"/>
      <c r="R116" s="100"/>
      <c r="S116" s="100"/>
      <c r="T116" s="100"/>
      <c r="U116" s="100"/>
      <c r="V116" s="100"/>
      <c r="W116" s="100"/>
      <c r="X116" s="100"/>
      <c r="Y116" s="100"/>
      <c r="Z116" s="100"/>
      <c r="AA116" s="100"/>
      <c r="AB116" s="22"/>
    </row>
    <row r="117" spans="1:28" s="23" customFormat="1" ht="10.199999999999999" x14ac:dyDescent="0.2">
      <c r="A117" s="22"/>
      <c r="B117" s="22"/>
      <c r="C117" s="22"/>
      <c r="D117" s="22"/>
      <c r="E117" s="22" t="str">
        <f>E107</f>
        <v>средний чек услуг веревочного парка</v>
      </c>
      <c r="F117" s="22"/>
      <c r="G117" s="22" t="str">
        <f>IF($E117="","",INDEX(KPI!$G:$G,SUMIFS(KPI!$B:$B,KPI!$E:$E,$E117)))</f>
        <v>руб.</v>
      </c>
      <c r="H117" s="100">
        <f>структура!$V$21</f>
        <v>10</v>
      </c>
      <c r="I117" s="31"/>
      <c r="J117" s="98" t="str">
        <f>структура!$X$21</f>
        <v>окт</v>
      </c>
      <c r="K117" s="99"/>
      <c r="L117" s="31" t="s">
        <v>0</v>
      </c>
      <c r="M117" s="106">
        <v>300</v>
      </c>
      <c r="N117" s="22"/>
      <c r="O117" s="22"/>
      <c r="P117" s="100"/>
      <c r="Q117" s="100"/>
      <c r="R117" s="100"/>
      <c r="S117" s="100"/>
      <c r="T117" s="100"/>
      <c r="U117" s="100"/>
      <c r="V117" s="100"/>
      <c r="W117" s="100"/>
      <c r="X117" s="100"/>
      <c r="Y117" s="100"/>
      <c r="Z117" s="100"/>
      <c r="AA117" s="100"/>
      <c r="AB117" s="22"/>
    </row>
    <row r="118" spans="1:28" s="23" customFormat="1" ht="10.199999999999999" x14ac:dyDescent="0.2">
      <c r="A118" s="22"/>
      <c r="B118" s="22"/>
      <c r="C118" s="22"/>
      <c r="D118" s="22"/>
      <c r="E118" s="22" t="str">
        <f>E107</f>
        <v>средний чек услуг веревочного парка</v>
      </c>
      <c r="F118" s="22"/>
      <c r="G118" s="22" t="str">
        <f>IF($E118="","",INDEX(KPI!$G:$G,SUMIFS(KPI!$B:$B,KPI!$E:$E,$E118)))</f>
        <v>руб.</v>
      </c>
      <c r="H118" s="100">
        <f>структура!$V$22</f>
        <v>11</v>
      </c>
      <c r="I118" s="31"/>
      <c r="J118" s="98" t="str">
        <f>структура!$X$22</f>
        <v>ноя</v>
      </c>
      <c r="K118" s="99"/>
      <c r="L118" s="31" t="s">
        <v>0</v>
      </c>
      <c r="M118" s="106">
        <v>300</v>
      </c>
      <c r="N118" s="22"/>
      <c r="O118" s="22"/>
      <c r="P118" s="100"/>
      <c r="Q118" s="100"/>
      <c r="R118" s="100"/>
      <c r="S118" s="100"/>
      <c r="T118" s="100"/>
      <c r="U118" s="100"/>
      <c r="V118" s="100"/>
      <c r="W118" s="100"/>
      <c r="X118" s="100"/>
      <c r="Y118" s="100"/>
      <c r="Z118" s="100"/>
      <c r="AA118" s="100"/>
      <c r="AB118" s="22"/>
    </row>
    <row r="119" spans="1:28" s="23" customFormat="1" ht="10.199999999999999" x14ac:dyDescent="0.2">
      <c r="A119" s="22"/>
      <c r="B119" s="22"/>
      <c r="C119" s="22"/>
      <c r="D119" s="22"/>
      <c r="E119" s="22" t="str">
        <f>E107</f>
        <v>средний чек услуг веревочного парка</v>
      </c>
      <c r="F119" s="22"/>
      <c r="G119" s="22" t="str">
        <f>IF($E119="","",INDEX(KPI!$G:$G,SUMIFS(KPI!$B:$B,KPI!$E:$E,$E119)))</f>
        <v>руб.</v>
      </c>
      <c r="H119" s="100">
        <f>структура!$V$23</f>
        <v>12</v>
      </c>
      <c r="I119" s="31"/>
      <c r="J119" s="98" t="str">
        <f>структура!$X$23</f>
        <v>дек</v>
      </c>
      <c r="K119" s="99"/>
      <c r="L119" s="31" t="s">
        <v>0</v>
      </c>
      <c r="M119" s="106">
        <v>300</v>
      </c>
      <c r="N119" s="22"/>
      <c r="O119" s="22"/>
      <c r="P119" s="100"/>
      <c r="Q119" s="100"/>
      <c r="R119" s="100"/>
      <c r="S119" s="100"/>
      <c r="T119" s="100"/>
      <c r="U119" s="100"/>
      <c r="V119" s="100"/>
      <c r="W119" s="100"/>
      <c r="X119" s="100"/>
      <c r="Y119" s="100"/>
      <c r="Z119" s="100"/>
      <c r="AA119" s="100"/>
      <c r="AB119" s="22"/>
    </row>
    <row r="120" spans="1:28" ht="3.9" customHeight="1" x14ac:dyDescent="0.25">
      <c r="A120" s="2"/>
      <c r="B120" s="2"/>
      <c r="C120" s="2"/>
      <c r="D120" s="2"/>
      <c r="E120" s="21"/>
      <c r="F120" s="2"/>
      <c r="G120" s="21"/>
      <c r="H120" s="2"/>
      <c r="I120" s="28"/>
      <c r="J120" s="21"/>
      <c r="K120" s="28"/>
      <c r="L120" s="2"/>
      <c r="M120" s="52"/>
      <c r="N120" s="2"/>
      <c r="O120" s="2"/>
      <c r="P120" s="36"/>
      <c r="Q120" s="36"/>
      <c r="R120" s="36"/>
      <c r="S120" s="36"/>
      <c r="T120" s="36"/>
      <c r="U120" s="36"/>
      <c r="V120" s="36"/>
      <c r="W120" s="36"/>
      <c r="X120" s="36"/>
      <c r="Y120" s="36"/>
      <c r="Z120" s="36"/>
      <c r="AA120" s="36"/>
      <c r="AB120" s="2"/>
    </row>
    <row r="121" spans="1:28" ht="8.1" customHeight="1" x14ac:dyDescent="0.25">
      <c r="A121" s="2"/>
      <c r="B121" s="2"/>
      <c r="C121" s="2"/>
      <c r="D121" s="2"/>
      <c r="E121" s="2"/>
      <c r="F121" s="2"/>
      <c r="G121" s="2"/>
      <c r="H121" s="2"/>
      <c r="I121" s="28"/>
      <c r="J121" s="2"/>
      <c r="K121" s="28"/>
      <c r="L121" s="2"/>
      <c r="M121" s="52"/>
      <c r="N121" s="2"/>
      <c r="O121" s="2"/>
      <c r="P121" s="36"/>
      <c r="Q121" s="36"/>
      <c r="R121" s="36"/>
      <c r="S121" s="36"/>
      <c r="T121" s="36"/>
      <c r="U121" s="36"/>
      <c r="V121" s="36"/>
      <c r="W121" s="36"/>
      <c r="X121" s="36"/>
      <c r="Y121" s="36"/>
      <c r="Z121" s="36"/>
      <c r="AA121" s="36"/>
      <c r="AB121" s="2"/>
    </row>
    <row r="122" spans="1:28" x14ac:dyDescent="0.25">
      <c r="A122" s="2"/>
      <c r="B122" s="2"/>
      <c r="C122" s="2"/>
      <c r="D122" s="2"/>
      <c r="E122" s="3" t="str">
        <f>KPI!$E$116</f>
        <v>средний чек 1 услуги проката</v>
      </c>
      <c r="F122" s="3"/>
      <c r="G122" s="3" t="str">
        <f>IF($E122="","",INDEX(KPI!$G:$G,SUMIFS(KPI!$B:$B,KPI!$E:$E,$E122)))</f>
        <v>руб.</v>
      </c>
      <c r="H122" s="3"/>
      <c r="I122" s="28"/>
      <c r="J122" s="44"/>
      <c r="K122" s="28"/>
      <c r="L122" s="3"/>
      <c r="M122" s="55"/>
      <c r="N122" s="2"/>
      <c r="O122" s="2"/>
      <c r="P122" s="36"/>
      <c r="Q122" s="36"/>
      <c r="R122" s="36"/>
      <c r="S122" s="36"/>
      <c r="T122" s="36"/>
      <c r="U122" s="36"/>
      <c r="V122" s="36"/>
      <c r="W122" s="36"/>
      <c r="X122" s="36"/>
      <c r="Y122" s="36"/>
      <c r="Z122" s="36"/>
      <c r="AA122" s="36"/>
      <c r="AB122" s="2"/>
    </row>
    <row r="123" spans="1:28" s="23" customFormat="1" ht="10.199999999999999" x14ac:dyDescent="0.2">
      <c r="A123" s="22"/>
      <c r="B123" s="22"/>
      <c r="C123" s="22"/>
      <c r="D123" s="22"/>
      <c r="E123" s="22" t="str">
        <f>E122</f>
        <v>средний чек 1 услуги проката</v>
      </c>
      <c r="F123" s="22"/>
      <c r="G123" s="22" t="str">
        <f>IF($E123="","",INDEX(KPI!$G:$G,SUMIFS(KPI!$B:$B,KPI!$E:$E,$E123)))</f>
        <v>руб.</v>
      </c>
      <c r="H123" s="100">
        <f>структура!$V$12</f>
        <v>1</v>
      </c>
      <c r="I123" s="31"/>
      <c r="J123" s="98" t="str">
        <f>структура!$X$12</f>
        <v>янв</v>
      </c>
      <c r="K123" s="99"/>
      <c r="L123" s="31" t="s">
        <v>0</v>
      </c>
      <c r="M123" s="106">
        <v>500</v>
      </c>
      <c r="N123" s="22"/>
      <c r="O123" s="22"/>
      <c r="P123" s="100"/>
      <c r="Q123" s="100"/>
      <c r="R123" s="100"/>
      <c r="S123" s="100"/>
      <c r="T123" s="100"/>
      <c r="U123" s="100"/>
      <c r="V123" s="100"/>
      <c r="W123" s="100"/>
      <c r="X123" s="100"/>
      <c r="Y123" s="100"/>
      <c r="Z123" s="100"/>
      <c r="AA123" s="100"/>
      <c r="AB123" s="22"/>
    </row>
    <row r="124" spans="1:28" s="23" customFormat="1" ht="10.199999999999999" x14ac:dyDescent="0.2">
      <c r="A124" s="22"/>
      <c r="B124" s="22"/>
      <c r="C124" s="22"/>
      <c r="D124" s="22"/>
      <c r="E124" s="22" t="str">
        <f>E122</f>
        <v>средний чек 1 услуги проката</v>
      </c>
      <c r="F124" s="22"/>
      <c r="G124" s="22" t="str">
        <f>IF($E124="","",INDEX(KPI!$G:$G,SUMIFS(KPI!$B:$B,KPI!$E:$E,$E124)))</f>
        <v>руб.</v>
      </c>
      <c r="H124" s="100">
        <f>структура!$V$13</f>
        <v>2</v>
      </c>
      <c r="I124" s="31"/>
      <c r="J124" s="98" t="str">
        <f>структура!$X$13</f>
        <v>фев</v>
      </c>
      <c r="K124" s="99"/>
      <c r="L124" s="31" t="s">
        <v>0</v>
      </c>
      <c r="M124" s="106">
        <v>500</v>
      </c>
      <c r="N124" s="22"/>
      <c r="O124" s="22"/>
      <c r="P124" s="100"/>
      <c r="Q124" s="100"/>
      <c r="R124" s="100"/>
      <c r="S124" s="100"/>
      <c r="T124" s="100"/>
      <c r="U124" s="100"/>
      <c r="V124" s="100"/>
      <c r="W124" s="100"/>
      <c r="X124" s="100"/>
      <c r="Y124" s="100"/>
      <c r="Z124" s="100"/>
      <c r="AA124" s="100"/>
      <c r="AB124" s="22"/>
    </row>
    <row r="125" spans="1:28" s="23" customFormat="1" ht="10.199999999999999" x14ac:dyDescent="0.2">
      <c r="A125" s="22"/>
      <c r="B125" s="22"/>
      <c r="C125" s="22"/>
      <c r="D125" s="22"/>
      <c r="E125" s="22" t="str">
        <f>E122</f>
        <v>средний чек 1 услуги проката</v>
      </c>
      <c r="F125" s="22"/>
      <c r="G125" s="22" t="str">
        <f>IF($E125="","",INDEX(KPI!$G:$G,SUMIFS(KPI!$B:$B,KPI!$E:$E,$E125)))</f>
        <v>руб.</v>
      </c>
      <c r="H125" s="100">
        <f>структура!$V$14</f>
        <v>3</v>
      </c>
      <c r="I125" s="31"/>
      <c r="J125" s="98" t="str">
        <f>структура!$X$14</f>
        <v>мар</v>
      </c>
      <c r="K125" s="99"/>
      <c r="L125" s="31" t="s">
        <v>0</v>
      </c>
      <c r="M125" s="106">
        <v>500</v>
      </c>
      <c r="N125" s="22"/>
      <c r="O125" s="22"/>
      <c r="P125" s="100"/>
      <c r="Q125" s="100"/>
      <c r="R125" s="100"/>
      <c r="S125" s="100"/>
      <c r="T125" s="100"/>
      <c r="U125" s="100"/>
      <c r="V125" s="100"/>
      <c r="W125" s="100"/>
      <c r="X125" s="100"/>
      <c r="Y125" s="100"/>
      <c r="Z125" s="100"/>
      <c r="AA125" s="100"/>
      <c r="AB125" s="22"/>
    </row>
    <row r="126" spans="1:28" s="23" customFormat="1" ht="10.199999999999999" x14ac:dyDescent="0.2">
      <c r="A126" s="22"/>
      <c r="B126" s="22"/>
      <c r="C126" s="22"/>
      <c r="D126" s="22"/>
      <c r="E126" s="22" t="str">
        <f>E122</f>
        <v>средний чек 1 услуги проката</v>
      </c>
      <c r="F126" s="22"/>
      <c r="G126" s="22" t="str">
        <f>IF($E126="","",INDEX(KPI!$G:$G,SUMIFS(KPI!$B:$B,KPI!$E:$E,$E126)))</f>
        <v>руб.</v>
      </c>
      <c r="H126" s="100">
        <f>структура!$V$15</f>
        <v>4</v>
      </c>
      <c r="I126" s="31"/>
      <c r="J126" s="98" t="str">
        <f>структура!$X$15</f>
        <v>апр</v>
      </c>
      <c r="K126" s="99"/>
      <c r="L126" s="31" t="s">
        <v>0</v>
      </c>
      <c r="M126" s="106">
        <v>500</v>
      </c>
      <c r="N126" s="22"/>
      <c r="O126" s="22"/>
      <c r="P126" s="100"/>
      <c r="Q126" s="100"/>
      <c r="R126" s="100"/>
      <c r="S126" s="100"/>
      <c r="T126" s="100"/>
      <c r="U126" s="100"/>
      <c r="V126" s="100"/>
      <c r="W126" s="100"/>
      <c r="X126" s="100"/>
      <c r="Y126" s="100"/>
      <c r="Z126" s="100"/>
      <c r="AA126" s="100"/>
      <c r="AB126" s="22"/>
    </row>
    <row r="127" spans="1:28" s="23" customFormat="1" ht="10.199999999999999" x14ac:dyDescent="0.2">
      <c r="A127" s="22"/>
      <c r="B127" s="22"/>
      <c r="C127" s="22"/>
      <c r="D127" s="22"/>
      <c r="E127" s="22" t="str">
        <f>E122</f>
        <v>средний чек 1 услуги проката</v>
      </c>
      <c r="F127" s="22"/>
      <c r="G127" s="22" t="str">
        <f>IF($E127="","",INDEX(KPI!$G:$G,SUMIFS(KPI!$B:$B,KPI!$E:$E,$E127)))</f>
        <v>руб.</v>
      </c>
      <c r="H127" s="100">
        <f>структура!$V$16</f>
        <v>5</v>
      </c>
      <c r="I127" s="31"/>
      <c r="J127" s="98" t="str">
        <f>структура!$X$16</f>
        <v>май</v>
      </c>
      <c r="K127" s="99"/>
      <c r="L127" s="31" t="s">
        <v>0</v>
      </c>
      <c r="M127" s="106">
        <v>500</v>
      </c>
      <c r="N127" s="22"/>
      <c r="O127" s="22"/>
      <c r="P127" s="100"/>
      <c r="Q127" s="100"/>
      <c r="R127" s="100"/>
      <c r="S127" s="100"/>
      <c r="T127" s="100"/>
      <c r="U127" s="100"/>
      <c r="V127" s="100"/>
      <c r="W127" s="100"/>
      <c r="X127" s="100"/>
      <c r="Y127" s="100"/>
      <c r="Z127" s="100"/>
      <c r="AA127" s="100"/>
      <c r="AB127" s="22"/>
    </row>
    <row r="128" spans="1:28" s="23" customFormat="1" ht="10.199999999999999" x14ac:dyDescent="0.2">
      <c r="A128" s="22"/>
      <c r="B128" s="22"/>
      <c r="C128" s="22"/>
      <c r="D128" s="22"/>
      <c r="E128" s="22" t="str">
        <f>E122</f>
        <v>средний чек 1 услуги проката</v>
      </c>
      <c r="F128" s="22"/>
      <c r="G128" s="22" t="str">
        <f>IF($E128="","",INDEX(KPI!$G:$G,SUMIFS(KPI!$B:$B,KPI!$E:$E,$E128)))</f>
        <v>руб.</v>
      </c>
      <c r="H128" s="100">
        <f>структура!$V$17</f>
        <v>6</v>
      </c>
      <c r="I128" s="31"/>
      <c r="J128" s="98" t="str">
        <f>структура!$X$17</f>
        <v>июн</v>
      </c>
      <c r="K128" s="99"/>
      <c r="L128" s="31" t="s">
        <v>0</v>
      </c>
      <c r="M128" s="106">
        <v>500</v>
      </c>
      <c r="N128" s="22"/>
      <c r="O128" s="22"/>
      <c r="P128" s="100"/>
      <c r="Q128" s="100"/>
      <c r="R128" s="100"/>
      <c r="S128" s="100"/>
      <c r="T128" s="100"/>
      <c r="U128" s="100"/>
      <c r="V128" s="100"/>
      <c r="W128" s="100"/>
      <c r="X128" s="100"/>
      <c r="Y128" s="100"/>
      <c r="Z128" s="100"/>
      <c r="AA128" s="100"/>
      <c r="AB128" s="22"/>
    </row>
    <row r="129" spans="1:28" s="23" customFormat="1" ht="10.199999999999999" x14ac:dyDescent="0.2">
      <c r="A129" s="22"/>
      <c r="B129" s="22"/>
      <c r="C129" s="22"/>
      <c r="D129" s="22"/>
      <c r="E129" s="22" t="str">
        <f>E122</f>
        <v>средний чек 1 услуги проката</v>
      </c>
      <c r="F129" s="22"/>
      <c r="G129" s="22" t="str">
        <f>IF($E129="","",INDEX(KPI!$G:$G,SUMIFS(KPI!$B:$B,KPI!$E:$E,$E129)))</f>
        <v>руб.</v>
      </c>
      <c r="H129" s="100">
        <f>структура!$V$18</f>
        <v>7</v>
      </c>
      <c r="I129" s="31"/>
      <c r="J129" s="98" t="str">
        <f>структура!$X$18</f>
        <v>июл</v>
      </c>
      <c r="K129" s="99"/>
      <c r="L129" s="31" t="s">
        <v>0</v>
      </c>
      <c r="M129" s="106">
        <v>500</v>
      </c>
      <c r="N129" s="22"/>
      <c r="O129" s="22"/>
      <c r="P129" s="100"/>
      <c r="Q129" s="100"/>
      <c r="R129" s="100"/>
      <c r="S129" s="100"/>
      <c r="T129" s="100"/>
      <c r="U129" s="100"/>
      <c r="V129" s="100"/>
      <c r="W129" s="100"/>
      <c r="X129" s="100"/>
      <c r="Y129" s="100"/>
      <c r="Z129" s="100"/>
      <c r="AA129" s="100"/>
      <c r="AB129" s="22"/>
    </row>
    <row r="130" spans="1:28" s="23" customFormat="1" ht="10.199999999999999" x14ac:dyDescent="0.2">
      <c r="A130" s="22"/>
      <c r="B130" s="22"/>
      <c r="C130" s="22"/>
      <c r="D130" s="22"/>
      <c r="E130" s="22" t="str">
        <f>E122</f>
        <v>средний чек 1 услуги проката</v>
      </c>
      <c r="F130" s="22"/>
      <c r="G130" s="22" t="str">
        <f>IF($E130="","",INDEX(KPI!$G:$G,SUMIFS(KPI!$B:$B,KPI!$E:$E,$E130)))</f>
        <v>руб.</v>
      </c>
      <c r="H130" s="100">
        <f>структура!$V$19</f>
        <v>8</v>
      </c>
      <c r="I130" s="31"/>
      <c r="J130" s="98" t="str">
        <f>структура!$X$19</f>
        <v>авг</v>
      </c>
      <c r="K130" s="99"/>
      <c r="L130" s="31" t="s">
        <v>0</v>
      </c>
      <c r="M130" s="106">
        <v>500</v>
      </c>
      <c r="N130" s="22"/>
      <c r="O130" s="22"/>
      <c r="P130" s="100"/>
      <c r="Q130" s="100"/>
      <c r="R130" s="100"/>
      <c r="S130" s="100"/>
      <c r="T130" s="100"/>
      <c r="U130" s="100"/>
      <c r="V130" s="100"/>
      <c r="W130" s="100"/>
      <c r="X130" s="100"/>
      <c r="Y130" s="100"/>
      <c r="Z130" s="100"/>
      <c r="AA130" s="100"/>
      <c r="AB130" s="22"/>
    </row>
    <row r="131" spans="1:28" s="23" customFormat="1" ht="10.199999999999999" x14ac:dyDescent="0.2">
      <c r="A131" s="22"/>
      <c r="B131" s="22"/>
      <c r="C131" s="22"/>
      <c r="D131" s="22"/>
      <c r="E131" s="22" t="str">
        <f>E122</f>
        <v>средний чек 1 услуги проката</v>
      </c>
      <c r="F131" s="22"/>
      <c r="G131" s="22" t="str">
        <f>IF($E131="","",INDEX(KPI!$G:$G,SUMIFS(KPI!$B:$B,KPI!$E:$E,$E131)))</f>
        <v>руб.</v>
      </c>
      <c r="H131" s="100">
        <f>структура!$V$20</f>
        <v>9</v>
      </c>
      <c r="I131" s="31"/>
      <c r="J131" s="98" t="str">
        <f>структура!$X$20</f>
        <v>сен</v>
      </c>
      <c r="K131" s="99"/>
      <c r="L131" s="31" t="s">
        <v>0</v>
      </c>
      <c r="M131" s="106">
        <v>500</v>
      </c>
      <c r="N131" s="22"/>
      <c r="O131" s="22"/>
      <c r="P131" s="100"/>
      <c r="Q131" s="100"/>
      <c r="R131" s="100"/>
      <c r="S131" s="100"/>
      <c r="T131" s="100"/>
      <c r="U131" s="100"/>
      <c r="V131" s="100"/>
      <c r="W131" s="100"/>
      <c r="X131" s="100"/>
      <c r="Y131" s="100"/>
      <c r="Z131" s="100"/>
      <c r="AA131" s="100"/>
      <c r="AB131" s="22"/>
    </row>
    <row r="132" spans="1:28" s="23" customFormat="1" ht="10.199999999999999" x14ac:dyDescent="0.2">
      <c r="A132" s="22"/>
      <c r="B132" s="22"/>
      <c r="C132" s="22"/>
      <c r="D132" s="22"/>
      <c r="E132" s="22" t="str">
        <f>E122</f>
        <v>средний чек 1 услуги проката</v>
      </c>
      <c r="F132" s="22"/>
      <c r="G132" s="22" t="str">
        <f>IF($E132="","",INDEX(KPI!$G:$G,SUMIFS(KPI!$B:$B,KPI!$E:$E,$E132)))</f>
        <v>руб.</v>
      </c>
      <c r="H132" s="100">
        <f>структура!$V$21</f>
        <v>10</v>
      </c>
      <c r="I132" s="31"/>
      <c r="J132" s="98" t="str">
        <f>структура!$X$21</f>
        <v>окт</v>
      </c>
      <c r="K132" s="99"/>
      <c r="L132" s="31" t="s">
        <v>0</v>
      </c>
      <c r="M132" s="106">
        <v>500</v>
      </c>
      <c r="N132" s="22"/>
      <c r="O132" s="22"/>
      <c r="P132" s="100"/>
      <c r="Q132" s="100"/>
      <c r="R132" s="100"/>
      <c r="S132" s="100"/>
      <c r="T132" s="100"/>
      <c r="U132" s="100"/>
      <c r="V132" s="100"/>
      <c r="W132" s="100"/>
      <c r="X132" s="100"/>
      <c r="Y132" s="100"/>
      <c r="Z132" s="100"/>
      <c r="AA132" s="100"/>
      <c r="AB132" s="22"/>
    </row>
    <row r="133" spans="1:28" s="23" customFormat="1" ht="10.199999999999999" x14ac:dyDescent="0.2">
      <c r="A133" s="22"/>
      <c r="B133" s="22"/>
      <c r="C133" s="22"/>
      <c r="D133" s="22"/>
      <c r="E133" s="22" t="str">
        <f>E122</f>
        <v>средний чек 1 услуги проката</v>
      </c>
      <c r="F133" s="22"/>
      <c r="G133" s="22" t="str">
        <f>IF($E133="","",INDEX(KPI!$G:$G,SUMIFS(KPI!$B:$B,KPI!$E:$E,$E133)))</f>
        <v>руб.</v>
      </c>
      <c r="H133" s="100">
        <f>структура!$V$22</f>
        <v>11</v>
      </c>
      <c r="I133" s="31"/>
      <c r="J133" s="98" t="str">
        <f>структура!$X$22</f>
        <v>ноя</v>
      </c>
      <c r="K133" s="99"/>
      <c r="L133" s="31" t="s">
        <v>0</v>
      </c>
      <c r="M133" s="106">
        <v>500</v>
      </c>
      <c r="N133" s="22"/>
      <c r="O133" s="22"/>
      <c r="P133" s="100"/>
      <c r="Q133" s="100"/>
      <c r="R133" s="100"/>
      <c r="S133" s="100"/>
      <c r="T133" s="100"/>
      <c r="U133" s="100"/>
      <c r="V133" s="100"/>
      <c r="W133" s="100"/>
      <c r="X133" s="100"/>
      <c r="Y133" s="100"/>
      <c r="Z133" s="100"/>
      <c r="AA133" s="100"/>
      <c r="AB133" s="22"/>
    </row>
    <row r="134" spans="1:28" s="23" customFormat="1" ht="10.199999999999999" x14ac:dyDescent="0.2">
      <c r="A134" s="22"/>
      <c r="B134" s="22"/>
      <c r="C134" s="22"/>
      <c r="D134" s="22"/>
      <c r="E134" s="22" t="str">
        <f>E122</f>
        <v>средний чек 1 услуги проката</v>
      </c>
      <c r="F134" s="22"/>
      <c r="G134" s="22" t="str">
        <f>IF($E134="","",INDEX(KPI!$G:$G,SUMIFS(KPI!$B:$B,KPI!$E:$E,$E134)))</f>
        <v>руб.</v>
      </c>
      <c r="H134" s="100">
        <f>структура!$V$23</f>
        <v>12</v>
      </c>
      <c r="I134" s="31"/>
      <c r="J134" s="98" t="str">
        <f>структура!$X$23</f>
        <v>дек</v>
      </c>
      <c r="K134" s="99"/>
      <c r="L134" s="31" t="s">
        <v>0</v>
      </c>
      <c r="M134" s="106">
        <v>500</v>
      </c>
      <c r="N134" s="22"/>
      <c r="O134" s="22"/>
      <c r="P134" s="100"/>
      <c r="Q134" s="100"/>
      <c r="R134" s="100"/>
      <c r="S134" s="100"/>
      <c r="T134" s="100"/>
      <c r="U134" s="100"/>
      <c r="V134" s="100"/>
      <c r="W134" s="100"/>
      <c r="X134" s="100"/>
      <c r="Y134" s="100"/>
      <c r="Z134" s="100"/>
      <c r="AA134" s="100"/>
      <c r="AB134" s="22"/>
    </row>
    <row r="135" spans="1:28" ht="3.9" customHeight="1" x14ac:dyDescent="0.25">
      <c r="A135" s="2"/>
      <c r="B135" s="2"/>
      <c r="C135" s="2"/>
      <c r="D135" s="2"/>
      <c r="E135" s="21"/>
      <c r="F135" s="2"/>
      <c r="G135" s="21"/>
      <c r="H135" s="2"/>
      <c r="I135" s="28"/>
      <c r="J135" s="21"/>
      <c r="K135" s="28"/>
      <c r="L135" s="2"/>
      <c r="M135" s="52"/>
      <c r="N135" s="2"/>
      <c r="O135" s="2"/>
      <c r="P135" s="36"/>
      <c r="Q135" s="36"/>
      <c r="R135" s="36"/>
      <c r="S135" s="36"/>
      <c r="T135" s="36"/>
      <c r="U135" s="36"/>
      <c r="V135" s="36"/>
      <c r="W135" s="36"/>
      <c r="X135" s="36"/>
      <c r="Y135" s="36"/>
      <c r="Z135" s="36"/>
      <c r="AA135" s="36"/>
      <c r="AB135" s="2"/>
    </row>
    <row r="136" spans="1:28" x14ac:dyDescent="0.25">
      <c r="A136" s="2"/>
      <c r="B136" s="2"/>
      <c r="C136" s="2"/>
      <c r="D136" s="2"/>
      <c r="E136" s="3" t="str">
        <f>KPI!$E$117</f>
        <v>количество продаж услуг веревочного парка</v>
      </c>
      <c r="F136" s="3"/>
      <c r="G136" s="3" t="str">
        <f>IF($E136="","",INDEX(KPI!$G:$G,SUMIFS(KPI!$B:$B,KPI!$E:$E,$E136)))</f>
        <v>шт</v>
      </c>
      <c r="H136" s="3"/>
      <c r="I136" s="28"/>
      <c r="J136" s="44"/>
      <c r="K136" s="28"/>
      <c r="L136" s="3"/>
      <c r="M136" s="55"/>
      <c r="N136" s="2"/>
      <c r="O136" s="31" t="s">
        <v>0</v>
      </c>
      <c r="P136" s="305">
        <v>15000</v>
      </c>
      <c r="Q136" s="305">
        <v>17000</v>
      </c>
      <c r="R136" s="305">
        <v>20000</v>
      </c>
      <c r="S136" s="305">
        <v>22000</v>
      </c>
      <c r="T136" s="305">
        <v>25000</v>
      </c>
      <c r="U136" s="305">
        <v>30000</v>
      </c>
      <c r="V136" s="305">
        <v>37000</v>
      </c>
      <c r="W136" s="305">
        <v>15000</v>
      </c>
      <c r="X136" s="305">
        <v>15000</v>
      </c>
      <c r="Y136" s="305">
        <v>15000</v>
      </c>
      <c r="Z136" s="305">
        <v>15000</v>
      </c>
      <c r="AA136" s="305">
        <v>15000</v>
      </c>
      <c r="AB136" s="2"/>
    </row>
    <row r="137" spans="1:28" x14ac:dyDescent="0.25">
      <c r="A137" s="2"/>
      <c r="B137" s="2"/>
      <c r="C137" s="2"/>
      <c r="D137" s="2"/>
      <c r="E137" s="3" t="str">
        <f>KPI!$E$120</f>
        <v>распределение по месяцам продаж услуг в/парка</v>
      </c>
      <c r="F137" s="3"/>
      <c r="G137" s="3" t="str">
        <f>IF($E137="","",INDEX(KPI!$G:$G,SUMIFS(KPI!$B:$B,KPI!$E:$E,$E137)))</f>
        <v>%</v>
      </c>
      <c r="H137" s="3"/>
      <c r="I137" s="28"/>
      <c r="J137" s="44"/>
      <c r="K137" s="28"/>
      <c r="L137" s="3"/>
      <c r="M137" s="55"/>
      <c r="N137" s="2"/>
      <c r="O137" s="2"/>
      <c r="P137" s="36"/>
      <c r="Q137" s="36"/>
      <c r="R137" s="36"/>
      <c r="S137" s="36"/>
      <c r="T137" s="36"/>
      <c r="U137" s="36"/>
      <c r="V137" s="36"/>
      <c r="W137" s="36"/>
      <c r="X137" s="36"/>
      <c r="Y137" s="36"/>
      <c r="Z137" s="36"/>
      <c r="AA137" s="36"/>
      <c r="AB137" s="2"/>
    </row>
    <row r="138" spans="1:28" s="23" customFormat="1" ht="10.199999999999999" x14ac:dyDescent="0.2">
      <c r="A138" s="22"/>
      <c r="B138" s="22"/>
      <c r="C138" s="22"/>
      <c r="D138" s="22"/>
      <c r="E138" s="22" t="str">
        <f>E137</f>
        <v>распределение по месяцам продаж услуг в/парка</v>
      </c>
      <c r="F138" s="22"/>
      <c r="G138" s="22" t="str">
        <f>IF($E138="","",INDEX(KPI!$G:$G,SUMIFS(KPI!$B:$B,KPI!$E:$E,$E138)))</f>
        <v>%</v>
      </c>
      <c r="H138" s="100">
        <f>структура!$V$12</f>
        <v>1</v>
      </c>
      <c r="I138" s="31"/>
      <c r="J138" s="98" t="str">
        <f>структура!$X$12</f>
        <v>янв</v>
      </c>
      <c r="K138" s="99"/>
      <c r="L138" s="31" t="s">
        <v>0</v>
      </c>
      <c r="M138" s="113">
        <v>0.03</v>
      </c>
      <c r="N138" s="22"/>
      <c r="O138" s="22"/>
      <c r="P138" s="100">
        <f>P$136*$M138</f>
        <v>450</v>
      </c>
      <c r="Q138" s="100">
        <f t="shared" ref="Q138:AA138" si="53">Q$136*$M138</f>
        <v>510</v>
      </c>
      <c r="R138" s="100">
        <f t="shared" si="53"/>
        <v>600</v>
      </c>
      <c r="S138" s="100">
        <f t="shared" si="53"/>
        <v>660</v>
      </c>
      <c r="T138" s="100">
        <f t="shared" si="53"/>
        <v>750</v>
      </c>
      <c r="U138" s="100">
        <f t="shared" si="53"/>
        <v>900</v>
      </c>
      <c r="V138" s="100">
        <f t="shared" si="53"/>
        <v>1110</v>
      </c>
      <c r="W138" s="100">
        <f t="shared" si="53"/>
        <v>450</v>
      </c>
      <c r="X138" s="100">
        <f t="shared" si="53"/>
        <v>450</v>
      </c>
      <c r="Y138" s="100">
        <f t="shared" si="53"/>
        <v>450</v>
      </c>
      <c r="Z138" s="100">
        <f t="shared" si="53"/>
        <v>450</v>
      </c>
      <c r="AA138" s="100">
        <f t="shared" si="53"/>
        <v>450</v>
      </c>
      <c r="AB138" s="22"/>
    </row>
    <row r="139" spans="1:28" s="23" customFormat="1" ht="10.199999999999999" x14ac:dyDescent="0.2">
      <c r="A139" s="22"/>
      <c r="B139" s="22"/>
      <c r="C139" s="22"/>
      <c r="D139" s="22"/>
      <c r="E139" s="22" t="str">
        <f>E137</f>
        <v>распределение по месяцам продаж услуг в/парка</v>
      </c>
      <c r="F139" s="22"/>
      <c r="G139" s="22" t="str">
        <f>IF($E139="","",INDEX(KPI!$G:$G,SUMIFS(KPI!$B:$B,KPI!$E:$E,$E139)))</f>
        <v>%</v>
      </c>
      <c r="H139" s="100">
        <f>структура!$V$13</f>
        <v>2</v>
      </c>
      <c r="I139" s="31"/>
      <c r="J139" s="98" t="str">
        <f>структура!$X$13</f>
        <v>фев</v>
      </c>
      <c r="K139" s="99"/>
      <c r="L139" s="31" t="s">
        <v>0</v>
      </c>
      <c r="M139" s="113">
        <v>0.04</v>
      </c>
      <c r="N139" s="22"/>
      <c r="O139" s="22"/>
      <c r="P139" s="100">
        <f t="shared" ref="P139:AA149" si="54">P$136*$M139</f>
        <v>600</v>
      </c>
      <c r="Q139" s="100">
        <f t="shared" si="54"/>
        <v>680</v>
      </c>
      <c r="R139" s="100">
        <f t="shared" si="54"/>
        <v>800</v>
      </c>
      <c r="S139" s="100">
        <f t="shared" si="54"/>
        <v>880</v>
      </c>
      <c r="T139" s="100">
        <f t="shared" si="54"/>
        <v>1000</v>
      </c>
      <c r="U139" s="100">
        <f t="shared" si="54"/>
        <v>1200</v>
      </c>
      <c r="V139" s="100">
        <f t="shared" si="54"/>
        <v>1480</v>
      </c>
      <c r="W139" s="100">
        <f t="shared" si="54"/>
        <v>600</v>
      </c>
      <c r="X139" s="100">
        <f t="shared" si="54"/>
        <v>600</v>
      </c>
      <c r="Y139" s="100">
        <f t="shared" si="54"/>
        <v>600</v>
      </c>
      <c r="Z139" s="100">
        <f t="shared" si="54"/>
        <v>600</v>
      </c>
      <c r="AA139" s="100">
        <f t="shared" si="54"/>
        <v>600</v>
      </c>
      <c r="AB139" s="22"/>
    </row>
    <row r="140" spans="1:28" s="23" customFormat="1" ht="10.199999999999999" x14ac:dyDescent="0.2">
      <c r="A140" s="22"/>
      <c r="B140" s="22"/>
      <c r="C140" s="22"/>
      <c r="D140" s="22"/>
      <c r="E140" s="22" t="str">
        <f>E137</f>
        <v>распределение по месяцам продаж услуг в/парка</v>
      </c>
      <c r="F140" s="22"/>
      <c r="G140" s="22" t="str">
        <f>IF($E140="","",INDEX(KPI!$G:$G,SUMIFS(KPI!$B:$B,KPI!$E:$E,$E140)))</f>
        <v>%</v>
      </c>
      <c r="H140" s="100">
        <f>структура!$V$14</f>
        <v>3</v>
      </c>
      <c r="I140" s="31"/>
      <c r="J140" s="98" t="str">
        <f>структура!$X$14</f>
        <v>мар</v>
      </c>
      <c r="K140" s="99"/>
      <c r="L140" s="31" t="s">
        <v>0</v>
      </c>
      <c r="M140" s="113">
        <v>0.05</v>
      </c>
      <c r="N140" s="22"/>
      <c r="O140" s="22"/>
      <c r="P140" s="100">
        <f t="shared" si="54"/>
        <v>750</v>
      </c>
      <c r="Q140" s="100">
        <f t="shared" si="54"/>
        <v>850</v>
      </c>
      <c r="R140" s="100">
        <f t="shared" si="54"/>
        <v>1000</v>
      </c>
      <c r="S140" s="100">
        <f t="shared" si="54"/>
        <v>1100</v>
      </c>
      <c r="T140" s="100">
        <f t="shared" si="54"/>
        <v>1250</v>
      </c>
      <c r="U140" s="100">
        <f t="shared" si="54"/>
        <v>1500</v>
      </c>
      <c r="V140" s="100">
        <f t="shared" si="54"/>
        <v>1850</v>
      </c>
      <c r="W140" s="100">
        <f t="shared" si="54"/>
        <v>750</v>
      </c>
      <c r="X140" s="100">
        <f t="shared" si="54"/>
        <v>750</v>
      </c>
      <c r="Y140" s="100">
        <f t="shared" si="54"/>
        <v>750</v>
      </c>
      <c r="Z140" s="100">
        <f t="shared" si="54"/>
        <v>750</v>
      </c>
      <c r="AA140" s="100">
        <f t="shared" si="54"/>
        <v>750</v>
      </c>
      <c r="AB140" s="22"/>
    </row>
    <row r="141" spans="1:28" s="23" customFormat="1" ht="10.199999999999999" x14ac:dyDescent="0.2">
      <c r="A141" s="22"/>
      <c r="B141" s="22"/>
      <c r="C141" s="22"/>
      <c r="D141" s="22"/>
      <c r="E141" s="22" t="str">
        <f>E137</f>
        <v>распределение по месяцам продаж услуг в/парка</v>
      </c>
      <c r="F141" s="22"/>
      <c r="G141" s="22" t="str">
        <f>IF($E141="","",INDEX(KPI!$G:$G,SUMIFS(KPI!$B:$B,KPI!$E:$E,$E141)))</f>
        <v>%</v>
      </c>
      <c r="H141" s="100">
        <f>структура!$V$15</f>
        <v>4</v>
      </c>
      <c r="I141" s="31"/>
      <c r="J141" s="98" t="str">
        <f>структура!$X$15</f>
        <v>апр</v>
      </c>
      <c r="K141" s="99"/>
      <c r="L141" s="31" t="s">
        <v>0</v>
      </c>
      <c r="M141" s="113">
        <v>0.05</v>
      </c>
      <c r="N141" s="22"/>
      <c r="O141" s="22"/>
      <c r="P141" s="100">
        <f t="shared" si="54"/>
        <v>750</v>
      </c>
      <c r="Q141" s="100">
        <f t="shared" si="54"/>
        <v>850</v>
      </c>
      <c r="R141" s="100">
        <f t="shared" si="54"/>
        <v>1000</v>
      </c>
      <c r="S141" s="100">
        <f t="shared" si="54"/>
        <v>1100</v>
      </c>
      <c r="T141" s="100">
        <f t="shared" si="54"/>
        <v>1250</v>
      </c>
      <c r="U141" s="100">
        <f t="shared" si="54"/>
        <v>1500</v>
      </c>
      <c r="V141" s="100">
        <f t="shared" si="54"/>
        <v>1850</v>
      </c>
      <c r="W141" s="100">
        <f t="shared" si="54"/>
        <v>750</v>
      </c>
      <c r="X141" s="100">
        <f t="shared" si="54"/>
        <v>750</v>
      </c>
      <c r="Y141" s="100">
        <f t="shared" si="54"/>
        <v>750</v>
      </c>
      <c r="Z141" s="100">
        <f t="shared" si="54"/>
        <v>750</v>
      </c>
      <c r="AA141" s="100">
        <f t="shared" si="54"/>
        <v>750</v>
      </c>
      <c r="AB141" s="22"/>
    </row>
    <row r="142" spans="1:28" s="23" customFormat="1" ht="10.199999999999999" x14ac:dyDescent="0.2">
      <c r="A142" s="22"/>
      <c r="B142" s="22"/>
      <c r="C142" s="22"/>
      <c r="D142" s="22"/>
      <c r="E142" s="22" t="str">
        <f>E137</f>
        <v>распределение по месяцам продаж услуг в/парка</v>
      </c>
      <c r="F142" s="22"/>
      <c r="G142" s="22" t="str">
        <f>IF($E142="","",INDEX(KPI!$G:$G,SUMIFS(KPI!$B:$B,KPI!$E:$E,$E142)))</f>
        <v>%</v>
      </c>
      <c r="H142" s="100">
        <f>структура!$V$16</f>
        <v>5</v>
      </c>
      <c r="I142" s="31"/>
      <c r="J142" s="98" t="str">
        <f>структура!$X$16</f>
        <v>май</v>
      </c>
      <c r="K142" s="99"/>
      <c r="L142" s="31" t="s">
        <v>0</v>
      </c>
      <c r="M142" s="113">
        <v>0.13</v>
      </c>
      <c r="N142" s="22"/>
      <c r="O142" s="22"/>
      <c r="P142" s="100">
        <f t="shared" si="54"/>
        <v>1950</v>
      </c>
      <c r="Q142" s="100">
        <f t="shared" si="54"/>
        <v>2210</v>
      </c>
      <c r="R142" s="100">
        <f t="shared" si="54"/>
        <v>2600</v>
      </c>
      <c r="S142" s="100">
        <f t="shared" si="54"/>
        <v>2860</v>
      </c>
      <c r="T142" s="100">
        <f t="shared" si="54"/>
        <v>3250</v>
      </c>
      <c r="U142" s="100">
        <f t="shared" si="54"/>
        <v>3900</v>
      </c>
      <c r="V142" s="100">
        <f t="shared" si="54"/>
        <v>4810</v>
      </c>
      <c r="W142" s="100">
        <f t="shared" si="54"/>
        <v>1950</v>
      </c>
      <c r="X142" s="100">
        <f t="shared" si="54"/>
        <v>1950</v>
      </c>
      <c r="Y142" s="100">
        <f t="shared" si="54"/>
        <v>1950</v>
      </c>
      <c r="Z142" s="100">
        <f t="shared" si="54"/>
        <v>1950</v>
      </c>
      <c r="AA142" s="100">
        <f t="shared" si="54"/>
        <v>1950</v>
      </c>
      <c r="AB142" s="22"/>
    </row>
    <row r="143" spans="1:28" s="23" customFormat="1" ht="10.199999999999999" x14ac:dyDescent="0.2">
      <c r="A143" s="22"/>
      <c r="B143" s="22"/>
      <c r="C143" s="22"/>
      <c r="D143" s="22"/>
      <c r="E143" s="22" t="str">
        <f>E137</f>
        <v>распределение по месяцам продаж услуг в/парка</v>
      </c>
      <c r="F143" s="22"/>
      <c r="G143" s="22" t="str">
        <f>IF($E143="","",INDEX(KPI!$G:$G,SUMIFS(KPI!$B:$B,KPI!$E:$E,$E143)))</f>
        <v>%</v>
      </c>
      <c r="H143" s="100">
        <f>структура!$V$17</f>
        <v>6</v>
      </c>
      <c r="I143" s="31"/>
      <c r="J143" s="98" t="str">
        <f>структура!$X$17</f>
        <v>июн</v>
      </c>
      <c r="K143" s="99"/>
      <c r="L143" s="31" t="s">
        <v>0</v>
      </c>
      <c r="M143" s="113">
        <v>0.2</v>
      </c>
      <c r="N143" s="22"/>
      <c r="O143" s="22"/>
      <c r="P143" s="100">
        <f t="shared" si="54"/>
        <v>3000</v>
      </c>
      <c r="Q143" s="100">
        <f t="shared" si="54"/>
        <v>3400</v>
      </c>
      <c r="R143" s="100">
        <f t="shared" si="54"/>
        <v>4000</v>
      </c>
      <c r="S143" s="100">
        <f t="shared" si="54"/>
        <v>4400</v>
      </c>
      <c r="T143" s="100">
        <f t="shared" si="54"/>
        <v>5000</v>
      </c>
      <c r="U143" s="100">
        <f t="shared" si="54"/>
        <v>6000</v>
      </c>
      <c r="V143" s="100">
        <f t="shared" si="54"/>
        <v>7400</v>
      </c>
      <c r="W143" s="100">
        <f t="shared" si="54"/>
        <v>3000</v>
      </c>
      <c r="X143" s="100">
        <f t="shared" si="54"/>
        <v>3000</v>
      </c>
      <c r="Y143" s="100">
        <f t="shared" si="54"/>
        <v>3000</v>
      </c>
      <c r="Z143" s="100">
        <f t="shared" si="54"/>
        <v>3000</v>
      </c>
      <c r="AA143" s="100">
        <f t="shared" si="54"/>
        <v>3000</v>
      </c>
      <c r="AB143" s="22"/>
    </row>
    <row r="144" spans="1:28" s="23" customFormat="1" ht="10.199999999999999" x14ac:dyDescent="0.2">
      <c r="A144" s="22"/>
      <c r="B144" s="22"/>
      <c r="C144" s="22"/>
      <c r="D144" s="22"/>
      <c r="E144" s="22" t="str">
        <f>E137</f>
        <v>распределение по месяцам продаж услуг в/парка</v>
      </c>
      <c r="F144" s="22"/>
      <c r="G144" s="22" t="str">
        <f>IF($E144="","",INDEX(KPI!$G:$G,SUMIFS(KPI!$B:$B,KPI!$E:$E,$E144)))</f>
        <v>%</v>
      </c>
      <c r="H144" s="100">
        <f>структура!$V$18</f>
        <v>7</v>
      </c>
      <c r="I144" s="31"/>
      <c r="J144" s="98" t="str">
        <f>структура!$X$18</f>
        <v>июл</v>
      </c>
      <c r="K144" s="99"/>
      <c r="L144" s="31" t="s">
        <v>0</v>
      </c>
      <c r="M144" s="113">
        <v>0.15</v>
      </c>
      <c r="N144" s="22"/>
      <c r="O144" s="22"/>
      <c r="P144" s="100">
        <f t="shared" si="54"/>
        <v>2250</v>
      </c>
      <c r="Q144" s="100">
        <f t="shared" si="54"/>
        <v>2550</v>
      </c>
      <c r="R144" s="100">
        <f t="shared" si="54"/>
        <v>3000</v>
      </c>
      <c r="S144" s="100">
        <f t="shared" si="54"/>
        <v>3300</v>
      </c>
      <c r="T144" s="100">
        <f t="shared" si="54"/>
        <v>3750</v>
      </c>
      <c r="U144" s="100">
        <f t="shared" si="54"/>
        <v>4500</v>
      </c>
      <c r="V144" s="100">
        <f t="shared" si="54"/>
        <v>5550</v>
      </c>
      <c r="W144" s="100">
        <f t="shared" si="54"/>
        <v>2250</v>
      </c>
      <c r="X144" s="100">
        <f t="shared" si="54"/>
        <v>2250</v>
      </c>
      <c r="Y144" s="100">
        <f t="shared" si="54"/>
        <v>2250</v>
      </c>
      <c r="Z144" s="100">
        <f t="shared" si="54"/>
        <v>2250</v>
      </c>
      <c r="AA144" s="100">
        <f t="shared" si="54"/>
        <v>2250</v>
      </c>
      <c r="AB144" s="22"/>
    </row>
    <row r="145" spans="1:28" s="23" customFormat="1" ht="10.199999999999999" x14ac:dyDescent="0.2">
      <c r="A145" s="22"/>
      <c r="B145" s="22"/>
      <c r="C145" s="22"/>
      <c r="D145" s="22"/>
      <c r="E145" s="22" t="str">
        <f>E137</f>
        <v>распределение по месяцам продаж услуг в/парка</v>
      </c>
      <c r="F145" s="22"/>
      <c r="G145" s="22" t="str">
        <f>IF($E145="","",INDEX(KPI!$G:$G,SUMIFS(KPI!$B:$B,KPI!$E:$E,$E145)))</f>
        <v>%</v>
      </c>
      <c r="H145" s="100">
        <f>структура!$V$19</f>
        <v>8</v>
      </c>
      <c r="I145" s="31"/>
      <c r="J145" s="98" t="str">
        <f>структура!$X$19</f>
        <v>авг</v>
      </c>
      <c r="K145" s="99"/>
      <c r="L145" s="31" t="s">
        <v>0</v>
      </c>
      <c r="M145" s="113">
        <v>0.13</v>
      </c>
      <c r="N145" s="22"/>
      <c r="O145" s="22"/>
      <c r="P145" s="100">
        <f t="shared" si="54"/>
        <v>1950</v>
      </c>
      <c r="Q145" s="100">
        <f t="shared" si="54"/>
        <v>2210</v>
      </c>
      <c r="R145" s="100">
        <f t="shared" si="54"/>
        <v>2600</v>
      </c>
      <c r="S145" s="100">
        <f t="shared" si="54"/>
        <v>2860</v>
      </c>
      <c r="T145" s="100">
        <f t="shared" si="54"/>
        <v>3250</v>
      </c>
      <c r="U145" s="100">
        <f t="shared" si="54"/>
        <v>3900</v>
      </c>
      <c r="V145" s="100">
        <f t="shared" si="54"/>
        <v>4810</v>
      </c>
      <c r="W145" s="100">
        <f t="shared" si="54"/>
        <v>1950</v>
      </c>
      <c r="X145" s="100">
        <f t="shared" si="54"/>
        <v>1950</v>
      </c>
      <c r="Y145" s="100">
        <f t="shared" si="54"/>
        <v>1950</v>
      </c>
      <c r="Z145" s="100">
        <f t="shared" si="54"/>
        <v>1950</v>
      </c>
      <c r="AA145" s="100">
        <f t="shared" si="54"/>
        <v>1950</v>
      </c>
      <c r="AB145" s="22"/>
    </row>
    <row r="146" spans="1:28" s="23" customFormat="1" ht="10.199999999999999" x14ac:dyDescent="0.2">
      <c r="A146" s="22"/>
      <c r="B146" s="22"/>
      <c r="C146" s="22"/>
      <c r="D146" s="22"/>
      <c r="E146" s="22" t="str">
        <f>E137</f>
        <v>распределение по месяцам продаж услуг в/парка</v>
      </c>
      <c r="F146" s="22"/>
      <c r="G146" s="22" t="str">
        <f>IF($E146="","",INDEX(KPI!$G:$G,SUMIFS(KPI!$B:$B,KPI!$E:$E,$E146)))</f>
        <v>%</v>
      </c>
      <c r="H146" s="100">
        <f>структура!$V$20</f>
        <v>9</v>
      </c>
      <c r="I146" s="31"/>
      <c r="J146" s="98" t="str">
        <f>структура!$X$20</f>
        <v>сен</v>
      </c>
      <c r="K146" s="99"/>
      <c r="L146" s="31" t="s">
        <v>0</v>
      </c>
      <c r="M146" s="113">
        <v>0.05</v>
      </c>
      <c r="N146" s="22"/>
      <c r="O146" s="22"/>
      <c r="P146" s="100">
        <f t="shared" si="54"/>
        <v>750</v>
      </c>
      <c r="Q146" s="100">
        <f t="shared" si="54"/>
        <v>850</v>
      </c>
      <c r="R146" s="100">
        <f t="shared" si="54"/>
        <v>1000</v>
      </c>
      <c r="S146" s="100">
        <f t="shared" si="54"/>
        <v>1100</v>
      </c>
      <c r="T146" s="100">
        <f t="shared" si="54"/>
        <v>1250</v>
      </c>
      <c r="U146" s="100">
        <f t="shared" si="54"/>
        <v>1500</v>
      </c>
      <c r="V146" s="100">
        <f t="shared" si="54"/>
        <v>1850</v>
      </c>
      <c r="W146" s="100">
        <f t="shared" si="54"/>
        <v>750</v>
      </c>
      <c r="X146" s="100">
        <f t="shared" si="54"/>
        <v>750</v>
      </c>
      <c r="Y146" s="100">
        <f t="shared" si="54"/>
        <v>750</v>
      </c>
      <c r="Z146" s="100">
        <f t="shared" si="54"/>
        <v>750</v>
      </c>
      <c r="AA146" s="100">
        <f t="shared" si="54"/>
        <v>750</v>
      </c>
      <c r="AB146" s="22"/>
    </row>
    <row r="147" spans="1:28" s="23" customFormat="1" ht="10.199999999999999" x14ac:dyDescent="0.2">
      <c r="A147" s="22"/>
      <c r="B147" s="22"/>
      <c r="C147" s="22"/>
      <c r="D147" s="22"/>
      <c r="E147" s="22" t="str">
        <f>E137</f>
        <v>распределение по месяцам продаж услуг в/парка</v>
      </c>
      <c r="F147" s="22"/>
      <c r="G147" s="22" t="str">
        <f>IF($E147="","",INDEX(KPI!$G:$G,SUMIFS(KPI!$B:$B,KPI!$E:$E,$E147)))</f>
        <v>%</v>
      </c>
      <c r="H147" s="100">
        <f>структура!$V$21</f>
        <v>10</v>
      </c>
      <c r="I147" s="31"/>
      <c r="J147" s="98" t="str">
        <f>структура!$X$21</f>
        <v>окт</v>
      </c>
      <c r="K147" s="99"/>
      <c r="L147" s="31" t="s">
        <v>0</v>
      </c>
      <c r="M147" s="113">
        <v>7.0000000000000007E-2</v>
      </c>
      <c r="N147" s="22"/>
      <c r="O147" s="22"/>
      <c r="P147" s="100">
        <f t="shared" si="54"/>
        <v>1050</v>
      </c>
      <c r="Q147" s="100">
        <f t="shared" si="54"/>
        <v>1190</v>
      </c>
      <c r="R147" s="100">
        <f t="shared" si="54"/>
        <v>1400.0000000000002</v>
      </c>
      <c r="S147" s="100">
        <f t="shared" si="54"/>
        <v>1540.0000000000002</v>
      </c>
      <c r="T147" s="100">
        <f t="shared" si="54"/>
        <v>1750.0000000000002</v>
      </c>
      <c r="U147" s="100">
        <f t="shared" si="54"/>
        <v>2100</v>
      </c>
      <c r="V147" s="100">
        <f t="shared" si="54"/>
        <v>2590.0000000000005</v>
      </c>
      <c r="W147" s="100">
        <f t="shared" si="54"/>
        <v>1050</v>
      </c>
      <c r="X147" s="100">
        <f t="shared" si="54"/>
        <v>1050</v>
      </c>
      <c r="Y147" s="100">
        <f t="shared" si="54"/>
        <v>1050</v>
      </c>
      <c r="Z147" s="100">
        <f t="shared" si="54"/>
        <v>1050</v>
      </c>
      <c r="AA147" s="100">
        <f t="shared" si="54"/>
        <v>1050</v>
      </c>
      <c r="AB147" s="22"/>
    </row>
    <row r="148" spans="1:28" s="23" customFormat="1" ht="10.199999999999999" x14ac:dyDescent="0.2">
      <c r="A148" s="22"/>
      <c r="B148" s="22"/>
      <c r="C148" s="22"/>
      <c r="D148" s="22"/>
      <c r="E148" s="22" t="str">
        <f>E137</f>
        <v>распределение по месяцам продаж услуг в/парка</v>
      </c>
      <c r="F148" s="22"/>
      <c r="G148" s="22" t="str">
        <f>IF($E148="","",INDEX(KPI!$G:$G,SUMIFS(KPI!$B:$B,KPI!$E:$E,$E148)))</f>
        <v>%</v>
      </c>
      <c r="H148" s="100">
        <f>структура!$V$22</f>
        <v>11</v>
      </c>
      <c r="I148" s="31"/>
      <c r="J148" s="98" t="str">
        <f>структура!$X$22</f>
        <v>ноя</v>
      </c>
      <c r="K148" s="99"/>
      <c r="L148" s="31" t="s">
        <v>0</v>
      </c>
      <c r="M148" s="113">
        <v>0.05</v>
      </c>
      <c r="N148" s="22"/>
      <c r="O148" s="22"/>
      <c r="P148" s="100">
        <f t="shared" si="54"/>
        <v>750</v>
      </c>
      <c r="Q148" s="100">
        <f t="shared" si="54"/>
        <v>850</v>
      </c>
      <c r="R148" s="100">
        <f t="shared" si="54"/>
        <v>1000</v>
      </c>
      <c r="S148" s="100">
        <f t="shared" si="54"/>
        <v>1100</v>
      </c>
      <c r="T148" s="100">
        <f t="shared" si="54"/>
        <v>1250</v>
      </c>
      <c r="U148" s="100">
        <f t="shared" si="54"/>
        <v>1500</v>
      </c>
      <c r="V148" s="100">
        <f t="shared" si="54"/>
        <v>1850</v>
      </c>
      <c r="W148" s="100">
        <f t="shared" si="54"/>
        <v>750</v>
      </c>
      <c r="X148" s="100">
        <f t="shared" si="54"/>
        <v>750</v>
      </c>
      <c r="Y148" s="100">
        <f t="shared" si="54"/>
        <v>750</v>
      </c>
      <c r="Z148" s="100">
        <f t="shared" si="54"/>
        <v>750</v>
      </c>
      <c r="AA148" s="100">
        <f t="shared" si="54"/>
        <v>750</v>
      </c>
      <c r="AB148" s="22"/>
    </row>
    <row r="149" spans="1:28" s="23" customFormat="1" ht="10.199999999999999" x14ac:dyDescent="0.2">
      <c r="A149" s="22"/>
      <c r="B149" s="22"/>
      <c r="C149" s="22"/>
      <c r="D149" s="22"/>
      <c r="E149" s="22" t="str">
        <f>E137</f>
        <v>распределение по месяцам продаж услуг в/парка</v>
      </c>
      <c r="F149" s="22"/>
      <c r="G149" s="22" t="str">
        <f>IF($E149="","",INDEX(KPI!$G:$G,SUMIFS(KPI!$B:$B,KPI!$E:$E,$E149)))</f>
        <v>%</v>
      </c>
      <c r="H149" s="100">
        <f>структура!$V$23</f>
        <v>12</v>
      </c>
      <c r="I149" s="31"/>
      <c r="J149" s="98" t="str">
        <f>структура!$X$23</f>
        <v>дек</v>
      </c>
      <c r="K149" s="99"/>
      <c r="L149" s="31"/>
      <c r="M149" s="306">
        <f>100%-SUM(M138:M148)</f>
        <v>4.9999999999999822E-2</v>
      </c>
      <c r="N149" s="22"/>
      <c r="O149" s="22"/>
      <c r="P149" s="100">
        <f t="shared" si="54"/>
        <v>749.99999999999739</v>
      </c>
      <c r="Q149" s="100">
        <f t="shared" si="54"/>
        <v>849.99999999999693</v>
      </c>
      <c r="R149" s="100">
        <f t="shared" si="54"/>
        <v>999.99999999999648</v>
      </c>
      <c r="S149" s="100">
        <f t="shared" si="54"/>
        <v>1099.9999999999961</v>
      </c>
      <c r="T149" s="100">
        <f t="shared" si="54"/>
        <v>1249.9999999999955</v>
      </c>
      <c r="U149" s="100">
        <f t="shared" si="54"/>
        <v>1499.9999999999948</v>
      </c>
      <c r="V149" s="100">
        <f t="shared" si="54"/>
        <v>1849.9999999999934</v>
      </c>
      <c r="W149" s="100">
        <f t="shared" si="54"/>
        <v>749.99999999999739</v>
      </c>
      <c r="X149" s="100">
        <f t="shared" si="54"/>
        <v>749.99999999999739</v>
      </c>
      <c r="Y149" s="100">
        <f t="shared" si="54"/>
        <v>749.99999999999739</v>
      </c>
      <c r="Z149" s="100">
        <f t="shared" si="54"/>
        <v>749.99999999999739</v>
      </c>
      <c r="AA149" s="100">
        <f t="shared" si="54"/>
        <v>749.99999999999739</v>
      </c>
      <c r="AB149" s="22"/>
    </row>
    <row r="150" spans="1:28" ht="3.9" customHeight="1" x14ac:dyDescent="0.25">
      <c r="A150" s="2"/>
      <c r="B150" s="2"/>
      <c r="C150" s="2"/>
      <c r="D150" s="2"/>
      <c r="E150" s="21"/>
      <c r="F150" s="2"/>
      <c r="G150" s="21"/>
      <c r="H150" s="2"/>
      <c r="I150" s="28"/>
      <c r="J150" s="21"/>
      <c r="K150" s="28"/>
      <c r="L150" s="2"/>
      <c r="M150" s="52"/>
      <c r="N150" s="2"/>
      <c r="O150" s="2"/>
      <c r="P150" s="36"/>
      <c r="Q150" s="36"/>
      <c r="R150" s="36"/>
      <c r="S150" s="36"/>
      <c r="T150" s="36"/>
      <c r="U150" s="36"/>
      <c r="V150" s="36"/>
      <c r="W150" s="36"/>
      <c r="X150" s="36"/>
      <c r="Y150" s="36"/>
      <c r="Z150" s="36"/>
      <c r="AA150" s="36"/>
      <c r="AB150" s="2"/>
    </row>
    <row r="151" spans="1:28" ht="8.1" customHeight="1" x14ac:dyDescent="0.25">
      <c r="A151" s="2"/>
      <c r="B151" s="2"/>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2"/>
    </row>
    <row r="152" spans="1:28" x14ac:dyDescent="0.25">
      <c r="A152" s="2"/>
      <c r="B152" s="2"/>
      <c r="C152" s="2"/>
      <c r="D152" s="2"/>
      <c r="E152" s="3" t="str">
        <f>KPI!$E$121</f>
        <v>доля траффика в/парка покупающая услуги проката</v>
      </c>
      <c r="F152" s="3"/>
      <c r="G152" s="3" t="str">
        <f>IF($E152="","",INDEX(KPI!$G:$G,SUMIFS(KPI!$B:$B,KPI!$E:$E,$E152)))</f>
        <v>%</v>
      </c>
      <c r="H152" s="3"/>
      <c r="I152" s="28"/>
      <c r="J152" s="44"/>
      <c r="K152" s="28"/>
      <c r="L152" s="3"/>
      <c r="M152" s="55"/>
      <c r="N152" s="2"/>
      <c r="O152" s="2"/>
      <c r="P152" s="36"/>
      <c r="Q152" s="36"/>
      <c r="R152" s="36"/>
      <c r="S152" s="36"/>
      <c r="T152" s="36"/>
      <c r="U152" s="36"/>
      <c r="V152" s="36"/>
      <c r="W152" s="36"/>
      <c r="X152" s="36"/>
      <c r="Y152" s="36"/>
      <c r="Z152" s="36"/>
      <c r="AA152" s="36"/>
      <c r="AB152" s="2"/>
    </row>
    <row r="153" spans="1:28" s="23" customFormat="1" ht="10.199999999999999" x14ac:dyDescent="0.2">
      <c r="A153" s="22"/>
      <c r="B153" s="22"/>
      <c r="C153" s="22"/>
      <c r="D153" s="22"/>
      <c r="E153" s="22" t="str">
        <f>E152</f>
        <v>доля траффика в/парка покупающая услуги проката</v>
      </c>
      <c r="F153" s="22"/>
      <c r="G153" s="22" t="str">
        <f>IF($E153="","",INDEX(KPI!$G:$G,SUMIFS(KPI!$B:$B,KPI!$E:$E,$E153)))</f>
        <v>%</v>
      </c>
      <c r="H153" s="100">
        <f>структура!$V$12</f>
        <v>1</v>
      </c>
      <c r="I153" s="31"/>
      <c r="J153" s="98" t="str">
        <f>структура!$X$12</f>
        <v>янв</v>
      </c>
      <c r="K153" s="99"/>
      <c r="L153" s="31" t="s">
        <v>0</v>
      </c>
      <c r="M153" s="113">
        <v>0.1</v>
      </c>
      <c r="N153" s="22"/>
      <c r="O153" s="22"/>
      <c r="P153" s="100"/>
      <c r="Q153" s="100"/>
      <c r="R153" s="100"/>
      <c r="S153" s="100"/>
      <c r="T153" s="100"/>
      <c r="U153" s="100"/>
      <c r="V153" s="100"/>
      <c r="W153" s="100"/>
      <c r="X153" s="100"/>
      <c r="Y153" s="100"/>
      <c r="Z153" s="100"/>
      <c r="AA153" s="100"/>
      <c r="AB153" s="22"/>
    </row>
    <row r="154" spans="1:28" s="23" customFormat="1" ht="10.199999999999999" x14ac:dyDescent="0.2">
      <c r="A154" s="22"/>
      <c r="B154" s="22"/>
      <c r="C154" s="22"/>
      <c r="D154" s="22"/>
      <c r="E154" s="22" t="str">
        <f>E152</f>
        <v>доля траффика в/парка покупающая услуги проката</v>
      </c>
      <c r="F154" s="22"/>
      <c r="G154" s="22" t="str">
        <f>IF($E154="","",INDEX(KPI!$G:$G,SUMIFS(KPI!$B:$B,KPI!$E:$E,$E154)))</f>
        <v>%</v>
      </c>
      <c r="H154" s="100">
        <f>структура!$V$13</f>
        <v>2</v>
      </c>
      <c r="I154" s="31"/>
      <c r="J154" s="98" t="str">
        <f>структура!$X$13</f>
        <v>фев</v>
      </c>
      <c r="K154" s="99"/>
      <c r="L154" s="31" t="s">
        <v>0</v>
      </c>
      <c r="M154" s="113">
        <v>0.1</v>
      </c>
      <c r="N154" s="22"/>
      <c r="O154" s="22"/>
      <c r="P154" s="100"/>
      <c r="Q154" s="100"/>
      <c r="R154" s="100"/>
      <c r="S154" s="100"/>
      <c r="T154" s="100"/>
      <c r="U154" s="100"/>
      <c r="V154" s="100"/>
      <c r="W154" s="100"/>
      <c r="X154" s="100"/>
      <c r="Y154" s="100"/>
      <c r="Z154" s="100"/>
      <c r="AA154" s="100"/>
      <c r="AB154" s="22"/>
    </row>
    <row r="155" spans="1:28" s="23" customFormat="1" ht="10.199999999999999" x14ac:dyDescent="0.2">
      <c r="A155" s="22"/>
      <c r="B155" s="22"/>
      <c r="C155" s="22"/>
      <c r="D155" s="22"/>
      <c r="E155" s="22" t="str">
        <f>E152</f>
        <v>доля траффика в/парка покупающая услуги проката</v>
      </c>
      <c r="F155" s="22"/>
      <c r="G155" s="22" t="str">
        <f>IF($E155="","",INDEX(KPI!$G:$G,SUMIFS(KPI!$B:$B,KPI!$E:$E,$E155)))</f>
        <v>%</v>
      </c>
      <c r="H155" s="100">
        <f>структура!$V$14</f>
        <v>3</v>
      </c>
      <c r="I155" s="31"/>
      <c r="J155" s="98" t="str">
        <f>структура!$X$14</f>
        <v>мар</v>
      </c>
      <c r="K155" s="99"/>
      <c r="L155" s="31" t="s">
        <v>0</v>
      </c>
      <c r="M155" s="113">
        <v>0.1</v>
      </c>
      <c r="N155" s="22"/>
      <c r="O155" s="22"/>
      <c r="P155" s="100"/>
      <c r="Q155" s="100"/>
      <c r="R155" s="100"/>
      <c r="S155" s="100"/>
      <c r="T155" s="100"/>
      <c r="U155" s="100"/>
      <c r="V155" s="100"/>
      <c r="W155" s="100"/>
      <c r="X155" s="100"/>
      <c r="Y155" s="100"/>
      <c r="Z155" s="100"/>
      <c r="AA155" s="100"/>
      <c r="AB155" s="22"/>
    </row>
    <row r="156" spans="1:28" s="23" customFormat="1" ht="10.199999999999999" x14ac:dyDescent="0.2">
      <c r="A156" s="22"/>
      <c r="B156" s="22"/>
      <c r="C156" s="22"/>
      <c r="D156" s="22"/>
      <c r="E156" s="22" t="str">
        <f>E152</f>
        <v>доля траффика в/парка покупающая услуги проката</v>
      </c>
      <c r="F156" s="22"/>
      <c r="G156" s="22" t="str">
        <f>IF($E156="","",INDEX(KPI!$G:$G,SUMIFS(KPI!$B:$B,KPI!$E:$E,$E156)))</f>
        <v>%</v>
      </c>
      <c r="H156" s="100">
        <f>структура!$V$15</f>
        <v>4</v>
      </c>
      <c r="I156" s="31"/>
      <c r="J156" s="98" t="str">
        <f>структура!$X$15</f>
        <v>апр</v>
      </c>
      <c r="K156" s="99"/>
      <c r="L156" s="31" t="s">
        <v>0</v>
      </c>
      <c r="M156" s="113">
        <v>0.1</v>
      </c>
      <c r="N156" s="22"/>
      <c r="O156" s="22"/>
      <c r="P156" s="100"/>
      <c r="Q156" s="100"/>
      <c r="R156" s="100"/>
      <c r="S156" s="100"/>
      <c r="T156" s="100"/>
      <c r="U156" s="100"/>
      <c r="V156" s="100"/>
      <c r="W156" s="100"/>
      <c r="X156" s="100"/>
      <c r="Y156" s="100"/>
      <c r="Z156" s="100"/>
      <c r="AA156" s="100"/>
      <c r="AB156" s="22"/>
    </row>
    <row r="157" spans="1:28" s="23" customFormat="1" ht="10.199999999999999" x14ac:dyDescent="0.2">
      <c r="A157" s="22"/>
      <c r="B157" s="22"/>
      <c r="C157" s="22"/>
      <c r="D157" s="22"/>
      <c r="E157" s="22" t="str">
        <f>E152</f>
        <v>доля траффика в/парка покупающая услуги проката</v>
      </c>
      <c r="F157" s="22"/>
      <c r="G157" s="22" t="str">
        <f>IF($E157="","",INDEX(KPI!$G:$G,SUMIFS(KPI!$B:$B,KPI!$E:$E,$E157)))</f>
        <v>%</v>
      </c>
      <c r="H157" s="100">
        <f>структура!$V$16</f>
        <v>5</v>
      </c>
      <c r="I157" s="31"/>
      <c r="J157" s="98" t="str">
        <f>структура!$X$16</f>
        <v>май</v>
      </c>
      <c r="K157" s="99"/>
      <c r="L157" s="31" t="s">
        <v>0</v>
      </c>
      <c r="M157" s="113">
        <v>0.1</v>
      </c>
      <c r="N157" s="22"/>
      <c r="O157" s="22"/>
      <c r="P157" s="100"/>
      <c r="Q157" s="100"/>
      <c r="R157" s="100"/>
      <c r="S157" s="100"/>
      <c r="T157" s="100"/>
      <c r="U157" s="100"/>
      <c r="V157" s="100"/>
      <c r="W157" s="100"/>
      <c r="X157" s="100"/>
      <c r="Y157" s="100"/>
      <c r="Z157" s="100"/>
      <c r="AA157" s="100"/>
      <c r="AB157" s="22"/>
    </row>
    <row r="158" spans="1:28" s="23" customFormat="1" ht="10.199999999999999" x14ac:dyDescent="0.2">
      <c r="A158" s="22"/>
      <c r="B158" s="22"/>
      <c r="C158" s="22"/>
      <c r="D158" s="22"/>
      <c r="E158" s="22" t="str">
        <f>E152</f>
        <v>доля траффика в/парка покупающая услуги проката</v>
      </c>
      <c r="F158" s="22"/>
      <c r="G158" s="22" t="str">
        <f>IF($E158="","",INDEX(KPI!$G:$G,SUMIFS(KPI!$B:$B,KPI!$E:$E,$E158)))</f>
        <v>%</v>
      </c>
      <c r="H158" s="100">
        <f>структура!$V$17</f>
        <v>6</v>
      </c>
      <c r="I158" s="31"/>
      <c r="J158" s="98" t="str">
        <f>структура!$X$17</f>
        <v>июн</v>
      </c>
      <c r="K158" s="99"/>
      <c r="L158" s="31" t="s">
        <v>0</v>
      </c>
      <c r="M158" s="113">
        <v>0.1</v>
      </c>
      <c r="N158" s="22"/>
      <c r="O158" s="22"/>
      <c r="P158" s="100"/>
      <c r="Q158" s="100"/>
      <c r="R158" s="100"/>
      <c r="S158" s="100"/>
      <c r="T158" s="100"/>
      <c r="U158" s="100"/>
      <c r="V158" s="100"/>
      <c r="W158" s="100"/>
      <c r="X158" s="100"/>
      <c r="Y158" s="100"/>
      <c r="Z158" s="100"/>
      <c r="AA158" s="100"/>
      <c r="AB158" s="22"/>
    </row>
    <row r="159" spans="1:28" s="23" customFormat="1" ht="10.199999999999999" x14ac:dyDescent="0.2">
      <c r="A159" s="22"/>
      <c r="B159" s="22"/>
      <c r="C159" s="22"/>
      <c r="D159" s="22"/>
      <c r="E159" s="22" t="str">
        <f>E152</f>
        <v>доля траффика в/парка покупающая услуги проката</v>
      </c>
      <c r="F159" s="22"/>
      <c r="G159" s="22" t="str">
        <f>IF($E159="","",INDEX(KPI!$G:$G,SUMIFS(KPI!$B:$B,KPI!$E:$E,$E159)))</f>
        <v>%</v>
      </c>
      <c r="H159" s="100">
        <f>структура!$V$18</f>
        <v>7</v>
      </c>
      <c r="I159" s="31"/>
      <c r="J159" s="98" t="str">
        <f>структура!$X$18</f>
        <v>июл</v>
      </c>
      <c r="K159" s="99"/>
      <c r="L159" s="31" t="s">
        <v>0</v>
      </c>
      <c r="M159" s="113">
        <v>0.1</v>
      </c>
      <c r="N159" s="22"/>
      <c r="O159" s="22"/>
      <c r="P159" s="100"/>
      <c r="Q159" s="100"/>
      <c r="R159" s="100"/>
      <c r="S159" s="100"/>
      <c r="T159" s="100"/>
      <c r="U159" s="100"/>
      <c r="V159" s="100"/>
      <c r="W159" s="100"/>
      <c r="X159" s="100"/>
      <c r="Y159" s="100"/>
      <c r="Z159" s="100"/>
      <c r="AA159" s="100"/>
      <c r="AB159" s="22"/>
    </row>
    <row r="160" spans="1:28" s="23" customFormat="1" ht="10.199999999999999" x14ac:dyDescent="0.2">
      <c r="A160" s="22"/>
      <c r="B160" s="22"/>
      <c r="C160" s="22"/>
      <c r="D160" s="22"/>
      <c r="E160" s="22" t="str">
        <f>E152</f>
        <v>доля траффика в/парка покупающая услуги проката</v>
      </c>
      <c r="F160" s="22"/>
      <c r="G160" s="22" t="str">
        <f>IF($E160="","",INDEX(KPI!$G:$G,SUMIFS(KPI!$B:$B,KPI!$E:$E,$E160)))</f>
        <v>%</v>
      </c>
      <c r="H160" s="100">
        <f>структура!$V$19</f>
        <v>8</v>
      </c>
      <c r="I160" s="31"/>
      <c r="J160" s="98" t="str">
        <f>структура!$X$19</f>
        <v>авг</v>
      </c>
      <c r="K160" s="99"/>
      <c r="L160" s="31" t="s">
        <v>0</v>
      </c>
      <c r="M160" s="113">
        <v>0.1</v>
      </c>
      <c r="N160" s="22"/>
      <c r="O160" s="22"/>
      <c r="P160" s="100"/>
      <c r="Q160" s="100"/>
      <c r="R160" s="100"/>
      <c r="S160" s="100"/>
      <c r="T160" s="100"/>
      <c r="U160" s="100"/>
      <c r="V160" s="100"/>
      <c r="W160" s="100"/>
      <c r="X160" s="100"/>
      <c r="Y160" s="100"/>
      <c r="Z160" s="100"/>
      <c r="AA160" s="100"/>
      <c r="AB160" s="22"/>
    </row>
    <row r="161" spans="1:28" s="23" customFormat="1" ht="10.199999999999999" x14ac:dyDescent="0.2">
      <c r="A161" s="22"/>
      <c r="B161" s="22"/>
      <c r="C161" s="22"/>
      <c r="D161" s="22"/>
      <c r="E161" s="22" t="str">
        <f>E152</f>
        <v>доля траффика в/парка покупающая услуги проката</v>
      </c>
      <c r="F161" s="22"/>
      <c r="G161" s="22" t="str">
        <f>IF($E161="","",INDEX(KPI!$G:$G,SUMIFS(KPI!$B:$B,KPI!$E:$E,$E161)))</f>
        <v>%</v>
      </c>
      <c r="H161" s="100">
        <f>структура!$V$20</f>
        <v>9</v>
      </c>
      <c r="I161" s="31"/>
      <c r="J161" s="98" t="str">
        <f>структура!$X$20</f>
        <v>сен</v>
      </c>
      <c r="K161" s="99"/>
      <c r="L161" s="31" t="s">
        <v>0</v>
      </c>
      <c r="M161" s="113">
        <v>0.1</v>
      </c>
      <c r="N161" s="22"/>
      <c r="O161" s="22"/>
      <c r="P161" s="100"/>
      <c r="Q161" s="100"/>
      <c r="R161" s="100"/>
      <c r="S161" s="100"/>
      <c r="T161" s="100"/>
      <c r="U161" s="100"/>
      <c r="V161" s="100"/>
      <c r="W161" s="100"/>
      <c r="X161" s="100"/>
      <c r="Y161" s="100"/>
      <c r="Z161" s="100"/>
      <c r="AA161" s="100"/>
      <c r="AB161" s="22"/>
    </row>
    <row r="162" spans="1:28" s="23" customFormat="1" ht="10.199999999999999" x14ac:dyDescent="0.2">
      <c r="A162" s="22"/>
      <c r="B162" s="22"/>
      <c r="C162" s="22"/>
      <c r="D162" s="22"/>
      <c r="E162" s="22" t="str">
        <f>E152</f>
        <v>доля траффика в/парка покупающая услуги проката</v>
      </c>
      <c r="F162" s="22"/>
      <c r="G162" s="22" t="str">
        <f>IF($E162="","",INDEX(KPI!$G:$G,SUMIFS(KPI!$B:$B,KPI!$E:$E,$E162)))</f>
        <v>%</v>
      </c>
      <c r="H162" s="100">
        <f>структура!$V$21</f>
        <v>10</v>
      </c>
      <c r="I162" s="31"/>
      <c r="J162" s="98" t="str">
        <f>структура!$X$21</f>
        <v>окт</v>
      </c>
      <c r="K162" s="99"/>
      <c r="L162" s="31" t="s">
        <v>0</v>
      </c>
      <c r="M162" s="113">
        <v>0.1</v>
      </c>
      <c r="N162" s="22"/>
      <c r="O162" s="22"/>
      <c r="P162" s="100"/>
      <c r="Q162" s="100"/>
      <c r="R162" s="100"/>
      <c r="S162" s="100"/>
      <c r="T162" s="100"/>
      <c r="U162" s="100"/>
      <c r="V162" s="100"/>
      <c r="W162" s="100"/>
      <c r="X162" s="100"/>
      <c r="Y162" s="100"/>
      <c r="Z162" s="100"/>
      <c r="AA162" s="100"/>
      <c r="AB162" s="22"/>
    </row>
    <row r="163" spans="1:28" s="23" customFormat="1" ht="10.199999999999999" x14ac:dyDescent="0.2">
      <c r="A163" s="22"/>
      <c r="B163" s="22"/>
      <c r="C163" s="22"/>
      <c r="D163" s="22"/>
      <c r="E163" s="22" t="str">
        <f>E152</f>
        <v>доля траффика в/парка покупающая услуги проката</v>
      </c>
      <c r="F163" s="22"/>
      <c r="G163" s="22" t="str">
        <f>IF($E163="","",INDEX(KPI!$G:$G,SUMIFS(KPI!$B:$B,KPI!$E:$E,$E163)))</f>
        <v>%</v>
      </c>
      <c r="H163" s="100">
        <f>структура!$V$22</f>
        <v>11</v>
      </c>
      <c r="I163" s="31"/>
      <c r="J163" s="98" t="str">
        <f>структура!$X$22</f>
        <v>ноя</v>
      </c>
      <c r="K163" s="99"/>
      <c r="L163" s="31" t="s">
        <v>0</v>
      </c>
      <c r="M163" s="113">
        <v>0.1</v>
      </c>
      <c r="N163" s="22"/>
      <c r="O163" s="22"/>
      <c r="P163" s="100"/>
      <c r="Q163" s="100"/>
      <c r="R163" s="100"/>
      <c r="S163" s="100"/>
      <c r="T163" s="100"/>
      <c r="U163" s="100"/>
      <c r="V163" s="100"/>
      <c r="W163" s="100"/>
      <c r="X163" s="100"/>
      <c r="Y163" s="100"/>
      <c r="Z163" s="100"/>
      <c r="AA163" s="100"/>
      <c r="AB163" s="22"/>
    </row>
    <row r="164" spans="1:28" s="23" customFormat="1" ht="10.199999999999999" x14ac:dyDescent="0.2">
      <c r="A164" s="22"/>
      <c r="B164" s="22"/>
      <c r="C164" s="22"/>
      <c r="D164" s="22"/>
      <c r="E164" s="22" t="str">
        <f>E152</f>
        <v>доля траффика в/парка покупающая услуги проката</v>
      </c>
      <c r="F164" s="22"/>
      <c r="G164" s="22" t="str">
        <f>IF($E164="","",INDEX(KPI!$G:$G,SUMIFS(KPI!$B:$B,KPI!$E:$E,$E164)))</f>
        <v>%</v>
      </c>
      <c r="H164" s="100">
        <f>структура!$V$23</f>
        <v>12</v>
      </c>
      <c r="I164" s="31"/>
      <c r="J164" s="98" t="str">
        <f>структура!$X$23</f>
        <v>дек</v>
      </c>
      <c r="K164" s="99"/>
      <c r="L164" s="31" t="s">
        <v>0</v>
      </c>
      <c r="M164" s="113">
        <v>0.1</v>
      </c>
      <c r="N164" s="22"/>
      <c r="O164" s="22"/>
      <c r="P164" s="100"/>
      <c r="Q164" s="100"/>
      <c r="R164" s="100"/>
      <c r="S164" s="100"/>
      <c r="T164" s="100"/>
      <c r="U164" s="100"/>
      <c r="V164" s="100"/>
      <c r="W164" s="100"/>
      <c r="X164" s="100"/>
      <c r="Y164" s="100"/>
      <c r="Z164" s="100"/>
      <c r="AA164" s="100"/>
      <c r="AB164" s="22"/>
    </row>
    <row r="165" spans="1:28" ht="3.9" customHeight="1" x14ac:dyDescent="0.25">
      <c r="A165" s="2"/>
      <c r="B165" s="2"/>
      <c r="C165" s="2"/>
      <c r="D165" s="2"/>
      <c r="E165" s="21"/>
      <c r="F165" s="2"/>
      <c r="G165" s="21"/>
      <c r="H165" s="2"/>
      <c r="I165" s="28"/>
      <c r="J165" s="21"/>
      <c r="K165" s="28"/>
      <c r="L165" s="2"/>
      <c r="M165" s="52"/>
      <c r="N165" s="2"/>
      <c r="O165" s="2"/>
      <c r="P165" s="36"/>
      <c r="Q165" s="36"/>
      <c r="R165" s="36"/>
      <c r="S165" s="36"/>
      <c r="T165" s="36"/>
      <c r="U165" s="36"/>
      <c r="V165" s="36"/>
      <c r="W165" s="36"/>
      <c r="X165" s="36"/>
      <c r="Y165" s="36"/>
      <c r="Z165" s="36"/>
      <c r="AA165" s="36"/>
      <c r="AB165" s="2"/>
    </row>
    <row r="166" spans="1:28" ht="8.1" customHeight="1" x14ac:dyDescent="0.25">
      <c r="A166" s="2"/>
      <c r="B166" s="2"/>
      <c r="C166" s="2"/>
      <c r="D166" s="2"/>
      <c r="E166" s="2"/>
      <c r="F166" s="2"/>
      <c r="G166" s="2"/>
      <c r="H166" s="2"/>
      <c r="I166" s="28"/>
      <c r="J166" s="2"/>
      <c r="K166" s="28"/>
      <c r="L166" s="2"/>
      <c r="M166" s="52"/>
      <c r="N166" s="2"/>
      <c r="O166" s="2"/>
      <c r="P166" s="36"/>
      <c r="Q166" s="36"/>
      <c r="R166" s="36"/>
      <c r="S166" s="36"/>
      <c r="T166" s="36"/>
      <c r="U166" s="36"/>
      <c r="V166" s="36"/>
      <c r="W166" s="36"/>
      <c r="X166" s="36"/>
      <c r="Y166" s="36"/>
      <c r="Z166" s="36"/>
      <c r="AA166" s="36"/>
      <c r="AB166" s="2"/>
    </row>
    <row r="167" spans="1:28" s="5" customFormat="1" x14ac:dyDescent="0.25">
      <c r="A167" s="3"/>
      <c r="B167" s="3"/>
      <c r="C167" s="3"/>
      <c r="D167" s="3"/>
      <c r="E167" s="3" t="str">
        <f>KPI!$E$40</f>
        <v>конверсия в покупку одной услуги проката</v>
      </c>
      <c r="F167" s="3"/>
      <c r="G167" s="3" t="str">
        <f>IF($E167="","",INDEX(KPI!$G:$G,SUMIFS(KPI!$B:$B,KPI!$E:$E,$E167)))</f>
        <v>%</v>
      </c>
      <c r="H167" s="3"/>
      <c r="I167" s="28"/>
      <c r="J167" s="44"/>
      <c r="K167" s="28"/>
      <c r="L167" s="3"/>
      <c r="M167" s="55"/>
      <c r="N167" s="3"/>
      <c r="O167" s="3"/>
      <c r="P167" s="104" t="str">
        <f>сценарии!$J$7</f>
        <v>сценарий-1</v>
      </c>
      <c r="Q167" s="46"/>
      <c r="R167" s="46"/>
      <c r="S167" s="46"/>
      <c r="T167" s="46"/>
      <c r="U167" s="46"/>
      <c r="V167" s="46"/>
      <c r="W167" s="46"/>
      <c r="X167" s="46"/>
      <c r="Y167" s="46"/>
      <c r="Z167" s="46"/>
      <c r="AA167" s="46"/>
      <c r="AB167" s="3"/>
    </row>
    <row r="168" spans="1:28" s="23" customFormat="1" ht="10.199999999999999" x14ac:dyDescent="0.2">
      <c r="A168" s="22"/>
      <c r="B168" s="22"/>
      <c r="C168" s="22"/>
      <c r="D168" s="22"/>
      <c r="E168" s="22" t="str">
        <f>E167</f>
        <v>конверсия в покупку одной услуги проката</v>
      </c>
      <c r="F168" s="22"/>
      <c r="G168" s="22" t="str">
        <f>IF($E168="","",INDEX(KPI!$G:$G,SUMIFS(KPI!$B:$B,KPI!$E:$E,$E168)))</f>
        <v>%</v>
      </c>
      <c r="H168" s="100">
        <f>структура!$V$12</f>
        <v>1</v>
      </c>
      <c r="I168" s="31"/>
      <c r="J168" s="98" t="str">
        <f>структура!$X$12</f>
        <v>янв</v>
      </c>
      <c r="K168" s="99"/>
      <c r="L168" s="22"/>
      <c r="M168" s="58"/>
      <c r="N168" s="22"/>
      <c r="O168" s="22"/>
      <c r="P168" s="102">
        <f>IF(P$1="",0,SUMIFS(сценарии!P:P,сценарии!$E:$E,$E168,сценарии!$J:$J,$J168,сценарии!$M:$M,$P$167))</f>
        <v>0.25</v>
      </c>
      <c r="Q168" s="102">
        <f>IF(Q$1="",0,SUMIFS(сценарии!Q:Q,сценарии!$E:$E,$E168,сценарии!$J:$J,$J168,сценарии!$M:$M,$P$167))</f>
        <v>0.25</v>
      </c>
      <c r="R168" s="102">
        <f>IF(R$1="",0,SUMIFS(сценарии!R:R,сценарии!$E:$E,$E168,сценарии!$J:$J,$J168,сценарии!$M:$M,$P$167))</f>
        <v>0.25</v>
      </c>
      <c r="S168" s="102">
        <f>IF(S$1="",0,SUMIFS(сценарии!S:S,сценарии!$E:$E,$E168,сценарии!$J:$J,$J168,сценарии!$M:$M,$P$167))</f>
        <v>0.25</v>
      </c>
      <c r="T168" s="102">
        <f>IF(T$1="",0,SUMIFS(сценарии!T:T,сценарии!$E:$E,$E168,сценарии!$J:$J,$J168,сценарии!$M:$M,$P$167))</f>
        <v>0.25</v>
      </c>
      <c r="U168" s="102">
        <f>IF(U$1="",0,SUMIFS(сценарии!U:U,сценарии!$E:$E,$E168,сценарии!$J:$J,$J168,сценарии!$M:$M,$P$167))</f>
        <v>0.25</v>
      </c>
      <c r="V168" s="102">
        <f>IF(V$1="",0,SUMIFS(сценарии!V:V,сценарии!$E:$E,$E168,сценарии!$J:$J,$J168,сценарии!$M:$M,$P$167))</f>
        <v>0.25</v>
      </c>
      <c r="W168" s="102">
        <f>IF(W$1="",0,SUMIFS(сценарии!W:W,сценарии!$E:$E,$E168,сценарии!$J:$J,$J168,сценарии!$M:$M,$P$167))</f>
        <v>0</v>
      </c>
      <c r="X168" s="102">
        <f>IF(X$1="",0,SUMIFS(сценарии!X:X,сценарии!$E:$E,$E168,сценарии!$J:$J,$J168,сценарии!$M:$M,$P$167))</f>
        <v>0</v>
      </c>
      <c r="Y168" s="102">
        <f>IF(Y$1="",0,SUMIFS(сценарии!Y:Y,сценарии!$E:$E,$E168,сценарии!$J:$J,$J168,сценарии!$M:$M,$P$167))</f>
        <v>0</v>
      </c>
      <c r="Z168" s="102">
        <f>IF(Z$1="",0,SUMIFS(сценарии!Z:Z,сценарии!$E:$E,$E168,сценарии!$J:$J,$J168,сценарии!$M:$M,$P$167))</f>
        <v>0</v>
      </c>
      <c r="AA168" s="102">
        <f>IF(AA$1="",0,SUMIFS(сценарии!AA:AA,сценарии!$E:$E,$E168,сценарии!$J:$J,$J168,сценарии!$M:$M,$P$167))</f>
        <v>0</v>
      </c>
      <c r="AB168" s="22"/>
    </row>
    <row r="169" spans="1:28" s="23" customFormat="1" ht="10.199999999999999" x14ac:dyDescent="0.2">
      <c r="A169" s="22"/>
      <c r="B169" s="22"/>
      <c r="C169" s="22"/>
      <c r="D169" s="22"/>
      <c r="E169" s="22" t="str">
        <f>E167</f>
        <v>конверсия в покупку одной услуги проката</v>
      </c>
      <c r="F169" s="22"/>
      <c r="G169" s="22" t="str">
        <f>IF($E169="","",INDEX(KPI!$G:$G,SUMIFS(KPI!$B:$B,KPI!$E:$E,$E169)))</f>
        <v>%</v>
      </c>
      <c r="H169" s="100">
        <f>структура!$V$13</f>
        <v>2</v>
      </c>
      <c r="I169" s="31"/>
      <c r="J169" s="98" t="str">
        <f>структура!$X$13</f>
        <v>фев</v>
      </c>
      <c r="K169" s="99"/>
      <c r="L169" s="22"/>
      <c r="M169" s="58"/>
      <c r="N169" s="22"/>
      <c r="O169" s="22"/>
      <c r="P169" s="102">
        <f>IF(P$1="",0,SUMIFS(сценарии!P:P,сценарии!$E:$E,$E169,сценарии!$J:$J,$J169,сценарии!$M:$M,$P$167))</f>
        <v>0.2</v>
      </c>
      <c r="Q169" s="102">
        <f>IF(Q$1="",0,SUMIFS(сценарии!Q:Q,сценарии!$E:$E,$E169,сценарии!$J:$J,$J169,сценарии!$M:$M,$P$167))</f>
        <v>0.2</v>
      </c>
      <c r="R169" s="102">
        <f>IF(R$1="",0,SUMIFS(сценарии!R:R,сценарии!$E:$E,$E169,сценарии!$J:$J,$J169,сценарии!$M:$M,$P$167))</f>
        <v>0.2</v>
      </c>
      <c r="S169" s="102">
        <f>IF(S$1="",0,SUMIFS(сценарии!S:S,сценарии!$E:$E,$E169,сценарии!$J:$J,$J169,сценарии!$M:$M,$P$167))</f>
        <v>0.2</v>
      </c>
      <c r="T169" s="102">
        <f>IF(T$1="",0,SUMIFS(сценарии!T:T,сценарии!$E:$E,$E169,сценарии!$J:$J,$J169,сценарии!$M:$M,$P$167))</f>
        <v>0.2</v>
      </c>
      <c r="U169" s="102">
        <f>IF(U$1="",0,SUMIFS(сценарии!U:U,сценарии!$E:$E,$E169,сценарии!$J:$J,$J169,сценарии!$M:$M,$P$167))</f>
        <v>0.2</v>
      </c>
      <c r="V169" s="102">
        <f>IF(V$1="",0,SUMIFS(сценарии!V:V,сценарии!$E:$E,$E169,сценарии!$J:$J,$J169,сценарии!$M:$M,$P$167))</f>
        <v>0.2</v>
      </c>
      <c r="W169" s="102">
        <f>IF(W$1="",0,SUMIFS(сценарии!W:W,сценарии!$E:$E,$E169,сценарии!$J:$J,$J169,сценарии!$M:$M,$P$167))</f>
        <v>0</v>
      </c>
      <c r="X169" s="102">
        <f>IF(X$1="",0,SUMIFS(сценарии!X:X,сценарии!$E:$E,$E169,сценарии!$J:$J,$J169,сценарии!$M:$M,$P$167))</f>
        <v>0</v>
      </c>
      <c r="Y169" s="102">
        <f>IF(Y$1="",0,SUMIFS(сценарии!Y:Y,сценарии!$E:$E,$E169,сценарии!$J:$J,$J169,сценарии!$M:$M,$P$167))</f>
        <v>0</v>
      </c>
      <c r="Z169" s="102">
        <f>IF(Z$1="",0,SUMIFS(сценарии!Z:Z,сценарии!$E:$E,$E169,сценарии!$J:$J,$J169,сценарии!$M:$M,$P$167))</f>
        <v>0</v>
      </c>
      <c r="AA169" s="102">
        <f>IF(AA$1="",0,SUMIFS(сценарии!AA:AA,сценарии!$E:$E,$E169,сценарии!$J:$J,$J169,сценарии!$M:$M,$P$167))</f>
        <v>0</v>
      </c>
      <c r="AB169" s="22"/>
    </row>
    <row r="170" spans="1:28" s="23" customFormat="1" ht="10.199999999999999" x14ac:dyDescent="0.2">
      <c r="A170" s="22"/>
      <c r="B170" s="22"/>
      <c r="C170" s="22"/>
      <c r="D170" s="22"/>
      <c r="E170" s="22" t="str">
        <f>E167</f>
        <v>конверсия в покупку одной услуги проката</v>
      </c>
      <c r="F170" s="22"/>
      <c r="G170" s="22" t="str">
        <f>IF($E170="","",INDEX(KPI!$G:$G,SUMIFS(KPI!$B:$B,KPI!$E:$E,$E170)))</f>
        <v>%</v>
      </c>
      <c r="H170" s="100">
        <f>структура!$V$14</f>
        <v>3</v>
      </c>
      <c r="I170" s="31"/>
      <c r="J170" s="98" t="str">
        <f>структура!$X$14</f>
        <v>мар</v>
      </c>
      <c r="K170" s="99"/>
      <c r="L170" s="22"/>
      <c r="M170" s="58"/>
      <c r="N170" s="22"/>
      <c r="O170" s="22"/>
      <c r="P170" s="102">
        <f>IF(P$1="",0,SUMIFS(сценарии!P:P,сценарии!$E:$E,$E170,сценарии!$J:$J,$J170,сценарии!$M:$M,$P$167))</f>
        <v>0.2</v>
      </c>
      <c r="Q170" s="102">
        <f>IF(Q$1="",0,SUMIFS(сценарии!Q:Q,сценарии!$E:$E,$E170,сценарии!$J:$J,$J170,сценарии!$M:$M,$P$167))</f>
        <v>0.2</v>
      </c>
      <c r="R170" s="102">
        <f>IF(R$1="",0,SUMIFS(сценарии!R:R,сценарии!$E:$E,$E170,сценарии!$J:$J,$J170,сценарии!$M:$M,$P$167))</f>
        <v>0.2</v>
      </c>
      <c r="S170" s="102">
        <f>IF(S$1="",0,SUMIFS(сценарии!S:S,сценарии!$E:$E,$E170,сценарии!$J:$J,$J170,сценарии!$M:$M,$P$167))</f>
        <v>0.2</v>
      </c>
      <c r="T170" s="102">
        <f>IF(T$1="",0,SUMIFS(сценарии!T:T,сценарии!$E:$E,$E170,сценарии!$J:$J,$J170,сценарии!$M:$M,$P$167))</f>
        <v>0.2</v>
      </c>
      <c r="U170" s="102">
        <f>IF(U$1="",0,SUMIFS(сценарии!U:U,сценарии!$E:$E,$E170,сценарии!$J:$J,$J170,сценарии!$M:$M,$P$167))</f>
        <v>0.2</v>
      </c>
      <c r="V170" s="102">
        <f>IF(V$1="",0,SUMIFS(сценарии!V:V,сценарии!$E:$E,$E170,сценарии!$J:$J,$J170,сценарии!$M:$M,$P$167))</f>
        <v>0.2</v>
      </c>
      <c r="W170" s="102">
        <f>IF(W$1="",0,SUMIFS(сценарии!W:W,сценарии!$E:$E,$E170,сценарии!$J:$J,$J170,сценарии!$M:$M,$P$167))</f>
        <v>0</v>
      </c>
      <c r="X170" s="102">
        <f>IF(X$1="",0,SUMIFS(сценарии!X:X,сценарии!$E:$E,$E170,сценарии!$J:$J,$J170,сценарии!$M:$M,$P$167))</f>
        <v>0</v>
      </c>
      <c r="Y170" s="102">
        <f>IF(Y$1="",0,SUMIFS(сценарии!Y:Y,сценарии!$E:$E,$E170,сценарии!$J:$J,$J170,сценарии!$M:$M,$P$167))</f>
        <v>0</v>
      </c>
      <c r="Z170" s="102">
        <f>IF(Z$1="",0,SUMIFS(сценарии!Z:Z,сценарии!$E:$E,$E170,сценарии!$J:$J,$J170,сценарии!$M:$M,$P$167))</f>
        <v>0</v>
      </c>
      <c r="AA170" s="102">
        <f>IF(AA$1="",0,SUMIFS(сценарии!AA:AA,сценарии!$E:$E,$E170,сценарии!$J:$J,$J170,сценарии!$M:$M,$P$167))</f>
        <v>0</v>
      </c>
      <c r="AB170" s="22"/>
    </row>
    <row r="171" spans="1:28" s="23" customFormat="1" ht="10.199999999999999" x14ac:dyDescent="0.2">
      <c r="A171" s="22"/>
      <c r="B171" s="22"/>
      <c r="C171" s="22"/>
      <c r="D171" s="22"/>
      <c r="E171" s="22" t="str">
        <f>E167</f>
        <v>конверсия в покупку одной услуги проката</v>
      </c>
      <c r="F171" s="22"/>
      <c r="G171" s="22" t="str">
        <f>IF($E171="","",INDEX(KPI!$G:$G,SUMIFS(KPI!$B:$B,KPI!$E:$E,$E171)))</f>
        <v>%</v>
      </c>
      <c r="H171" s="100">
        <f>структура!$V$15</f>
        <v>4</v>
      </c>
      <c r="I171" s="31"/>
      <c r="J171" s="98" t="str">
        <f>структура!$X$15</f>
        <v>апр</v>
      </c>
      <c r="K171" s="99"/>
      <c r="L171" s="22"/>
      <c r="M171" s="58"/>
      <c r="N171" s="22"/>
      <c r="O171" s="22"/>
      <c r="P171" s="102">
        <f>IF(P$1="",0,SUMIFS(сценарии!P:P,сценарии!$E:$E,$E171,сценарии!$J:$J,$J171,сценарии!$M:$M,$P$167))</f>
        <v>0.2</v>
      </c>
      <c r="Q171" s="102">
        <f>IF(Q$1="",0,SUMIFS(сценарии!Q:Q,сценарии!$E:$E,$E171,сценарии!$J:$J,$J171,сценарии!$M:$M,$P$167))</f>
        <v>0.2</v>
      </c>
      <c r="R171" s="102">
        <f>IF(R$1="",0,SUMIFS(сценарии!R:R,сценарии!$E:$E,$E171,сценарии!$J:$J,$J171,сценарии!$M:$M,$P$167))</f>
        <v>0.2</v>
      </c>
      <c r="S171" s="102">
        <f>IF(S$1="",0,SUMIFS(сценарии!S:S,сценарии!$E:$E,$E171,сценарии!$J:$J,$J171,сценарии!$M:$M,$P$167))</f>
        <v>0.2</v>
      </c>
      <c r="T171" s="102">
        <f>IF(T$1="",0,SUMIFS(сценарии!T:T,сценарии!$E:$E,$E171,сценарии!$J:$J,$J171,сценарии!$M:$M,$P$167))</f>
        <v>0.2</v>
      </c>
      <c r="U171" s="102">
        <f>IF(U$1="",0,SUMIFS(сценарии!U:U,сценарии!$E:$E,$E171,сценарии!$J:$J,$J171,сценарии!$M:$M,$P$167))</f>
        <v>0.2</v>
      </c>
      <c r="V171" s="102">
        <f>IF(V$1="",0,SUMIFS(сценарии!V:V,сценарии!$E:$E,$E171,сценарии!$J:$J,$J171,сценарии!$M:$M,$P$167))</f>
        <v>0.2</v>
      </c>
      <c r="W171" s="102">
        <f>IF(W$1="",0,SUMIFS(сценарии!W:W,сценарии!$E:$E,$E171,сценарии!$J:$J,$J171,сценарии!$M:$M,$P$167))</f>
        <v>0</v>
      </c>
      <c r="X171" s="102">
        <f>IF(X$1="",0,SUMIFS(сценарии!X:X,сценарии!$E:$E,$E171,сценарии!$J:$J,$J171,сценарии!$M:$M,$P$167))</f>
        <v>0</v>
      </c>
      <c r="Y171" s="102">
        <f>IF(Y$1="",0,SUMIFS(сценарии!Y:Y,сценарии!$E:$E,$E171,сценарии!$J:$J,$J171,сценарии!$M:$M,$P$167))</f>
        <v>0</v>
      </c>
      <c r="Z171" s="102">
        <f>IF(Z$1="",0,SUMIFS(сценарии!Z:Z,сценарии!$E:$E,$E171,сценарии!$J:$J,$J171,сценарии!$M:$M,$P$167))</f>
        <v>0</v>
      </c>
      <c r="AA171" s="102">
        <f>IF(AA$1="",0,SUMIFS(сценарии!AA:AA,сценарии!$E:$E,$E171,сценарии!$J:$J,$J171,сценарии!$M:$M,$P$167))</f>
        <v>0</v>
      </c>
      <c r="AB171" s="22"/>
    </row>
    <row r="172" spans="1:28" s="23" customFormat="1" ht="10.199999999999999" x14ac:dyDescent="0.2">
      <c r="A172" s="22"/>
      <c r="B172" s="22"/>
      <c r="C172" s="22"/>
      <c r="D172" s="22"/>
      <c r="E172" s="22" t="str">
        <f>E167</f>
        <v>конверсия в покупку одной услуги проката</v>
      </c>
      <c r="F172" s="22"/>
      <c r="G172" s="22" t="str">
        <f>IF($E172="","",INDEX(KPI!$G:$G,SUMIFS(KPI!$B:$B,KPI!$E:$E,$E172)))</f>
        <v>%</v>
      </c>
      <c r="H172" s="100">
        <f>структура!$V$16</f>
        <v>5</v>
      </c>
      <c r="I172" s="31"/>
      <c r="J172" s="98" t="str">
        <f>структура!$X$16</f>
        <v>май</v>
      </c>
      <c r="K172" s="99"/>
      <c r="L172" s="22"/>
      <c r="M172" s="58"/>
      <c r="N172" s="22"/>
      <c r="O172" s="22"/>
      <c r="P172" s="102">
        <f>IF(P$1="",0,SUMIFS(сценарии!P:P,сценарии!$E:$E,$E172,сценарии!$J:$J,$J172,сценарии!$M:$M,$P$167))</f>
        <v>0.4</v>
      </c>
      <c r="Q172" s="102">
        <f>IF(Q$1="",0,SUMIFS(сценарии!Q:Q,сценарии!$E:$E,$E172,сценарии!$J:$J,$J172,сценарии!$M:$M,$P$167))</f>
        <v>0.4</v>
      </c>
      <c r="R172" s="102">
        <f>IF(R$1="",0,SUMIFS(сценарии!R:R,сценарии!$E:$E,$E172,сценарии!$J:$J,$J172,сценарии!$M:$M,$P$167))</f>
        <v>0.4</v>
      </c>
      <c r="S172" s="102">
        <f>IF(S$1="",0,SUMIFS(сценарии!S:S,сценарии!$E:$E,$E172,сценарии!$J:$J,$J172,сценарии!$M:$M,$P$167))</f>
        <v>0.4</v>
      </c>
      <c r="T172" s="102">
        <f>IF(T$1="",0,SUMIFS(сценарии!T:T,сценарии!$E:$E,$E172,сценарии!$J:$J,$J172,сценарии!$M:$M,$P$167))</f>
        <v>0.4</v>
      </c>
      <c r="U172" s="102">
        <f>IF(U$1="",0,SUMIFS(сценарии!U:U,сценарии!$E:$E,$E172,сценарии!$J:$J,$J172,сценарии!$M:$M,$P$167))</f>
        <v>0.4</v>
      </c>
      <c r="V172" s="102">
        <f>IF(V$1="",0,SUMIFS(сценарии!V:V,сценарии!$E:$E,$E172,сценарии!$J:$J,$J172,сценарии!$M:$M,$P$167))</f>
        <v>0.4</v>
      </c>
      <c r="W172" s="102">
        <f>IF(W$1="",0,SUMIFS(сценарии!W:W,сценарии!$E:$E,$E172,сценарии!$J:$J,$J172,сценарии!$M:$M,$P$167))</f>
        <v>0</v>
      </c>
      <c r="X172" s="102">
        <f>IF(X$1="",0,SUMIFS(сценарии!X:X,сценарии!$E:$E,$E172,сценарии!$J:$J,$J172,сценарии!$M:$M,$P$167))</f>
        <v>0</v>
      </c>
      <c r="Y172" s="102">
        <f>IF(Y$1="",0,SUMIFS(сценарии!Y:Y,сценарии!$E:$E,$E172,сценарии!$J:$J,$J172,сценарии!$M:$M,$P$167))</f>
        <v>0</v>
      </c>
      <c r="Z172" s="102">
        <f>IF(Z$1="",0,SUMIFS(сценарии!Z:Z,сценарии!$E:$E,$E172,сценарии!$J:$J,$J172,сценарии!$M:$M,$P$167))</f>
        <v>0</v>
      </c>
      <c r="AA172" s="102">
        <f>IF(AA$1="",0,SUMIFS(сценарии!AA:AA,сценарии!$E:$E,$E172,сценарии!$J:$J,$J172,сценарии!$M:$M,$P$167))</f>
        <v>0</v>
      </c>
      <c r="AB172" s="22"/>
    </row>
    <row r="173" spans="1:28" s="23" customFormat="1" ht="10.199999999999999" x14ac:dyDescent="0.2">
      <c r="A173" s="22"/>
      <c r="B173" s="22"/>
      <c r="C173" s="22"/>
      <c r="D173" s="22"/>
      <c r="E173" s="22" t="str">
        <f>E167</f>
        <v>конверсия в покупку одной услуги проката</v>
      </c>
      <c r="F173" s="22"/>
      <c r="G173" s="22" t="str">
        <f>IF($E173="","",INDEX(KPI!$G:$G,SUMIFS(KPI!$B:$B,KPI!$E:$E,$E173)))</f>
        <v>%</v>
      </c>
      <c r="H173" s="100">
        <f>структура!$V$17</f>
        <v>6</v>
      </c>
      <c r="I173" s="31"/>
      <c r="J173" s="98" t="str">
        <f>структура!$X$17</f>
        <v>июн</v>
      </c>
      <c r="K173" s="99"/>
      <c r="L173" s="22"/>
      <c r="M173" s="58"/>
      <c r="N173" s="22"/>
      <c r="O173" s="22"/>
      <c r="P173" s="102">
        <f>IF(P$1="",0,SUMIFS(сценарии!P:P,сценарии!$E:$E,$E173,сценарии!$J:$J,$J173,сценарии!$M:$M,$P$167))</f>
        <v>0.4</v>
      </c>
      <c r="Q173" s="102">
        <f>IF(Q$1="",0,SUMIFS(сценарии!Q:Q,сценарии!$E:$E,$E173,сценарии!$J:$J,$J173,сценарии!$M:$M,$P$167))</f>
        <v>0.4</v>
      </c>
      <c r="R173" s="102">
        <f>IF(R$1="",0,SUMIFS(сценарии!R:R,сценарии!$E:$E,$E173,сценарии!$J:$J,$J173,сценарии!$M:$M,$P$167))</f>
        <v>0.4</v>
      </c>
      <c r="S173" s="102">
        <f>IF(S$1="",0,SUMIFS(сценарии!S:S,сценарии!$E:$E,$E173,сценарии!$J:$J,$J173,сценарии!$M:$M,$P$167))</f>
        <v>0.4</v>
      </c>
      <c r="T173" s="102">
        <f>IF(T$1="",0,SUMIFS(сценарии!T:T,сценарии!$E:$E,$E173,сценарии!$J:$J,$J173,сценарии!$M:$M,$P$167))</f>
        <v>0.4</v>
      </c>
      <c r="U173" s="102">
        <f>IF(U$1="",0,SUMIFS(сценарии!U:U,сценарии!$E:$E,$E173,сценарии!$J:$J,$J173,сценарии!$M:$M,$P$167))</f>
        <v>0.4</v>
      </c>
      <c r="V173" s="102">
        <f>IF(V$1="",0,SUMIFS(сценарии!V:V,сценарии!$E:$E,$E173,сценарии!$J:$J,$J173,сценарии!$M:$M,$P$167))</f>
        <v>0.4</v>
      </c>
      <c r="W173" s="102">
        <f>IF(W$1="",0,SUMIFS(сценарии!W:W,сценарии!$E:$E,$E173,сценарии!$J:$J,$J173,сценарии!$M:$M,$P$167))</f>
        <v>0</v>
      </c>
      <c r="X173" s="102">
        <f>IF(X$1="",0,SUMIFS(сценарии!X:X,сценарии!$E:$E,$E173,сценарии!$J:$J,$J173,сценарии!$M:$M,$P$167))</f>
        <v>0</v>
      </c>
      <c r="Y173" s="102">
        <f>IF(Y$1="",0,SUMIFS(сценарии!Y:Y,сценарии!$E:$E,$E173,сценарии!$J:$J,$J173,сценарии!$M:$M,$P$167))</f>
        <v>0</v>
      </c>
      <c r="Z173" s="102">
        <f>IF(Z$1="",0,SUMIFS(сценарии!Z:Z,сценарии!$E:$E,$E173,сценарии!$J:$J,$J173,сценарии!$M:$M,$P$167))</f>
        <v>0</v>
      </c>
      <c r="AA173" s="102">
        <f>IF(AA$1="",0,SUMIFS(сценарии!AA:AA,сценарии!$E:$E,$E173,сценарии!$J:$J,$J173,сценарии!$M:$M,$P$167))</f>
        <v>0</v>
      </c>
      <c r="AB173" s="22"/>
    </row>
    <row r="174" spans="1:28" s="23" customFormat="1" ht="10.199999999999999" x14ac:dyDescent="0.2">
      <c r="A174" s="22"/>
      <c r="B174" s="22"/>
      <c r="C174" s="22"/>
      <c r="D174" s="22"/>
      <c r="E174" s="22" t="str">
        <f>E167</f>
        <v>конверсия в покупку одной услуги проката</v>
      </c>
      <c r="F174" s="22"/>
      <c r="G174" s="22" t="str">
        <f>IF($E174="","",INDEX(KPI!$G:$G,SUMIFS(KPI!$B:$B,KPI!$E:$E,$E174)))</f>
        <v>%</v>
      </c>
      <c r="H174" s="100">
        <f>структура!$V$18</f>
        <v>7</v>
      </c>
      <c r="I174" s="31"/>
      <c r="J174" s="98" t="str">
        <f>структура!$X$18</f>
        <v>июл</v>
      </c>
      <c r="K174" s="99"/>
      <c r="L174" s="22"/>
      <c r="M174" s="58"/>
      <c r="N174" s="22"/>
      <c r="O174" s="22"/>
      <c r="P174" s="102">
        <f>IF(P$1="",0,SUMIFS(сценарии!P:P,сценарии!$E:$E,$E174,сценарии!$J:$J,$J174,сценарии!$M:$M,$P$167))</f>
        <v>0.4</v>
      </c>
      <c r="Q174" s="102">
        <f>IF(Q$1="",0,SUMIFS(сценарии!Q:Q,сценарии!$E:$E,$E174,сценарии!$J:$J,$J174,сценарии!$M:$M,$P$167))</f>
        <v>0.4</v>
      </c>
      <c r="R174" s="102">
        <f>IF(R$1="",0,SUMIFS(сценарии!R:R,сценарии!$E:$E,$E174,сценарии!$J:$J,$J174,сценарии!$M:$M,$P$167))</f>
        <v>0.4</v>
      </c>
      <c r="S174" s="102">
        <f>IF(S$1="",0,SUMIFS(сценарии!S:S,сценарии!$E:$E,$E174,сценарии!$J:$J,$J174,сценарии!$M:$M,$P$167))</f>
        <v>0.4</v>
      </c>
      <c r="T174" s="102">
        <f>IF(T$1="",0,SUMIFS(сценарии!T:T,сценарии!$E:$E,$E174,сценарии!$J:$J,$J174,сценарии!$M:$M,$P$167))</f>
        <v>0.4</v>
      </c>
      <c r="U174" s="102">
        <f>IF(U$1="",0,SUMIFS(сценарии!U:U,сценарии!$E:$E,$E174,сценарии!$J:$J,$J174,сценарии!$M:$M,$P$167))</f>
        <v>0.4</v>
      </c>
      <c r="V174" s="102">
        <f>IF(V$1="",0,SUMIFS(сценарии!V:V,сценарии!$E:$E,$E174,сценарии!$J:$J,$J174,сценарии!$M:$M,$P$167))</f>
        <v>0.4</v>
      </c>
      <c r="W174" s="102">
        <f>IF(W$1="",0,SUMIFS(сценарии!W:W,сценарии!$E:$E,$E174,сценарии!$J:$J,$J174,сценарии!$M:$M,$P$167))</f>
        <v>0</v>
      </c>
      <c r="X174" s="102">
        <f>IF(X$1="",0,SUMIFS(сценарии!X:X,сценарии!$E:$E,$E174,сценарии!$J:$J,$J174,сценарии!$M:$M,$P$167))</f>
        <v>0</v>
      </c>
      <c r="Y174" s="102">
        <f>IF(Y$1="",0,SUMIFS(сценарии!Y:Y,сценарии!$E:$E,$E174,сценарии!$J:$J,$J174,сценарии!$M:$M,$P$167))</f>
        <v>0</v>
      </c>
      <c r="Z174" s="102">
        <f>IF(Z$1="",0,SUMIFS(сценарии!Z:Z,сценарии!$E:$E,$E174,сценарии!$J:$J,$J174,сценарии!$M:$M,$P$167))</f>
        <v>0</v>
      </c>
      <c r="AA174" s="102">
        <f>IF(AA$1="",0,SUMIFS(сценарии!AA:AA,сценарии!$E:$E,$E174,сценарии!$J:$J,$J174,сценарии!$M:$M,$P$167))</f>
        <v>0</v>
      </c>
      <c r="AB174" s="22"/>
    </row>
    <row r="175" spans="1:28" s="23" customFormat="1" ht="10.199999999999999" x14ac:dyDescent="0.2">
      <c r="A175" s="22"/>
      <c r="B175" s="22"/>
      <c r="C175" s="22"/>
      <c r="D175" s="22"/>
      <c r="E175" s="22" t="str">
        <f>E167</f>
        <v>конверсия в покупку одной услуги проката</v>
      </c>
      <c r="F175" s="22"/>
      <c r="G175" s="22" t="str">
        <f>IF($E175="","",INDEX(KPI!$G:$G,SUMIFS(KPI!$B:$B,KPI!$E:$E,$E175)))</f>
        <v>%</v>
      </c>
      <c r="H175" s="100">
        <f>структура!$V$19</f>
        <v>8</v>
      </c>
      <c r="I175" s="31"/>
      <c r="J175" s="98" t="str">
        <f>структура!$X$19</f>
        <v>авг</v>
      </c>
      <c r="K175" s="99"/>
      <c r="L175" s="22"/>
      <c r="M175" s="58"/>
      <c r="N175" s="22"/>
      <c r="O175" s="22"/>
      <c r="P175" s="102">
        <f>IF(P$1="",0,SUMIFS(сценарии!P:P,сценарии!$E:$E,$E175,сценарии!$J:$J,$J175,сценарии!$M:$M,$P$167))</f>
        <v>0.4</v>
      </c>
      <c r="Q175" s="102">
        <f>IF(Q$1="",0,SUMIFS(сценарии!Q:Q,сценарии!$E:$E,$E175,сценарии!$J:$J,$J175,сценарии!$M:$M,$P$167))</f>
        <v>0.4</v>
      </c>
      <c r="R175" s="102">
        <f>IF(R$1="",0,SUMIFS(сценарии!R:R,сценарии!$E:$E,$E175,сценарии!$J:$J,$J175,сценарии!$M:$M,$P$167))</f>
        <v>0.4</v>
      </c>
      <c r="S175" s="102">
        <f>IF(S$1="",0,SUMIFS(сценарии!S:S,сценарии!$E:$E,$E175,сценарии!$J:$J,$J175,сценарии!$M:$M,$P$167))</f>
        <v>0.4</v>
      </c>
      <c r="T175" s="102">
        <f>IF(T$1="",0,SUMIFS(сценарии!T:T,сценарии!$E:$E,$E175,сценарии!$J:$J,$J175,сценарии!$M:$M,$P$167))</f>
        <v>0.4</v>
      </c>
      <c r="U175" s="102">
        <f>IF(U$1="",0,SUMIFS(сценарии!U:U,сценарии!$E:$E,$E175,сценарии!$J:$J,$J175,сценарии!$M:$M,$P$167))</f>
        <v>0.4</v>
      </c>
      <c r="V175" s="102">
        <f>IF(V$1="",0,SUMIFS(сценарии!V:V,сценарии!$E:$E,$E175,сценарии!$J:$J,$J175,сценарии!$M:$M,$P$167))</f>
        <v>0.4</v>
      </c>
      <c r="W175" s="102">
        <f>IF(W$1="",0,SUMIFS(сценарии!W:W,сценарии!$E:$E,$E175,сценарии!$J:$J,$J175,сценарии!$M:$M,$P$167))</f>
        <v>0</v>
      </c>
      <c r="X175" s="102">
        <f>IF(X$1="",0,SUMIFS(сценарии!X:X,сценарии!$E:$E,$E175,сценарии!$J:$J,$J175,сценарии!$M:$M,$P$167))</f>
        <v>0</v>
      </c>
      <c r="Y175" s="102">
        <f>IF(Y$1="",0,SUMIFS(сценарии!Y:Y,сценарии!$E:$E,$E175,сценарии!$J:$J,$J175,сценарии!$M:$M,$P$167))</f>
        <v>0</v>
      </c>
      <c r="Z175" s="102">
        <f>IF(Z$1="",0,SUMIFS(сценарии!Z:Z,сценарии!$E:$E,$E175,сценарии!$J:$J,$J175,сценарии!$M:$M,$P$167))</f>
        <v>0</v>
      </c>
      <c r="AA175" s="102">
        <f>IF(AA$1="",0,SUMIFS(сценарии!AA:AA,сценарии!$E:$E,$E175,сценарии!$J:$J,$J175,сценарии!$M:$M,$P$167))</f>
        <v>0</v>
      </c>
      <c r="AB175" s="22"/>
    </row>
    <row r="176" spans="1:28" s="23" customFormat="1" ht="10.199999999999999" x14ac:dyDescent="0.2">
      <c r="A176" s="22"/>
      <c r="B176" s="22"/>
      <c r="C176" s="22"/>
      <c r="D176" s="22"/>
      <c r="E176" s="22" t="str">
        <f>E167</f>
        <v>конверсия в покупку одной услуги проката</v>
      </c>
      <c r="F176" s="22"/>
      <c r="G176" s="22" t="str">
        <f>IF($E176="","",INDEX(KPI!$G:$G,SUMIFS(KPI!$B:$B,KPI!$E:$E,$E176)))</f>
        <v>%</v>
      </c>
      <c r="H176" s="100">
        <f>структура!$V$20</f>
        <v>9</v>
      </c>
      <c r="I176" s="31"/>
      <c r="J176" s="98" t="str">
        <f>структура!$X$20</f>
        <v>сен</v>
      </c>
      <c r="K176" s="99"/>
      <c r="L176" s="22"/>
      <c r="M176" s="58"/>
      <c r="N176" s="22"/>
      <c r="O176" s="22"/>
      <c r="P176" s="102">
        <f>IF(P$1="",0,SUMIFS(сценарии!P:P,сценарии!$E:$E,$E176,сценарии!$J:$J,$J176,сценарии!$M:$M,$P$167))</f>
        <v>0.25</v>
      </c>
      <c r="Q176" s="102">
        <f>IF(Q$1="",0,SUMIFS(сценарии!Q:Q,сценарии!$E:$E,$E176,сценарии!$J:$J,$J176,сценарии!$M:$M,$P$167))</f>
        <v>0.25</v>
      </c>
      <c r="R176" s="102">
        <f>IF(R$1="",0,SUMIFS(сценарии!R:R,сценарии!$E:$E,$E176,сценарии!$J:$J,$J176,сценарии!$M:$M,$P$167))</f>
        <v>0.25</v>
      </c>
      <c r="S176" s="102">
        <f>IF(S$1="",0,SUMIFS(сценарии!S:S,сценарии!$E:$E,$E176,сценарии!$J:$J,$J176,сценарии!$M:$M,$P$167))</f>
        <v>0.25</v>
      </c>
      <c r="T176" s="102">
        <f>IF(T$1="",0,SUMIFS(сценарии!T:T,сценарии!$E:$E,$E176,сценарии!$J:$J,$J176,сценарии!$M:$M,$P$167))</f>
        <v>0.25</v>
      </c>
      <c r="U176" s="102">
        <f>IF(U$1="",0,SUMIFS(сценарии!U:U,сценарии!$E:$E,$E176,сценарии!$J:$J,$J176,сценарии!$M:$M,$P$167))</f>
        <v>0.25</v>
      </c>
      <c r="V176" s="102">
        <f>IF(V$1="",0,SUMIFS(сценарии!V:V,сценарии!$E:$E,$E176,сценарии!$J:$J,$J176,сценарии!$M:$M,$P$167))</f>
        <v>0.25</v>
      </c>
      <c r="W176" s="102">
        <f>IF(W$1="",0,SUMIFS(сценарии!W:W,сценарии!$E:$E,$E176,сценарии!$J:$J,$J176,сценарии!$M:$M,$P$167))</f>
        <v>0</v>
      </c>
      <c r="X176" s="102">
        <f>IF(X$1="",0,SUMIFS(сценарии!X:X,сценарии!$E:$E,$E176,сценарии!$J:$J,$J176,сценарии!$M:$M,$P$167))</f>
        <v>0</v>
      </c>
      <c r="Y176" s="102">
        <f>IF(Y$1="",0,SUMIFS(сценарии!Y:Y,сценарии!$E:$E,$E176,сценарии!$J:$J,$J176,сценарии!$M:$M,$P$167))</f>
        <v>0</v>
      </c>
      <c r="Z176" s="102">
        <f>IF(Z$1="",0,SUMIFS(сценарии!Z:Z,сценарии!$E:$E,$E176,сценарии!$J:$J,$J176,сценарии!$M:$M,$P$167))</f>
        <v>0</v>
      </c>
      <c r="AA176" s="102">
        <f>IF(AA$1="",0,SUMIFS(сценарии!AA:AA,сценарии!$E:$E,$E176,сценарии!$J:$J,$J176,сценарии!$M:$M,$P$167))</f>
        <v>0</v>
      </c>
      <c r="AB176" s="22"/>
    </row>
    <row r="177" spans="1:28" s="23" customFormat="1" ht="10.199999999999999" x14ac:dyDescent="0.2">
      <c r="A177" s="22"/>
      <c r="B177" s="22"/>
      <c r="C177" s="22"/>
      <c r="D177" s="22"/>
      <c r="E177" s="22" t="str">
        <f>E167</f>
        <v>конверсия в покупку одной услуги проката</v>
      </c>
      <c r="F177" s="22"/>
      <c r="G177" s="22" t="str">
        <f>IF($E177="","",INDEX(KPI!$G:$G,SUMIFS(KPI!$B:$B,KPI!$E:$E,$E177)))</f>
        <v>%</v>
      </c>
      <c r="H177" s="100">
        <f>структура!$V$21</f>
        <v>10</v>
      </c>
      <c r="I177" s="31"/>
      <c r="J177" s="98" t="str">
        <f>структура!$X$21</f>
        <v>окт</v>
      </c>
      <c r="K177" s="99"/>
      <c r="L177" s="22"/>
      <c r="M177" s="58"/>
      <c r="N177" s="22"/>
      <c r="O177" s="22"/>
      <c r="P177" s="102">
        <f>IF(P$1="",0,SUMIFS(сценарии!P:P,сценарии!$E:$E,$E177,сценарии!$J:$J,$J177,сценарии!$M:$M,$P$167))</f>
        <v>0.25</v>
      </c>
      <c r="Q177" s="102">
        <f>IF(Q$1="",0,SUMIFS(сценарии!Q:Q,сценарии!$E:$E,$E177,сценарии!$J:$J,$J177,сценарии!$M:$M,$P$167))</f>
        <v>0.25</v>
      </c>
      <c r="R177" s="102">
        <f>IF(R$1="",0,SUMIFS(сценарии!R:R,сценарии!$E:$E,$E177,сценарии!$J:$J,$J177,сценарии!$M:$M,$P$167))</f>
        <v>0.25</v>
      </c>
      <c r="S177" s="102">
        <f>IF(S$1="",0,SUMIFS(сценарии!S:S,сценарии!$E:$E,$E177,сценарии!$J:$J,$J177,сценарии!$M:$M,$P$167))</f>
        <v>0.25</v>
      </c>
      <c r="T177" s="102">
        <f>IF(T$1="",0,SUMIFS(сценарии!T:T,сценарии!$E:$E,$E177,сценарии!$J:$J,$J177,сценарии!$M:$M,$P$167))</f>
        <v>0.25</v>
      </c>
      <c r="U177" s="102">
        <f>IF(U$1="",0,SUMIFS(сценарии!U:U,сценарии!$E:$E,$E177,сценарии!$J:$J,$J177,сценарии!$M:$M,$P$167))</f>
        <v>0.25</v>
      </c>
      <c r="V177" s="102">
        <f>IF(V$1="",0,SUMIFS(сценарии!V:V,сценарии!$E:$E,$E177,сценарии!$J:$J,$J177,сценарии!$M:$M,$P$167))</f>
        <v>0.25</v>
      </c>
      <c r="W177" s="102">
        <f>IF(W$1="",0,SUMIFS(сценарии!W:W,сценарии!$E:$E,$E177,сценарии!$J:$J,$J177,сценарии!$M:$M,$P$167))</f>
        <v>0</v>
      </c>
      <c r="X177" s="102">
        <f>IF(X$1="",0,SUMIFS(сценарии!X:X,сценарии!$E:$E,$E177,сценарии!$J:$J,$J177,сценарии!$M:$M,$P$167))</f>
        <v>0</v>
      </c>
      <c r="Y177" s="102">
        <f>IF(Y$1="",0,SUMIFS(сценарии!Y:Y,сценарии!$E:$E,$E177,сценарии!$J:$J,$J177,сценарии!$M:$M,$P$167))</f>
        <v>0</v>
      </c>
      <c r="Z177" s="102">
        <f>IF(Z$1="",0,SUMIFS(сценарии!Z:Z,сценарии!$E:$E,$E177,сценарии!$J:$J,$J177,сценарии!$M:$M,$P$167))</f>
        <v>0</v>
      </c>
      <c r="AA177" s="102">
        <f>IF(AA$1="",0,SUMIFS(сценарии!AA:AA,сценарии!$E:$E,$E177,сценарии!$J:$J,$J177,сценарии!$M:$M,$P$167))</f>
        <v>0</v>
      </c>
      <c r="AB177" s="22"/>
    </row>
    <row r="178" spans="1:28" s="23" customFormat="1" ht="10.199999999999999" x14ac:dyDescent="0.2">
      <c r="A178" s="22"/>
      <c r="B178" s="22"/>
      <c r="C178" s="22"/>
      <c r="D178" s="22"/>
      <c r="E178" s="22" t="str">
        <f>E167</f>
        <v>конверсия в покупку одной услуги проката</v>
      </c>
      <c r="F178" s="22"/>
      <c r="G178" s="22" t="str">
        <f>IF($E178="","",INDEX(KPI!$G:$G,SUMIFS(KPI!$B:$B,KPI!$E:$E,$E178)))</f>
        <v>%</v>
      </c>
      <c r="H178" s="100">
        <f>структура!$V$22</f>
        <v>11</v>
      </c>
      <c r="I178" s="31"/>
      <c r="J178" s="98" t="str">
        <f>структура!$X$22</f>
        <v>ноя</v>
      </c>
      <c r="K178" s="99"/>
      <c r="L178" s="22"/>
      <c r="M178" s="58"/>
      <c r="N178" s="22"/>
      <c r="O178" s="22"/>
      <c r="P178" s="102">
        <f>IF(P$1="",0,SUMIFS(сценарии!P:P,сценарии!$E:$E,$E178,сценарии!$J:$J,$J178,сценарии!$M:$M,$P$167))</f>
        <v>0.2</v>
      </c>
      <c r="Q178" s="102">
        <f>IF(Q$1="",0,SUMIFS(сценарии!Q:Q,сценарии!$E:$E,$E178,сценарии!$J:$J,$J178,сценарии!$M:$M,$P$167))</f>
        <v>0.2</v>
      </c>
      <c r="R178" s="102">
        <f>IF(R$1="",0,SUMIFS(сценарии!R:R,сценарии!$E:$E,$E178,сценарии!$J:$J,$J178,сценарии!$M:$M,$P$167))</f>
        <v>0.2</v>
      </c>
      <c r="S178" s="102">
        <f>IF(S$1="",0,SUMIFS(сценарии!S:S,сценарии!$E:$E,$E178,сценарии!$J:$J,$J178,сценарии!$M:$M,$P$167))</f>
        <v>0.2</v>
      </c>
      <c r="T178" s="102">
        <f>IF(T$1="",0,SUMIFS(сценарии!T:T,сценарии!$E:$E,$E178,сценарии!$J:$J,$J178,сценарии!$M:$M,$P$167))</f>
        <v>0.2</v>
      </c>
      <c r="U178" s="102">
        <f>IF(U$1="",0,SUMIFS(сценарии!U:U,сценарии!$E:$E,$E178,сценарии!$J:$J,$J178,сценарии!$M:$M,$P$167))</f>
        <v>0.2</v>
      </c>
      <c r="V178" s="102">
        <f>IF(V$1="",0,SUMIFS(сценарии!V:V,сценарии!$E:$E,$E178,сценарии!$J:$J,$J178,сценарии!$M:$M,$P$167))</f>
        <v>0.2</v>
      </c>
      <c r="W178" s="102">
        <f>IF(W$1="",0,SUMIFS(сценарии!W:W,сценарии!$E:$E,$E178,сценарии!$J:$J,$J178,сценарии!$M:$M,$P$167))</f>
        <v>0</v>
      </c>
      <c r="X178" s="102">
        <f>IF(X$1="",0,SUMIFS(сценарии!X:X,сценарии!$E:$E,$E178,сценарии!$J:$J,$J178,сценарии!$M:$M,$P$167))</f>
        <v>0</v>
      </c>
      <c r="Y178" s="102">
        <f>IF(Y$1="",0,SUMIFS(сценарии!Y:Y,сценарии!$E:$E,$E178,сценарии!$J:$J,$J178,сценарии!$M:$M,$P$167))</f>
        <v>0</v>
      </c>
      <c r="Z178" s="102">
        <f>IF(Z$1="",0,SUMIFS(сценарии!Z:Z,сценарии!$E:$E,$E178,сценарии!$J:$J,$J178,сценарии!$M:$M,$P$167))</f>
        <v>0</v>
      </c>
      <c r="AA178" s="102">
        <f>IF(AA$1="",0,SUMIFS(сценарии!AA:AA,сценарии!$E:$E,$E178,сценарии!$J:$J,$J178,сценарии!$M:$M,$P$167))</f>
        <v>0</v>
      </c>
      <c r="AB178" s="22"/>
    </row>
    <row r="179" spans="1:28" s="23" customFormat="1" ht="10.199999999999999" x14ac:dyDescent="0.2">
      <c r="A179" s="22"/>
      <c r="B179" s="22"/>
      <c r="C179" s="22"/>
      <c r="D179" s="22"/>
      <c r="E179" s="22" t="str">
        <f>E167</f>
        <v>конверсия в покупку одной услуги проката</v>
      </c>
      <c r="F179" s="22"/>
      <c r="G179" s="22" t="str">
        <f>IF($E179="","",INDEX(KPI!$G:$G,SUMIFS(KPI!$B:$B,KPI!$E:$E,$E179)))</f>
        <v>%</v>
      </c>
      <c r="H179" s="100">
        <f>структура!$V$23</f>
        <v>12</v>
      </c>
      <c r="I179" s="31"/>
      <c r="J179" s="98" t="str">
        <f>структура!$X$23</f>
        <v>дек</v>
      </c>
      <c r="K179" s="99"/>
      <c r="L179" s="22"/>
      <c r="M179" s="58"/>
      <c r="N179" s="22"/>
      <c r="O179" s="22"/>
      <c r="P179" s="102">
        <f>IF(P$1="",0,SUMIFS(сценарии!P:P,сценарии!$E:$E,$E179,сценарии!$J:$J,$J179,сценарии!$M:$M,$P$167))</f>
        <v>0.3</v>
      </c>
      <c r="Q179" s="102">
        <f>IF(Q$1="",0,SUMIFS(сценарии!Q:Q,сценарии!$E:$E,$E179,сценарии!$J:$J,$J179,сценарии!$M:$M,$P$167))</f>
        <v>0.3</v>
      </c>
      <c r="R179" s="102">
        <f>IF(R$1="",0,SUMIFS(сценарии!R:R,сценарии!$E:$E,$E179,сценарии!$J:$J,$J179,сценарии!$M:$M,$P$167))</f>
        <v>0.3</v>
      </c>
      <c r="S179" s="102">
        <f>IF(S$1="",0,SUMIFS(сценарии!S:S,сценарии!$E:$E,$E179,сценарии!$J:$J,$J179,сценарии!$M:$M,$P$167))</f>
        <v>0.3</v>
      </c>
      <c r="T179" s="102">
        <f>IF(T$1="",0,SUMIFS(сценарии!T:T,сценарии!$E:$E,$E179,сценарии!$J:$J,$J179,сценарии!$M:$M,$P$167))</f>
        <v>0.3</v>
      </c>
      <c r="U179" s="102">
        <f>IF(U$1="",0,SUMIFS(сценарии!U:U,сценарии!$E:$E,$E179,сценарии!$J:$J,$J179,сценарии!$M:$M,$P$167))</f>
        <v>0.3</v>
      </c>
      <c r="V179" s="102">
        <f>IF(V$1="",0,SUMIFS(сценарии!V:V,сценарии!$E:$E,$E179,сценарии!$J:$J,$J179,сценарии!$M:$M,$P$167))</f>
        <v>0.3</v>
      </c>
      <c r="W179" s="102">
        <f>IF(W$1="",0,SUMIFS(сценарии!W:W,сценарии!$E:$E,$E179,сценарии!$J:$J,$J179,сценарии!$M:$M,$P$167))</f>
        <v>0</v>
      </c>
      <c r="X179" s="102">
        <f>IF(X$1="",0,SUMIFS(сценарии!X:X,сценарии!$E:$E,$E179,сценарии!$J:$J,$J179,сценарии!$M:$M,$P$167))</f>
        <v>0</v>
      </c>
      <c r="Y179" s="102">
        <f>IF(Y$1="",0,SUMIFS(сценарии!Y:Y,сценарии!$E:$E,$E179,сценарии!$J:$J,$J179,сценарии!$M:$M,$P$167))</f>
        <v>0</v>
      </c>
      <c r="Z179" s="102">
        <f>IF(Z$1="",0,SUMIFS(сценарии!Z:Z,сценарии!$E:$E,$E179,сценарии!$J:$J,$J179,сценарии!$M:$M,$P$167))</f>
        <v>0</v>
      </c>
      <c r="AA179" s="102">
        <f>IF(AA$1="",0,SUMIFS(сценарии!AA:AA,сценарии!$E:$E,$E179,сценарии!$J:$J,$J179,сценарии!$M:$M,$P$167))</f>
        <v>0</v>
      </c>
      <c r="AB179" s="22"/>
    </row>
    <row r="180" spans="1:28" ht="3.9" customHeight="1" x14ac:dyDescent="0.25">
      <c r="A180" s="2"/>
      <c r="B180" s="2"/>
      <c r="C180" s="2"/>
      <c r="D180" s="2"/>
      <c r="E180" s="21"/>
      <c r="F180" s="2"/>
      <c r="G180" s="21"/>
      <c r="H180" s="2"/>
      <c r="I180" s="28"/>
      <c r="J180" s="21"/>
      <c r="K180" s="28"/>
      <c r="L180" s="2"/>
      <c r="M180" s="52"/>
      <c r="N180" s="2"/>
      <c r="O180" s="2"/>
      <c r="P180" s="36"/>
      <c r="Q180" s="36"/>
      <c r="R180" s="36"/>
      <c r="S180" s="36"/>
      <c r="T180" s="36"/>
      <c r="U180" s="36"/>
      <c r="V180" s="36"/>
      <c r="W180" s="36"/>
      <c r="X180" s="36"/>
      <c r="Y180" s="36"/>
      <c r="Z180" s="36"/>
      <c r="AA180" s="36"/>
      <c r="AB180" s="2"/>
    </row>
    <row r="181" spans="1:28" ht="8.1" customHeight="1" x14ac:dyDescent="0.25">
      <c r="A181" s="2"/>
      <c r="B181" s="2"/>
      <c r="C181" s="2"/>
      <c r="D181" s="2"/>
      <c r="E181" s="2"/>
      <c r="F181" s="2"/>
      <c r="G181" s="2"/>
      <c r="H181" s="2"/>
      <c r="I181" s="28"/>
      <c r="J181" s="2"/>
      <c r="K181" s="28"/>
      <c r="L181" s="2"/>
      <c r="M181" s="52"/>
      <c r="N181" s="2"/>
      <c r="O181" s="2"/>
      <c r="P181" s="36"/>
      <c r="Q181" s="36"/>
      <c r="R181" s="36"/>
      <c r="S181" s="36"/>
      <c r="T181" s="36"/>
      <c r="U181" s="36"/>
      <c r="V181" s="36"/>
      <c r="W181" s="36"/>
      <c r="X181" s="36"/>
      <c r="Y181" s="36"/>
      <c r="Z181" s="36"/>
      <c r="AA181" s="36"/>
      <c r="AB181" s="2"/>
    </row>
    <row r="182" spans="1:28" s="5" customFormat="1" x14ac:dyDescent="0.25">
      <c r="A182" s="3"/>
      <c r="B182" s="3"/>
      <c r="C182" s="3"/>
      <c r="D182" s="108"/>
      <c r="E182" s="3" t="str">
        <f>KPI!$E$42</f>
        <v>доход от продажи услуг</v>
      </c>
      <c r="F182" s="3"/>
      <c r="G182" s="3" t="str">
        <f>IF($E182="","",INDEX(KPI!$G:$G,SUMIFS(KPI!$B:$B,KPI!$E:$E,$E182)))</f>
        <v>тыс.руб.</v>
      </c>
      <c r="H182" s="3"/>
      <c r="I182" s="28"/>
      <c r="J182" s="44"/>
      <c r="K182" s="28"/>
      <c r="L182" s="3"/>
      <c r="M182" s="55">
        <f>SUM($O182:$AB182)</f>
        <v>67218.450000000012</v>
      </c>
      <c r="N182" s="3"/>
      <c r="O182" s="3"/>
      <c r="P182" s="46">
        <f>IF(P$1="",0,IF(P$1=0,SUMIFS(P183:P194,H183:H194,"&gt;="&amp;MONTH($J$13)),SUM(P183:P194)))</f>
        <v>6841.7550000000001</v>
      </c>
      <c r="Q182" s="46">
        <f t="shared" ref="Q182" si="55">IF(Q$1="",0,SUM(Q183:Q194))</f>
        <v>7475.2049999999999</v>
      </c>
      <c r="R182" s="46">
        <f t="shared" ref="R182" si="56">IF(R$1="",0,SUM(R183:R194))</f>
        <v>8428.35</v>
      </c>
      <c r="S182" s="46">
        <f t="shared" ref="S182" si="57">IF(S$1="",0,SUM(S183:S194))</f>
        <v>9058.83</v>
      </c>
      <c r="T182" s="46">
        <f t="shared" ref="T182" si="58">IF(T$1="",0,SUM(T183:T194))</f>
        <v>10009.005000000001</v>
      </c>
      <c r="U182" s="46">
        <f t="shared" ref="U182" si="59">IF(U$1="",0,SUM(U183:U194))</f>
        <v>11592.630000000001</v>
      </c>
      <c r="V182" s="46">
        <f t="shared" ref="V182" si="60">IF(V$1="",0,SUM(V183:V194))</f>
        <v>13812.674999999997</v>
      </c>
      <c r="W182" s="46">
        <f t="shared" ref="W182" si="61">IF(W$1="",0,SUM(W183:W194))</f>
        <v>0</v>
      </c>
      <c r="X182" s="46">
        <f t="shared" ref="X182" si="62">IF(X$1="",0,SUM(X183:X194))</f>
        <v>0</v>
      </c>
      <c r="Y182" s="46">
        <f t="shared" ref="Y182" si="63">IF(Y$1="",0,SUM(Y183:Y194))</f>
        <v>0</v>
      </c>
      <c r="Z182" s="46">
        <f t="shared" ref="Z182" si="64">IF(Z$1="",0,SUM(Z183:Z194))</f>
        <v>0</v>
      </c>
      <c r="AA182" s="46">
        <f t="shared" ref="AA182" si="65">IF(AA$1="",0,SUM(AA183:AA194))</f>
        <v>0</v>
      </c>
      <c r="AB182" s="3"/>
    </row>
    <row r="183" spans="1:28" s="23" customFormat="1" ht="10.199999999999999" x14ac:dyDescent="0.2">
      <c r="A183" s="22"/>
      <c r="B183" s="22"/>
      <c r="C183" s="22"/>
      <c r="D183" s="22"/>
      <c r="E183" s="22" t="str">
        <f>E182</f>
        <v>доход от продажи услуг</v>
      </c>
      <c r="F183" s="22"/>
      <c r="G183" s="22" t="str">
        <f>IF($E183="","",INDEX(KPI!$G:$G,SUMIFS(KPI!$B:$B,KPI!$E:$E,$E183)))</f>
        <v>тыс.руб.</v>
      </c>
      <c r="H183" s="100">
        <f>структура!$V$12</f>
        <v>1</v>
      </c>
      <c r="I183" s="31"/>
      <c r="J183" s="98" t="str">
        <f>структура!$X$12</f>
        <v>янв</v>
      </c>
      <c r="K183" s="99"/>
      <c r="L183" s="22"/>
      <c r="M183" s="58"/>
      <c r="N183" s="22"/>
      <c r="O183" s="22"/>
      <c r="P183" s="101">
        <f>P198+P213</f>
        <v>239.625</v>
      </c>
      <c r="Q183" s="101">
        <f t="shared" ref="Q183:AA183" si="66">Q198+Q213</f>
        <v>258.375</v>
      </c>
      <c r="R183" s="101">
        <f t="shared" si="66"/>
        <v>286.5</v>
      </c>
      <c r="S183" s="101">
        <f t="shared" si="66"/>
        <v>305.25</v>
      </c>
      <c r="T183" s="101">
        <f t="shared" si="66"/>
        <v>333.375</v>
      </c>
      <c r="U183" s="101">
        <f t="shared" si="66"/>
        <v>380.25</v>
      </c>
      <c r="V183" s="101">
        <f t="shared" si="66"/>
        <v>445.875</v>
      </c>
      <c r="W183" s="101">
        <f t="shared" si="66"/>
        <v>0</v>
      </c>
      <c r="X183" s="101">
        <f t="shared" si="66"/>
        <v>0</v>
      </c>
      <c r="Y183" s="101">
        <f t="shared" si="66"/>
        <v>0</v>
      </c>
      <c r="Z183" s="101">
        <f t="shared" si="66"/>
        <v>0</v>
      </c>
      <c r="AA183" s="101">
        <f t="shared" si="66"/>
        <v>0</v>
      </c>
      <c r="AB183" s="22"/>
    </row>
    <row r="184" spans="1:28" s="23" customFormat="1" ht="10.199999999999999" x14ac:dyDescent="0.2">
      <c r="A184" s="22"/>
      <c r="B184" s="22"/>
      <c r="C184" s="22"/>
      <c r="D184" s="22"/>
      <c r="E184" s="22" t="str">
        <f>E182</f>
        <v>доход от продажи услуг</v>
      </c>
      <c r="F184" s="22"/>
      <c r="G184" s="22" t="str">
        <f>IF($E184="","",INDEX(KPI!$G:$G,SUMIFS(KPI!$B:$B,KPI!$E:$E,$E184)))</f>
        <v>тыс.руб.</v>
      </c>
      <c r="H184" s="100">
        <f>структура!$V$13</f>
        <v>2</v>
      </c>
      <c r="I184" s="31"/>
      <c r="J184" s="98" t="str">
        <f>структура!$X$13</f>
        <v>фев</v>
      </c>
      <c r="K184" s="99"/>
      <c r="L184" s="22"/>
      <c r="M184" s="58"/>
      <c r="N184" s="22"/>
      <c r="O184" s="22"/>
      <c r="P184" s="101">
        <f t="shared" ref="P184:AA194" si="67">P199+P214</f>
        <v>257.28000000000003</v>
      </c>
      <c r="Q184" s="101">
        <f t="shared" si="67"/>
        <v>282.08000000000004</v>
      </c>
      <c r="R184" s="101">
        <f t="shared" si="67"/>
        <v>322.25</v>
      </c>
      <c r="S184" s="101">
        <f t="shared" si="67"/>
        <v>344.08000000000004</v>
      </c>
      <c r="T184" s="101">
        <f t="shared" si="67"/>
        <v>381.28000000000003</v>
      </c>
      <c r="U184" s="101">
        <f t="shared" si="67"/>
        <v>443.28000000000003</v>
      </c>
      <c r="V184" s="101">
        <f t="shared" si="67"/>
        <v>533.04999999999995</v>
      </c>
      <c r="W184" s="101">
        <f t="shared" si="67"/>
        <v>0</v>
      </c>
      <c r="X184" s="101">
        <f t="shared" si="67"/>
        <v>0</v>
      </c>
      <c r="Y184" s="101">
        <f t="shared" si="67"/>
        <v>0</v>
      </c>
      <c r="Z184" s="101">
        <f t="shared" si="67"/>
        <v>0</v>
      </c>
      <c r="AA184" s="101">
        <f t="shared" si="67"/>
        <v>0</v>
      </c>
      <c r="AB184" s="22"/>
    </row>
    <row r="185" spans="1:28" s="23" customFormat="1" ht="10.199999999999999" x14ac:dyDescent="0.2">
      <c r="A185" s="22"/>
      <c r="B185" s="22"/>
      <c r="C185" s="22"/>
      <c r="D185" s="22"/>
      <c r="E185" s="22" t="str">
        <f>E182</f>
        <v>доход от продажи услуг</v>
      </c>
      <c r="F185" s="22"/>
      <c r="G185" s="22" t="str">
        <f>IF($E185="","",INDEX(KPI!$G:$G,SUMIFS(KPI!$B:$B,KPI!$E:$E,$E185)))</f>
        <v>тыс.руб.</v>
      </c>
      <c r="H185" s="100">
        <f>структура!$V$14</f>
        <v>3</v>
      </c>
      <c r="I185" s="31"/>
      <c r="J185" s="98" t="str">
        <f>структура!$X$14</f>
        <v>мар</v>
      </c>
      <c r="K185" s="99"/>
      <c r="L185" s="22"/>
      <c r="M185" s="58"/>
      <c r="N185" s="22"/>
      <c r="O185" s="22"/>
      <c r="P185" s="101">
        <f t="shared" si="67"/>
        <v>331.5</v>
      </c>
      <c r="Q185" s="101">
        <f t="shared" si="67"/>
        <v>362.5</v>
      </c>
      <c r="R185" s="101">
        <f t="shared" si="67"/>
        <v>409</v>
      </c>
      <c r="S185" s="101">
        <f t="shared" si="67"/>
        <v>440</v>
      </c>
      <c r="T185" s="101">
        <f t="shared" si="67"/>
        <v>486.5</v>
      </c>
      <c r="U185" s="101">
        <f t="shared" si="67"/>
        <v>564</v>
      </c>
      <c r="V185" s="101">
        <f t="shared" si="67"/>
        <v>672.5</v>
      </c>
      <c r="W185" s="101">
        <f t="shared" si="67"/>
        <v>0</v>
      </c>
      <c r="X185" s="101">
        <f t="shared" si="67"/>
        <v>0</v>
      </c>
      <c r="Y185" s="101">
        <f t="shared" si="67"/>
        <v>0</v>
      </c>
      <c r="Z185" s="101">
        <f t="shared" si="67"/>
        <v>0</v>
      </c>
      <c r="AA185" s="101">
        <f t="shared" si="67"/>
        <v>0</v>
      </c>
      <c r="AB185" s="22"/>
    </row>
    <row r="186" spans="1:28" s="23" customFormat="1" ht="10.199999999999999" x14ac:dyDescent="0.2">
      <c r="A186" s="22"/>
      <c r="B186" s="22"/>
      <c r="C186" s="22"/>
      <c r="D186" s="22"/>
      <c r="E186" s="22" t="str">
        <f>E182</f>
        <v>доход от продажи услуг</v>
      </c>
      <c r="F186" s="22"/>
      <c r="G186" s="22" t="str">
        <f>IF($E186="","",INDEX(KPI!$G:$G,SUMIFS(KPI!$B:$B,KPI!$E:$E,$E186)))</f>
        <v>тыс.руб.</v>
      </c>
      <c r="H186" s="100">
        <f>структура!$V$15</f>
        <v>4</v>
      </c>
      <c r="I186" s="31"/>
      <c r="J186" s="98" t="str">
        <f>структура!$X$15</f>
        <v>апр</v>
      </c>
      <c r="K186" s="99"/>
      <c r="L186" s="22"/>
      <c r="M186" s="58"/>
      <c r="N186" s="22"/>
      <c r="O186" s="22"/>
      <c r="P186" s="101">
        <f t="shared" si="67"/>
        <v>348.33000000000004</v>
      </c>
      <c r="Q186" s="101">
        <f t="shared" si="67"/>
        <v>379.33000000000004</v>
      </c>
      <c r="R186" s="101">
        <f t="shared" si="67"/>
        <v>425.83000000000004</v>
      </c>
      <c r="S186" s="101">
        <f t="shared" si="67"/>
        <v>456.83000000000004</v>
      </c>
      <c r="T186" s="101">
        <f t="shared" si="67"/>
        <v>503.33000000000004</v>
      </c>
      <c r="U186" s="101">
        <f t="shared" si="67"/>
        <v>580.83000000000004</v>
      </c>
      <c r="V186" s="101">
        <f t="shared" si="67"/>
        <v>689.33</v>
      </c>
      <c r="W186" s="101">
        <f t="shared" si="67"/>
        <v>0</v>
      </c>
      <c r="X186" s="101">
        <f t="shared" si="67"/>
        <v>0</v>
      </c>
      <c r="Y186" s="101">
        <f t="shared" si="67"/>
        <v>0</v>
      </c>
      <c r="Z186" s="101">
        <f t="shared" si="67"/>
        <v>0</v>
      </c>
      <c r="AA186" s="101">
        <f t="shared" si="67"/>
        <v>0</v>
      </c>
      <c r="AB186" s="22"/>
    </row>
    <row r="187" spans="1:28" s="23" customFormat="1" ht="10.199999999999999" x14ac:dyDescent="0.2">
      <c r="A187" s="22"/>
      <c r="B187" s="22"/>
      <c r="C187" s="22"/>
      <c r="D187" s="22"/>
      <c r="E187" s="22" t="str">
        <f>E182</f>
        <v>доход от продажи услуг</v>
      </c>
      <c r="F187" s="22"/>
      <c r="G187" s="22" t="str">
        <f>IF($E187="","",INDEX(KPI!$G:$G,SUMIFS(KPI!$B:$B,KPI!$E:$E,$E187)))</f>
        <v>тыс.руб.</v>
      </c>
      <c r="H187" s="100">
        <f>структура!$V$16</f>
        <v>5</v>
      </c>
      <c r="I187" s="31"/>
      <c r="J187" s="98" t="str">
        <f>структура!$X$16</f>
        <v>май</v>
      </c>
      <c r="K187" s="99"/>
      <c r="L187" s="22"/>
      <c r="M187" s="58"/>
      <c r="N187" s="22"/>
      <c r="O187" s="22"/>
      <c r="P187" s="101">
        <f t="shared" si="67"/>
        <v>861.6</v>
      </c>
      <c r="Q187" s="101">
        <f t="shared" si="67"/>
        <v>944.8</v>
      </c>
      <c r="R187" s="101">
        <f t="shared" si="67"/>
        <v>1069.5999999999999</v>
      </c>
      <c r="S187" s="101">
        <f t="shared" si="67"/>
        <v>1152.8</v>
      </c>
      <c r="T187" s="101">
        <f t="shared" si="67"/>
        <v>1277.5999999999999</v>
      </c>
      <c r="U187" s="101">
        <f t="shared" si="67"/>
        <v>1485.6</v>
      </c>
      <c r="V187" s="101">
        <f t="shared" si="67"/>
        <v>1776.8</v>
      </c>
      <c r="W187" s="101">
        <f t="shared" si="67"/>
        <v>0</v>
      </c>
      <c r="X187" s="101">
        <f t="shared" si="67"/>
        <v>0</v>
      </c>
      <c r="Y187" s="101">
        <f t="shared" si="67"/>
        <v>0</v>
      </c>
      <c r="Z187" s="101">
        <f t="shared" si="67"/>
        <v>0</v>
      </c>
      <c r="AA187" s="101">
        <f t="shared" si="67"/>
        <v>0</v>
      </c>
      <c r="AB187" s="22"/>
    </row>
    <row r="188" spans="1:28" s="23" customFormat="1" ht="10.199999999999999" x14ac:dyDescent="0.2">
      <c r="A188" s="22"/>
      <c r="B188" s="22"/>
      <c r="C188" s="22"/>
      <c r="D188" s="22"/>
      <c r="E188" s="22" t="str">
        <f>E182</f>
        <v>доход от продажи услуг</v>
      </c>
      <c r="F188" s="22"/>
      <c r="G188" s="22" t="str">
        <f>IF($E188="","",INDEX(KPI!$G:$G,SUMIFS(KPI!$B:$B,KPI!$E:$E,$E188)))</f>
        <v>тыс.руб.</v>
      </c>
      <c r="H188" s="100">
        <f>структура!$V$17</f>
        <v>6</v>
      </c>
      <c r="I188" s="31"/>
      <c r="J188" s="98" t="str">
        <f>структура!$X$17</f>
        <v>июн</v>
      </c>
      <c r="K188" s="99"/>
      <c r="L188" s="22"/>
      <c r="M188" s="58"/>
      <c r="N188" s="22"/>
      <c r="O188" s="22"/>
      <c r="P188" s="101">
        <f t="shared" si="67"/>
        <v>1268.8800000000001</v>
      </c>
      <c r="Q188" s="101">
        <f t="shared" si="67"/>
        <v>1396.88</v>
      </c>
      <c r="R188" s="101">
        <f t="shared" si="67"/>
        <v>1588.88</v>
      </c>
      <c r="S188" s="101">
        <f t="shared" si="67"/>
        <v>1716.88</v>
      </c>
      <c r="T188" s="101">
        <f t="shared" si="67"/>
        <v>1908.88</v>
      </c>
      <c r="U188" s="101">
        <f t="shared" si="67"/>
        <v>2228.88</v>
      </c>
      <c r="V188" s="101">
        <f t="shared" si="67"/>
        <v>2676.88</v>
      </c>
      <c r="W188" s="101">
        <f t="shared" si="67"/>
        <v>0</v>
      </c>
      <c r="X188" s="101">
        <f t="shared" si="67"/>
        <v>0</v>
      </c>
      <c r="Y188" s="101">
        <f t="shared" si="67"/>
        <v>0</v>
      </c>
      <c r="Z188" s="101">
        <f t="shared" si="67"/>
        <v>0</v>
      </c>
      <c r="AA188" s="101">
        <f t="shared" si="67"/>
        <v>0</v>
      </c>
      <c r="AB188" s="22"/>
    </row>
    <row r="189" spans="1:28" s="23" customFormat="1" ht="10.199999999999999" x14ac:dyDescent="0.2">
      <c r="A189" s="22"/>
      <c r="B189" s="22"/>
      <c r="C189" s="22"/>
      <c r="D189" s="22"/>
      <c r="E189" s="22" t="str">
        <f>E182</f>
        <v>доход от продажи услуг</v>
      </c>
      <c r="F189" s="22"/>
      <c r="G189" s="22" t="str">
        <f>IF($E189="","",INDEX(KPI!$G:$G,SUMIFS(KPI!$B:$B,KPI!$E:$E,$E189)))</f>
        <v>тыс.руб.</v>
      </c>
      <c r="H189" s="100">
        <f>структура!$V$18</f>
        <v>7</v>
      </c>
      <c r="I189" s="31"/>
      <c r="J189" s="98" t="str">
        <f>структура!$X$18</f>
        <v>июл</v>
      </c>
      <c r="K189" s="99"/>
      <c r="L189" s="22"/>
      <c r="M189" s="58"/>
      <c r="N189" s="22"/>
      <c r="O189" s="22"/>
      <c r="P189" s="101">
        <f t="shared" si="67"/>
        <v>1038.7800000000002</v>
      </c>
      <c r="Q189" s="101">
        <f t="shared" si="67"/>
        <v>1134.7800000000002</v>
      </c>
      <c r="R189" s="101">
        <f t="shared" si="67"/>
        <v>1278.7800000000002</v>
      </c>
      <c r="S189" s="101">
        <f t="shared" si="67"/>
        <v>1374.7800000000002</v>
      </c>
      <c r="T189" s="101">
        <f t="shared" si="67"/>
        <v>1518.7800000000002</v>
      </c>
      <c r="U189" s="101">
        <f t="shared" si="67"/>
        <v>1758.7800000000002</v>
      </c>
      <c r="V189" s="101">
        <f t="shared" si="67"/>
        <v>2094.7800000000002</v>
      </c>
      <c r="W189" s="101">
        <f t="shared" si="67"/>
        <v>0</v>
      </c>
      <c r="X189" s="101">
        <f t="shared" si="67"/>
        <v>0</v>
      </c>
      <c r="Y189" s="101">
        <f t="shared" si="67"/>
        <v>0</v>
      </c>
      <c r="Z189" s="101">
        <f t="shared" si="67"/>
        <v>0</v>
      </c>
      <c r="AA189" s="101">
        <f t="shared" si="67"/>
        <v>0</v>
      </c>
      <c r="AB189" s="22"/>
    </row>
    <row r="190" spans="1:28" s="23" customFormat="1" ht="10.199999999999999" x14ac:dyDescent="0.2">
      <c r="A190" s="22"/>
      <c r="B190" s="22"/>
      <c r="C190" s="22"/>
      <c r="D190" s="22"/>
      <c r="E190" s="22" t="str">
        <f>E182</f>
        <v>доход от продажи услуг</v>
      </c>
      <c r="F190" s="22"/>
      <c r="G190" s="22" t="str">
        <f>IF($E190="","",INDEX(KPI!$G:$G,SUMIFS(KPI!$B:$B,KPI!$E:$E,$E190)))</f>
        <v>тыс.руб.</v>
      </c>
      <c r="H190" s="100">
        <f>структура!$V$19</f>
        <v>8</v>
      </c>
      <c r="I190" s="31"/>
      <c r="J190" s="98" t="str">
        <f>структура!$X$19</f>
        <v>авг</v>
      </c>
      <c r="K190" s="99"/>
      <c r="L190" s="22"/>
      <c r="M190" s="58"/>
      <c r="N190" s="22"/>
      <c r="O190" s="22"/>
      <c r="P190" s="101">
        <f t="shared" si="67"/>
        <v>942.78000000000009</v>
      </c>
      <c r="Q190" s="101">
        <f t="shared" si="67"/>
        <v>1025.98</v>
      </c>
      <c r="R190" s="101">
        <f t="shared" si="67"/>
        <v>1150.7800000000002</v>
      </c>
      <c r="S190" s="101">
        <f t="shared" si="67"/>
        <v>1233.98</v>
      </c>
      <c r="T190" s="101">
        <f t="shared" si="67"/>
        <v>1358.7800000000002</v>
      </c>
      <c r="U190" s="101">
        <f t="shared" si="67"/>
        <v>1566.7800000000002</v>
      </c>
      <c r="V190" s="101">
        <f t="shared" si="67"/>
        <v>1857.98</v>
      </c>
      <c r="W190" s="101">
        <f t="shared" si="67"/>
        <v>0</v>
      </c>
      <c r="X190" s="101">
        <f t="shared" si="67"/>
        <v>0</v>
      </c>
      <c r="Y190" s="101">
        <f t="shared" si="67"/>
        <v>0</v>
      </c>
      <c r="Z190" s="101">
        <f t="shared" si="67"/>
        <v>0</v>
      </c>
      <c r="AA190" s="101">
        <f t="shared" si="67"/>
        <v>0</v>
      </c>
      <c r="AB190" s="22"/>
    </row>
    <row r="191" spans="1:28" s="23" customFormat="1" ht="10.199999999999999" x14ac:dyDescent="0.2">
      <c r="A191" s="22"/>
      <c r="B191" s="22"/>
      <c r="C191" s="22"/>
      <c r="D191" s="22"/>
      <c r="E191" s="22" t="str">
        <f>E182</f>
        <v>доход от продажи услуг</v>
      </c>
      <c r="F191" s="22"/>
      <c r="G191" s="22" t="str">
        <f>IF($E191="","",INDEX(KPI!$G:$G,SUMIFS(KPI!$B:$B,KPI!$E:$E,$E191)))</f>
        <v>тыс.руб.</v>
      </c>
      <c r="H191" s="100">
        <f>структура!$V$20</f>
        <v>9</v>
      </c>
      <c r="I191" s="31"/>
      <c r="J191" s="98" t="str">
        <f>структура!$X$20</f>
        <v>сен</v>
      </c>
      <c r="K191" s="99"/>
      <c r="L191" s="22"/>
      <c r="M191" s="58"/>
      <c r="N191" s="22"/>
      <c r="O191" s="22"/>
      <c r="P191" s="101">
        <f t="shared" si="67"/>
        <v>402.67500000000001</v>
      </c>
      <c r="Q191" s="101">
        <f t="shared" si="67"/>
        <v>433.92500000000001</v>
      </c>
      <c r="R191" s="101">
        <f t="shared" si="67"/>
        <v>480.8</v>
      </c>
      <c r="S191" s="101">
        <f t="shared" si="67"/>
        <v>512.04999999999995</v>
      </c>
      <c r="T191" s="101">
        <f t="shared" si="67"/>
        <v>558.92499999999995</v>
      </c>
      <c r="U191" s="101">
        <f t="shared" si="67"/>
        <v>637.04999999999995</v>
      </c>
      <c r="V191" s="101">
        <f t="shared" si="67"/>
        <v>746.42499999999995</v>
      </c>
      <c r="W191" s="101">
        <f t="shared" si="67"/>
        <v>0</v>
      </c>
      <c r="X191" s="101">
        <f t="shared" si="67"/>
        <v>0</v>
      </c>
      <c r="Y191" s="101">
        <f t="shared" si="67"/>
        <v>0</v>
      </c>
      <c r="Z191" s="101">
        <f t="shared" si="67"/>
        <v>0</v>
      </c>
      <c r="AA191" s="101">
        <f t="shared" si="67"/>
        <v>0</v>
      </c>
      <c r="AB191" s="22"/>
    </row>
    <row r="192" spans="1:28" s="23" customFormat="1" ht="10.199999999999999" x14ac:dyDescent="0.2">
      <c r="A192" s="22"/>
      <c r="B192" s="22"/>
      <c r="C192" s="22"/>
      <c r="D192" s="22"/>
      <c r="E192" s="22" t="str">
        <f>E182</f>
        <v>доход от продажи услуг</v>
      </c>
      <c r="F192" s="22"/>
      <c r="G192" s="22" t="str">
        <f>IF($E192="","",INDEX(KPI!$G:$G,SUMIFS(KPI!$B:$B,KPI!$E:$E,$E192)))</f>
        <v>тыс.руб.</v>
      </c>
      <c r="H192" s="100">
        <f>структура!$V$21</f>
        <v>10</v>
      </c>
      <c r="I192" s="31"/>
      <c r="J192" s="98" t="str">
        <f>структура!$X$21</f>
        <v>окт</v>
      </c>
      <c r="K192" s="99"/>
      <c r="L192" s="22"/>
      <c r="M192" s="58"/>
      <c r="N192" s="22"/>
      <c r="O192" s="22"/>
      <c r="P192" s="101">
        <f t="shared" si="67"/>
        <v>466.72500000000008</v>
      </c>
      <c r="Q192" s="101">
        <f t="shared" si="67"/>
        <v>510.47500000000008</v>
      </c>
      <c r="R192" s="101">
        <f t="shared" si="67"/>
        <v>576.10000000000014</v>
      </c>
      <c r="S192" s="101">
        <f t="shared" si="67"/>
        <v>619.85000000000014</v>
      </c>
      <c r="T192" s="101">
        <f t="shared" si="67"/>
        <v>685.47500000000002</v>
      </c>
      <c r="U192" s="101">
        <f t="shared" si="67"/>
        <v>794.85000000000014</v>
      </c>
      <c r="V192" s="101">
        <f t="shared" si="67"/>
        <v>947.97500000000014</v>
      </c>
      <c r="W192" s="101">
        <f t="shared" si="67"/>
        <v>0</v>
      </c>
      <c r="X192" s="101">
        <f t="shared" si="67"/>
        <v>0</v>
      </c>
      <c r="Y192" s="101">
        <f t="shared" si="67"/>
        <v>0</v>
      </c>
      <c r="Z192" s="101">
        <f t="shared" si="67"/>
        <v>0</v>
      </c>
      <c r="AA192" s="101">
        <f t="shared" si="67"/>
        <v>0</v>
      </c>
      <c r="AB192" s="22"/>
    </row>
    <row r="193" spans="1:28" s="23" customFormat="1" ht="10.199999999999999" x14ac:dyDescent="0.2">
      <c r="A193" s="22"/>
      <c r="B193" s="22"/>
      <c r="C193" s="22"/>
      <c r="D193" s="22"/>
      <c r="E193" s="22" t="str">
        <f>E182</f>
        <v>доход от продажи услуг</v>
      </c>
      <c r="F193" s="22"/>
      <c r="G193" s="22" t="str">
        <f>IF($E193="","",INDEX(KPI!$G:$G,SUMIFS(KPI!$B:$B,KPI!$E:$E,$E193)))</f>
        <v>тыс.руб.</v>
      </c>
      <c r="H193" s="100">
        <f>структура!$V$22</f>
        <v>11</v>
      </c>
      <c r="I193" s="31"/>
      <c r="J193" s="98" t="str">
        <f>структура!$X$22</f>
        <v>ноя</v>
      </c>
      <c r="K193" s="99"/>
      <c r="L193" s="22"/>
      <c r="M193" s="58"/>
      <c r="N193" s="22"/>
      <c r="O193" s="22"/>
      <c r="P193" s="101">
        <f t="shared" si="67"/>
        <v>328.53000000000003</v>
      </c>
      <c r="Q193" s="101">
        <f t="shared" si="67"/>
        <v>359.53000000000003</v>
      </c>
      <c r="R193" s="101">
        <f t="shared" si="67"/>
        <v>406.03000000000003</v>
      </c>
      <c r="S193" s="101">
        <f t="shared" si="67"/>
        <v>437.03000000000003</v>
      </c>
      <c r="T193" s="101">
        <f t="shared" si="67"/>
        <v>483.53000000000003</v>
      </c>
      <c r="U193" s="101">
        <f t="shared" si="67"/>
        <v>561.03</v>
      </c>
      <c r="V193" s="101">
        <f t="shared" si="67"/>
        <v>669.53</v>
      </c>
      <c r="W193" s="101">
        <f t="shared" si="67"/>
        <v>0</v>
      </c>
      <c r="X193" s="101">
        <f t="shared" si="67"/>
        <v>0</v>
      </c>
      <c r="Y193" s="101">
        <f t="shared" si="67"/>
        <v>0</v>
      </c>
      <c r="Z193" s="101">
        <f t="shared" si="67"/>
        <v>0</v>
      </c>
      <c r="AA193" s="101">
        <f t="shared" si="67"/>
        <v>0</v>
      </c>
      <c r="AB193" s="22"/>
    </row>
    <row r="194" spans="1:28" s="23" customFormat="1" ht="10.199999999999999" x14ac:dyDescent="0.2">
      <c r="A194" s="22"/>
      <c r="B194" s="22"/>
      <c r="C194" s="22"/>
      <c r="D194" s="22"/>
      <c r="E194" s="22" t="str">
        <f>E182</f>
        <v>доход от продажи услуг</v>
      </c>
      <c r="F194" s="22"/>
      <c r="G194" s="22" t="str">
        <f>IF($E194="","",INDEX(KPI!$G:$G,SUMIFS(KPI!$B:$B,KPI!$E:$E,$E194)))</f>
        <v>тыс.руб.</v>
      </c>
      <c r="H194" s="100">
        <f>структура!$V$23</f>
        <v>12</v>
      </c>
      <c r="I194" s="31"/>
      <c r="J194" s="98" t="str">
        <f>структура!$X$23</f>
        <v>дек</v>
      </c>
      <c r="K194" s="99"/>
      <c r="L194" s="22"/>
      <c r="M194" s="58"/>
      <c r="N194" s="22"/>
      <c r="O194" s="22"/>
      <c r="P194" s="101">
        <f t="shared" si="67"/>
        <v>355.04999999999916</v>
      </c>
      <c r="Q194" s="101">
        <f t="shared" si="67"/>
        <v>386.54999999999905</v>
      </c>
      <c r="R194" s="101">
        <f t="shared" si="67"/>
        <v>433.79999999999893</v>
      </c>
      <c r="S194" s="101">
        <f t="shared" si="67"/>
        <v>465.29999999999882</v>
      </c>
      <c r="T194" s="101">
        <f t="shared" si="67"/>
        <v>512.54999999999859</v>
      </c>
      <c r="U194" s="101">
        <f t="shared" si="67"/>
        <v>591.29999999999836</v>
      </c>
      <c r="V194" s="101">
        <f t="shared" si="67"/>
        <v>701.54999999999791</v>
      </c>
      <c r="W194" s="101">
        <f t="shared" si="67"/>
        <v>0</v>
      </c>
      <c r="X194" s="101">
        <f t="shared" si="67"/>
        <v>0</v>
      </c>
      <c r="Y194" s="101">
        <f t="shared" si="67"/>
        <v>0</v>
      </c>
      <c r="Z194" s="101">
        <f t="shared" si="67"/>
        <v>0</v>
      </c>
      <c r="AA194" s="101">
        <f t="shared" si="67"/>
        <v>0</v>
      </c>
      <c r="AB194" s="22"/>
    </row>
    <row r="195" spans="1:28" ht="3.9" customHeight="1" x14ac:dyDescent="0.25">
      <c r="A195" s="2"/>
      <c r="B195" s="2"/>
      <c r="C195" s="2"/>
      <c r="D195" s="109"/>
      <c r="E195" s="109"/>
      <c r="F195" s="2"/>
      <c r="G195" s="109"/>
      <c r="H195" s="2"/>
      <c r="I195" s="28"/>
      <c r="J195" s="109"/>
      <c r="K195" s="28"/>
      <c r="L195" s="2"/>
      <c r="M195" s="52"/>
      <c r="N195" s="2"/>
      <c r="O195" s="2"/>
      <c r="P195" s="36"/>
      <c r="Q195" s="36"/>
      <c r="R195" s="36"/>
      <c r="S195" s="36"/>
      <c r="T195" s="36"/>
      <c r="U195" s="36"/>
      <c r="V195" s="36"/>
      <c r="W195" s="36"/>
      <c r="X195" s="36"/>
      <c r="Y195" s="36"/>
      <c r="Z195" s="36"/>
      <c r="AA195" s="36"/>
      <c r="AB195" s="2"/>
    </row>
    <row r="196" spans="1:28" ht="8.1" customHeight="1" x14ac:dyDescent="0.25">
      <c r="A196" s="2"/>
      <c r="B196" s="2"/>
      <c r="C196" s="2"/>
      <c r="D196" s="2"/>
      <c r="E196" s="2"/>
      <c r="F196" s="2"/>
      <c r="G196" s="2"/>
      <c r="H196" s="2"/>
      <c r="I196" s="28"/>
      <c r="J196" s="2"/>
      <c r="K196" s="28"/>
      <c r="L196" s="2"/>
      <c r="M196" s="52"/>
      <c r="N196" s="2"/>
      <c r="O196" s="2"/>
      <c r="P196" s="36"/>
      <c r="Q196" s="36"/>
      <c r="R196" s="36"/>
      <c r="S196" s="36"/>
      <c r="T196" s="36"/>
      <c r="U196" s="36"/>
      <c r="V196" s="36"/>
      <c r="W196" s="36"/>
      <c r="X196" s="36"/>
      <c r="Y196" s="36"/>
      <c r="Z196" s="36"/>
      <c r="AA196" s="36"/>
      <c r="AB196" s="2"/>
    </row>
    <row r="197" spans="1:28" s="5" customFormat="1" x14ac:dyDescent="0.25">
      <c r="A197" s="3"/>
      <c r="B197" s="3"/>
      <c r="C197" s="3"/>
      <c r="D197" s="303"/>
      <c r="E197" s="3" t="str">
        <f>KPI!$E$118</f>
        <v>доход от продажи услуг веревочного парка</v>
      </c>
      <c r="F197" s="3"/>
      <c r="G197" s="3" t="str">
        <f>IF($E197="","",INDEX(KPI!$G:$G,SUMIFS(KPI!$B:$B,KPI!$E:$E,$E197)))</f>
        <v>тыс.руб.</v>
      </c>
      <c r="H197" s="3"/>
      <c r="I197" s="28"/>
      <c r="J197" s="44"/>
      <c r="K197" s="28"/>
      <c r="L197" s="3"/>
      <c r="M197" s="55">
        <f>SUM($O197:$AB197)</f>
        <v>49799.999999999993</v>
      </c>
      <c r="N197" s="3"/>
      <c r="O197" s="3"/>
      <c r="P197" s="46">
        <f>IF(P$1="",0,IF(P$1=0,SUMIFS(P198:P209,H198:H209,"&gt;="&amp;MONTH($J$13)),SUM(P198:P209)))</f>
        <v>4499.9999999999991</v>
      </c>
      <c r="Q197" s="46">
        <f t="shared" ref="Q197" si="68">IF(Q$1="",0,SUM(Q198:Q209))</f>
        <v>5099.9999999999991</v>
      </c>
      <c r="R197" s="46">
        <f t="shared" ref="R197:AA197" si="69">IF(R$1="",0,SUM(R198:R209))</f>
        <v>5999.9999999999991</v>
      </c>
      <c r="S197" s="46">
        <f t="shared" si="69"/>
        <v>6599.9999999999991</v>
      </c>
      <c r="T197" s="46">
        <f t="shared" si="69"/>
        <v>7499.9999999999982</v>
      </c>
      <c r="U197" s="46">
        <f t="shared" si="69"/>
        <v>8999.9999999999982</v>
      </c>
      <c r="V197" s="46">
        <f t="shared" si="69"/>
        <v>11099.999999999998</v>
      </c>
      <c r="W197" s="46">
        <f t="shared" si="69"/>
        <v>0</v>
      </c>
      <c r="X197" s="46">
        <f t="shared" si="69"/>
        <v>0</v>
      </c>
      <c r="Y197" s="46">
        <f t="shared" si="69"/>
        <v>0</v>
      </c>
      <c r="Z197" s="46">
        <f t="shared" si="69"/>
        <v>0</v>
      </c>
      <c r="AA197" s="46">
        <f t="shared" si="69"/>
        <v>0</v>
      </c>
      <c r="AB197" s="3"/>
    </row>
    <row r="198" spans="1:28" s="23" customFormat="1" ht="10.199999999999999" x14ac:dyDescent="0.2">
      <c r="A198" s="22"/>
      <c r="B198" s="22"/>
      <c r="C198" s="22"/>
      <c r="D198" s="22"/>
      <c r="E198" s="22" t="str">
        <f>E197</f>
        <v>доход от продажи услуг веревочного парка</v>
      </c>
      <c r="F198" s="22"/>
      <c r="G198" s="22" t="str">
        <f>IF($E198="","",INDEX(KPI!$G:$G,SUMIFS(KPI!$B:$B,KPI!$E:$E,$E198)))</f>
        <v>тыс.руб.</v>
      </c>
      <c r="H198" s="100">
        <f>структура!$V$12</f>
        <v>1</v>
      </c>
      <c r="I198" s="31"/>
      <c r="J198" s="98" t="str">
        <f>структура!$X$12</f>
        <v>янв</v>
      </c>
      <c r="K198" s="99"/>
      <c r="L198" s="22"/>
      <c r="M198" s="58"/>
      <c r="N198" s="22"/>
      <c r="O198" s="22"/>
      <c r="P198" s="101">
        <f>IF(P$1="",0,$M108*P$136*SUMIFS($M$138:$M$149,$J$138:$J$149,$J198)/1000)</f>
        <v>135</v>
      </c>
      <c r="Q198" s="101">
        <f t="shared" ref="Q198:AA198" si="70">IF(Q$1="",0,$M108*Q$136*SUMIFS($M$138:$M$149,$J$138:$J$149,$J198)/1000)</f>
        <v>153</v>
      </c>
      <c r="R198" s="101">
        <f t="shared" si="70"/>
        <v>180</v>
      </c>
      <c r="S198" s="101">
        <f t="shared" si="70"/>
        <v>198</v>
      </c>
      <c r="T198" s="101">
        <f t="shared" si="70"/>
        <v>225</v>
      </c>
      <c r="U198" s="101">
        <f t="shared" si="70"/>
        <v>270</v>
      </c>
      <c r="V198" s="101">
        <f t="shared" si="70"/>
        <v>333</v>
      </c>
      <c r="W198" s="101">
        <f t="shared" si="70"/>
        <v>0</v>
      </c>
      <c r="X198" s="101">
        <f t="shared" si="70"/>
        <v>0</v>
      </c>
      <c r="Y198" s="101">
        <f t="shared" si="70"/>
        <v>0</v>
      </c>
      <c r="Z198" s="101">
        <f t="shared" si="70"/>
        <v>0</v>
      </c>
      <c r="AA198" s="101">
        <f t="shared" si="70"/>
        <v>0</v>
      </c>
      <c r="AB198" s="22"/>
    </row>
    <row r="199" spans="1:28" s="23" customFormat="1" ht="10.199999999999999" x14ac:dyDescent="0.2">
      <c r="A199" s="22"/>
      <c r="B199" s="22"/>
      <c r="C199" s="22"/>
      <c r="D199" s="22"/>
      <c r="E199" s="22" t="str">
        <f>E197</f>
        <v>доход от продажи услуг веревочного парка</v>
      </c>
      <c r="F199" s="22"/>
      <c r="G199" s="22" t="str">
        <f>IF($E199="","",INDEX(KPI!$G:$G,SUMIFS(KPI!$B:$B,KPI!$E:$E,$E199)))</f>
        <v>тыс.руб.</v>
      </c>
      <c r="H199" s="100">
        <f>структура!$V$13</f>
        <v>2</v>
      </c>
      <c r="I199" s="31"/>
      <c r="J199" s="98" t="str">
        <f>структура!$X$13</f>
        <v>фев</v>
      </c>
      <c r="K199" s="99"/>
      <c r="L199" s="22"/>
      <c r="M199" s="58"/>
      <c r="N199" s="22"/>
      <c r="O199" s="22"/>
      <c r="P199" s="101">
        <f t="shared" ref="P199:AA209" si="71">IF(P$1="",0,$M109*P$136*SUMIFS($M$138:$M$149,$J$138:$J$149,$J199)/1000)</f>
        <v>180</v>
      </c>
      <c r="Q199" s="101">
        <f t="shared" si="71"/>
        <v>204</v>
      </c>
      <c r="R199" s="101">
        <f t="shared" si="71"/>
        <v>240</v>
      </c>
      <c r="S199" s="101">
        <f t="shared" si="71"/>
        <v>264</v>
      </c>
      <c r="T199" s="101">
        <f t="shared" si="71"/>
        <v>300</v>
      </c>
      <c r="U199" s="101">
        <f t="shared" si="71"/>
        <v>360</v>
      </c>
      <c r="V199" s="101">
        <f t="shared" si="71"/>
        <v>444</v>
      </c>
      <c r="W199" s="101">
        <f t="shared" si="71"/>
        <v>0</v>
      </c>
      <c r="X199" s="101">
        <f t="shared" si="71"/>
        <v>0</v>
      </c>
      <c r="Y199" s="101">
        <f t="shared" si="71"/>
        <v>0</v>
      </c>
      <c r="Z199" s="101">
        <f t="shared" si="71"/>
        <v>0</v>
      </c>
      <c r="AA199" s="101">
        <f t="shared" si="71"/>
        <v>0</v>
      </c>
      <c r="AB199" s="22"/>
    </row>
    <row r="200" spans="1:28" s="23" customFormat="1" ht="10.199999999999999" x14ac:dyDescent="0.2">
      <c r="A200" s="22"/>
      <c r="B200" s="22"/>
      <c r="C200" s="22"/>
      <c r="D200" s="22"/>
      <c r="E200" s="22" t="str">
        <f>E197</f>
        <v>доход от продажи услуг веревочного парка</v>
      </c>
      <c r="F200" s="22"/>
      <c r="G200" s="22" t="str">
        <f>IF($E200="","",INDEX(KPI!$G:$G,SUMIFS(KPI!$B:$B,KPI!$E:$E,$E200)))</f>
        <v>тыс.руб.</v>
      </c>
      <c r="H200" s="100">
        <f>структура!$V$14</f>
        <v>3</v>
      </c>
      <c r="I200" s="31"/>
      <c r="J200" s="98" t="str">
        <f>структура!$X$14</f>
        <v>мар</v>
      </c>
      <c r="K200" s="99"/>
      <c r="L200" s="22"/>
      <c r="M200" s="58"/>
      <c r="N200" s="22"/>
      <c r="O200" s="22"/>
      <c r="P200" s="101">
        <f t="shared" si="71"/>
        <v>225</v>
      </c>
      <c r="Q200" s="101">
        <f t="shared" si="71"/>
        <v>255</v>
      </c>
      <c r="R200" s="101">
        <f t="shared" si="71"/>
        <v>300</v>
      </c>
      <c r="S200" s="101">
        <f t="shared" si="71"/>
        <v>330</v>
      </c>
      <c r="T200" s="101">
        <f t="shared" si="71"/>
        <v>375</v>
      </c>
      <c r="U200" s="101">
        <f t="shared" si="71"/>
        <v>450</v>
      </c>
      <c r="V200" s="101">
        <f t="shared" si="71"/>
        <v>555</v>
      </c>
      <c r="W200" s="101">
        <f t="shared" si="71"/>
        <v>0</v>
      </c>
      <c r="X200" s="101">
        <f t="shared" si="71"/>
        <v>0</v>
      </c>
      <c r="Y200" s="101">
        <f t="shared" si="71"/>
        <v>0</v>
      </c>
      <c r="Z200" s="101">
        <f t="shared" si="71"/>
        <v>0</v>
      </c>
      <c r="AA200" s="101">
        <f t="shared" si="71"/>
        <v>0</v>
      </c>
      <c r="AB200" s="22"/>
    </row>
    <row r="201" spans="1:28" s="23" customFormat="1" ht="10.199999999999999" x14ac:dyDescent="0.2">
      <c r="A201" s="22"/>
      <c r="B201" s="22"/>
      <c r="C201" s="22"/>
      <c r="D201" s="22"/>
      <c r="E201" s="22" t="str">
        <f>E197</f>
        <v>доход от продажи услуг веревочного парка</v>
      </c>
      <c r="F201" s="22"/>
      <c r="G201" s="22" t="str">
        <f>IF($E201="","",INDEX(KPI!$G:$G,SUMIFS(KPI!$B:$B,KPI!$E:$E,$E201)))</f>
        <v>тыс.руб.</v>
      </c>
      <c r="H201" s="100">
        <f>структура!$V$15</f>
        <v>4</v>
      </c>
      <c r="I201" s="31"/>
      <c r="J201" s="98" t="str">
        <f>структура!$X$15</f>
        <v>апр</v>
      </c>
      <c r="K201" s="99"/>
      <c r="L201" s="22"/>
      <c r="M201" s="58"/>
      <c r="N201" s="22"/>
      <c r="O201" s="22"/>
      <c r="P201" s="101">
        <f t="shared" si="71"/>
        <v>225</v>
      </c>
      <c r="Q201" s="101">
        <f t="shared" si="71"/>
        <v>255</v>
      </c>
      <c r="R201" s="101">
        <f t="shared" si="71"/>
        <v>300</v>
      </c>
      <c r="S201" s="101">
        <f t="shared" si="71"/>
        <v>330</v>
      </c>
      <c r="T201" s="101">
        <f t="shared" si="71"/>
        <v>375</v>
      </c>
      <c r="U201" s="101">
        <f t="shared" si="71"/>
        <v>450</v>
      </c>
      <c r="V201" s="101">
        <f t="shared" si="71"/>
        <v>555</v>
      </c>
      <c r="W201" s="101">
        <f t="shared" si="71"/>
        <v>0</v>
      </c>
      <c r="X201" s="101">
        <f t="shared" si="71"/>
        <v>0</v>
      </c>
      <c r="Y201" s="101">
        <f t="shared" si="71"/>
        <v>0</v>
      </c>
      <c r="Z201" s="101">
        <f t="shared" si="71"/>
        <v>0</v>
      </c>
      <c r="AA201" s="101">
        <f t="shared" si="71"/>
        <v>0</v>
      </c>
      <c r="AB201" s="22"/>
    </row>
    <row r="202" spans="1:28" s="23" customFormat="1" ht="10.199999999999999" x14ac:dyDescent="0.2">
      <c r="A202" s="22"/>
      <c r="B202" s="22"/>
      <c r="C202" s="22"/>
      <c r="D202" s="22"/>
      <c r="E202" s="22" t="str">
        <f>E197</f>
        <v>доход от продажи услуг веревочного парка</v>
      </c>
      <c r="F202" s="22"/>
      <c r="G202" s="22" t="str">
        <f>IF($E202="","",INDEX(KPI!$G:$G,SUMIFS(KPI!$B:$B,KPI!$E:$E,$E202)))</f>
        <v>тыс.руб.</v>
      </c>
      <c r="H202" s="100">
        <f>структура!$V$16</f>
        <v>5</v>
      </c>
      <c r="I202" s="31"/>
      <c r="J202" s="98" t="str">
        <f>структура!$X$16</f>
        <v>май</v>
      </c>
      <c r="K202" s="99"/>
      <c r="L202" s="22"/>
      <c r="M202" s="58"/>
      <c r="N202" s="22"/>
      <c r="O202" s="22"/>
      <c r="P202" s="101">
        <f t="shared" si="71"/>
        <v>585</v>
      </c>
      <c r="Q202" s="101">
        <f t="shared" si="71"/>
        <v>663</v>
      </c>
      <c r="R202" s="101">
        <f t="shared" si="71"/>
        <v>780</v>
      </c>
      <c r="S202" s="101">
        <f t="shared" si="71"/>
        <v>858</v>
      </c>
      <c r="T202" s="101">
        <f t="shared" si="71"/>
        <v>975</v>
      </c>
      <c r="U202" s="101">
        <f t="shared" si="71"/>
        <v>1170</v>
      </c>
      <c r="V202" s="101">
        <f t="shared" si="71"/>
        <v>1443</v>
      </c>
      <c r="W202" s="101">
        <f t="shared" si="71"/>
        <v>0</v>
      </c>
      <c r="X202" s="101">
        <f t="shared" si="71"/>
        <v>0</v>
      </c>
      <c r="Y202" s="101">
        <f t="shared" si="71"/>
        <v>0</v>
      </c>
      <c r="Z202" s="101">
        <f t="shared" si="71"/>
        <v>0</v>
      </c>
      <c r="AA202" s="101">
        <f t="shared" si="71"/>
        <v>0</v>
      </c>
      <c r="AB202" s="22"/>
    </row>
    <row r="203" spans="1:28" s="23" customFormat="1" ht="10.199999999999999" x14ac:dyDescent="0.2">
      <c r="A203" s="22"/>
      <c r="B203" s="22"/>
      <c r="C203" s="22"/>
      <c r="D203" s="22"/>
      <c r="E203" s="22" t="str">
        <f>E197</f>
        <v>доход от продажи услуг веревочного парка</v>
      </c>
      <c r="F203" s="22"/>
      <c r="G203" s="22" t="str">
        <f>IF($E203="","",INDEX(KPI!$G:$G,SUMIFS(KPI!$B:$B,KPI!$E:$E,$E203)))</f>
        <v>тыс.руб.</v>
      </c>
      <c r="H203" s="100">
        <f>структура!$V$17</f>
        <v>6</v>
      </c>
      <c r="I203" s="31"/>
      <c r="J203" s="98" t="str">
        <f>структура!$X$17</f>
        <v>июн</v>
      </c>
      <c r="K203" s="99"/>
      <c r="L203" s="22"/>
      <c r="M203" s="58"/>
      <c r="N203" s="22"/>
      <c r="O203" s="22"/>
      <c r="P203" s="101">
        <f t="shared" si="71"/>
        <v>900</v>
      </c>
      <c r="Q203" s="101">
        <f t="shared" si="71"/>
        <v>1020</v>
      </c>
      <c r="R203" s="101">
        <f t="shared" si="71"/>
        <v>1200</v>
      </c>
      <c r="S203" s="101">
        <f t="shared" si="71"/>
        <v>1320</v>
      </c>
      <c r="T203" s="101">
        <f t="shared" si="71"/>
        <v>1500</v>
      </c>
      <c r="U203" s="101">
        <f t="shared" si="71"/>
        <v>1800</v>
      </c>
      <c r="V203" s="101">
        <f t="shared" si="71"/>
        <v>2220</v>
      </c>
      <c r="W203" s="101">
        <f t="shared" si="71"/>
        <v>0</v>
      </c>
      <c r="X203" s="101">
        <f t="shared" si="71"/>
        <v>0</v>
      </c>
      <c r="Y203" s="101">
        <f t="shared" si="71"/>
        <v>0</v>
      </c>
      <c r="Z203" s="101">
        <f t="shared" si="71"/>
        <v>0</v>
      </c>
      <c r="AA203" s="101">
        <f t="shared" si="71"/>
        <v>0</v>
      </c>
      <c r="AB203" s="22"/>
    </row>
    <row r="204" spans="1:28" s="23" customFormat="1" ht="10.199999999999999" x14ac:dyDescent="0.2">
      <c r="A204" s="22"/>
      <c r="B204" s="22"/>
      <c r="C204" s="22"/>
      <c r="D204" s="22"/>
      <c r="E204" s="22" t="str">
        <f>E197</f>
        <v>доход от продажи услуг веревочного парка</v>
      </c>
      <c r="F204" s="22"/>
      <c r="G204" s="22" t="str">
        <f>IF($E204="","",INDEX(KPI!$G:$G,SUMIFS(KPI!$B:$B,KPI!$E:$E,$E204)))</f>
        <v>тыс.руб.</v>
      </c>
      <c r="H204" s="100">
        <f>структура!$V$18</f>
        <v>7</v>
      </c>
      <c r="I204" s="31"/>
      <c r="J204" s="98" t="str">
        <f>структура!$X$18</f>
        <v>июл</v>
      </c>
      <c r="K204" s="99"/>
      <c r="L204" s="22"/>
      <c r="M204" s="58"/>
      <c r="N204" s="22"/>
      <c r="O204" s="22"/>
      <c r="P204" s="101">
        <f t="shared" si="71"/>
        <v>675</v>
      </c>
      <c r="Q204" s="101">
        <f t="shared" si="71"/>
        <v>765</v>
      </c>
      <c r="R204" s="101">
        <f t="shared" si="71"/>
        <v>900</v>
      </c>
      <c r="S204" s="101">
        <f t="shared" si="71"/>
        <v>990</v>
      </c>
      <c r="T204" s="101">
        <f t="shared" si="71"/>
        <v>1125</v>
      </c>
      <c r="U204" s="101">
        <f t="shared" si="71"/>
        <v>1350</v>
      </c>
      <c r="V204" s="101">
        <f t="shared" si="71"/>
        <v>1665</v>
      </c>
      <c r="W204" s="101">
        <f t="shared" si="71"/>
        <v>0</v>
      </c>
      <c r="X204" s="101">
        <f t="shared" si="71"/>
        <v>0</v>
      </c>
      <c r="Y204" s="101">
        <f t="shared" si="71"/>
        <v>0</v>
      </c>
      <c r="Z204" s="101">
        <f t="shared" si="71"/>
        <v>0</v>
      </c>
      <c r="AA204" s="101">
        <f t="shared" si="71"/>
        <v>0</v>
      </c>
      <c r="AB204" s="22"/>
    </row>
    <row r="205" spans="1:28" s="23" customFormat="1" ht="10.199999999999999" x14ac:dyDescent="0.2">
      <c r="A205" s="22"/>
      <c r="B205" s="22"/>
      <c r="C205" s="22"/>
      <c r="D205" s="22"/>
      <c r="E205" s="22" t="str">
        <f>E197</f>
        <v>доход от продажи услуг веревочного парка</v>
      </c>
      <c r="F205" s="22"/>
      <c r="G205" s="22" t="str">
        <f>IF($E205="","",INDEX(KPI!$G:$G,SUMIFS(KPI!$B:$B,KPI!$E:$E,$E205)))</f>
        <v>тыс.руб.</v>
      </c>
      <c r="H205" s="100">
        <f>структура!$V$19</f>
        <v>8</v>
      </c>
      <c r="I205" s="31"/>
      <c r="J205" s="98" t="str">
        <f>структура!$X$19</f>
        <v>авг</v>
      </c>
      <c r="K205" s="99"/>
      <c r="L205" s="22"/>
      <c r="M205" s="58"/>
      <c r="N205" s="22"/>
      <c r="O205" s="22"/>
      <c r="P205" s="101">
        <f t="shared" si="71"/>
        <v>585</v>
      </c>
      <c r="Q205" s="101">
        <f t="shared" si="71"/>
        <v>663</v>
      </c>
      <c r="R205" s="101">
        <f t="shared" si="71"/>
        <v>780</v>
      </c>
      <c r="S205" s="101">
        <f t="shared" si="71"/>
        <v>858</v>
      </c>
      <c r="T205" s="101">
        <f t="shared" si="71"/>
        <v>975</v>
      </c>
      <c r="U205" s="101">
        <f t="shared" si="71"/>
        <v>1170</v>
      </c>
      <c r="V205" s="101">
        <f t="shared" si="71"/>
        <v>1443</v>
      </c>
      <c r="W205" s="101">
        <f t="shared" si="71"/>
        <v>0</v>
      </c>
      <c r="X205" s="101">
        <f t="shared" si="71"/>
        <v>0</v>
      </c>
      <c r="Y205" s="101">
        <f t="shared" si="71"/>
        <v>0</v>
      </c>
      <c r="Z205" s="101">
        <f t="shared" si="71"/>
        <v>0</v>
      </c>
      <c r="AA205" s="101">
        <f t="shared" si="71"/>
        <v>0</v>
      </c>
      <c r="AB205" s="22"/>
    </row>
    <row r="206" spans="1:28" s="23" customFormat="1" ht="10.199999999999999" x14ac:dyDescent="0.2">
      <c r="A206" s="22"/>
      <c r="B206" s="22"/>
      <c r="C206" s="22"/>
      <c r="D206" s="22"/>
      <c r="E206" s="22" t="str">
        <f>E197</f>
        <v>доход от продажи услуг веревочного парка</v>
      </c>
      <c r="F206" s="22"/>
      <c r="G206" s="22" t="str">
        <f>IF($E206="","",INDEX(KPI!$G:$G,SUMIFS(KPI!$B:$B,KPI!$E:$E,$E206)))</f>
        <v>тыс.руб.</v>
      </c>
      <c r="H206" s="100">
        <f>структура!$V$20</f>
        <v>9</v>
      </c>
      <c r="I206" s="31"/>
      <c r="J206" s="98" t="str">
        <f>структура!$X$20</f>
        <v>сен</v>
      </c>
      <c r="K206" s="99"/>
      <c r="L206" s="22"/>
      <c r="M206" s="58"/>
      <c r="N206" s="22"/>
      <c r="O206" s="22"/>
      <c r="P206" s="101">
        <f t="shared" si="71"/>
        <v>225</v>
      </c>
      <c r="Q206" s="101">
        <f t="shared" si="71"/>
        <v>255</v>
      </c>
      <c r="R206" s="101">
        <f t="shared" si="71"/>
        <v>300</v>
      </c>
      <c r="S206" s="101">
        <f t="shared" si="71"/>
        <v>330</v>
      </c>
      <c r="T206" s="101">
        <f t="shared" si="71"/>
        <v>375</v>
      </c>
      <c r="U206" s="101">
        <f t="shared" si="71"/>
        <v>450</v>
      </c>
      <c r="V206" s="101">
        <f t="shared" si="71"/>
        <v>555</v>
      </c>
      <c r="W206" s="101">
        <f t="shared" si="71"/>
        <v>0</v>
      </c>
      <c r="X206" s="101">
        <f t="shared" si="71"/>
        <v>0</v>
      </c>
      <c r="Y206" s="101">
        <f t="shared" si="71"/>
        <v>0</v>
      </c>
      <c r="Z206" s="101">
        <f t="shared" si="71"/>
        <v>0</v>
      </c>
      <c r="AA206" s="101">
        <f t="shared" si="71"/>
        <v>0</v>
      </c>
      <c r="AB206" s="22"/>
    </row>
    <row r="207" spans="1:28" s="23" customFormat="1" ht="10.199999999999999" x14ac:dyDescent="0.2">
      <c r="A207" s="22"/>
      <c r="B207" s="22"/>
      <c r="C207" s="22"/>
      <c r="D207" s="22"/>
      <c r="E207" s="22" t="str">
        <f>E197</f>
        <v>доход от продажи услуг веревочного парка</v>
      </c>
      <c r="F207" s="22"/>
      <c r="G207" s="22" t="str">
        <f>IF($E207="","",INDEX(KPI!$G:$G,SUMIFS(KPI!$B:$B,KPI!$E:$E,$E207)))</f>
        <v>тыс.руб.</v>
      </c>
      <c r="H207" s="100">
        <f>структура!$V$21</f>
        <v>10</v>
      </c>
      <c r="I207" s="31"/>
      <c r="J207" s="98" t="str">
        <f>структура!$X$21</f>
        <v>окт</v>
      </c>
      <c r="K207" s="99"/>
      <c r="L207" s="22"/>
      <c r="M207" s="58"/>
      <c r="N207" s="22"/>
      <c r="O207" s="22"/>
      <c r="P207" s="101">
        <f t="shared" si="71"/>
        <v>315.00000000000006</v>
      </c>
      <c r="Q207" s="101">
        <f t="shared" si="71"/>
        <v>357.00000000000006</v>
      </c>
      <c r="R207" s="101">
        <f t="shared" si="71"/>
        <v>420.00000000000006</v>
      </c>
      <c r="S207" s="101">
        <f t="shared" si="71"/>
        <v>462.00000000000006</v>
      </c>
      <c r="T207" s="101">
        <f t="shared" si="71"/>
        <v>525</v>
      </c>
      <c r="U207" s="101">
        <f t="shared" si="71"/>
        <v>630.00000000000011</v>
      </c>
      <c r="V207" s="101">
        <f t="shared" si="71"/>
        <v>777.00000000000011</v>
      </c>
      <c r="W207" s="101">
        <f t="shared" si="71"/>
        <v>0</v>
      </c>
      <c r="X207" s="101">
        <f t="shared" si="71"/>
        <v>0</v>
      </c>
      <c r="Y207" s="101">
        <f t="shared" si="71"/>
        <v>0</v>
      </c>
      <c r="Z207" s="101">
        <f t="shared" si="71"/>
        <v>0</v>
      </c>
      <c r="AA207" s="101">
        <f t="shared" si="71"/>
        <v>0</v>
      </c>
      <c r="AB207" s="22"/>
    </row>
    <row r="208" spans="1:28" s="23" customFormat="1" ht="10.199999999999999" x14ac:dyDescent="0.2">
      <c r="A208" s="22"/>
      <c r="B208" s="22"/>
      <c r="C208" s="22"/>
      <c r="D208" s="22"/>
      <c r="E208" s="22" t="str">
        <f>E197</f>
        <v>доход от продажи услуг веревочного парка</v>
      </c>
      <c r="F208" s="22"/>
      <c r="G208" s="22" t="str">
        <f>IF($E208="","",INDEX(KPI!$G:$G,SUMIFS(KPI!$B:$B,KPI!$E:$E,$E208)))</f>
        <v>тыс.руб.</v>
      </c>
      <c r="H208" s="100">
        <f>структура!$V$22</f>
        <v>11</v>
      </c>
      <c r="I208" s="31"/>
      <c r="J208" s="98" t="str">
        <f>структура!$X$22</f>
        <v>ноя</v>
      </c>
      <c r="K208" s="99"/>
      <c r="L208" s="22"/>
      <c r="M208" s="58"/>
      <c r="N208" s="22"/>
      <c r="O208" s="22"/>
      <c r="P208" s="101">
        <f t="shared" si="71"/>
        <v>225</v>
      </c>
      <c r="Q208" s="101">
        <f t="shared" si="71"/>
        <v>255</v>
      </c>
      <c r="R208" s="101">
        <f t="shared" si="71"/>
        <v>300</v>
      </c>
      <c r="S208" s="101">
        <f t="shared" si="71"/>
        <v>330</v>
      </c>
      <c r="T208" s="101">
        <f t="shared" si="71"/>
        <v>375</v>
      </c>
      <c r="U208" s="101">
        <f t="shared" si="71"/>
        <v>450</v>
      </c>
      <c r="V208" s="101">
        <f t="shared" si="71"/>
        <v>555</v>
      </c>
      <c r="W208" s="101">
        <f t="shared" si="71"/>
        <v>0</v>
      </c>
      <c r="X208" s="101">
        <f t="shared" si="71"/>
        <v>0</v>
      </c>
      <c r="Y208" s="101">
        <f t="shared" si="71"/>
        <v>0</v>
      </c>
      <c r="Z208" s="101">
        <f t="shared" si="71"/>
        <v>0</v>
      </c>
      <c r="AA208" s="101">
        <f t="shared" si="71"/>
        <v>0</v>
      </c>
      <c r="AB208" s="22"/>
    </row>
    <row r="209" spans="1:28" s="23" customFormat="1" ht="10.199999999999999" x14ac:dyDescent="0.2">
      <c r="A209" s="22"/>
      <c r="B209" s="22"/>
      <c r="C209" s="22"/>
      <c r="D209" s="22"/>
      <c r="E209" s="22" t="str">
        <f>E197</f>
        <v>доход от продажи услуг веревочного парка</v>
      </c>
      <c r="F209" s="22"/>
      <c r="G209" s="22" t="str">
        <f>IF($E209="","",INDEX(KPI!$G:$G,SUMIFS(KPI!$B:$B,KPI!$E:$E,$E209)))</f>
        <v>тыс.руб.</v>
      </c>
      <c r="H209" s="100">
        <f>структура!$V$23</f>
        <v>12</v>
      </c>
      <c r="I209" s="31"/>
      <c r="J209" s="98" t="str">
        <f>структура!$X$23</f>
        <v>дек</v>
      </c>
      <c r="K209" s="99"/>
      <c r="L209" s="22"/>
      <c r="M209" s="58"/>
      <c r="N209" s="22"/>
      <c r="O209" s="22"/>
      <c r="P209" s="101">
        <f t="shared" si="71"/>
        <v>224.9999999999992</v>
      </c>
      <c r="Q209" s="101">
        <f t="shared" si="71"/>
        <v>254.99999999999909</v>
      </c>
      <c r="R209" s="101">
        <f t="shared" si="71"/>
        <v>299.99999999999898</v>
      </c>
      <c r="S209" s="101">
        <f t="shared" si="71"/>
        <v>329.99999999999886</v>
      </c>
      <c r="T209" s="101">
        <f t="shared" si="71"/>
        <v>374.99999999999864</v>
      </c>
      <c r="U209" s="101">
        <f t="shared" si="71"/>
        <v>449.99999999999841</v>
      </c>
      <c r="V209" s="101">
        <f t="shared" si="71"/>
        <v>554.99999999999807</v>
      </c>
      <c r="W209" s="101">
        <f t="shared" si="71"/>
        <v>0</v>
      </c>
      <c r="X209" s="101">
        <f t="shared" si="71"/>
        <v>0</v>
      </c>
      <c r="Y209" s="101">
        <f t="shared" si="71"/>
        <v>0</v>
      </c>
      <c r="Z209" s="101">
        <f t="shared" si="71"/>
        <v>0</v>
      </c>
      <c r="AA209" s="101">
        <f t="shared" si="71"/>
        <v>0</v>
      </c>
      <c r="AB209" s="22"/>
    </row>
    <row r="210" spans="1:28" ht="3.9" customHeight="1" x14ac:dyDescent="0.25">
      <c r="A210" s="2"/>
      <c r="B210" s="2"/>
      <c r="C210" s="2"/>
      <c r="D210" s="109"/>
      <c r="E210" s="109"/>
      <c r="F210" s="2"/>
      <c r="G210" s="109"/>
      <c r="H210" s="2"/>
      <c r="I210" s="28"/>
      <c r="J210" s="109"/>
      <c r="K210" s="28"/>
      <c r="L210" s="2"/>
      <c r="M210" s="52"/>
      <c r="N210" s="2"/>
      <c r="O210" s="2"/>
      <c r="P210" s="36"/>
      <c r="Q210" s="36"/>
      <c r="R210" s="36"/>
      <c r="S210" s="36"/>
      <c r="T210" s="36"/>
      <c r="U210" s="36"/>
      <c r="V210" s="36"/>
      <c r="W210" s="36"/>
      <c r="X210" s="36"/>
      <c r="Y210" s="36"/>
      <c r="Z210" s="36"/>
      <c r="AA210" s="36"/>
      <c r="AB210" s="2"/>
    </row>
    <row r="211" spans="1:28" ht="8.1" customHeight="1" x14ac:dyDescent="0.25">
      <c r="A211" s="2"/>
      <c r="B211" s="2"/>
      <c r="C211" s="2"/>
      <c r="D211" s="2"/>
      <c r="E211" s="2"/>
      <c r="F211" s="2"/>
      <c r="G211" s="2"/>
      <c r="H211" s="2"/>
      <c r="I211" s="28"/>
      <c r="J211" s="2"/>
      <c r="K211" s="28"/>
      <c r="L211" s="2"/>
      <c r="M211" s="52"/>
      <c r="N211" s="2"/>
      <c r="O211" s="2"/>
      <c r="P211" s="36"/>
      <c r="Q211" s="36"/>
      <c r="R211" s="36"/>
      <c r="S211" s="36"/>
      <c r="T211" s="36"/>
      <c r="U211" s="36"/>
      <c r="V211" s="36"/>
      <c r="W211" s="36"/>
      <c r="X211" s="36"/>
      <c r="Y211" s="36"/>
      <c r="Z211" s="36"/>
      <c r="AA211" s="36"/>
      <c r="AB211" s="2"/>
    </row>
    <row r="212" spans="1:28" s="5" customFormat="1" x14ac:dyDescent="0.25">
      <c r="A212" s="3"/>
      <c r="B212" s="3"/>
      <c r="C212" s="3"/>
      <c r="D212" s="303"/>
      <c r="E212" s="3" t="str">
        <f>KPI!$E$119</f>
        <v>доход от продажи услуг проката</v>
      </c>
      <c r="F212" s="3"/>
      <c r="G212" s="3" t="str">
        <f>IF($E212="","",INDEX(KPI!$G:$G,SUMIFS(KPI!$B:$B,KPI!$E:$E,$E212)))</f>
        <v>тыс.руб.</v>
      </c>
      <c r="H212" s="3"/>
      <c r="I212" s="28"/>
      <c r="J212" s="44"/>
      <c r="K212" s="28"/>
      <c r="L212" s="3"/>
      <c r="M212" s="55">
        <f>SUM($O212:$AB212)</f>
        <v>17418.450000000004</v>
      </c>
      <c r="N212" s="3"/>
      <c r="O212" s="3"/>
      <c r="P212" s="46">
        <f>IF(P$1="",0,IF(P$1=0,SUMIFS(P213:P224,H213:H224,"&gt;="&amp;MONTH($J$13)),SUM(P213:P224)))</f>
        <v>2341.755000000001</v>
      </c>
      <c r="Q212" s="46">
        <f t="shared" ref="Q212" si="72">IF(Q$1="",0,SUM(Q213:Q224))</f>
        <v>2375.2050000000008</v>
      </c>
      <c r="R212" s="46">
        <f t="shared" ref="R212:AA212" si="73">IF(R$1="",0,SUM(R213:R224))</f>
        <v>2428.3500000000004</v>
      </c>
      <c r="S212" s="46">
        <f t="shared" si="73"/>
        <v>2458.8300000000008</v>
      </c>
      <c r="T212" s="46">
        <f t="shared" si="73"/>
        <v>2509.005000000001</v>
      </c>
      <c r="U212" s="46">
        <f t="shared" si="73"/>
        <v>2592.6300000000006</v>
      </c>
      <c r="V212" s="46">
        <f t="shared" si="73"/>
        <v>2712.6750000000002</v>
      </c>
      <c r="W212" s="46">
        <f t="shared" si="73"/>
        <v>0</v>
      </c>
      <c r="X212" s="46">
        <f t="shared" si="73"/>
        <v>0</v>
      </c>
      <c r="Y212" s="46">
        <f t="shared" si="73"/>
        <v>0</v>
      </c>
      <c r="Z212" s="46">
        <f t="shared" si="73"/>
        <v>0</v>
      </c>
      <c r="AA212" s="46">
        <f t="shared" si="73"/>
        <v>0</v>
      </c>
      <c r="AB212" s="3"/>
    </row>
    <row r="213" spans="1:28" s="23" customFormat="1" ht="10.199999999999999" x14ac:dyDescent="0.2">
      <c r="A213" s="22"/>
      <c r="B213" s="22"/>
      <c r="C213" s="22"/>
      <c r="D213" s="22"/>
      <c r="E213" s="22" t="str">
        <f>E212</f>
        <v>доход от продажи услуг проката</v>
      </c>
      <c r="F213" s="22"/>
      <c r="G213" s="22" t="str">
        <f>IF($E213="","",INDEX(KPI!$G:$G,SUMIFS(KPI!$B:$B,KPI!$E:$E,$E213)))</f>
        <v>тыс.руб.</v>
      </c>
      <c r="H213" s="100">
        <f>структура!$V$12</f>
        <v>1</v>
      </c>
      <c r="I213" s="31"/>
      <c r="J213" s="98" t="str">
        <f>структура!$X$12</f>
        <v>янв</v>
      </c>
      <c r="K213" s="99"/>
      <c r="L213" s="22"/>
      <c r="M213" s="58"/>
      <c r="N213" s="22"/>
      <c r="O213" s="22"/>
      <c r="P213" s="101">
        <f>IF(P$1="",0,(операции!P90*(1+$J$104)+операции!P$136*операции!$M138*операции!$M153)*P168*операции!$M123/1000)</f>
        <v>104.62500000000001</v>
      </c>
      <c r="Q213" s="101">
        <f t="shared" ref="Q213:AA213" si="74">IF(Q$1="",0,(Q90*(1+$J$104)+Q$136*$M138*$M153)*Q168*$M123/1000)</f>
        <v>105.37500000000001</v>
      </c>
      <c r="R213" s="101">
        <f t="shared" si="74"/>
        <v>106.50000000000001</v>
      </c>
      <c r="S213" s="101">
        <f t="shared" si="74"/>
        <v>107.25000000000001</v>
      </c>
      <c r="T213" s="101">
        <f t="shared" si="74"/>
        <v>108.37500000000001</v>
      </c>
      <c r="U213" s="101">
        <f t="shared" si="74"/>
        <v>110.25000000000001</v>
      </c>
      <c r="V213" s="101">
        <f t="shared" si="74"/>
        <v>112.87500000000001</v>
      </c>
      <c r="W213" s="101">
        <f t="shared" si="74"/>
        <v>0</v>
      </c>
      <c r="X213" s="101">
        <f t="shared" si="74"/>
        <v>0</v>
      </c>
      <c r="Y213" s="101">
        <f t="shared" si="74"/>
        <v>0</v>
      </c>
      <c r="Z213" s="101">
        <f t="shared" si="74"/>
        <v>0</v>
      </c>
      <c r="AA213" s="101">
        <f t="shared" si="74"/>
        <v>0</v>
      </c>
      <c r="AB213" s="22"/>
    </row>
    <row r="214" spans="1:28" s="23" customFormat="1" ht="10.199999999999999" x14ac:dyDescent="0.2">
      <c r="A214" s="22"/>
      <c r="B214" s="22"/>
      <c r="C214" s="22"/>
      <c r="D214" s="22"/>
      <c r="E214" s="22" t="str">
        <f>E212</f>
        <v>доход от продажи услуг проката</v>
      </c>
      <c r="F214" s="22"/>
      <c r="G214" s="22" t="str">
        <f>IF($E214="","",INDEX(KPI!$G:$G,SUMIFS(KPI!$B:$B,KPI!$E:$E,$E214)))</f>
        <v>тыс.руб.</v>
      </c>
      <c r="H214" s="100">
        <f>структура!$V$13</f>
        <v>2</v>
      </c>
      <c r="I214" s="31"/>
      <c r="J214" s="98" t="str">
        <f>структура!$X$13</f>
        <v>фев</v>
      </c>
      <c r="K214" s="99"/>
      <c r="L214" s="22"/>
      <c r="M214" s="58"/>
      <c r="N214" s="22"/>
      <c r="O214" s="22"/>
      <c r="P214" s="101">
        <f>IF(P$1="",0,(P91*(1+$J$104)+P$136*$M139*$M154)*P169*$M124/1000)</f>
        <v>77.280000000000015</v>
      </c>
      <c r="Q214" s="101">
        <f t="shared" ref="P214:AA224" si="75">IF(Q$1="",0,(Q91*(1+$J$104)+Q$136*$M139*$M154)*Q169*$M124/1000)</f>
        <v>78.080000000000013</v>
      </c>
      <c r="R214" s="101">
        <f t="shared" si="75"/>
        <v>82.250000000000014</v>
      </c>
      <c r="S214" s="101">
        <f t="shared" si="75"/>
        <v>80.080000000000013</v>
      </c>
      <c r="T214" s="101">
        <f t="shared" si="75"/>
        <v>81.280000000000015</v>
      </c>
      <c r="U214" s="101">
        <f t="shared" si="75"/>
        <v>83.280000000000015</v>
      </c>
      <c r="V214" s="101">
        <f>IF(V$1="",0,(V91*(1+$J$104)+V$136*$M139*$M154)*V169*$M124/1000)</f>
        <v>89.050000000000011</v>
      </c>
      <c r="W214" s="101">
        <f t="shared" si="75"/>
        <v>0</v>
      </c>
      <c r="X214" s="101">
        <f t="shared" si="75"/>
        <v>0</v>
      </c>
      <c r="Y214" s="101">
        <f t="shared" si="75"/>
        <v>0</v>
      </c>
      <c r="Z214" s="101">
        <f t="shared" si="75"/>
        <v>0</v>
      </c>
      <c r="AA214" s="101">
        <f t="shared" si="75"/>
        <v>0</v>
      </c>
      <c r="AB214" s="22"/>
    </row>
    <row r="215" spans="1:28" s="23" customFormat="1" ht="10.199999999999999" x14ac:dyDescent="0.2">
      <c r="A215" s="22"/>
      <c r="B215" s="22"/>
      <c r="C215" s="22"/>
      <c r="D215" s="22"/>
      <c r="E215" s="22" t="str">
        <f>E212</f>
        <v>доход от продажи услуг проката</v>
      </c>
      <c r="F215" s="22"/>
      <c r="G215" s="22" t="str">
        <f>IF($E215="","",INDEX(KPI!$G:$G,SUMIFS(KPI!$B:$B,KPI!$E:$E,$E215)))</f>
        <v>тыс.руб.</v>
      </c>
      <c r="H215" s="100">
        <f>структура!$V$14</f>
        <v>3</v>
      </c>
      <c r="I215" s="31"/>
      <c r="J215" s="98" t="str">
        <f>структура!$X$14</f>
        <v>мар</v>
      </c>
      <c r="K215" s="99"/>
      <c r="L215" s="22"/>
      <c r="M215" s="58"/>
      <c r="N215" s="22"/>
      <c r="O215" s="22"/>
      <c r="P215" s="101">
        <f t="shared" si="75"/>
        <v>106.5</v>
      </c>
      <c r="Q215" s="101">
        <f t="shared" si="75"/>
        <v>107.5</v>
      </c>
      <c r="R215" s="101">
        <f t="shared" si="75"/>
        <v>109</v>
      </c>
      <c r="S215" s="101">
        <f t="shared" si="75"/>
        <v>110</v>
      </c>
      <c r="T215" s="101">
        <f t="shared" si="75"/>
        <v>111.5</v>
      </c>
      <c r="U215" s="101">
        <f t="shared" si="75"/>
        <v>114</v>
      </c>
      <c r="V215" s="101">
        <f t="shared" si="75"/>
        <v>117.5</v>
      </c>
      <c r="W215" s="101">
        <f t="shared" si="75"/>
        <v>0</v>
      </c>
      <c r="X215" s="101">
        <f t="shared" si="75"/>
        <v>0</v>
      </c>
      <c r="Y215" s="101">
        <f t="shared" si="75"/>
        <v>0</v>
      </c>
      <c r="Z215" s="101">
        <f t="shared" si="75"/>
        <v>0</v>
      </c>
      <c r="AA215" s="101">
        <f t="shared" si="75"/>
        <v>0</v>
      </c>
      <c r="AB215" s="22"/>
    </row>
    <row r="216" spans="1:28" s="23" customFormat="1" ht="10.199999999999999" x14ac:dyDescent="0.2">
      <c r="A216" s="22"/>
      <c r="B216" s="22"/>
      <c r="C216" s="22"/>
      <c r="D216" s="22"/>
      <c r="E216" s="22" t="str">
        <f>E212</f>
        <v>доход от продажи услуг проката</v>
      </c>
      <c r="F216" s="22"/>
      <c r="G216" s="22" t="str">
        <f>IF($E216="","",INDEX(KPI!$G:$G,SUMIFS(KPI!$B:$B,KPI!$E:$E,$E216)))</f>
        <v>тыс.руб.</v>
      </c>
      <c r="H216" s="100">
        <f>структура!$V$15</f>
        <v>4</v>
      </c>
      <c r="I216" s="31"/>
      <c r="J216" s="98" t="str">
        <f>структура!$X$15</f>
        <v>апр</v>
      </c>
      <c r="K216" s="99"/>
      <c r="L216" s="22"/>
      <c r="M216" s="58"/>
      <c r="N216" s="22"/>
      <c r="O216" s="22"/>
      <c r="P216" s="101">
        <f t="shared" si="75"/>
        <v>123.33000000000003</v>
      </c>
      <c r="Q216" s="101">
        <f t="shared" si="75"/>
        <v>124.33000000000003</v>
      </c>
      <c r="R216" s="101">
        <f t="shared" si="75"/>
        <v>125.83000000000003</v>
      </c>
      <c r="S216" s="101">
        <f t="shared" si="75"/>
        <v>126.83000000000003</v>
      </c>
      <c r="T216" s="101">
        <f t="shared" si="75"/>
        <v>128.33000000000001</v>
      </c>
      <c r="U216" s="101">
        <f t="shared" si="75"/>
        <v>130.83000000000001</v>
      </c>
      <c r="V216" s="101">
        <f t="shared" si="75"/>
        <v>134.33000000000001</v>
      </c>
      <c r="W216" s="101">
        <f t="shared" si="75"/>
        <v>0</v>
      </c>
      <c r="X216" s="101">
        <f t="shared" si="75"/>
        <v>0</v>
      </c>
      <c r="Y216" s="101">
        <f t="shared" si="75"/>
        <v>0</v>
      </c>
      <c r="Z216" s="101">
        <f t="shared" si="75"/>
        <v>0</v>
      </c>
      <c r="AA216" s="101">
        <f t="shared" si="75"/>
        <v>0</v>
      </c>
      <c r="AB216" s="22"/>
    </row>
    <row r="217" spans="1:28" s="23" customFormat="1" ht="10.199999999999999" x14ac:dyDescent="0.2">
      <c r="A217" s="22"/>
      <c r="B217" s="22"/>
      <c r="C217" s="22"/>
      <c r="D217" s="22"/>
      <c r="E217" s="22" t="str">
        <f>E212</f>
        <v>доход от продажи услуг проката</v>
      </c>
      <c r="F217" s="22"/>
      <c r="G217" s="22" t="str">
        <f>IF($E217="","",INDEX(KPI!$G:$G,SUMIFS(KPI!$B:$B,KPI!$E:$E,$E217)))</f>
        <v>тыс.руб.</v>
      </c>
      <c r="H217" s="100">
        <f>структура!$V$16</f>
        <v>5</v>
      </c>
      <c r="I217" s="31"/>
      <c r="J217" s="98" t="str">
        <f>структура!$X$16</f>
        <v>май</v>
      </c>
      <c r="K217" s="99"/>
      <c r="L217" s="22"/>
      <c r="M217" s="58"/>
      <c r="N217" s="22"/>
      <c r="O217" s="22"/>
      <c r="P217" s="101">
        <f t="shared" si="75"/>
        <v>276.60000000000002</v>
      </c>
      <c r="Q217" s="101">
        <f t="shared" si="75"/>
        <v>281.8</v>
      </c>
      <c r="R217" s="101">
        <f t="shared" si="75"/>
        <v>289.60000000000002</v>
      </c>
      <c r="S217" s="101">
        <f t="shared" si="75"/>
        <v>294.8</v>
      </c>
      <c r="T217" s="101">
        <f t="shared" si="75"/>
        <v>302.60000000000002</v>
      </c>
      <c r="U217" s="101">
        <f t="shared" si="75"/>
        <v>315.60000000000002</v>
      </c>
      <c r="V217" s="101">
        <f t="shared" si="75"/>
        <v>333.8</v>
      </c>
      <c r="W217" s="101">
        <f t="shared" si="75"/>
        <v>0</v>
      </c>
      <c r="X217" s="101">
        <f t="shared" si="75"/>
        <v>0</v>
      </c>
      <c r="Y217" s="101">
        <f t="shared" si="75"/>
        <v>0</v>
      </c>
      <c r="Z217" s="101">
        <f t="shared" si="75"/>
        <v>0</v>
      </c>
      <c r="AA217" s="101">
        <f t="shared" si="75"/>
        <v>0</v>
      </c>
      <c r="AB217" s="22"/>
    </row>
    <row r="218" spans="1:28" s="23" customFormat="1" ht="10.199999999999999" x14ac:dyDescent="0.2">
      <c r="A218" s="22"/>
      <c r="B218" s="22"/>
      <c r="C218" s="22"/>
      <c r="D218" s="22"/>
      <c r="E218" s="22" t="str">
        <f>E212</f>
        <v>доход от продажи услуг проката</v>
      </c>
      <c r="F218" s="22"/>
      <c r="G218" s="22" t="str">
        <f>IF($E218="","",INDEX(KPI!$G:$G,SUMIFS(KPI!$B:$B,KPI!$E:$E,$E218)))</f>
        <v>тыс.руб.</v>
      </c>
      <c r="H218" s="100">
        <f>структура!$V$17</f>
        <v>6</v>
      </c>
      <c r="I218" s="31"/>
      <c r="J218" s="98" t="str">
        <f>структура!$X$17</f>
        <v>июн</v>
      </c>
      <c r="K218" s="99"/>
      <c r="L218" s="22"/>
      <c r="M218" s="58"/>
      <c r="N218" s="22"/>
      <c r="O218" s="22"/>
      <c r="P218" s="101">
        <f t="shared" si="75"/>
        <v>368.88000000000005</v>
      </c>
      <c r="Q218" s="101">
        <f t="shared" si="75"/>
        <v>376.88000000000005</v>
      </c>
      <c r="R218" s="101">
        <f t="shared" si="75"/>
        <v>388.88000000000005</v>
      </c>
      <c r="S218" s="101">
        <f t="shared" si="75"/>
        <v>396.88000000000005</v>
      </c>
      <c r="T218" s="101">
        <f t="shared" si="75"/>
        <v>408.88000000000005</v>
      </c>
      <c r="U218" s="101">
        <f t="shared" si="75"/>
        <v>428.88000000000005</v>
      </c>
      <c r="V218" s="101">
        <f t="shared" si="75"/>
        <v>456.88000000000005</v>
      </c>
      <c r="W218" s="101">
        <f t="shared" si="75"/>
        <v>0</v>
      </c>
      <c r="X218" s="101">
        <f t="shared" si="75"/>
        <v>0</v>
      </c>
      <c r="Y218" s="101">
        <f t="shared" si="75"/>
        <v>0</v>
      </c>
      <c r="Z218" s="101">
        <f t="shared" si="75"/>
        <v>0</v>
      </c>
      <c r="AA218" s="101">
        <f t="shared" si="75"/>
        <v>0</v>
      </c>
      <c r="AB218" s="22"/>
    </row>
    <row r="219" spans="1:28" s="23" customFormat="1" ht="10.199999999999999" x14ac:dyDescent="0.2">
      <c r="A219" s="22"/>
      <c r="B219" s="22"/>
      <c r="C219" s="22"/>
      <c r="D219" s="22"/>
      <c r="E219" s="22" t="str">
        <f>E212</f>
        <v>доход от продажи услуг проката</v>
      </c>
      <c r="F219" s="22"/>
      <c r="G219" s="22" t="str">
        <f>IF($E219="","",INDEX(KPI!$G:$G,SUMIFS(KPI!$B:$B,KPI!$E:$E,$E219)))</f>
        <v>тыс.руб.</v>
      </c>
      <c r="H219" s="100">
        <f>структура!$V$18</f>
        <v>7</v>
      </c>
      <c r="I219" s="31"/>
      <c r="J219" s="98" t="str">
        <f>структура!$X$18</f>
        <v>июл</v>
      </c>
      <c r="K219" s="99"/>
      <c r="L219" s="22"/>
      <c r="M219" s="58"/>
      <c r="N219" s="22"/>
      <c r="O219" s="22"/>
      <c r="P219" s="101">
        <f t="shared" si="75"/>
        <v>363.78000000000009</v>
      </c>
      <c r="Q219" s="101">
        <f t="shared" si="75"/>
        <v>369.78000000000009</v>
      </c>
      <c r="R219" s="101">
        <f t="shared" si="75"/>
        <v>378.78000000000009</v>
      </c>
      <c r="S219" s="101">
        <f t="shared" si="75"/>
        <v>384.78000000000009</v>
      </c>
      <c r="T219" s="101">
        <f t="shared" si="75"/>
        <v>393.78000000000009</v>
      </c>
      <c r="U219" s="101">
        <f t="shared" si="75"/>
        <v>408.78000000000009</v>
      </c>
      <c r="V219" s="101">
        <f t="shared" si="75"/>
        <v>429.78000000000009</v>
      </c>
      <c r="W219" s="101">
        <f t="shared" si="75"/>
        <v>0</v>
      </c>
      <c r="X219" s="101">
        <f t="shared" si="75"/>
        <v>0</v>
      </c>
      <c r="Y219" s="101">
        <f t="shared" si="75"/>
        <v>0</v>
      </c>
      <c r="Z219" s="101">
        <f t="shared" si="75"/>
        <v>0</v>
      </c>
      <c r="AA219" s="101">
        <f t="shared" si="75"/>
        <v>0</v>
      </c>
      <c r="AB219" s="22"/>
    </row>
    <row r="220" spans="1:28" s="23" customFormat="1" ht="10.199999999999999" x14ac:dyDescent="0.2">
      <c r="A220" s="22"/>
      <c r="B220" s="22"/>
      <c r="C220" s="22"/>
      <c r="D220" s="22"/>
      <c r="E220" s="22" t="str">
        <f>E212</f>
        <v>доход от продажи услуг проката</v>
      </c>
      <c r="F220" s="22"/>
      <c r="G220" s="22" t="str">
        <f>IF($E220="","",INDEX(KPI!$G:$G,SUMIFS(KPI!$B:$B,KPI!$E:$E,$E220)))</f>
        <v>тыс.руб.</v>
      </c>
      <c r="H220" s="100">
        <f>структура!$V$19</f>
        <v>8</v>
      </c>
      <c r="I220" s="31"/>
      <c r="J220" s="98" t="str">
        <f>структура!$X$19</f>
        <v>авг</v>
      </c>
      <c r="K220" s="99"/>
      <c r="L220" s="22"/>
      <c r="M220" s="58"/>
      <c r="N220" s="22"/>
      <c r="O220" s="22"/>
      <c r="P220" s="101">
        <f t="shared" si="75"/>
        <v>357.78000000000009</v>
      </c>
      <c r="Q220" s="101">
        <f t="shared" si="75"/>
        <v>362.98</v>
      </c>
      <c r="R220" s="101">
        <f t="shared" si="75"/>
        <v>370.78000000000009</v>
      </c>
      <c r="S220" s="101">
        <f t="shared" si="75"/>
        <v>375.98</v>
      </c>
      <c r="T220" s="101">
        <f t="shared" si="75"/>
        <v>383.78000000000009</v>
      </c>
      <c r="U220" s="101">
        <f t="shared" si="75"/>
        <v>396.78000000000009</v>
      </c>
      <c r="V220" s="101">
        <f t="shared" si="75"/>
        <v>414.98</v>
      </c>
      <c r="W220" s="101">
        <f t="shared" si="75"/>
        <v>0</v>
      </c>
      <c r="X220" s="101">
        <f t="shared" si="75"/>
        <v>0</v>
      </c>
      <c r="Y220" s="101">
        <f t="shared" si="75"/>
        <v>0</v>
      </c>
      <c r="Z220" s="101">
        <f t="shared" si="75"/>
        <v>0</v>
      </c>
      <c r="AA220" s="101">
        <f t="shared" si="75"/>
        <v>0</v>
      </c>
      <c r="AB220" s="22"/>
    </row>
    <row r="221" spans="1:28" s="23" customFormat="1" ht="10.199999999999999" x14ac:dyDescent="0.2">
      <c r="A221" s="22"/>
      <c r="B221" s="22"/>
      <c r="C221" s="22"/>
      <c r="D221" s="22"/>
      <c r="E221" s="22" t="str">
        <f>E212</f>
        <v>доход от продажи услуг проката</v>
      </c>
      <c r="F221" s="22"/>
      <c r="G221" s="22" t="str">
        <f>IF($E221="","",INDEX(KPI!$G:$G,SUMIFS(KPI!$B:$B,KPI!$E:$E,$E221)))</f>
        <v>тыс.руб.</v>
      </c>
      <c r="H221" s="100">
        <f>структура!$V$20</f>
        <v>9</v>
      </c>
      <c r="I221" s="31"/>
      <c r="J221" s="98" t="str">
        <f>структура!$X$20</f>
        <v>сен</v>
      </c>
      <c r="K221" s="99"/>
      <c r="L221" s="22"/>
      <c r="M221" s="58"/>
      <c r="N221" s="22"/>
      <c r="O221" s="22"/>
      <c r="P221" s="101">
        <f t="shared" si="75"/>
        <v>177.67500000000001</v>
      </c>
      <c r="Q221" s="101">
        <f t="shared" si="75"/>
        <v>178.92500000000001</v>
      </c>
      <c r="R221" s="101">
        <f t="shared" si="75"/>
        <v>180.8</v>
      </c>
      <c r="S221" s="101">
        <f t="shared" si="75"/>
        <v>182.05</v>
      </c>
      <c r="T221" s="101">
        <f t="shared" si="75"/>
        <v>183.92500000000001</v>
      </c>
      <c r="U221" s="101">
        <f t="shared" si="75"/>
        <v>187.05</v>
      </c>
      <c r="V221" s="101">
        <f t="shared" si="75"/>
        <v>191.42500000000001</v>
      </c>
      <c r="W221" s="101">
        <f t="shared" si="75"/>
        <v>0</v>
      </c>
      <c r="X221" s="101">
        <f t="shared" si="75"/>
        <v>0</v>
      </c>
      <c r="Y221" s="101">
        <f t="shared" si="75"/>
        <v>0</v>
      </c>
      <c r="Z221" s="101">
        <f t="shared" si="75"/>
        <v>0</v>
      </c>
      <c r="AA221" s="101">
        <f t="shared" si="75"/>
        <v>0</v>
      </c>
      <c r="AB221" s="22"/>
    </row>
    <row r="222" spans="1:28" s="23" customFormat="1" ht="10.199999999999999" x14ac:dyDescent="0.2">
      <c r="A222" s="22"/>
      <c r="B222" s="22"/>
      <c r="C222" s="22"/>
      <c r="D222" s="22"/>
      <c r="E222" s="22" t="str">
        <f>E212</f>
        <v>доход от продажи услуг проката</v>
      </c>
      <c r="F222" s="22"/>
      <c r="G222" s="22" t="str">
        <f>IF($E222="","",INDEX(KPI!$G:$G,SUMIFS(KPI!$B:$B,KPI!$E:$E,$E222)))</f>
        <v>тыс.руб.</v>
      </c>
      <c r="H222" s="100">
        <f>структура!$V$21</f>
        <v>10</v>
      </c>
      <c r="I222" s="31"/>
      <c r="J222" s="98" t="str">
        <f>структура!$X$21</f>
        <v>окт</v>
      </c>
      <c r="K222" s="99"/>
      <c r="L222" s="22"/>
      <c r="M222" s="58"/>
      <c r="N222" s="22"/>
      <c r="O222" s="22"/>
      <c r="P222" s="101">
        <f t="shared" si="75"/>
        <v>151.72500000000002</v>
      </c>
      <c r="Q222" s="101">
        <f t="shared" si="75"/>
        <v>153.47500000000002</v>
      </c>
      <c r="R222" s="101">
        <f t="shared" si="75"/>
        <v>156.10000000000002</v>
      </c>
      <c r="S222" s="101">
        <f t="shared" si="75"/>
        <v>157.85000000000002</v>
      </c>
      <c r="T222" s="101">
        <f t="shared" si="75"/>
        <v>160.47500000000002</v>
      </c>
      <c r="U222" s="101">
        <f t="shared" si="75"/>
        <v>164.85000000000002</v>
      </c>
      <c r="V222" s="101">
        <f t="shared" si="75"/>
        <v>170.97500000000002</v>
      </c>
      <c r="W222" s="101">
        <f t="shared" si="75"/>
        <v>0</v>
      </c>
      <c r="X222" s="101">
        <f t="shared" si="75"/>
        <v>0</v>
      </c>
      <c r="Y222" s="101">
        <f t="shared" si="75"/>
        <v>0</v>
      </c>
      <c r="Z222" s="101">
        <f t="shared" si="75"/>
        <v>0</v>
      </c>
      <c r="AA222" s="101">
        <f t="shared" si="75"/>
        <v>0</v>
      </c>
      <c r="AB222" s="22"/>
    </row>
    <row r="223" spans="1:28" s="23" customFormat="1" ht="10.199999999999999" x14ac:dyDescent="0.2">
      <c r="A223" s="22"/>
      <c r="B223" s="22"/>
      <c r="C223" s="22"/>
      <c r="D223" s="22"/>
      <c r="E223" s="22" t="str">
        <f>E212</f>
        <v>доход от продажи услуг проката</v>
      </c>
      <c r="F223" s="22"/>
      <c r="G223" s="22" t="str">
        <f>IF($E223="","",INDEX(KPI!$G:$G,SUMIFS(KPI!$B:$B,KPI!$E:$E,$E223)))</f>
        <v>тыс.руб.</v>
      </c>
      <c r="H223" s="100">
        <f>структура!$V$22</f>
        <v>11</v>
      </c>
      <c r="I223" s="31"/>
      <c r="J223" s="98" t="str">
        <f>структура!$X$22</f>
        <v>ноя</v>
      </c>
      <c r="K223" s="99"/>
      <c r="L223" s="22"/>
      <c r="M223" s="58"/>
      <c r="N223" s="22"/>
      <c r="O223" s="22"/>
      <c r="P223" s="101">
        <f t="shared" si="75"/>
        <v>103.53000000000003</v>
      </c>
      <c r="Q223" s="101">
        <f t="shared" si="75"/>
        <v>104.53000000000003</v>
      </c>
      <c r="R223" s="101">
        <f t="shared" si="75"/>
        <v>106.03000000000003</v>
      </c>
      <c r="S223" s="101">
        <f t="shared" si="75"/>
        <v>107.03000000000003</v>
      </c>
      <c r="T223" s="101">
        <f t="shared" si="75"/>
        <v>108.53000000000003</v>
      </c>
      <c r="U223" s="101">
        <f t="shared" si="75"/>
        <v>111.03000000000003</v>
      </c>
      <c r="V223" s="101">
        <f t="shared" si="75"/>
        <v>114.53000000000003</v>
      </c>
      <c r="W223" s="101">
        <f t="shared" si="75"/>
        <v>0</v>
      </c>
      <c r="X223" s="101">
        <f t="shared" si="75"/>
        <v>0</v>
      </c>
      <c r="Y223" s="101">
        <f t="shared" si="75"/>
        <v>0</v>
      </c>
      <c r="Z223" s="101">
        <f t="shared" si="75"/>
        <v>0</v>
      </c>
      <c r="AA223" s="101">
        <f t="shared" si="75"/>
        <v>0</v>
      </c>
      <c r="AB223" s="22"/>
    </row>
    <row r="224" spans="1:28" s="23" customFormat="1" ht="10.199999999999999" x14ac:dyDescent="0.2">
      <c r="A224" s="22"/>
      <c r="B224" s="22"/>
      <c r="C224" s="22"/>
      <c r="D224" s="22"/>
      <c r="E224" s="22" t="str">
        <f>E212</f>
        <v>доход от продажи услуг проката</v>
      </c>
      <c r="F224" s="22"/>
      <c r="G224" s="22" t="str">
        <f>IF($E224="","",INDEX(KPI!$G:$G,SUMIFS(KPI!$B:$B,KPI!$E:$E,$E224)))</f>
        <v>тыс.руб.</v>
      </c>
      <c r="H224" s="100">
        <f>структура!$V$23</f>
        <v>12</v>
      </c>
      <c r="I224" s="31"/>
      <c r="J224" s="98" t="str">
        <f>структура!$X$23</f>
        <v>дек</v>
      </c>
      <c r="K224" s="99"/>
      <c r="L224" s="22"/>
      <c r="M224" s="58"/>
      <c r="N224" s="22"/>
      <c r="O224" s="22"/>
      <c r="P224" s="101">
        <f t="shared" si="75"/>
        <v>130.04999999999998</v>
      </c>
      <c r="Q224" s="101">
        <f t="shared" si="75"/>
        <v>131.54999999999995</v>
      </c>
      <c r="R224" s="101">
        <f t="shared" si="75"/>
        <v>133.79999999999995</v>
      </c>
      <c r="S224" s="101">
        <f t="shared" si="75"/>
        <v>135.29999999999995</v>
      </c>
      <c r="T224" s="101">
        <f t="shared" si="75"/>
        <v>137.54999999999995</v>
      </c>
      <c r="U224" s="101">
        <f t="shared" si="75"/>
        <v>141.29999999999993</v>
      </c>
      <c r="V224" s="101">
        <f t="shared" si="75"/>
        <v>146.5499999999999</v>
      </c>
      <c r="W224" s="101">
        <f t="shared" si="75"/>
        <v>0</v>
      </c>
      <c r="X224" s="101">
        <f t="shared" si="75"/>
        <v>0</v>
      </c>
      <c r="Y224" s="101">
        <f t="shared" si="75"/>
        <v>0</v>
      </c>
      <c r="Z224" s="101">
        <f t="shared" si="75"/>
        <v>0</v>
      </c>
      <c r="AA224" s="101">
        <f t="shared" si="75"/>
        <v>0</v>
      </c>
      <c r="AB224" s="22"/>
    </row>
    <row r="225" spans="1:28" ht="3.9" customHeight="1" x14ac:dyDescent="0.25">
      <c r="A225" s="2"/>
      <c r="B225" s="2"/>
      <c r="C225" s="2"/>
      <c r="D225" s="109"/>
      <c r="E225" s="109"/>
      <c r="F225" s="2"/>
      <c r="G225" s="109"/>
      <c r="H225" s="2"/>
      <c r="I225" s="28"/>
      <c r="J225" s="109"/>
      <c r="K225" s="28"/>
      <c r="L225" s="2"/>
      <c r="M225" s="52"/>
      <c r="N225" s="2"/>
      <c r="O225" s="2"/>
      <c r="P225" s="36"/>
      <c r="Q225" s="36"/>
      <c r="R225" s="36"/>
      <c r="S225" s="36"/>
      <c r="T225" s="36"/>
      <c r="U225" s="36"/>
      <c r="V225" s="36"/>
      <c r="W225" s="36"/>
      <c r="X225" s="36"/>
      <c r="Y225" s="36"/>
      <c r="Z225" s="36"/>
      <c r="AA225" s="36"/>
      <c r="AB225" s="2"/>
    </row>
    <row r="226" spans="1:28" ht="8.1" customHeight="1" x14ac:dyDescent="0.25">
      <c r="A226" s="2"/>
      <c r="B226" s="2"/>
      <c r="C226" s="2"/>
      <c r="D226" s="2"/>
      <c r="E226" s="2"/>
      <c r="F226" s="2"/>
      <c r="G226" s="2"/>
      <c r="H226" s="2"/>
      <c r="I226" s="28"/>
      <c r="J226" s="2"/>
      <c r="K226" s="28"/>
      <c r="L226" s="2"/>
      <c r="M226" s="52"/>
      <c r="N226" s="2"/>
      <c r="O226" s="2"/>
      <c r="P226" s="36"/>
      <c r="Q226" s="36"/>
      <c r="R226" s="36"/>
      <c r="S226" s="36"/>
      <c r="T226" s="36"/>
      <c r="U226" s="36"/>
      <c r="V226" s="36"/>
      <c r="W226" s="36"/>
      <c r="X226" s="36"/>
      <c r="Y226" s="36"/>
      <c r="Z226" s="36"/>
      <c r="AA226" s="36"/>
      <c r="AB226" s="2"/>
    </row>
    <row r="227" spans="1:28" x14ac:dyDescent="0.25">
      <c r="A227" s="2"/>
      <c r="B227" s="2"/>
      <c r="C227" s="2"/>
      <c r="D227" s="2"/>
      <c r="E227" s="120" t="str">
        <f>KPI!$E$75</f>
        <v>ОПЕРАЦИОННЫЕ РАСХОДЫ</v>
      </c>
      <c r="F227" s="2"/>
      <c r="G227" s="2"/>
      <c r="H227" s="2"/>
      <c r="I227" s="28"/>
      <c r="J227" s="2"/>
      <c r="K227" s="28"/>
      <c r="L227" s="2"/>
      <c r="M227" s="52"/>
      <c r="N227" s="2"/>
      <c r="O227" s="2"/>
      <c r="P227" s="36"/>
      <c r="Q227" s="36"/>
      <c r="R227" s="36"/>
      <c r="S227" s="36"/>
      <c r="T227" s="36"/>
      <c r="U227" s="36"/>
      <c r="V227" s="36"/>
      <c r="W227" s="36"/>
      <c r="X227" s="36"/>
      <c r="Y227" s="36"/>
      <c r="Z227" s="36"/>
      <c r="AA227" s="36"/>
      <c r="AB227" s="2"/>
    </row>
    <row r="228" spans="1:28" ht="8.1" customHeight="1" x14ac:dyDescent="0.25">
      <c r="A228" s="2"/>
      <c r="B228" s="2"/>
      <c r="C228" s="2"/>
      <c r="D228" s="2"/>
      <c r="E228" s="2"/>
      <c r="F228" s="2"/>
      <c r="G228" s="2"/>
      <c r="H228" s="2"/>
      <c r="I228" s="28"/>
      <c r="J228" s="2"/>
      <c r="K228" s="28"/>
      <c r="L228" s="2"/>
      <c r="M228" s="52"/>
      <c r="N228" s="2"/>
      <c r="O228" s="2"/>
      <c r="P228" s="36"/>
      <c r="Q228" s="36"/>
      <c r="R228" s="36"/>
      <c r="S228" s="36"/>
      <c r="T228" s="36"/>
      <c r="U228" s="36"/>
      <c r="V228" s="36"/>
      <c r="W228" s="36"/>
      <c r="X228" s="36"/>
      <c r="Y228" s="36"/>
      <c r="Z228" s="36"/>
      <c r="AA228" s="36"/>
      <c r="AB228" s="2"/>
    </row>
    <row r="229" spans="1:28" s="5" customFormat="1" x14ac:dyDescent="0.25">
      <c r="A229" s="3"/>
      <c r="B229" s="3"/>
      <c r="C229" s="3"/>
      <c r="D229" s="3"/>
      <c r="E229" s="3" t="str">
        <f>KPI!$E$43</f>
        <v>%-нт маркетинговых расходов от дохода</v>
      </c>
      <c r="F229" s="3"/>
      <c r="G229" s="3" t="str">
        <f>IF($E229="","",INDEX(KPI!$G:$G,SUMIFS(KPI!$B:$B,KPI!$E:$E,$E229)))</f>
        <v>%</v>
      </c>
      <c r="H229" s="3"/>
      <c r="I229" s="28"/>
      <c r="J229" s="2"/>
      <c r="K229" s="28"/>
      <c r="L229" s="2"/>
      <c r="M229" s="52"/>
      <c r="N229" s="3"/>
      <c r="O229" s="6" t="s">
        <v>0</v>
      </c>
      <c r="P229" s="88">
        <v>0.05</v>
      </c>
      <c r="Q229" s="88">
        <v>0.05</v>
      </c>
      <c r="R229" s="88">
        <v>0.04</v>
      </c>
      <c r="S229" s="88">
        <v>0.03</v>
      </c>
      <c r="T229" s="88">
        <v>0.03</v>
      </c>
      <c r="U229" s="88">
        <v>2.7E-2</v>
      </c>
      <c r="V229" s="88">
        <v>2.5000000000000001E-2</v>
      </c>
      <c r="W229" s="88">
        <v>2.5000000000000001E-2</v>
      </c>
      <c r="X229" s="88">
        <v>0.03</v>
      </c>
      <c r="Y229" s="88">
        <v>0.03</v>
      </c>
      <c r="Z229" s="88">
        <v>0.03</v>
      </c>
      <c r="AA229" s="88">
        <v>0.03</v>
      </c>
      <c r="AB229" s="3"/>
    </row>
    <row r="230" spans="1:28" ht="3.9" customHeight="1" x14ac:dyDescent="0.25">
      <c r="A230" s="2"/>
      <c r="B230" s="2"/>
      <c r="C230" s="2"/>
      <c r="D230" s="2"/>
      <c r="E230" s="110"/>
      <c r="F230" s="2"/>
      <c r="G230" s="2"/>
      <c r="H230" s="2"/>
      <c r="I230" s="28"/>
      <c r="J230" s="2"/>
      <c r="K230" s="28"/>
      <c r="L230" s="2"/>
      <c r="M230" s="52"/>
      <c r="N230" s="2"/>
      <c r="O230" s="2"/>
      <c r="P230" s="36"/>
      <c r="Q230" s="36"/>
      <c r="R230" s="36"/>
      <c r="S230" s="36"/>
      <c r="T230" s="36"/>
      <c r="U230" s="36"/>
      <c r="V230" s="36"/>
      <c r="W230" s="36"/>
      <c r="X230" s="36"/>
      <c r="Y230" s="36"/>
      <c r="Z230" s="36"/>
      <c r="AA230" s="36"/>
      <c r="AB230" s="2"/>
    </row>
    <row r="231" spans="1:28" ht="8.1" customHeight="1" x14ac:dyDescent="0.25">
      <c r="A231" s="2"/>
      <c r="B231" s="2"/>
      <c r="C231" s="2"/>
      <c r="D231" s="2"/>
      <c r="E231" s="2"/>
      <c r="F231" s="2"/>
      <c r="G231" s="2"/>
      <c r="H231" s="2"/>
      <c r="I231" s="28"/>
      <c r="J231" s="2"/>
      <c r="K231" s="28"/>
      <c r="L231" s="2"/>
      <c r="M231" s="52"/>
      <c r="N231" s="2"/>
      <c r="O231" s="2"/>
      <c r="P231" s="36"/>
      <c r="Q231" s="36"/>
      <c r="R231" s="36"/>
      <c r="S231" s="36"/>
      <c r="T231" s="36"/>
      <c r="U231" s="36"/>
      <c r="V231" s="36"/>
      <c r="W231" s="36"/>
      <c r="X231" s="36"/>
      <c r="Y231" s="36"/>
      <c r="Z231" s="36"/>
      <c r="AA231" s="36"/>
      <c r="AB231" s="2"/>
    </row>
    <row r="232" spans="1:28" s="5" customFormat="1" x14ac:dyDescent="0.25">
      <c r="A232" s="3"/>
      <c r="B232" s="3"/>
      <c r="C232" s="3"/>
      <c r="D232" s="111"/>
      <c r="E232" s="3" t="str">
        <f>KPI!$E$44</f>
        <v>маркетинговые расходы (начисл/оплаты)</v>
      </c>
      <c r="F232" s="3"/>
      <c r="G232" s="3" t="str">
        <f>IF($E232="","",INDEX(KPI!$G:$G,SUMIFS(KPI!$B:$B,KPI!$E:$E,$E232)))</f>
        <v>тыс.руб.</v>
      </c>
      <c r="H232" s="116" t="str">
        <f>структура!$AL$20</f>
        <v>Заложен сдвиг на один месяц!</v>
      </c>
      <c r="I232" s="28"/>
      <c r="J232" s="44"/>
      <c r="K232" s="28"/>
      <c r="L232" s="3"/>
      <c r="M232" s="55">
        <f>SUM($O232:$AB232)</f>
        <v>4124.6247657692311</v>
      </c>
      <c r="N232" s="3"/>
      <c r="O232" s="3"/>
      <c r="P232" s="46">
        <f>IF(P$1="",0,IF(P$1=0,SUMIFS(P233:P244,H233:H244,"&gt;="&amp;MONTH($J$13)),SUM(P233:P244)))</f>
        <v>707.22005769230771</v>
      </c>
      <c r="Q232" s="46">
        <f t="shared" ref="Q232" si="76">IF(Q$1="",0,SUM(Q233:Q244))</f>
        <v>738.89255769230772</v>
      </c>
      <c r="R232" s="46">
        <f t="shared" ref="R232" si="77">IF(R$1="",0,SUM(R233:R244))</f>
        <v>629.86938461538466</v>
      </c>
      <c r="S232" s="46">
        <f t="shared" ref="S232" si="78">IF(S$1="",0,SUM(S233:S244))</f>
        <v>490.84428461538459</v>
      </c>
      <c r="T232" s="46">
        <f t="shared" ref="T232" si="79">IF(T$1="",0,SUM(T233:T244))</f>
        <v>519.34953461538464</v>
      </c>
      <c r="U232" s="46">
        <f t="shared" ref="U232" si="80">IF(U$1="",0,SUM(U233:U244))</f>
        <v>510.1724561538461</v>
      </c>
      <c r="V232" s="46">
        <f t="shared" ref="V232" si="81">IF(V$1="",0,SUM(V233:V244))</f>
        <v>528.27649038461527</v>
      </c>
      <c r="W232" s="46">
        <f t="shared" ref="W232" si="82">IF(W$1="",0,SUM(W233:W244))</f>
        <v>0</v>
      </c>
      <c r="X232" s="46">
        <f t="shared" ref="X232" si="83">IF(X$1="",0,SUM(X233:X244))</f>
        <v>0</v>
      </c>
      <c r="Y232" s="46">
        <f t="shared" ref="Y232" si="84">IF(Y$1="",0,SUM(Y233:Y244))</f>
        <v>0</v>
      </c>
      <c r="Z232" s="46">
        <f t="shared" ref="Z232" si="85">IF(Z$1="",0,SUM(Z233:Z244))</f>
        <v>0</v>
      </c>
      <c r="AA232" s="46">
        <f t="shared" ref="AA232" si="86">IF(AA$1="",0,SUM(AA233:AA244))</f>
        <v>0</v>
      </c>
      <c r="AB232" s="3"/>
    </row>
    <row r="233" spans="1:28" s="23" customFormat="1" ht="10.199999999999999" x14ac:dyDescent="0.2">
      <c r="A233" s="22"/>
      <c r="B233" s="22"/>
      <c r="C233" s="22"/>
      <c r="D233" s="22"/>
      <c r="E233" s="22" t="str">
        <f>E232</f>
        <v>маркетинговые расходы (начисл/оплаты)</v>
      </c>
      <c r="F233" s="22"/>
      <c r="G233" s="22" t="str">
        <f>IF($E233="","",INDEX(KPI!$G:$G,SUMIFS(KPI!$B:$B,KPI!$E:$E,$E233)))</f>
        <v>тыс.руб.</v>
      </c>
      <c r="H233" s="100">
        <f>структура!$V$12</f>
        <v>1</v>
      </c>
      <c r="I233" s="31"/>
      <c r="J233" s="98" t="str">
        <f>структура!$X$12</f>
        <v>янв</v>
      </c>
      <c r="K233" s="99"/>
      <c r="L233" s="22"/>
      <c r="M233" s="58"/>
      <c r="N233" s="22"/>
      <c r="O233" s="22"/>
      <c r="P233" s="101">
        <f t="shared" ref="P233:AA233" si="87">IF(P$1="",0,(P60+P184)*P$229)</f>
        <v>31.750153846153843</v>
      </c>
      <c r="Q233" s="101">
        <f t="shared" si="87"/>
        <v>32.990153846153845</v>
      </c>
      <c r="R233" s="101">
        <f t="shared" si="87"/>
        <v>28.62846153846154</v>
      </c>
      <c r="S233" s="101">
        <f t="shared" si="87"/>
        <v>21.654092307692306</v>
      </c>
      <c r="T233" s="101">
        <f t="shared" si="87"/>
        <v>22.770092307692305</v>
      </c>
      <c r="U233" s="101">
        <f t="shared" si="87"/>
        <v>22.167083076923074</v>
      </c>
      <c r="V233" s="101">
        <f t="shared" si="87"/>
        <v>23.162788461538462</v>
      </c>
      <c r="W233" s="101">
        <f t="shared" si="87"/>
        <v>0</v>
      </c>
      <c r="X233" s="101">
        <f t="shared" si="87"/>
        <v>0</v>
      </c>
      <c r="Y233" s="101">
        <f t="shared" si="87"/>
        <v>0</v>
      </c>
      <c r="Z233" s="101">
        <f t="shared" si="87"/>
        <v>0</v>
      </c>
      <c r="AA233" s="101">
        <f t="shared" si="87"/>
        <v>0</v>
      </c>
      <c r="AB233" s="22"/>
    </row>
    <row r="234" spans="1:28" s="23" customFormat="1" ht="10.199999999999999" x14ac:dyDescent="0.2">
      <c r="A234" s="22"/>
      <c r="B234" s="22"/>
      <c r="C234" s="22"/>
      <c r="D234" s="22"/>
      <c r="E234" s="22" t="str">
        <f>E232</f>
        <v>маркетинговые расходы (начисл/оплаты)</v>
      </c>
      <c r="F234" s="22"/>
      <c r="G234" s="22" t="str">
        <f>IF($E234="","",INDEX(KPI!$G:$G,SUMIFS(KPI!$B:$B,KPI!$E:$E,$E234)))</f>
        <v>тыс.руб.</v>
      </c>
      <c r="H234" s="100">
        <f>структура!$V$13</f>
        <v>2</v>
      </c>
      <c r="I234" s="31"/>
      <c r="J234" s="98" t="str">
        <f>структура!$X$13</f>
        <v>фев</v>
      </c>
      <c r="K234" s="99"/>
      <c r="L234" s="22"/>
      <c r="M234" s="58"/>
      <c r="N234" s="22"/>
      <c r="O234" s="22"/>
      <c r="P234" s="101">
        <f t="shared" ref="P234:AA234" si="88">IF(P$1="",0,(P61+P185)*P$229)</f>
        <v>42.805769230769236</v>
      </c>
      <c r="Q234" s="101">
        <f t="shared" si="88"/>
        <v>44.355769230769234</v>
      </c>
      <c r="R234" s="101">
        <f t="shared" si="88"/>
        <v>37.344615384615388</v>
      </c>
      <c r="S234" s="101">
        <f t="shared" si="88"/>
        <v>28.938461538461539</v>
      </c>
      <c r="T234" s="101">
        <f t="shared" si="88"/>
        <v>30.333461538461538</v>
      </c>
      <c r="U234" s="101">
        <f t="shared" si="88"/>
        <v>29.392615384615389</v>
      </c>
      <c r="V234" s="101">
        <f t="shared" si="88"/>
        <v>29.92788461538462</v>
      </c>
      <c r="W234" s="101">
        <f t="shared" si="88"/>
        <v>0</v>
      </c>
      <c r="X234" s="101">
        <f t="shared" si="88"/>
        <v>0</v>
      </c>
      <c r="Y234" s="101">
        <f t="shared" si="88"/>
        <v>0</v>
      </c>
      <c r="Z234" s="101">
        <f t="shared" si="88"/>
        <v>0</v>
      </c>
      <c r="AA234" s="101">
        <f t="shared" si="88"/>
        <v>0</v>
      </c>
      <c r="AB234" s="22"/>
    </row>
    <row r="235" spans="1:28" s="23" customFormat="1" ht="10.199999999999999" x14ac:dyDescent="0.2">
      <c r="A235" s="22"/>
      <c r="B235" s="22"/>
      <c r="C235" s="22"/>
      <c r="D235" s="22"/>
      <c r="E235" s="22" t="str">
        <f>E232</f>
        <v>маркетинговые расходы (начисл/оплаты)</v>
      </c>
      <c r="F235" s="22"/>
      <c r="G235" s="22" t="str">
        <f>IF($E235="","",INDEX(KPI!$G:$G,SUMIFS(KPI!$B:$B,KPI!$E:$E,$E235)))</f>
        <v>тыс.руб.</v>
      </c>
      <c r="H235" s="100">
        <f>структура!$V$14</f>
        <v>3</v>
      </c>
      <c r="I235" s="31"/>
      <c r="J235" s="98" t="str">
        <f>структура!$X$14</f>
        <v>мар</v>
      </c>
      <c r="K235" s="99"/>
      <c r="L235" s="22"/>
      <c r="M235" s="58"/>
      <c r="N235" s="22"/>
      <c r="O235" s="22"/>
      <c r="P235" s="101">
        <f t="shared" ref="P235:AA235" si="89">IF(P$1="",0,(P62+P186)*P$229)</f>
        <v>48.106500000000004</v>
      </c>
      <c r="Q235" s="101">
        <f t="shared" si="89"/>
        <v>49.656500000000001</v>
      </c>
      <c r="R235" s="101">
        <f t="shared" si="89"/>
        <v>41.585200000000007</v>
      </c>
      <c r="S235" s="101">
        <f t="shared" si="89"/>
        <v>32.118900000000004</v>
      </c>
      <c r="T235" s="101">
        <f t="shared" si="89"/>
        <v>33.5139</v>
      </c>
      <c r="U235" s="101">
        <f t="shared" si="89"/>
        <v>32.255010000000006</v>
      </c>
      <c r="V235" s="101">
        <f t="shared" si="89"/>
        <v>32.578250000000004</v>
      </c>
      <c r="W235" s="101">
        <f t="shared" si="89"/>
        <v>0</v>
      </c>
      <c r="X235" s="101">
        <f t="shared" si="89"/>
        <v>0</v>
      </c>
      <c r="Y235" s="101">
        <f t="shared" si="89"/>
        <v>0</v>
      </c>
      <c r="Z235" s="101">
        <f t="shared" si="89"/>
        <v>0</v>
      </c>
      <c r="AA235" s="101">
        <f t="shared" si="89"/>
        <v>0</v>
      </c>
      <c r="AB235" s="22"/>
    </row>
    <row r="236" spans="1:28" s="23" customFormat="1" ht="10.199999999999999" x14ac:dyDescent="0.2">
      <c r="A236" s="22"/>
      <c r="B236" s="22"/>
      <c r="C236" s="22"/>
      <c r="D236" s="22"/>
      <c r="E236" s="22" t="str">
        <f>E232</f>
        <v>маркетинговые расходы (начисл/оплаты)</v>
      </c>
      <c r="F236" s="22"/>
      <c r="G236" s="22" t="str">
        <f>IF($E236="","",INDEX(KPI!$G:$G,SUMIFS(KPI!$B:$B,KPI!$E:$E,$E236)))</f>
        <v>тыс.руб.</v>
      </c>
      <c r="H236" s="100">
        <f>структура!$V$15</f>
        <v>4</v>
      </c>
      <c r="I236" s="31"/>
      <c r="J236" s="98" t="str">
        <f>структура!$X$15</f>
        <v>апр</v>
      </c>
      <c r="K236" s="99"/>
      <c r="L236" s="22"/>
      <c r="M236" s="58"/>
      <c r="N236" s="22"/>
      <c r="O236" s="22"/>
      <c r="P236" s="101">
        <f t="shared" ref="P236:AA236" si="90">IF(P$1="",0,(P63+P187)*P$229)</f>
        <v>74.556923076923084</v>
      </c>
      <c r="Q236" s="101">
        <f t="shared" si="90"/>
        <v>78.716923076923081</v>
      </c>
      <c r="R236" s="101">
        <f t="shared" si="90"/>
        <v>67.965538461538458</v>
      </c>
      <c r="S236" s="101">
        <f t="shared" si="90"/>
        <v>53.470153846153849</v>
      </c>
      <c r="T236" s="101">
        <f t="shared" si="90"/>
        <v>57.214153846153842</v>
      </c>
      <c r="U236" s="101">
        <f t="shared" si="90"/>
        <v>57.108738461538458</v>
      </c>
      <c r="V236" s="101">
        <f t="shared" si="90"/>
        <v>60.158461538461545</v>
      </c>
      <c r="W236" s="101">
        <f t="shared" si="90"/>
        <v>0</v>
      </c>
      <c r="X236" s="101">
        <f t="shared" si="90"/>
        <v>0</v>
      </c>
      <c r="Y236" s="101">
        <f t="shared" si="90"/>
        <v>0</v>
      </c>
      <c r="Z236" s="101">
        <f t="shared" si="90"/>
        <v>0</v>
      </c>
      <c r="AA236" s="101">
        <f t="shared" si="90"/>
        <v>0</v>
      </c>
      <c r="AB236" s="22"/>
    </row>
    <row r="237" spans="1:28" s="23" customFormat="1" ht="10.199999999999999" x14ac:dyDescent="0.2">
      <c r="A237" s="22"/>
      <c r="B237" s="22"/>
      <c r="C237" s="22"/>
      <c r="D237" s="22"/>
      <c r="E237" s="22" t="str">
        <f>E232</f>
        <v>маркетинговые расходы (начисл/оплаты)</v>
      </c>
      <c r="F237" s="22"/>
      <c r="G237" s="22" t="str">
        <f>IF($E237="","",INDEX(KPI!$G:$G,SUMIFS(KPI!$B:$B,KPI!$E:$E,$E237)))</f>
        <v>тыс.руб.</v>
      </c>
      <c r="H237" s="100">
        <f>структура!$V$16</f>
        <v>5</v>
      </c>
      <c r="I237" s="31"/>
      <c r="J237" s="98" t="str">
        <f>структура!$X$16</f>
        <v>май</v>
      </c>
      <c r="K237" s="99"/>
      <c r="L237" s="22"/>
      <c r="M237" s="58"/>
      <c r="N237" s="22"/>
      <c r="O237" s="22"/>
      <c r="P237" s="101">
        <f t="shared" ref="P237:AA237" si="91">IF(P$1="",0,(P64+P188)*P$229)</f>
        <v>104.36399999999999</v>
      </c>
      <c r="Q237" s="101">
        <f t="shared" si="91"/>
        <v>110.764</v>
      </c>
      <c r="R237" s="101">
        <f t="shared" si="91"/>
        <v>96.291199999999989</v>
      </c>
      <c r="S237" s="101">
        <f t="shared" si="91"/>
        <v>76.058399999999992</v>
      </c>
      <c r="T237" s="101">
        <f t="shared" si="91"/>
        <v>81.818399999999983</v>
      </c>
      <c r="U237" s="101">
        <f t="shared" si="91"/>
        <v>82.276559999999989</v>
      </c>
      <c r="V237" s="101">
        <f t="shared" si="91"/>
        <v>87.382000000000005</v>
      </c>
      <c r="W237" s="101">
        <f t="shared" si="91"/>
        <v>0</v>
      </c>
      <c r="X237" s="101">
        <f t="shared" si="91"/>
        <v>0</v>
      </c>
      <c r="Y237" s="101">
        <f t="shared" si="91"/>
        <v>0</v>
      </c>
      <c r="Z237" s="101">
        <f t="shared" si="91"/>
        <v>0</v>
      </c>
      <c r="AA237" s="101">
        <f t="shared" si="91"/>
        <v>0</v>
      </c>
      <c r="AB237" s="22"/>
    </row>
    <row r="238" spans="1:28" s="23" customFormat="1" ht="10.199999999999999" x14ac:dyDescent="0.2">
      <c r="A238" s="22"/>
      <c r="B238" s="22"/>
      <c r="C238" s="22"/>
      <c r="D238" s="22"/>
      <c r="E238" s="22" t="str">
        <f>E232</f>
        <v>маркетинговые расходы (начисл/оплаты)</v>
      </c>
      <c r="F238" s="22"/>
      <c r="G238" s="22" t="str">
        <f>IF($E238="","",INDEX(KPI!$G:$G,SUMIFS(KPI!$B:$B,KPI!$E:$E,$E238)))</f>
        <v>тыс.руб.</v>
      </c>
      <c r="H238" s="100">
        <f>структура!$V$17</f>
        <v>6</v>
      </c>
      <c r="I238" s="31"/>
      <c r="J238" s="98" t="str">
        <f>структура!$X$17</f>
        <v>июн</v>
      </c>
      <c r="K238" s="99"/>
      <c r="L238" s="22"/>
      <c r="M238" s="58"/>
      <c r="N238" s="22"/>
      <c r="O238" s="22"/>
      <c r="P238" s="101">
        <f t="shared" ref="P238:AA238" si="92">IF(P$1="",0,(P65+P189)*P$229)</f>
        <v>94.17053846153847</v>
      </c>
      <c r="Q238" s="101">
        <f t="shared" si="92"/>
        <v>98.970538461538467</v>
      </c>
      <c r="R238" s="101">
        <f t="shared" si="92"/>
        <v>84.936430769230782</v>
      </c>
      <c r="S238" s="101">
        <f t="shared" si="92"/>
        <v>66.582323076923075</v>
      </c>
      <c r="T238" s="101">
        <f t="shared" si="92"/>
        <v>70.902323076923082</v>
      </c>
      <c r="U238" s="101">
        <f t="shared" si="92"/>
        <v>70.292090769230768</v>
      </c>
      <c r="V238" s="101">
        <f t="shared" si="92"/>
        <v>73.485269230769234</v>
      </c>
      <c r="W238" s="101">
        <f t="shared" si="92"/>
        <v>0</v>
      </c>
      <c r="X238" s="101">
        <f t="shared" si="92"/>
        <v>0</v>
      </c>
      <c r="Y238" s="101">
        <f t="shared" si="92"/>
        <v>0</v>
      </c>
      <c r="Z238" s="101">
        <f t="shared" si="92"/>
        <v>0</v>
      </c>
      <c r="AA238" s="101">
        <f t="shared" si="92"/>
        <v>0</v>
      </c>
      <c r="AB238" s="22"/>
    </row>
    <row r="239" spans="1:28" s="23" customFormat="1" ht="10.199999999999999" x14ac:dyDescent="0.2">
      <c r="A239" s="22"/>
      <c r="B239" s="22"/>
      <c r="C239" s="22"/>
      <c r="D239" s="22"/>
      <c r="E239" s="22" t="str">
        <f>E232</f>
        <v>маркетинговые расходы (начисл/оплаты)</v>
      </c>
      <c r="F239" s="22"/>
      <c r="G239" s="22" t="str">
        <f>IF($E239="","",INDEX(KPI!$G:$G,SUMIFS(KPI!$B:$B,KPI!$E:$E,$E239)))</f>
        <v>тыс.руб.</v>
      </c>
      <c r="H239" s="100">
        <f>структура!$V$18</f>
        <v>7</v>
      </c>
      <c r="I239" s="31"/>
      <c r="J239" s="98" t="str">
        <f>структура!$X$18</f>
        <v>июл</v>
      </c>
      <c r="K239" s="99"/>
      <c r="L239" s="22"/>
      <c r="M239" s="58"/>
      <c r="N239" s="22"/>
      <c r="O239" s="22"/>
      <c r="P239" s="101">
        <f t="shared" ref="P239:AA239" si="93">IF(P$1="",0,(P66+P190)*P$229)</f>
        <v>89.370538461538473</v>
      </c>
      <c r="Q239" s="101">
        <f t="shared" si="93"/>
        <v>93.53053846153847</v>
      </c>
      <c r="R239" s="101">
        <f t="shared" si="93"/>
        <v>79.816430769230777</v>
      </c>
      <c r="S239" s="101">
        <f t="shared" si="93"/>
        <v>62.358323076923071</v>
      </c>
      <c r="T239" s="101">
        <f t="shared" si="93"/>
        <v>66.102323076923085</v>
      </c>
      <c r="U239" s="101">
        <f t="shared" si="93"/>
        <v>65.10809076923077</v>
      </c>
      <c r="V239" s="101">
        <f t="shared" si="93"/>
        <v>67.565269230769232</v>
      </c>
      <c r="W239" s="101">
        <f t="shared" si="93"/>
        <v>0</v>
      </c>
      <c r="X239" s="101">
        <f t="shared" si="93"/>
        <v>0</v>
      </c>
      <c r="Y239" s="101">
        <f t="shared" si="93"/>
        <v>0</v>
      </c>
      <c r="Z239" s="101">
        <f t="shared" si="93"/>
        <v>0</v>
      </c>
      <c r="AA239" s="101">
        <f t="shared" si="93"/>
        <v>0</v>
      </c>
      <c r="AB239" s="22"/>
    </row>
    <row r="240" spans="1:28" s="23" customFormat="1" ht="10.199999999999999" x14ac:dyDescent="0.2">
      <c r="A240" s="22"/>
      <c r="B240" s="22"/>
      <c r="C240" s="22"/>
      <c r="D240" s="22"/>
      <c r="E240" s="22" t="str">
        <f>E232</f>
        <v>маркетинговые расходы (начисл/оплаты)</v>
      </c>
      <c r="F240" s="22"/>
      <c r="G240" s="22" t="str">
        <f>IF($E240="","",INDEX(KPI!$G:$G,SUMIFS(KPI!$B:$B,KPI!$E:$E,$E240)))</f>
        <v>тыс.руб.</v>
      </c>
      <c r="H240" s="100">
        <f>структура!$V$19</f>
        <v>8</v>
      </c>
      <c r="I240" s="31"/>
      <c r="J240" s="98" t="str">
        <f>структура!$X$19</f>
        <v>авг</v>
      </c>
      <c r="K240" s="99"/>
      <c r="L240" s="22"/>
      <c r="M240" s="58"/>
      <c r="N240" s="22"/>
      <c r="O240" s="22"/>
      <c r="P240" s="101">
        <f t="shared" ref="P240:AA240" si="94">IF(P$1="",0,(P67+P191)*P$229)</f>
        <v>55.807596153846148</v>
      </c>
      <c r="Q240" s="101">
        <f t="shared" si="94"/>
        <v>57.370096153846148</v>
      </c>
      <c r="R240" s="101">
        <f t="shared" si="94"/>
        <v>47.771076923076919</v>
      </c>
      <c r="S240" s="101">
        <f t="shared" si="94"/>
        <v>36.765807692307689</v>
      </c>
      <c r="T240" s="101">
        <f t="shared" si="94"/>
        <v>38.172057692307689</v>
      </c>
      <c r="U240" s="101">
        <f t="shared" si="94"/>
        <v>36.464226923076922</v>
      </c>
      <c r="V240" s="101">
        <f t="shared" si="94"/>
        <v>36.497548076923074</v>
      </c>
      <c r="W240" s="101">
        <f t="shared" si="94"/>
        <v>0</v>
      </c>
      <c r="X240" s="101">
        <f t="shared" si="94"/>
        <v>0</v>
      </c>
      <c r="Y240" s="101">
        <f t="shared" si="94"/>
        <v>0</v>
      </c>
      <c r="Z240" s="101">
        <f t="shared" si="94"/>
        <v>0</v>
      </c>
      <c r="AA240" s="101">
        <f t="shared" si="94"/>
        <v>0</v>
      </c>
      <c r="AB240" s="22"/>
    </row>
    <row r="241" spans="1:28" s="23" customFormat="1" ht="10.199999999999999" x14ac:dyDescent="0.2">
      <c r="A241" s="22"/>
      <c r="B241" s="22"/>
      <c r="C241" s="22"/>
      <c r="D241" s="22"/>
      <c r="E241" s="22" t="str">
        <f>E232</f>
        <v>маркетинговые расходы (начисл/оплаты)</v>
      </c>
      <c r="F241" s="22"/>
      <c r="G241" s="22" t="str">
        <f>IF($E241="","",INDEX(KPI!$G:$G,SUMIFS(KPI!$B:$B,KPI!$E:$E,$E241)))</f>
        <v>тыс.руб.</v>
      </c>
      <c r="H241" s="100">
        <f>структура!$V$20</f>
        <v>9</v>
      </c>
      <c r="I241" s="31"/>
      <c r="J241" s="98" t="str">
        <f>структура!$X$20</f>
        <v>сен</v>
      </c>
      <c r="K241" s="99"/>
      <c r="L241" s="22"/>
      <c r="M241" s="58"/>
      <c r="N241" s="22"/>
      <c r="O241" s="22"/>
      <c r="P241" s="101">
        <f t="shared" ref="P241:AA241" si="95">IF(P$1="",0,(P68+P192)*P$229)</f>
        <v>52.714711538461543</v>
      </c>
      <c r="Q241" s="101">
        <f t="shared" si="95"/>
        <v>54.902211538461543</v>
      </c>
      <c r="R241" s="101">
        <f t="shared" si="95"/>
        <v>46.546769230769243</v>
      </c>
      <c r="S241" s="101">
        <f t="shared" si="95"/>
        <v>36.222576923076929</v>
      </c>
      <c r="T241" s="101">
        <f t="shared" si="95"/>
        <v>38.191326923076922</v>
      </c>
      <c r="U241" s="101">
        <f t="shared" si="95"/>
        <v>37.325319230769239</v>
      </c>
      <c r="V241" s="101">
        <f t="shared" si="95"/>
        <v>38.388605769230779</v>
      </c>
      <c r="W241" s="101">
        <f t="shared" si="95"/>
        <v>0</v>
      </c>
      <c r="X241" s="101">
        <f t="shared" si="95"/>
        <v>0</v>
      </c>
      <c r="Y241" s="101">
        <f t="shared" si="95"/>
        <v>0</v>
      </c>
      <c r="Z241" s="101">
        <f t="shared" si="95"/>
        <v>0</v>
      </c>
      <c r="AA241" s="101">
        <f t="shared" si="95"/>
        <v>0</v>
      </c>
      <c r="AB241" s="22"/>
    </row>
    <row r="242" spans="1:28" s="23" customFormat="1" ht="10.199999999999999" x14ac:dyDescent="0.2">
      <c r="A242" s="22"/>
      <c r="B242" s="22"/>
      <c r="C242" s="22"/>
      <c r="D242" s="22"/>
      <c r="E242" s="22" t="str">
        <f>E232</f>
        <v>маркетинговые расходы (начисл/оплаты)</v>
      </c>
      <c r="F242" s="22"/>
      <c r="G242" s="22" t="str">
        <f>IF($E242="","",INDEX(KPI!$G:$G,SUMIFS(KPI!$B:$B,KPI!$E:$E,$E242)))</f>
        <v>тыс.руб.</v>
      </c>
      <c r="H242" s="100">
        <f>структура!$V$21</f>
        <v>10</v>
      </c>
      <c r="I242" s="31"/>
      <c r="J242" s="98" t="str">
        <f>структура!$X$21</f>
        <v>окт</v>
      </c>
      <c r="K242" s="99"/>
      <c r="L242" s="22"/>
      <c r="M242" s="58"/>
      <c r="N242" s="22"/>
      <c r="O242" s="22"/>
      <c r="P242" s="101">
        <f t="shared" ref="P242:AA242" si="96">IF(P$1="",0,(P69+P193)*P$229)</f>
        <v>41.870346153846157</v>
      </c>
      <c r="Q242" s="101">
        <f t="shared" si="96"/>
        <v>43.420346153846154</v>
      </c>
      <c r="R242" s="101">
        <f t="shared" si="96"/>
        <v>36.596276923076921</v>
      </c>
      <c r="S242" s="101">
        <f t="shared" si="96"/>
        <v>28.377207692307689</v>
      </c>
      <c r="T242" s="101">
        <f t="shared" si="96"/>
        <v>29.772207692307688</v>
      </c>
      <c r="U242" s="101">
        <f t="shared" si="96"/>
        <v>28.887486923076921</v>
      </c>
      <c r="V242" s="101">
        <f t="shared" si="96"/>
        <v>29.460173076923077</v>
      </c>
      <c r="W242" s="101">
        <f t="shared" si="96"/>
        <v>0</v>
      </c>
      <c r="X242" s="101">
        <f t="shared" si="96"/>
        <v>0</v>
      </c>
      <c r="Y242" s="101">
        <f t="shared" si="96"/>
        <v>0</v>
      </c>
      <c r="Z242" s="101">
        <f t="shared" si="96"/>
        <v>0</v>
      </c>
      <c r="AA242" s="101">
        <f t="shared" si="96"/>
        <v>0</v>
      </c>
      <c r="AB242" s="22"/>
    </row>
    <row r="243" spans="1:28" s="23" customFormat="1" ht="10.199999999999999" x14ac:dyDescent="0.2">
      <c r="A243" s="22"/>
      <c r="B243" s="22"/>
      <c r="C243" s="22"/>
      <c r="D243" s="22"/>
      <c r="E243" s="22" t="str">
        <f>E232</f>
        <v>маркетинговые расходы (начисл/оплаты)</v>
      </c>
      <c r="F243" s="22"/>
      <c r="G243" s="22" t="str">
        <f>IF($E243="","",INDEX(KPI!$G:$G,SUMIFS(KPI!$B:$B,KPI!$E:$E,$E243)))</f>
        <v>тыс.руб.</v>
      </c>
      <c r="H243" s="100">
        <f>структура!$V$22</f>
        <v>11</v>
      </c>
      <c r="I243" s="31"/>
      <c r="J243" s="98" t="str">
        <f>структура!$X$22</f>
        <v>ноя</v>
      </c>
      <c r="K243" s="99"/>
      <c r="L243" s="22"/>
      <c r="M243" s="58"/>
      <c r="N243" s="22"/>
      <c r="O243" s="22"/>
      <c r="P243" s="101">
        <f t="shared" ref="P243:AA243" si="97">IF(P$1="",0,(P70+P194)*P$229)</f>
        <v>38.737115384615343</v>
      </c>
      <c r="Q243" s="101">
        <f t="shared" si="97"/>
        <v>40.312115384615339</v>
      </c>
      <c r="R243" s="101">
        <f t="shared" si="97"/>
        <v>34.139692307692265</v>
      </c>
      <c r="S243" s="101">
        <f t="shared" si="97"/>
        <v>26.549769230769193</v>
      </c>
      <c r="T243" s="101">
        <f t="shared" si="97"/>
        <v>27.967269230769187</v>
      </c>
      <c r="U243" s="101">
        <f t="shared" si="97"/>
        <v>27.296792307692261</v>
      </c>
      <c r="V243" s="101">
        <f t="shared" si="97"/>
        <v>28.031057692307641</v>
      </c>
      <c r="W243" s="101">
        <f t="shared" si="97"/>
        <v>0</v>
      </c>
      <c r="X243" s="101">
        <f t="shared" si="97"/>
        <v>0</v>
      </c>
      <c r="Y243" s="101">
        <f t="shared" si="97"/>
        <v>0</v>
      </c>
      <c r="Z243" s="101">
        <f t="shared" si="97"/>
        <v>0</v>
      </c>
      <c r="AA243" s="101">
        <f t="shared" si="97"/>
        <v>0</v>
      </c>
      <c r="AB243" s="22"/>
    </row>
    <row r="244" spans="1:28" s="23" customFormat="1" ht="10.199999999999999" x14ac:dyDescent="0.2">
      <c r="A244" s="22"/>
      <c r="B244" s="22"/>
      <c r="C244" s="22"/>
      <c r="D244" s="22"/>
      <c r="E244" s="22" t="str">
        <f>E232</f>
        <v>маркетинговые расходы (начисл/оплаты)</v>
      </c>
      <c r="F244" s="22"/>
      <c r="G244" s="22" t="str">
        <f>IF($E244="","",INDEX(KPI!$G:$G,SUMIFS(KPI!$B:$B,KPI!$E:$E,$E244)))</f>
        <v>тыс.руб.</v>
      </c>
      <c r="H244" s="100">
        <f>структура!$V$23</f>
        <v>12</v>
      </c>
      <c r="I244" s="31"/>
      <c r="J244" s="98" t="str">
        <f>структура!$X$23</f>
        <v>дек</v>
      </c>
      <c r="K244" s="99"/>
      <c r="L244" s="22"/>
      <c r="M244" s="58"/>
      <c r="N244" s="22"/>
      <c r="O244" s="22"/>
      <c r="P244" s="101">
        <f t="shared" ref="P244:AA244" si="98">IF(P$1="",0,(P59+P183)*P$229)</f>
        <v>32.965865384615384</v>
      </c>
      <c r="Q244" s="101">
        <f t="shared" si="98"/>
        <v>33.903365384615384</v>
      </c>
      <c r="R244" s="101">
        <f t="shared" si="98"/>
        <v>28.247692307692304</v>
      </c>
      <c r="S244" s="101">
        <f t="shared" si="98"/>
        <v>21.748269230769228</v>
      </c>
      <c r="T244" s="101">
        <f t="shared" si="98"/>
        <v>22.592019230769228</v>
      </c>
      <c r="U244" s="101">
        <f t="shared" si="98"/>
        <v>21.598442307692306</v>
      </c>
      <c r="V244" s="101">
        <f t="shared" si="98"/>
        <v>21.639182692307692</v>
      </c>
      <c r="W244" s="101">
        <f t="shared" si="98"/>
        <v>0</v>
      </c>
      <c r="X244" s="101">
        <f t="shared" si="98"/>
        <v>0</v>
      </c>
      <c r="Y244" s="101">
        <f t="shared" si="98"/>
        <v>0</v>
      </c>
      <c r="Z244" s="101">
        <f t="shared" si="98"/>
        <v>0</v>
      </c>
      <c r="AA244" s="101">
        <f t="shared" si="98"/>
        <v>0</v>
      </c>
      <c r="AB244" s="22"/>
    </row>
    <row r="245" spans="1:28" ht="3.9" customHeight="1" x14ac:dyDescent="0.25">
      <c r="A245" s="2"/>
      <c r="B245" s="2"/>
      <c r="C245" s="2"/>
      <c r="D245" s="2"/>
      <c r="E245" s="21"/>
      <c r="F245" s="2"/>
      <c r="G245" s="21"/>
      <c r="H245" s="2"/>
      <c r="I245" s="28"/>
      <c r="J245" s="21"/>
      <c r="K245" s="28"/>
      <c r="L245" s="2"/>
      <c r="M245" s="52"/>
      <c r="N245" s="2"/>
      <c r="O245" s="2"/>
      <c r="P245" s="36"/>
      <c r="Q245" s="36"/>
      <c r="R245" s="36"/>
      <c r="S245" s="36"/>
      <c r="T245" s="36"/>
      <c r="U245" s="36"/>
      <c r="V245" s="36"/>
      <c r="W245" s="36"/>
      <c r="X245" s="36"/>
      <c r="Y245" s="36"/>
      <c r="Z245" s="36"/>
      <c r="AA245" s="36"/>
      <c r="AB245" s="2"/>
    </row>
    <row r="246" spans="1:28" ht="8.1" customHeight="1" x14ac:dyDescent="0.25">
      <c r="A246" s="2"/>
      <c r="B246" s="2"/>
      <c r="C246" s="2"/>
      <c r="D246" s="2"/>
      <c r="E246" s="2"/>
      <c r="F246" s="2"/>
      <c r="G246" s="2"/>
      <c r="H246" s="2"/>
      <c r="I246" s="28"/>
      <c r="J246" s="2"/>
      <c r="K246" s="28"/>
      <c r="L246" s="2"/>
      <c r="M246" s="52"/>
      <c r="N246" s="2"/>
      <c r="O246" s="2"/>
      <c r="P246" s="36"/>
      <c r="Q246" s="36"/>
      <c r="R246" s="36"/>
      <c r="S246" s="36"/>
      <c r="T246" s="36"/>
      <c r="U246" s="36"/>
      <c r="V246" s="36"/>
      <c r="W246" s="36"/>
      <c r="X246" s="36"/>
      <c r="Y246" s="36"/>
      <c r="Z246" s="36"/>
      <c r="AA246" s="36"/>
      <c r="AB246" s="2"/>
    </row>
    <row r="247" spans="1:28" s="5" customFormat="1" x14ac:dyDescent="0.25">
      <c r="A247" s="3"/>
      <c r="B247" s="3"/>
      <c r="C247" s="3"/>
      <c r="D247" s="3"/>
      <c r="E247" s="3" t="str">
        <f>KPI!$E$45</f>
        <v>аренда земли в год</v>
      </c>
      <c r="F247" s="3"/>
      <c r="G247" s="3" t="str">
        <f>IF($E247="","",INDEX(KPI!$G:$G,SUMIFS(KPI!$B:$B,KPI!$E:$E,$E247)))</f>
        <v>тыс.руб.</v>
      </c>
      <c r="H247" s="3"/>
      <c r="I247" s="6"/>
      <c r="J247" s="294">
        <f>аренда!$M$39</f>
        <v>2608.6498461975634</v>
      </c>
      <c r="K247" s="28"/>
      <c r="L247" s="2"/>
      <c r="M247" s="52"/>
      <c r="N247" s="3"/>
      <c r="O247" s="2"/>
      <c r="P247" s="36"/>
      <c r="Q247" s="36"/>
      <c r="R247" s="36"/>
      <c r="S247" s="36"/>
      <c r="T247" s="36"/>
      <c r="U247" s="36"/>
      <c r="V247" s="36"/>
      <c r="W247" s="36"/>
      <c r="X247" s="36"/>
      <c r="Y247" s="36"/>
      <c r="Z247" s="36"/>
      <c r="AA247" s="36"/>
      <c r="AB247" s="2"/>
    </row>
    <row r="248" spans="1:28" ht="3.9" customHeight="1" x14ac:dyDescent="0.25">
      <c r="A248" s="2"/>
      <c r="B248" s="2"/>
      <c r="C248" s="2"/>
      <c r="D248" s="2"/>
      <c r="E248" s="110"/>
      <c r="F248" s="2"/>
      <c r="G248" s="2"/>
      <c r="H248" s="2"/>
      <c r="I248" s="28"/>
      <c r="J248" s="2"/>
      <c r="K248" s="28"/>
      <c r="L248" s="2"/>
      <c r="M248" s="52"/>
      <c r="N248" s="2"/>
      <c r="O248" s="2"/>
      <c r="P248" s="36"/>
      <c r="Q248" s="36"/>
      <c r="R248" s="36"/>
      <c r="S248" s="36"/>
      <c r="T248" s="36"/>
      <c r="U248" s="36"/>
      <c r="V248" s="36"/>
      <c r="W248" s="36"/>
      <c r="X248" s="36"/>
      <c r="Y248" s="36"/>
      <c r="Z248" s="36"/>
      <c r="AA248" s="36"/>
      <c r="AB248" s="2"/>
    </row>
    <row r="249" spans="1:28" ht="8.1" customHeight="1" x14ac:dyDescent="0.25">
      <c r="A249" s="2"/>
      <c r="B249" s="2"/>
      <c r="C249" s="2"/>
      <c r="D249" s="2"/>
      <c r="E249" s="2"/>
      <c r="F249" s="2"/>
      <c r="G249" s="2"/>
      <c r="H249" s="2"/>
      <c r="I249" s="28"/>
      <c r="J249" s="2"/>
      <c r="K249" s="28"/>
      <c r="L249" s="2"/>
      <c r="M249" s="52"/>
      <c r="N249" s="2"/>
      <c r="O249" s="2"/>
      <c r="P249" s="36"/>
      <c r="Q249" s="36"/>
      <c r="R249" s="36"/>
      <c r="S249" s="36"/>
      <c r="T249" s="36"/>
      <c r="U249" s="36"/>
      <c r="V249" s="36"/>
      <c r="W249" s="36"/>
      <c r="X249" s="36"/>
      <c r="Y249" s="36"/>
      <c r="Z249" s="36"/>
      <c r="AA249" s="36"/>
      <c r="AB249" s="2"/>
    </row>
    <row r="250" spans="1:28" s="5" customFormat="1" x14ac:dyDescent="0.25">
      <c r="A250" s="3"/>
      <c r="B250" s="3"/>
      <c r="C250" s="3"/>
      <c r="D250" s="111"/>
      <c r="E250" s="3" t="str">
        <f>KPI!$E$46</f>
        <v>аренда земли - начисление</v>
      </c>
      <c r="F250" s="3"/>
      <c r="G250" s="3" t="str">
        <f>IF($E250="","",INDEX(KPI!$G:$G,SUMIFS(KPI!$B:$B,KPI!$E:$E,$E250)))</f>
        <v>тыс.руб.</v>
      </c>
      <c r="H250" s="103"/>
      <c r="I250" s="28"/>
      <c r="J250" s="44"/>
      <c r="K250" s="28"/>
      <c r="L250" s="3"/>
      <c r="M250" s="55">
        <f>SUM($O250:$AB250)</f>
        <v>18260.548923382947</v>
      </c>
      <c r="N250" s="3"/>
      <c r="O250" s="3"/>
      <c r="P250" s="46">
        <f>IF(P$1="",0,IF(P$1=0,SUMIFS(P251:P262,H251:H262,"&gt;="&amp;MONTH($J$13)),SUM(P251:P262)))</f>
        <v>2608.6498461975639</v>
      </c>
      <c r="Q250" s="46">
        <f t="shared" ref="Q250" si="99">IF(Q$1="",0,SUM(Q251:Q262))</f>
        <v>2608.6498461975639</v>
      </c>
      <c r="R250" s="46">
        <f t="shared" ref="R250:AA250" si="100">IF(R$1="",0,SUM(R251:R262))</f>
        <v>2608.6498461975639</v>
      </c>
      <c r="S250" s="46">
        <f t="shared" si="100"/>
        <v>2608.6498461975639</v>
      </c>
      <c r="T250" s="46">
        <f t="shared" si="100"/>
        <v>2608.6498461975639</v>
      </c>
      <c r="U250" s="46">
        <f t="shared" si="100"/>
        <v>2608.6498461975639</v>
      </c>
      <c r="V250" s="46">
        <f t="shared" si="100"/>
        <v>2608.6498461975639</v>
      </c>
      <c r="W250" s="46">
        <f t="shared" si="100"/>
        <v>0</v>
      </c>
      <c r="X250" s="46">
        <f t="shared" si="100"/>
        <v>0</v>
      </c>
      <c r="Y250" s="46">
        <f t="shared" si="100"/>
        <v>0</v>
      </c>
      <c r="Z250" s="46">
        <f t="shared" si="100"/>
        <v>0</v>
      </c>
      <c r="AA250" s="46">
        <f t="shared" si="100"/>
        <v>0</v>
      </c>
      <c r="AB250" s="3"/>
    </row>
    <row r="251" spans="1:28" s="23" customFormat="1" ht="10.199999999999999" x14ac:dyDescent="0.2">
      <c r="A251" s="22"/>
      <c r="B251" s="22"/>
      <c r="C251" s="22"/>
      <c r="D251" s="22"/>
      <c r="E251" s="22" t="str">
        <f>E250</f>
        <v>аренда земли - начисление</v>
      </c>
      <c r="F251" s="22"/>
      <c r="G251" s="22" t="str">
        <f>IF($E251="","",INDEX(KPI!$G:$G,SUMIFS(KPI!$B:$B,KPI!$E:$E,$E251)))</f>
        <v>тыс.руб.</v>
      </c>
      <c r="H251" s="100">
        <f>структура!$V$12</f>
        <v>1</v>
      </c>
      <c r="I251" s="31"/>
      <c r="J251" s="98" t="str">
        <f>структура!$X$12</f>
        <v>янв</v>
      </c>
      <c r="K251" s="99"/>
      <c r="L251" s="22"/>
      <c r="M251" s="58"/>
      <c r="N251" s="22"/>
      <c r="O251" s="22"/>
      <c r="P251" s="101">
        <f t="shared" ref="P251:AA262" si="101">IF(P$1="",0,$J$247/12)</f>
        <v>217.38748718313028</v>
      </c>
      <c r="Q251" s="101">
        <f t="shared" si="101"/>
        <v>217.38748718313028</v>
      </c>
      <c r="R251" s="101">
        <f t="shared" si="101"/>
        <v>217.38748718313028</v>
      </c>
      <c r="S251" s="101">
        <f t="shared" si="101"/>
        <v>217.38748718313028</v>
      </c>
      <c r="T251" s="101">
        <f t="shared" si="101"/>
        <v>217.38748718313028</v>
      </c>
      <c r="U251" s="101">
        <f t="shared" si="101"/>
        <v>217.38748718313028</v>
      </c>
      <c r="V251" s="101">
        <f t="shared" si="101"/>
        <v>217.38748718313028</v>
      </c>
      <c r="W251" s="101">
        <f t="shared" si="101"/>
        <v>0</v>
      </c>
      <c r="X251" s="101">
        <f t="shared" si="101"/>
        <v>0</v>
      </c>
      <c r="Y251" s="101">
        <f t="shared" si="101"/>
        <v>0</v>
      </c>
      <c r="Z251" s="101">
        <f t="shared" si="101"/>
        <v>0</v>
      </c>
      <c r="AA251" s="101">
        <f t="shared" si="101"/>
        <v>0</v>
      </c>
      <c r="AB251" s="22"/>
    </row>
    <row r="252" spans="1:28" s="23" customFormat="1" ht="10.199999999999999" x14ac:dyDescent="0.2">
      <c r="A252" s="22"/>
      <c r="B252" s="22"/>
      <c r="C252" s="22"/>
      <c r="D252" s="22"/>
      <c r="E252" s="22" t="str">
        <f>E250</f>
        <v>аренда земли - начисление</v>
      </c>
      <c r="F252" s="22"/>
      <c r="G252" s="22" t="str">
        <f>IF($E252="","",INDEX(KPI!$G:$G,SUMIFS(KPI!$B:$B,KPI!$E:$E,$E252)))</f>
        <v>тыс.руб.</v>
      </c>
      <c r="H252" s="100">
        <f>структура!$V$13</f>
        <v>2</v>
      </c>
      <c r="I252" s="31"/>
      <c r="J252" s="98" t="str">
        <f>структура!$X$13</f>
        <v>фев</v>
      </c>
      <c r="K252" s="99"/>
      <c r="L252" s="22"/>
      <c r="M252" s="58"/>
      <c r="N252" s="22"/>
      <c r="O252" s="22"/>
      <c r="P252" s="101">
        <f t="shared" si="101"/>
        <v>217.38748718313028</v>
      </c>
      <c r="Q252" s="101">
        <f t="shared" si="101"/>
        <v>217.38748718313028</v>
      </c>
      <c r="R252" s="101">
        <f t="shared" si="101"/>
        <v>217.38748718313028</v>
      </c>
      <c r="S252" s="101">
        <f t="shared" si="101"/>
        <v>217.38748718313028</v>
      </c>
      <c r="T252" s="101">
        <f t="shared" si="101"/>
        <v>217.38748718313028</v>
      </c>
      <c r="U252" s="101">
        <f t="shared" si="101"/>
        <v>217.38748718313028</v>
      </c>
      <c r="V252" s="101">
        <f t="shared" si="101"/>
        <v>217.38748718313028</v>
      </c>
      <c r="W252" s="101">
        <f t="shared" si="101"/>
        <v>0</v>
      </c>
      <c r="X252" s="101">
        <f t="shared" si="101"/>
        <v>0</v>
      </c>
      <c r="Y252" s="101">
        <f t="shared" si="101"/>
        <v>0</v>
      </c>
      <c r="Z252" s="101">
        <f t="shared" si="101"/>
        <v>0</v>
      </c>
      <c r="AA252" s="101">
        <f t="shared" si="101"/>
        <v>0</v>
      </c>
      <c r="AB252" s="22"/>
    </row>
    <row r="253" spans="1:28" s="23" customFormat="1" ht="10.199999999999999" x14ac:dyDescent="0.2">
      <c r="A253" s="22"/>
      <c r="B253" s="22"/>
      <c r="C253" s="22"/>
      <c r="D253" s="22"/>
      <c r="E253" s="22" t="str">
        <f>E250</f>
        <v>аренда земли - начисление</v>
      </c>
      <c r="F253" s="22"/>
      <c r="G253" s="22" t="str">
        <f>IF($E253="","",INDEX(KPI!$G:$G,SUMIFS(KPI!$B:$B,KPI!$E:$E,$E253)))</f>
        <v>тыс.руб.</v>
      </c>
      <c r="H253" s="100">
        <f>структура!$V$14</f>
        <v>3</v>
      </c>
      <c r="I253" s="31"/>
      <c r="J253" s="98" t="str">
        <f>структура!$X$14</f>
        <v>мар</v>
      </c>
      <c r="K253" s="99"/>
      <c r="L253" s="22"/>
      <c r="M253" s="58"/>
      <c r="N253" s="22"/>
      <c r="O253" s="22"/>
      <c r="P253" s="101">
        <f t="shared" si="101"/>
        <v>217.38748718313028</v>
      </c>
      <c r="Q253" s="101">
        <f t="shared" si="101"/>
        <v>217.38748718313028</v>
      </c>
      <c r="R253" s="101">
        <f t="shared" si="101"/>
        <v>217.38748718313028</v>
      </c>
      <c r="S253" s="101">
        <f t="shared" si="101"/>
        <v>217.38748718313028</v>
      </c>
      <c r="T253" s="101">
        <f t="shared" si="101"/>
        <v>217.38748718313028</v>
      </c>
      <c r="U253" s="101">
        <f t="shared" si="101"/>
        <v>217.38748718313028</v>
      </c>
      <c r="V253" s="101">
        <f t="shared" si="101"/>
        <v>217.38748718313028</v>
      </c>
      <c r="W253" s="101">
        <f t="shared" si="101"/>
        <v>0</v>
      </c>
      <c r="X253" s="101">
        <f t="shared" si="101"/>
        <v>0</v>
      </c>
      <c r="Y253" s="101">
        <f t="shared" si="101"/>
        <v>0</v>
      </c>
      <c r="Z253" s="101">
        <f t="shared" si="101"/>
        <v>0</v>
      </c>
      <c r="AA253" s="101">
        <f t="shared" si="101"/>
        <v>0</v>
      </c>
      <c r="AB253" s="22"/>
    </row>
    <row r="254" spans="1:28" s="23" customFormat="1" ht="10.199999999999999" x14ac:dyDescent="0.2">
      <c r="A254" s="22"/>
      <c r="B254" s="22"/>
      <c r="C254" s="22"/>
      <c r="D254" s="22"/>
      <c r="E254" s="22" t="str">
        <f>E250</f>
        <v>аренда земли - начисление</v>
      </c>
      <c r="F254" s="22"/>
      <c r="G254" s="22" t="str">
        <f>IF($E254="","",INDEX(KPI!$G:$G,SUMIFS(KPI!$B:$B,KPI!$E:$E,$E254)))</f>
        <v>тыс.руб.</v>
      </c>
      <c r="H254" s="100">
        <f>структура!$V$15</f>
        <v>4</v>
      </c>
      <c r="I254" s="31"/>
      <c r="J254" s="98" t="str">
        <f>структура!$X$15</f>
        <v>апр</v>
      </c>
      <c r="K254" s="99"/>
      <c r="L254" s="22"/>
      <c r="M254" s="58"/>
      <c r="N254" s="22"/>
      <c r="O254" s="22"/>
      <c r="P254" s="101">
        <f t="shared" si="101"/>
        <v>217.38748718313028</v>
      </c>
      <c r="Q254" s="101">
        <f t="shared" si="101"/>
        <v>217.38748718313028</v>
      </c>
      <c r="R254" s="101">
        <f t="shared" si="101"/>
        <v>217.38748718313028</v>
      </c>
      <c r="S254" s="101">
        <f t="shared" si="101"/>
        <v>217.38748718313028</v>
      </c>
      <c r="T254" s="101">
        <f t="shared" si="101"/>
        <v>217.38748718313028</v>
      </c>
      <c r="U254" s="101">
        <f t="shared" si="101"/>
        <v>217.38748718313028</v>
      </c>
      <c r="V254" s="101">
        <f t="shared" si="101"/>
        <v>217.38748718313028</v>
      </c>
      <c r="W254" s="101">
        <f t="shared" si="101"/>
        <v>0</v>
      </c>
      <c r="X254" s="101">
        <f t="shared" si="101"/>
        <v>0</v>
      </c>
      <c r="Y254" s="101">
        <f t="shared" si="101"/>
        <v>0</v>
      </c>
      <c r="Z254" s="101">
        <f t="shared" si="101"/>
        <v>0</v>
      </c>
      <c r="AA254" s="101">
        <f t="shared" si="101"/>
        <v>0</v>
      </c>
      <c r="AB254" s="22"/>
    </row>
    <row r="255" spans="1:28" s="23" customFormat="1" ht="10.199999999999999" x14ac:dyDescent="0.2">
      <c r="A255" s="22"/>
      <c r="B255" s="22"/>
      <c r="C255" s="22"/>
      <c r="D255" s="22"/>
      <c r="E255" s="22" t="str">
        <f>E250</f>
        <v>аренда земли - начисление</v>
      </c>
      <c r="F255" s="22"/>
      <c r="G255" s="22" t="str">
        <f>IF($E255="","",INDEX(KPI!$G:$G,SUMIFS(KPI!$B:$B,KPI!$E:$E,$E255)))</f>
        <v>тыс.руб.</v>
      </c>
      <c r="H255" s="100">
        <f>структура!$V$16</f>
        <v>5</v>
      </c>
      <c r="I255" s="31"/>
      <c r="J255" s="98" t="str">
        <f>структура!$X$16</f>
        <v>май</v>
      </c>
      <c r="K255" s="99"/>
      <c r="L255" s="22"/>
      <c r="M255" s="58"/>
      <c r="N255" s="22"/>
      <c r="O255" s="22"/>
      <c r="P255" s="101">
        <f t="shared" si="101"/>
        <v>217.38748718313028</v>
      </c>
      <c r="Q255" s="101">
        <f t="shared" si="101"/>
        <v>217.38748718313028</v>
      </c>
      <c r="R255" s="101">
        <f t="shared" si="101"/>
        <v>217.38748718313028</v>
      </c>
      <c r="S255" s="101">
        <f t="shared" si="101"/>
        <v>217.38748718313028</v>
      </c>
      <c r="T255" s="101">
        <f t="shared" si="101"/>
        <v>217.38748718313028</v>
      </c>
      <c r="U255" s="101">
        <f t="shared" si="101"/>
        <v>217.38748718313028</v>
      </c>
      <c r="V255" s="101">
        <f t="shared" si="101"/>
        <v>217.38748718313028</v>
      </c>
      <c r="W255" s="101">
        <f t="shared" si="101"/>
        <v>0</v>
      </c>
      <c r="X255" s="101">
        <f t="shared" si="101"/>
        <v>0</v>
      </c>
      <c r="Y255" s="101">
        <f t="shared" si="101"/>
        <v>0</v>
      </c>
      <c r="Z255" s="101">
        <f t="shared" si="101"/>
        <v>0</v>
      </c>
      <c r="AA255" s="101">
        <f t="shared" si="101"/>
        <v>0</v>
      </c>
      <c r="AB255" s="22"/>
    </row>
    <row r="256" spans="1:28" s="23" customFormat="1" ht="10.199999999999999" x14ac:dyDescent="0.2">
      <c r="A256" s="22"/>
      <c r="B256" s="22"/>
      <c r="C256" s="22"/>
      <c r="D256" s="22"/>
      <c r="E256" s="22" t="str">
        <f>E250</f>
        <v>аренда земли - начисление</v>
      </c>
      <c r="F256" s="22"/>
      <c r="G256" s="22" t="str">
        <f>IF($E256="","",INDEX(KPI!$G:$G,SUMIFS(KPI!$B:$B,KPI!$E:$E,$E256)))</f>
        <v>тыс.руб.</v>
      </c>
      <c r="H256" s="100">
        <f>структура!$V$17</f>
        <v>6</v>
      </c>
      <c r="I256" s="31"/>
      <c r="J256" s="98" t="str">
        <f>структура!$X$17</f>
        <v>июн</v>
      </c>
      <c r="K256" s="99"/>
      <c r="L256" s="22"/>
      <c r="M256" s="58"/>
      <c r="N256" s="22"/>
      <c r="O256" s="22"/>
      <c r="P256" s="101">
        <f t="shared" si="101"/>
        <v>217.38748718313028</v>
      </c>
      <c r="Q256" s="101">
        <f t="shared" si="101"/>
        <v>217.38748718313028</v>
      </c>
      <c r="R256" s="101">
        <f t="shared" si="101"/>
        <v>217.38748718313028</v>
      </c>
      <c r="S256" s="101">
        <f t="shared" si="101"/>
        <v>217.38748718313028</v>
      </c>
      <c r="T256" s="101">
        <f t="shared" si="101"/>
        <v>217.38748718313028</v>
      </c>
      <c r="U256" s="101">
        <f t="shared" si="101"/>
        <v>217.38748718313028</v>
      </c>
      <c r="V256" s="101">
        <f t="shared" si="101"/>
        <v>217.38748718313028</v>
      </c>
      <c r="W256" s="101">
        <f t="shared" si="101"/>
        <v>0</v>
      </c>
      <c r="X256" s="101">
        <f t="shared" si="101"/>
        <v>0</v>
      </c>
      <c r="Y256" s="101">
        <f t="shared" si="101"/>
        <v>0</v>
      </c>
      <c r="Z256" s="101">
        <f t="shared" si="101"/>
        <v>0</v>
      </c>
      <c r="AA256" s="101">
        <f t="shared" si="101"/>
        <v>0</v>
      </c>
      <c r="AB256" s="22"/>
    </row>
    <row r="257" spans="1:28" s="23" customFormat="1" ht="10.199999999999999" x14ac:dyDescent="0.2">
      <c r="A257" s="22"/>
      <c r="B257" s="22"/>
      <c r="C257" s="22"/>
      <c r="D257" s="22"/>
      <c r="E257" s="22" t="str">
        <f>E250</f>
        <v>аренда земли - начисление</v>
      </c>
      <c r="F257" s="22"/>
      <c r="G257" s="22" t="str">
        <f>IF($E257="","",INDEX(KPI!$G:$G,SUMIFS(KPI!$B:$B,KPI!$E:$E,$E257)))</f>
        <v>тыс.руб.</v>
      </c>
      <c r="H257" s="100">
        <f>структура!$V$18</f>
        <v>7</v>
      </c>
      <c r="I257" s="31"/>
      <c r="J257" s="98" t="str">
        <f>структура!$X$18</f>
        <v>июл</v>
      </c>
      <c r="K257" s="99"/>
      <c r="L257" s="22"/>
      <c r="M257" s="58"/>
      <c r="N257" s="22"/>
      <c r="O257" s="22"/>
      <c r="P257" s="101">
        <f t="shared" si="101"/>
        <v>217.38748718313028</v>
      </c>
      <c r="Q257" s="101">
        <f t="shared" si="101"/>
        <v>217.38748718313028</v>
      </c>
      <c r="R257" s="101">
        <f t="shared" si="101"/>
        <v>217.38748718313028</v>
      </c>
      <c r="S257" s="101">
        <f t="shared" si="101"/>
        <v>217.38748718313028</v>
      </c>
      <c r="T257" s="101">
        <f t="shared" si="101"/>
        <v>217.38748718313028</v>
      </c>
      <c r="U257" s="101">
        <f t="shared" si="101"/>
        <v>217.38748718313028</v>
      </c>
      <c r="V257" s="101">
        <f t="shared" si="101"/>
        <v>217.38748718313028</v>
      </c>
      <c r="W257" s="101">
        <f t="shared" si="101"/>
        <v>0</v>
      </c>
      <c r="X257" s="101">
        <f t="shared" si="101"/>
        <v>0</v>
      </c>
      <c r="Y257" s="101">
        <f t="shared" si="101"/>
        <v>0</v>
      </c>
      <c r="Z257" s="101">
        <f t="shared" si="101"/>
        <v>0</v>
      </c>
      <c r="AA257" s="101">
        <f t="shared" si="101"/>
        <v>0</v>
      </c>
      <c r="AB257" s="22"/>
    </row>
    <row r="258" spans="1:28" s="23" customFormat="1" ht="10.199999999999999" x14ac:dyDescent="0.2">
      <c r="A258" s="22"/>
      <c r="B258" s="22"/>
      <c r="C258" s="22"/>
      <c r="D258" s="22"/>
      <c r="E258" s="22" t="str">
        <f>E250</f>
        <v>аренда земли - начисление</v>
      </c>
      <c r="F258" s="22"/>
      <c r="G258" s="22" t="str">
        <f>IF($E258="","",INDEX(KPI!$G:$G,SUMIFS(KPI!$B:$B,KPI!$E:$E,$E258)))</f>
        <v>тыс.руб.</v>
      </c>
      <c r="H258" s="100">
        <f>структура!$V$19</f>
        <v>8</v>
      </c>
      <c r="I258" s="31"/>
      <c r="J258" s="98" t="str">
        <f>структура!$X$19</f>
        <v>авг</v>
      </c>
      <c r="K258" s="99"/>
      <c r="L258" s="22"/>
      <c r="M258" s="58"/>
      <c r="N258" s="22"/>
      <c r="O258" s="22"/>
      <c r="P258" s="101">
        <f t="shared" si="101"/>
        <v>217.38748718313028</v>
      </c>
      <c r="Q258" s="101">
        <f t="shared" si="101"/>
        <v>217.38748718313028</v>
      </c>
      <c r="R258" s="101">
        <f t="shared" si="101"/>
        <v>217.38748718313028</v>
      </c>
      <c r="S258" s="101">
        <f t="shared" si="101"/>
        <v>217.38748718313028</v>
      </c>
      <c r="T258" s="101">
        <f t="shared" si="101"/>
        <v>217.38748718313028</v>
      </c>
      <c r="U258" s="101">
        <f t="shared" si="101"/>
        <v>217.38748718313028</v>
      </c>
      <c r="V258" s="101">
        <f t="shared" si="101"/>
        <v>217.38748718313028</v>
      </c>
      <c r="W258" s="101">
        <f t="shared" si="101"/>
        <v>0</v>
      </c>
      <c r="X258" s="101">
        <f t="shared" si="101"/>
        <v>0</v>
      </c>
      <c r="Y258" s="101">
        <f t="shared" si="101"/>
        <v>0</v>
      </c>
      <c r="Z258" s="101">
        <f t="shared" si="101"/>
        <v>0</v>
      </c>
      <c r="AA258" s="101">
        <f t="shared" si="101"/>
        <v>0</v>
      </c>
      <c r="AB258" s="22"/>
    </row>
    <row r="259" spans="1:28" s="23" customFormat="1" ht="10.199999999999999" x14ac:dyDescent="0.2">
      <c r="A259" s="22"/>
      <c r="B259" s="22"/>
      <c r="C259" s="22"/>
      <c r="D259" s="22"/>
      <c r="E259" s="22" t="str">
        <f>E250</f>
        <v>аренда земли - начисление</v>
      </c>
      <c r="F259" s="22"/>
      <c r="G259" s="22" t="str">
        <f>IF($E259="","",INDEX(KPI!$G:$G,SUMIFS(KPI!$B:$B,KPI!$E:$E,$E259)))</f>
        <v>тыс.руб.</v>
      </c>
      <c r="H259" s="100">
        <f>структура!$V$20</f>
        <v>9</v>
      </c>
      <c r="I259" s="31"/>
      <c r="J259" s="98" t="str">
        <f>структура!$X$20</f>
        <v>сен</v>
      </c>
      <c r="K259" s="99"/>
      <c r="L259" s="22"/>
      <c r="M259" s="58"/>
      <c r="N259" s="22"/>
      <c r="O259" s="22"/>
      <c r="P259" s="101">
        <f t="shared" si="101"/>
        <v>217.38748718313028</v>
      </c>
      <c r="Q259" s="101">
        <f t="shared" si="101"/>
        <v>217.38748718313028</v>
      </c>
      <c r="R259" s="101">
        <f t="shared" si="101"/>
        <v>217.38748718313028</v>
      </c>
      <c r="S259" s="101">
        <f t="shared" si="101"/>
        <v>217.38748718313028</v>
      </c>
      <c r="T259" s="101">
        <f t="shared" si="101"/>
        <v>217.38748718313028</v>
      </c>
      <c r="U259" s="101">
        <f t="shared" si="101"/>
        <v>217.38748718313028</v>
      </c>
      <c r="V259" s="101">
        <f t="shared" si="101"/>
        <v>217.38748718313028</v>
      </c>
      <c r="W259" s="101">
        <f t="shared" si="101"/>
        <v>0</v>
      </c>
      <c r="X259" s="101">
        <f t="shared" si="101"/>
        <v>0</v>
      </c>
      <c r="Y259" s="101">
        <f t="shared" si="101"/>
        <v>0</v>
      </c>
      <c r="Z259" s="101">
        <f t="shared" si="101"/>
        <v>0</v>
      </c>
      <c r="AA259" s="101">
        <f t="shared" si="101"/>
        <v>0</v>
      </c>
      <c r="AB259" s="22"/>
    </row>
    <row r="260" spans="1:28" s="23" customFormat="1" ht="10.199999999999999" x14ac:dyDescent="0.2">
      <c r="A260" s="22"/>
      <c r="B260" s="22"/>
      <c r="C260" s="22"/>
      <c r="D260" s="22"/>
      <c r="E260" s="22" t="str">
        <f>E250</f>
        <v>аренда земли - начисление</v>
      </c>
      <c r="F260" s="22"/>
      <c r="G260" s="22" t="str">
        <f>IF($E260="","",INDEX(KPI!$G:$G,SUMIFS(KPI!$B:$B,KPI!$E:$E,$E260)))</f>
        <v>тыс.руб.</v>
      </c>
      <c r="H260" s="100">
        <f>структура!$V$21</f>
        <v>10</v>
      </c>
      <c r="I260" s="31"/>
      <c r="J260" s="98" t="str">
        <f>структура!$X$21</f>
        <v>окт</v>
      </c>
      <c r="K260" s="99"/>
      <c r="L260" s="22"/>
      <c r="M260" s="58"/>
      <c r="N260" s="22"/>
      <c r="O260" s="22"/>
      <c r="P260" s="101">
        <f t="shared" si="101"/>
        <v>217.38748718313028</v>
      </c>
      <c r="Q260" s="101">
        <f t="shared" si="101"/>
        <v>217.38748718313028</v>
      </c>
      <c r="R260" s="101">
        <f t="shared" si="101"/>
        <v>217.38748718313028</v>
      </c>
      <c r="S260" s="101">
        <f t="shared" si="101"/>
        <v>217.38748718313028</v>
      </c>
      <c r="T260" s="101">
        <f t="shared" si="101"/>
        <v>217.38748718313028</v>
      </c>
      <c r="U260" s="101">
        <f t="shared" si="101"/>
        <v>217.38748718313028</v>
      </c>
      <c r="V260" s="101">
        <f t="shared" si="101"/>
        <v>217.38748718313028</v>
      </c>
      <c r="W260" s="101">
        <f t="shared" si="101"/>
        <v>0</v>
      </c>
      <c r="X260" s="101">
        <f t="shared" si="101"/>
        <v>0</v>
      </c>
      <c r="Y260" s="101">
        <f t="shared" si="101"/>
        <v>0</v>
      </c>
      <c r="Z260" s="101">
        <f t="shared" si="101"/>
        <v>0</v>
      </c>
      <c r="AA260" s="101">
        <f t="shared" si="101"/>
        <v>0</v>
      </c>
      <c r="AB260" s="22"/>
    </row>
    <row r="261" spans="1:28" s="23" customFormat="1" ht="10.199999999999999" x14ac:dyDescent="0.2">
      <c r="A261" s="22"/>
      <c r="B261" s="22"/>
      <c r="C261" s="22"/>
      <c r="D261" s="22"/>
      <c r="E261" s="22" t="str">
        <f>E250</f>
        <v>аренда земли - начисление</v>
      </c>
      <c r="F261" s="22"/>
      <c r="G261" s="22" t="str">
        <f>IF($E261="","",INDEX(KPI!$G:$G,SUMIFS(KPI!$B:$B,KPI!$E:$E,$E261)))</f>
        <v>тыс.руб.</v>
      </c>
      <c r="H261" s="100">
        <f>структура!$V$22</f>
        <v>11</v>
      </c>
      <c r="I261" s="31"/>
      <c r="J261" s="98" t="str">
        <f>структура!$X$22</f>
        <v>ноя</v>
      </c>
      <c r="K261" s="99"/>
      <c r="L261" s="22"/>
      <c r="M261" s="58"/>
      <c r="N261" s="22"/>
      <c r="O261" s="22"/>
      <c r="P261" s="101">
        <f t="shared" si="101"/>
        <v>217.38748718313028</v>
      </c>
      <c r="Q261" s="101">
        <f t="shared" si="101"/>
        <v>217.38748718313028</v>
      </c>
      <c r="R261" s="101">
        <f t="shared" si="101"/>
        <v>217.38748718313028</v>
      </c>
      <c r="S261" s="101">
        <f t="shared" si="101"/>
        <v>217.38748718313028</v>
      </c>
      <c r="T261" s="101">
        <f t="shared" si="101"/>
        <v>217.38748718313028</v>
      </c>
      <c r="U261" s="101">
        <f t="shared" si="101"/>
        <v>217.38748718313028</v>
      </c>
      <c r="V261" s="101">
        <f t="shared" si="101"/>
        <v>217.38748718313028</v>
      </c>
      <c r="W261" s="101">
        <f t="shared" si="101"/>
        <v>0</v>
      </c>
      <c r="X261" s="101">
        <f t="shared" si="101"/>
        <v>0</v>
      </c>
      <c r="Y261" s="101">
        <f t="shared" si="101"/>
        <v>0</v>
      </c>
      <c r="Z261" s="101">
        <f t="shared" si="101"/>
        <v>0</v>
      </c>
      <c r="AA261" s="101">
        <f t="shared" si="101"/>
        <v>0</v>
      </c>
      <c r="AB261" s="22"/>
    </row>
    <row r="262" spans="1:28" s="23" customFormat="1" ht="10.199999999999999" x14ac:dyDescent="0.2">
      <c r="A262" s="22"/>
      <c r="B262" s="22"/>
      <c r="C262" s="22"/>
      <c r="D262" s="22"/>
      <c r="E262" s="22" t="str">
        <f>E250</f>
        <v>аренда земли - начисление</v>
      </c>
      <c r="F262" s="22"/>
      <c r="G262" s="22" t="str">
        <f>IF($E262="","",INDEX(KPI!$G:$G,SUMIFS(KPI!$B:$B,KPI!$E:$E,$E262)))</f>
        <v>тыс.руб.</v>
      </c>
      <c r="H262" s="100">
        <f>структура!$V$23</f>
        <v>12</v>
      </c>
      <c r="I262" s="31"/>
      <c r="J262" s="98" t="str">
        <f>структура!$X$23</f>
        <v>дек</v>
      </c>
      <c r="K262" s="99"/>
      <c r="L262" s="22"/>
      <c r="M262" s="58"/>
      <c r="N262" s="22"/>
      <c r="O262" s="22"/>
      <c r="P262" s="101">
        <f t="shared" si="101"/>
        <v>217.38748718313028</v>
      </c>
      <c r="Q262" s="101">
        <f t="shared" si="101"/>
        <v>217.38748718313028</v>
      </c>
      <c r="R262" s="101">
        <f t="shared" si="101"/>
        <v>217.38748718313028</v>
      </c>
      <c r="S262" s="101">
        <f t="shared" si="101"/>
        <v>217.38748718313028</v>
      </c>
      <c r="T262" s="101">
        <f t="shared" si="101"/>
        <v>217.38748718313028</v>
      </c>
      <c r="U262" s="101">
        <f t="shared" si="101"/>
        <v>217.38748718313028</v>
      </c>
      <c r="V262" s="101">
        <f t="shared" si="101"/>
        <v>217.38748718313028</v>
      </c>
      <c r="W262" s="101">
        <f t="shared" si="101"/>
        <v>0</v>
      </c>
      <c r="X262" s="101">
        <f t="shared" si="101"/>
        <v>0</v>
      </c>
      <c r="Y262" s="101">
        <f t="shared" si="101"/>
        <v>0</v>
      </c>
      <c r="Z262" s="101">
        <f t="shared" si="101"/>
        <v>0</v>
      </c>
      <c r="AA262" s="101">
        <f t="shared" si="101"/>
        <v>0</v>
      </c>
      <c r="AB262" s="22"/>
    </row>
    <row r="263" spans="1:28" ht="3.9" customHeight="1" x14ac:dyDescent="0.25">
      <c r="A263" s="2"/>
      <c r="B263" s="2"/>
      <c r="C263" s="2"/>
      <c r="D263" s="2"/>
      <c r="E263" s="21"/>
      <c r="F263" s="2"/>
      <c r="G263" s="21"/>
      <c r="H263" s="2"/>
      <c r="I263" s="28"/>
      <c r="J263" s="21"/>
      <c r="K263" s="28"/>
      <c r="L263" s="2"/>
      <c r="M263" s="52"/>
      <c r="N263" s="2"/>
      <c r="O263" s="2"/>
      <c r="P263" s="36"/>
      <c r="Q263" s="36"/>
      <c r="R263" s="36"/>
      <c r="S263" s="36"/>
      <c r="T263" s="36"/>
      <c r="U263" s="36"/>
      <c r="V263" s="36"/>
      <c r="W263" s="36"/>
      <c r="X263" s="36"/>
      <c r="Y263" s="36"/>
      <c r="Z263" s="36"/>
      <c r="AA263" s="36"/>
      <c r="AB263" s="2"/>
    </row>
    <row r="264" spans="1:28" ht="8.1" customHeight="1" x14ac:dyDescent="0.25">
      <c r="A264" s="2"/>
      <c r="B264" s="2"/>
      <c r="C264" s="2"/>
      <c r="D264" s="2"/>
      <c r="E264" s="2"/>
      <c r="F264" s="2"/>
      <c r="G264" s="2"/>
      <c r="H264" s="2"/>
      <c r="I264" s="28"/>
      <c r="J264" s="2"/>
      <c r="K264" s="28"/>
      <c r="L264" s="2"/>
      <c r="M264" s="52"/>
      <c r="N264" s="2"/>
      <c r="O264" s="2"/>
      <c r="P264" s="36"/>
      <c r="Q264" s="36"/>
      <c r="R264" s="36"/>
      <c r="S264" s="36"/>
      <c r="T264" s="36"/>
      <c r="U264" s="36"/>
      <c r="V264" s="36"/>
      <c r="W264" s="36"/>
      <c r="X264" s="36"/>
      <c r="Y264" s="36"/>
      <c r="Z264" s="36"/>
      <c r="AA264" s="36"/>
      <c r="AB264" s="2"/>
    </row>
    <row r="265" spans="1:28" s="5" customFormat="1" x14ac:dyDescent="0.25">
      <c r="A265" s="3"/>
      <c r="B265" s="3"/>
      <c r="C265" s="3"/>
      <c r="D265" s="111"/>
      <c r="E265" s="3" t="str">
        <f>KPI!$E$47</f>
        <v>аренда земли - оплата</v>
      </c>
      <c r="F265" s="3"/>
      <c r="G265" s="3" t="str">
        <f>IF($E265="","",INDEX(KPI!$G:$G,SUMIFS(KPI!$B:$B,KPI!$E:$E,$E265)))</f>
        <v>тыс.руб.</v>
      </c>
      <c r="H265" s="103"/>
      <c r="I265" s="28"/>
      <c r="J265" s="44"/>
      <c r="K265" s="28"/>
      <c r="L265" s="3"/>
      <c r="M265" s="55">
        <f>SUM($O265:$AB265)</f>
        <v>18260.548923382947</v>
      </c>
      <c r="N265" s="3"/>
      <c r="O265" s="3"/>
      <c r="P265" s="46">
        <f>IF(P$1="",0,IF(P$1=0,SUMIFS(P266:P277,H266:H277,"&gt;="&amp;MONTH($J$13)),SUM(P266:P277)))</f>
        <v>2608.6498461975634</v>
      </c>
      <c r="Q265" s="46">
        <f t="shared" ref="Q265" si="102">IF(Q$1="",0,SUM(Q266:Q277))</f>
        <v>2608.6498461975634</v>
      </c>
      <c r="R265" s="46">
        <f t="shared" ref="R265:AA265" si="103">IF(R$1="",0,SUM(R266:R277))</f>
        <v>2608.6498461975634</v>
      </c>
      <c r="S265" s="46">
        <f t="shared" si="103"/>
        <v>2608.6498461975634</v>
      </c>
      <c r="T265" s="46">
        <f t="shared" si="103"/>
        <v>2608.6498461975634</v>
      </c>
      <c r="U265" s="46">
        <f t="shared" si="103"/>
        <v>2608.6498461975634</v>
      </c>
      <c r="V265" s="46">
        <f t="shared" si="103"/>
        <v>2608.6498461975634</v>
      </c>
      <c r="W265" s="46">
        <f t="shared" si="103"/>
        <v>0</v>
      </c>
      <c r="X265" s="46">
        <f t="shared" si="103"/>
        <v>0</v>
      </c>
      <c r="Y265" s="46">
        <f t="shared" si="103"/>
        <v>0</v>
      </c>
      <c r="Z265" s="46">
        <f t="shared" si="103"/>
        <v>0</v>
      </c>
      <c r="AA265" s="46">
        <f t="shared" si="103"/>
        <v>0</v>
      </c>
      <c r="AB265" s="3"/>
    </row>
    <row r="266" spans="1:28" s="23" customFormat="1" ht="10.199999999999999" x14ac:dyDescent="0.2">
      <c r="A266" s="22"/>
      <c r="B266" s="22"/>
      <c r="C266" s="22"/>
      <c r="D266" s="22"/>
      <c r="E266" s="22" t="str">
        <f>E265</f>
        <v>аренда земли - оплата</v>
      </c>
      <c r="F266" s="22"/>
      <c r="G266" s="22" t="str">
        <f>IF($E266="","",INDEX(KPI!$G:$G,SUMIFS(KPI!$B:$B,KPI!$E:$E,$E266)))</f>
        <v>тыс.руб.</v>
      </c>
      <c r="H266" s="100">
        <f>структура!$V$12</f>
        <v>1</v>
      </c>
      <c r="I266" s="31"/>
      <c r="J266" s="98" t="str">
        <f>структура!$X$12</f>
        <v>янв</v>
      </c>
      <c r="K266" s="99"/>
      <c r="L266" s="22"/>
      <c r="M266" s="58"/>
      <c r="N266" s="22"/>
      <c r="O266" s="22"/>
      <c r="P266" s="101">
        <f t="shared" ref="P266:AA277" si="104">IF(P$1="",0,IF(P$1=0,$J$247/12,IF($H266=1,$J$247,0)))</f>
        <v>2608.6498461975634</v>
      </c>
      <c r="Q266" s="101">
        <f t="shared" si="104"/>
        <v>2608.6498461975634</v>
      </c>
      <c r="R266" s="101">
        <f t="shared" si="104"/>
        <v>2608.6498461975634</v>
      </c>
      <c r="S266" s="101">
        <f t="shared" si="104"/>
        <v>2608.6498461975634</v>
      </c>
      <c r="T266" s="101">
        <f t="shared" si="104"/>
        <v>2608.6498461975634</v>
      </c>
      <c r="U266" s="101">
        <f t="shared" si="104"/>
        <v>2608.6498461975634</v>
      </c>
      <c r="V266" s="101">
        <f t="shared" si="104"/>
        <v>2608.6498461975634</v>
      </c>
      <c r="W266" s="101">
        <f t="shared" si="104"/>
        <v>0</v>
      </c>
      <c r="X266" s="101">
        <f t="shared" si="104"/>
        <v>0</v>
      </c>
      <c r="Y266" s="101">
        <f t="shared" si="104"/>
        <v>0</v>
      </c>
      <c r="Z266" s="101">
        <f t="shared" si="104"/>
        <v>0</v>
      </c>
      <c r="AA266" s="101">
        <f t="shared" si="104"/>
        <v>0</v>
      </c>
      <c r="AB266" s="22"/>
    </row>
    <row r="267" spans="1:28" s="23" customFormat="1" ht="10.199999999999999" x14ac:dyDescent="0.2">
      <c r="A267" s="22"/>
      <c r="B267" s="22"/>
      <c r="C267" s="22"/>
      <c r="D267" s="22"/>
      <c r="E267" s="22" t="str">
        <f>E265</f>
        <v>аренда земли - оплата</v>
      </c>
      <c r="F267" s="22"/>
      <c r="G267" s="22" t="str">
        <f>IF($E267="","",INDEX(KPI!$G:$G,SUMIFS(KPI!$B:$B,KPI!$E:$E,$E267)))</f>
        <v>тыс.руб.</v>
      </c>
      <c r="H267" s="100">
        <f>структура!$V$13</f>
        <v>2</v>
      </c>
      <c r="I267" s="31"/>
      <c r="J267" s="98" t="str">
        <f>структура!$X$13</f>
        <v>фев</v>
      </c>
      <c r="K267" s="99"/>
      <c r="L267" s="22"/>
      <c r="M267" s="58"/>
      <c r="N267" s="22"/>
      <c r="O267" s="22"/>
      <c r="P267" s="101">
        <f t="shared" si="104"/>
        <v>0</v>
      </c>
      <c r="Q267" s="101">
        <f t="shared" si="104"/>
        <v>0</v>
      </c>
      <c r="R267" s="101">
        <f t="shared" si="104"/>
        <v>0</v>
      </c>
      <c r="S267" s="101">
        <f t="shared" si="104"/>
        <v>0</v>
      </c>
      <c r="T267" s="101">
        <f t="shared" si="104"/>
        <v>0</v>
      </c>
      <c r="U267" s="101">
        <f t="shared" si="104"/>
        <v>0</v>
      </c>
      <c r="V267" s="101">
        <f t="shared" si="104"/>
        <v>0</v>
      </c>
      <c r="W267" s="101">
        <f t="shared" si="104"/>
        <v>0</v>
      </c>
      <c r="X267" s="101">
        <f t="shared" si="104"/>
        <v>0</v>
      </c>
      <c r="Y267" s="101">
        <f t="shared" si="104"/>
        <v>0</v>
      </c>
      <c r="Z267" s="101">
        <f t="shared" si="104"/>
        <v>0</v>
      </c>
      <c r="AA267" s="101">
        <f t="shared" si="104"/>
        <v>0</v>
      </c>
      <c r="AB267" s="22"/>
    </row>
    <row r="268" spans="1:28" s="23" customFormat="1" ht="10.199999999999999" x14ac:dyDescent="0.2">
      <c r="A268" s="22"/>
      <c r="B268" s="22"/>
      <c r="C268" s="22"/>
      <c r="D268" s="22"/>
      <c r="E268" s="22" t="str">
        <f>E265</f>
        <v>аренда земли - оплата</v>
      </c>
      <c r="F268" s="22"/>
      <c r="G268" s="22" t="str">
        <f>IF($E268="","",INDEX(KPI!$G:$G,SUMIFS(KPI!$B:$B,KPI!$E:$E,$E268)))</f>
        <v>тыс.руб.</v>
      </c>
      <c r="H268" s="100">
        <f>структура!$V$14</f>
        <v>3</v>
      </c>
      <c r="I268" s="31"/>
      <c r="J268" s="98" t="str">
        <f>структура!$X$14</f>
        <v>мар</v>
      </c>
      <c r="K268" s="99"/>
      <c r="L268" s="22"/>
      <c r="M268" s="58"/>
      <c r="N268" s="22"/>
      <c r="O268" s="22"/>
      <c r="P268" s="101">
        <f t="shared" si="104"/>
        <v>0</v>
      </c>
      <c r="Q268" s="101">
        <f t="shared" si="104"/>
        <v>0</v>
      </c>
      <c r="R268" s="101">
        <f t="shared" si="104"/>
        <v>0</v>
      </c>
      <c r="S268" s="101">
        <f t="shared" si="104"/>
        <v>0</v>
      </c>
      <c r="T268" s="101">
        <f t="shared" si="104"/>
        <v>0</v>
      </c>
      <c r="U268" s="101">
        <f t="shared" si="104"/>
        <v>0</v>
      </c>
      <c r="V268" s="101">
        <f t="shared" si="104"/>
        <v>0</v>
      </c>
      <c r="W268" s="101">
        <f t="shared" si="104"/>
        <v>0</v>
      </c>
      <c r="X268" s="101">
        <f t="shared" si="104"/>
        <v>0</v>
      </c>
      <c r="Y268" s="101">
        <f t="shared" si="104"/>
        <v>0</v>
      </c>
      <c r="Z268" s="101">
        <f t="shared" si="104"/>
        <v>0</v>
      </c>
      <c r="AA268" s="101">
        <f t="shared" si="104"/>
        <v>0</v>
      </c>
      <c r="AB268" s="22"/>
    </row>
    <row r="269" spans="1:28" s="23" customFormat="1" ht="10.199999999999999" x14ac:dyDescent="0.2">
      <c r="A269" s="22"/>
      <c r="B269" s="22"/>
      <c r="C269" s="22"/>
      <c r="D269" s="22"/>
      <c r="E269" s="22" t="str">
        <f>E265</f>
        <v>аренда земли - оплата</v>
      </c>
      <c r="F269" s="22"/>
      <c r="G269" s="22" t="str">
        <f>IF($E269="","",INDEX(KPI!$G:$G,SUMIFS(KPI!$B:$B,KPI!$E:$E,$E269)))</f>
        <v>тыс.руб.</v>
      </c>
      <c r="H269" s="100">
        <f>структура!$V$15</f>
        <v>4</v>
      </c>
      <c r="I269" s="31"/>
      <c r="J269" s="98" t="str">
        <f>структура!$X$15</f>
        <v>апр</v>
      </c>
      <c r="K269" s="99"/>
      <c r="L269" s="22"/>
      <c r="M269" s="58"/>
      <c r="N269" s="22"/>
      <c r="O269" s="22"/>
      <c r="P269" s="101">
        <f t="shared" si="104"/>
        <v>0</v>
      </c>
      <c r="Q269" s="101">
        <f t="shared" si="104"/>
        <v>0</v>
      </c>
      <c r="R269" s="101">
        <f t="shared" si="104"/>
        <v>0</v>
      </c>
      <c r="S269" s="101">
        <f t="shared" si="104"/>
        <v>0</v>
      </c>
      <c r="T269" s="101">
        <f t="shared" si="104"/>
        <v>0</v>
      </c>
      <c r="U269" s="101">
        <f t="shared" si="104"/>
        <v>0</v>
      </c>
      <c r="V269" s="101">
        <f t="shared" si="104"/>
        <v>0</v>
      </c>
      <c r="W269" s="101">
        <f t="shared" si="104"/>
        <v>0</v>
      </c>
      <c r="X269" s="101">
        <f t="shared" si="104"/>
        <v>0</v>
      </c>
      <c r="Y269" s="101">
        <f t="shared" si="104"/>
        <v>0</v>
      </c>
      <c r="Z269" s="101">
        <f t="shared" si="104"/>
        <v>0</v>
      </c>
      <c r="AA269" s="101">
        <f t="shared" si="104"/>
        <v>0</v>
      </c>
      <c r="AB269" s="22"/>
    </row>
    <row r="270" spans="1:28" s="23" customFormat="1" ht="10.199999999999999" x14ac:dyDescent="0.2">
      <c r="A270" s="22"/>
      <c r="B270" s="22"/>
      <c r="C270" s="22"/>
      <c r="D270" s="22"/>
      <c r="E270" s="22" t="str">
        <f>E265</f>
        <v>аренда земли - оплата</v>
      </c>
      <c r="F270" s="22"/>
      <c r="G270" s="22" t="str">
        <f>IF($E270="","",INDEX(KPI!$G:$G,SUMIFS(KPI!$B:$B,KPI!$E:$E,$E270)))</f>
        <v>тыс.руб.</v>
      </c>
      <c r="H270" s="100">
        <f>структура!$V$16</f>
        <v>5</v>
      </c>
      <c r="I270" s="31"/>
      <c r="J270" s="98" t="str">
        <f>структура!$X$16</f>
        <v>май</v>
      </c>
      <c r="K270" s="99"/>
      <c r="L270" s="22"/>
      <c r="M270" s="58"/>
      <c r="N270" s="22"/>
      <c r="O270" s="22"/>
      <c r="P270" s="101">
        <f t="shared" si="104"/>
        <v>0</v>
      </c>
      <c r="Q270" s="101">
        <f t="shared" si="104"/>
        <v>0</v>
      </c>
      <c r="R270" s="101">
        <f t="shared" si="104"/>
        <v>0</v>
      </c>
      <c r="S270" s="101">
        <f t="shared" si="104"/>
        <v>0</v>
      </c>
      <c r="T270" s="101">
        <f t="shared" si="104"/>
        <v>0</v>
      </c>
      <c r="U270" s="101">
        <f t="shared" si="104"/>
        <v>0</v>
      </c>
      <c r="V270" s="101">
        <f t="shared" si="104"/>
        <v>0</v>
      </c>
      <c r="W270" s="101">
        <f t="shared" si="104"/>
        <v>0</v>
      </c>
      <c r="X270" s="101">
        <f t="shared" si="104"/>
        <v>0</v>
      </c>
      <c r="Y270" s="101">
        <f t="shared" si="104"/>
        <v>0</v>
      </c>
      <c r="Z270" s="101">
        <f t="shared" si="104"/>
        <v>0</v>
      </c>
      <c r="AA270" s="101">
        <f t="shared" si="104"/>
        <v>0</v>
      </c>
      <c r="AB270" s="22"/>
    </row>
    <row r="271" spans="1:28" s="23" customFormat="1" ht="10.199999999999999" x14ac:dyDescent="0.2">
      <c r="A271" s="22"/>
      <c r="B271" s="22"/>
      <c r="C271" s="22"/>
      <c r="D271" s="22"/>
      <c r="E271" s="22" t="str">
        <f>E265</f>
        <v>аренда земли - оплата</v>
      </c>
      <c r="F271" s="22"/>
      <c r="G271" s="22" t="str">
        <f>IF($E271="","",INDEX(KPI!$G:$G,SUMIFS(KPI!$B:$B,KPI!$E:$E,$E271)))</f>
        <v>тыс.руб.</v>
      </c>
      <c r="H271" s="100">
        <f>структура!$V$17</f>
        <v>6</v>
      </c>
      <c r="I271" s="31"/>
      <c r="J271" s="98" t="str">
        <f>структура!$X$17</f>
        <v>июн</v>
      </c>
      <c r="K271" s="99"/>
      <c r="L271" s="22"/>
      <c r="M271" s="58"/>
      <c r="N271" s="22"/>
      <c r="O271" s="22"/>
      <c r="P271" s="101">
        <f t="shared" si="104"/>
        <v>0</v>
      </c>
      <c r="Q271" s="101">
        <f t="shared" si="104"/>
        <v>0</v>
      </c>
      <c r="R271" s="101">
        <f t="shared" si="104"/>
        <v>0</v>
      </c>
      <c r="S271" s="101">
        <f t="shared" si="104"/>
        <v>0</v>
      </c>
      <c r="T271" s="101">
        <f t="shared" si="104"/>
        <v>0</v>
      </c>
      <c r="U271" s="101">
        <f t="shared" si="104"/>
        <v>0</v>
      </c>
      <c r="V271" s="101">
        <f t="shared" si="104"/>
        <v>0</v>
      </c>
      <c r="W271" s="101">
        <f t="shared" si="104"/>
        <v>0</v>
      </c>
      <c r="X271" s="101">
        <f t="shared" si="104"/>
        <v>0</v>
      </c>
      <c r="Y271" s="101">
        <f t="shared" si="104"/>
        <v>0</v>
      </c>
      <c r="Z271" s="101">
        <f t="shared" si="104"/>
        <v>0</v>
      </c>
      <c r="AA271" s="101">
        <f t="shared" si="104"/>
        <v>0</v>
      </c>
      <c r="AB271" s="22"/>
    </row>
    <row r="272" spans="1:28" s="23" customFormat="1" ht="10.199999999999999" x14ac:dyDescent="0.2">
      <c r="A272" s="22"/>
      <c r="B272" s="22"/>
      <c r="C272" s="22"/>
      <c r="D272" s="22"/>
      <c r="E272" s="22" t="str">
        <f>E265</f>
        <v>аренда земли - оплата</v>
      </c>
      <c r="F272" s="22"/>
      <c r="G272" s="22" t="str">
        <f>IF($E272="","",INDEX(KPI!$G:$G,SUMIFS(KPI!$B:$B,KPI!$E:$E,$E272)))</f>
        <v>тыс.руб.</v>
      </c>
      <c r="H272" s="100">
        <f>структура!$V$18</f>
        <v>7</v>
      </c>
      <c r="I272" s="31"/>
      <c r="J272" s="98" t="str">
        <f>структура!$X$18</f>
        <v>июл</v>
      </c>
      <c r="K272" s="99"/>
      <c r="L272" s="22"/>
      <c r="M272" s="58"/>
      <c r="N272" s="22"/>
      <c r="O272" s="22"/>
      <c r="P272" s="101">
        <f t="shared" si="104"/>
        <v>0</v>
      </c>
      <c r="Q272" s="101">
        <f t="shared" si="104"/>
        <v>0</v>
      </c>
      <c r="R272" s="101">
        <f t="shared" si="104"/>
        <v>0</v>
      </c>
      <c r="S272" s="101">
        <f t="shared" si="104"/>
        <v>0</v>
      </c>
      <c r="T272" s="101">
        <f t="shared" si="104"/>
        <v>0</v>
      </c>
      <c r="U272" s="101">
        <f t="shared" si="104"/>
        <v>0</v>
      </c>
      <c r="V272" s="101">
        <f t="shared" si="104"/>
        <v>0</v>
      </c>
      <c r="W272" s="101">
        <f t="shared" si="104"/>
        <v>0</v>
      </c>
      <c r="X272" s="101">
        <f t="shared" si="104"/>
        <v>0</v>
      </c>
      <c r="Y272" s="101">
        <f t="shared" si="104"/>
        <v>0</v>
      </c>
      <c r="Z272" s="101">
        <f t="shared" si="104"/>
        <v>0</v>
      </c>
      <c r="AA272" s="101">
        <f t="shared" si="104"/>
        <v>0</v>
      </c>
      <c r="AB272" s="22"/>
    </row>
    <row r="273" spans="1:28" s="23" customFormat="1" ht="10.199999999999999" x14ac:dyDescent="0.2">
      <c r="A273" s="22"/>
      <c r="B273" s="22"/>
      <c r="C273" s="22"/>
      <c r="D273" s="22"/>
      <c r="E273" s="22" t="str">
        <f>E265</f>
        <v>аренда земли - оплата</v>
      </c>
      <c r="F273" s="22"/>
      <c r="G273" s="22" t="str">
        <f>IF($E273="","",INDEX(KPI!$G:$G,SUMIFS(KPI!$B:$B,KPI!$E:$E,$E273)))</f>
        <v>тыс.руб.</v>
      </c>
      <c r="H273" s="100">
        <f>структура!$V$19</f>
        <v>8</v>
      </c>
      <c r="I273" s="31"/>
      <c r="J273" s="98" t="str">
        <f>структура!$X$19</f>
        <v>авг</v>
      </c>
      <c r="K273" s="99"/>
      <c r="L273" s="22"/>
      <c r="M273" s="58"/>
      <c r="N273" s="22"/>
      <c r="O273" s="22"/>
      <c r="P273" s="101">
        <f t="shared" si="104"/>
        <v>0</v>
      </c>
      <c r="Q273" s="101">
        <f t="shared" si="104"/>
        <v>0</v>
      </c>
      <c r="R273" s="101">
        <f t="shared" si="104"/>
        <v>0</v>
      </c>
      <c r="S273" s="101">
        <f t="shared" si="104"/>
        <v>0</v>
      </c>
      <c r="T273" s="101">
        <f t="shared" si="104"/>
        <v>0</v>
      </c>
      <c r="U273" s="101">
        <f t="shared" si="104"/>
        <v>0</v>
      </c>
      <c r="V273" s="101">
        <f t="shared" si="104"/>
        <v>0</v>
      </c>
      <c r="W273" s="101">
        <f t="shared" si="104"/>
        <v>0</v>
      </c>
      <c r="X273" s="101">
        <f t="shared" si="104"/>
        <v>0</v>
      </c>
      <c r="Y273" s="101">
        <f t="shared" si="104"/>
        <v>0</v>
      </c>
      <c r="Z273" s="101">
        <f t="shared" si="104"/>
        <v>0</v>
      </c>
      <c r="AA273" s="101">
        <f t="shared" si="104"/>
        <v>0</v>
      </c>
      <c r="AB273" s="22"/>
    </row>
    <row r="274" spans="1:28" s="23" customFormat="1" ht="10.199999999999999" x14ac:dyDescent="0.2">
      <c r="A274" s="22"/>
      <c r="B274" s="22"/>
      <c r="C274" s="22"/>
      <c r="D274" s="22"/>
      <c r="E274" s="22" t="str">
        <f>E265</f>
        <v>аренда земли - оплата</v>
      </c>
      <c r="F274" s="22"/>
      <c r="G274" s="22" t="str">
        <f>IF($E274="","",INDEX(KPI!$G:$G,SUMIFS(KPI!$B:$B,KPI!$E:$E,$E274)))</f>
        <v>тыс.руб.</v>
      </c>
      <c r="H274" s="100">
        <f>структура!$V$20</f>
        <v>9</v>
      </c>
      <c r="I274" s="31"/>
      <c r="J274" s="98" t="str">
        <f>структура!$X$20</f>
        <v>сен</v>
      </c>
      <c r="K274" s="99"/>
      <c r="L274" s="22"/>
      <c r="M274" s="58"/>
      <c r="N274" s="22"/>
      <c r="O274" s="22"/>
      <c r="P274" s="101">
        <f t="shared" si="104"/>
        <v>0</v>
      </c>
      <c r="Q274" s="101">
        <f t="shared" si="104"/>
        <v>0</v>
      </c>
      <c r="R274" s="101">
        <f t="shared" si="104"/>
        <v>0</v>
      </c>
      <c r="S274" s="101">
        <f t="shared" si="104"/>
        <v>0</v>
      </c>
      <c r="T274" s="101">
        <f t="shared" si="104"/>
        <v>0</v>
      </c>
      <c r="U274" s="101">
        <f t="shared" si="104"/>
        <v>0</v>
      </c>
      <c r="V274" s="101">
        <f t="shared" si="104"/>
        <v>0</v>
      </c>
      <c r="W274" s="101">
        <f t="shared" si="104"/>
        <v>0</v>
      </c>
      <c r="X274" s="101">
        <f t="shared" si="104"/>
        <v>0</v>
      </c>
      <c r="Y274" s="101">
        <f t="shared" si="104"/>
        <v>0</v>
      </c>
      <c r="Z274" s="101">
        <f t="shared" si="104"/>
        <v>0</v>
      </c>
      <c r="AA274" s="101">
        <f t="shared" si="104"/>
        <v>0</v>
      </c>
      <c r="AB274" s="22"/>
    </row>
    <row r="275" spans="1:28" s="23" customFormat="1" ht="10.199999999999999" x14ac:dyDescent="0.2">
      <c r="A275" s="22"/>
      <c r="B275" s="22"/>
      <c r="C275" s="22"/>
      <c r="D275" s="22"/>
      <c r="E275" s="22" t="str">
        <f>E265</f>
        <v>аренда земли - оплата</v>
      </c>
      <c r="F275" s="22"/>
      <c r="G275" s="22" t="str">
        <f>IF($E275="","",INDEX(KPI!$G:$G,SUMIFS(KPI!$B:$B,KPI!$E:$E,$E275)))</f>
        <v>тыс.руб.</v>
      </c>
      <c r="H275" s="100">
        <f>структура!$V$21</f>
        <v>10</v>
      </c>
      <c r="I275" s="31"/>
      <c r="J275" s="98" t="str">
        <f>структура!$X$21</f>
        <v>окт</v>
      </c>
      <c r="K275" s="99"/>
      <c r="L275" s="22"/>
      <c r="M275" s="58"/>
      <c r="N275" s="22"/>
      <c r="O275" s="22"/>
      <c r="P275" s="101">
        <f t="shared" si="104"/>
        <v>0</v>
      </c>
      <c r="Q275" s="101">
        <f t="shared" si="104"/>
        <v>0</v>
      </c>
      <c r="R275" s="101">
        <f t="shared" si="104"/>
        <v>0</v>
      </c>
      <c r="S275" s="101">
        <f t="shared" si="104"/>
        <v>0</v>
      </c>
      <c r="T275" s="101">
        <f t="shared" si="104"/>
        <v>0</v>
      </c>
      <c r="U275" s="101">
        <f t="shared" si="104"/>
        <v>0</v>
      </c>
      <c r="V275" s="101">
        <f t="shared" si="104"/>
        <v>0</v>
      </c>
      <c r="W275" s="101">
        <f t="shared" si="104"/>
        <v>0</v>
      </c>
      <c r="X275" s="101">
        <f t="shared" si="104"/>
        <v>0</v>
      </c>
      <c r="Y275" s="101">
        <f t="shared" si="104"/>
        <v>0</v>
      </c>
      <c r="Z275" s="101">
        <f t="shared" si="104"/>
        <v>0</v>
      </c>
      <c r="AA275" s="101">
        <f t="shared" si="104"/>
        <v>0</v>
      </c>
      <c r="AB275" s="22"/>
    </row>
    <row r="276" spans="1:28" s="23" customFormat="1" ht="10.199999999999999" x14ac:dyDescent="0.2">
      <c r="A276" s="22"/>
      <c r="B276" s="22"/>
      <c r="C276" s="22"/>
      <c r="D276" s="22"/>
      <c r="E276" s="22" t="str">
        <f>E265</f>
        <v>аренда земли - оплата</v>
      </c>
      <c r="F276" s="22"/>
      <c r="G276" s="22" t="str">
        <f>IF($E276="","",INDEX(KPI!$G:$G,SUMIFS(KPI!$B:$B,KPI!$E:$E,$E276)))</f>
        <v>тыс.руб.</v>
      </c>
      <c r="H276" s="100">
        <f>структура!$V$22</f>
        <v>11</v>
      </c>
      <c r="I276" s="31"/>
      <c r="J276" s="98" t="str">
        <f>структура!$X$22</f>
        <v>ноя</v>
      </c>
      <c r="K276" s="99"/>
      <c r="L276" s="22"/>
      <c r="M276" s="58"/>
      <c r="N276" s="22"/>
      <c r="O276" s="22"/>
      <c r="P276" s="101">
        <f t="shared" si="104"/>
        <v>0</v>
      </c>
      <c r="Q276" s="101">
        <f t="shared" si="104"/>
        <v>0</v>
      </c>
      <c r="R276" s="101">
        <f t="shared" si="104"/>
        <v>0</v>
      </c>
      <c r="S276" s="101">
        <f t="shared" si="104"/>
        <v>0</v>
      </c>
      <c r="T276" s="101">
        <f t="shared" si="104"/>
        <v>0</v>
      </c>
      <c r="U276" s="101">
        <f t="shared" si="104"/>
        <v>0</v>
      </c>
      <c r="V276" s="101">
        <f t="shared" si="104"/>
        <v>0</v>
      </c>
      <c r="W276" s="101">
        <f t="shared" si="104"/>
        <v>0</v>
      </c>
      <c r="X276" s="101">
        <f t="shared" si="104"/>
        <v>0</v>
      </c>
      <c r="Y276" s="101">
        <f t="shared" si="104"/>
        <v>0</v>
      </c>
      <c r="Z276" s="101">
        <f t="shared" si="104"/>
        <v>0</v>
      </c>
      <c r="AA276" s="101">
        <f t="shared" si="104"/>
        <v>0</v>
      </c>
      <c r="AB276" s="22"/>
    </row>
    <row r="277" spans="1:28" s="23" customFormat="1" ht="10.199999999999999" x14ac:dyDescent="0.2">
      <c r="A277" s="22"/>
      <c r="B277" s="22"/>
      <c r="C277" s="22"/>
      <c r="D277" s="22"/>
      <c r="E277" s="22" t="str">
        <f>E265</f>
        <v>аренда земли - оплата</v>
      </c>
      <c r="F277" s="22"/>
      <c r="G277" s="22" t="str">
        <f>IF($E277="","",INDEX(KPI!$G:$G,SUMIFS(KPI!$B:$B,KPI!$E:$E,$E277)))</f>
        <v>тыс.руб.</v>
      </c>
      <c r="H277" s="100">
        <f>структура!$V$23</f>
        <v>12</v>
      </c>
      <c r="I277" s="31"/>
      <c r="J277" s="98" t="str">
        <f>структура!$X$23</f>
        <v>дек</v>
      </c>
      <c r="K277" s="99"/>
      <c r="L277" s="22"/>
      <c r="M277" s="58"/>
      <c r="N277" s="22"/>
      <c r="O277" s="22"/>
      <c r="P277" s="101">
        <f t="shared" si="104"/>
        <v>0</v>
      </c>
      <c r="Q277" s="101">
        <f t="shared" si="104"/>
        <v>0</v>
      </c>
      <c r="R277" s="101">
        <f t="shared" si="104"/>
        <v>0</v>
      </c>
      <c r="S277" s="101">
        <f t="shared" si="104"/>
        <v>0</v>
      </c>
      <c r="T277" s="101">
        <f t="shared" si="104"/>
        <v>0</v>
      </c>
      <c r="U277" s="101">
        <f t="shared" si="104"/>
        <v>0</v>
      </c>
      <c r="V277" s="101">
        <f t="shared" si="104"/>
        <v>0</v>
      </c>
      <c r="W277" s="101">
        <f t="shared" si="104"/>
        <v>0</v>
      </c>
      <c r="X277" s="101">
        <f t="shared" si="104"/>
        <v>0</v>
      </c>
      <c r="Y277" s="101">
        <f t="shared" si="104"/>
        <v>0</v>
      </c>
      <c r="Z277" s="101">
        <f t="shared" si="104"/>
        <v>0</v>
      </c>
      <c r="AA277" s="101">
        <f t="shared" si="104"/>
        <v>0</v>
      </c>
      <c r="AB277" s="22"/>
    </row>
    <row r="278" spans="1:28" ht="3.9" customHeight="1" x14ac:dyDescent="0.25">
      <c r="A278" s="2"/>
      <c r="B278" s="2"/>
      <c r="C278" s="2"/>
      <c r="D278" s="2"/>
      <c r="E278" s="21"/>
      <c r="F278" s="2"/>
      <c r="G278" s="21"/>
      <c r="H278" s="2"/>
      <c r="I278" s="28"/>
      <c r="J278" s="21"/>
      <c r="K278" s="28"/>
      <c r="L278" s="2"/>
      <c r="M278" s="52"/>
      <c r="N278" s="2"/>
      <c r="O278" s="2"/>
      <c r="P278" s="36"/>
      <c r="Q278" s="36"/>
      <c r="R278" s="36"/>
      <c r="S278" s="36"/>
      <c r="T278" s="36"/>
      <c r="U278" s="36"/>
      <c r="V278" s="36"/>
      <c r="W278" s="36"/>
      <c r="X278" s="36"/>
      <c r="Y278" s="36"/>
      <c r="Z278" s="36"/>
      <c r="AA278" s="36"/>
      <c r="AB278" s="2"/>
    </row>
    <row r="279" spans="1:28" ht="8.1" customHeight="1" x14ac:dyDescent="0.25">
      <c r="A279" s="2"/>
      <c r="B279" s="2"/>
      <c r="C279" s="2"/>
      <c r="D279" s="2"/>
      <c r="E279" s="2"/>
      <c r="F279" s="2"/>
      <c r="G279" s="2"/>
      <c r="H279" s="2"/>
      <c r="I279" s="28"/>
      <c r="J279" s="2"/>
      <c r="K279" s="28"/>
      <c r="L279" s="2"/>
      <c r="M279" s="52"/>
      <c r="N279" s="2"/>
      <c r="O279" s="2"/>
      <c r="P279" s="36"/>
      <c r="Q279" s="36"/>
      <c r="R279" s="36"/>
      <c r="S279" s="36"/>
      <c r="T279" s="36"/>
      <c r="U279" s="36"/>
      <c r="V279" s="36"/>
      <c r="W279" s="36"/>
      <c r="X279" s="36"/>
      <c r="Y279" s="36"/>
      <c r="Z279" s="36"/>
      <c r="AA279" s="36"/>
      <c r="AB279" s="2"/>
    </row>
    <row r="280" spans="1:28" s="5" customFormat="1" x14ac:dyDescent="0.25">
      <c r="A280" s="3"/>
      <c r="B280" s="3"/>
      <c r="C280" s="3"/>
      <c r="D280" s="3"/>
      <c r="E280" s="3" t="str">
        <f>KPI!$E$49</f>
        <v>расход э/э в сутки - ЛЕТО</v>
      </c>
      <c r="F280" s="3"/>
      <c r="G280" s="3" t="str">
        <f>IF($E280="","",INDEX(KPI!$G:$G,SUMIFS(KPI!$B:$B,KPI!$E:$E,$E280)))</f>
        <v>кВт</v>
      </c>
      <c r="H280" s="3"/>
      <c r="I280" s="6" t="s">
        <v>0</v>
      </c>
      <c r="J280" s="112">
        <v>103.4</v>
      </c>
      <c r="K280" s="28"/>
      <c r="L280" s="2"/>
      <c r="M280" s="52"/>
      <c r="N280" s="3"/>
      <c r="O280" s="2"/>
      <c r="P280" s="36"/>
      <c r="Q280" s="36"/>
      <c r="R280" s="36"/>
      <c r="S280" s="36"/>
      <c r="T280" s="36"/>
      <c r="U280" s="36"/>
      <c r="V280" s="36"/>
      <c r="W280" s="36"/>
      <c r="X280" s="36"/>
      <c r="Y280" s="36"/>
      <c r="Z280" s="36"/>
      <c r="AA280" s="36"/>
      <c r="AB280" s="2"/>
    </row>
    <row r="281" spans="1:28" s="5" customFormat="1" x14ac:dyDescent="0.25">
      <c r="A281" s="3"/>
      <c r="B281" s="3"/>
      <c r="C281" s="3"/>
      <c r="D281" s="3"/>
      <c r="E281" s="3" t="str">
        <f>KPI!$E$50</f>
        <v>стомость э/э за 1кВт</v>
      </c>
      <c r="F281" s="3"/>
      <c r="G281" s="3" t="str">
        <f>IF($E281="","",INDEX(KPI!$G:$G,SUMIFS(KPI!$B:$B,KPI!$E:$E,$E281)))</f>
        <v>руб.</v>
      </c>
      <c r="H281" s="3"/>
      <c r="I281" s="6" t="s">
        <v>0</v>
      </c>
      <c r="J281" s="45">
        <v>6</v>
      </c>
      <c r="K281" s="28"/>
      <c r="L281" s="2"/>
      <c r="M281" s="52"/>
      <c r="N281" s="3"/>
      <c r="O281" s="2"/>
      <c r="P281" s="36"/>
      <c r="Q281" s="36"/>
      <c r="R281" s="36"/>
      <c r="S281" s="36"/>
      <c r="T281" s="36"/>
      <c r="U281" s="36"/>
      <c r="V281" s="36"/>
      <c r="W281" s="36"/>
      <c r="X281" s="36"/>
      <c r="Y281" s="36"/>
      <c r="Z281" s="36"/>
      <c r="AA281" s="36"/>
      <c r="AB281" s="2"/>
    </row>
    <row r="282" spans="1:28" s="5" customFormat="1" x14ac:dyDescent="0.25">
      <c r="A282" s="3"/>
      <c r="B282" s="3"/>
      <c r="C282" s="3"/>
      <c r="D282" s="3"/>
      <c r="E282" s="3" t="str">
        <f>KPI!$E$48</f>
        <v>коммунальные расходы (э/э) в сутки - ЛЕТО</v>
      </c>
      <c r="F282" s="3"/>
      <c r="G282" s="3" t="str">
        <f>IF($E282="","",INDEX(KPI!$G:$G,SUMIFS(KPI!$B:$B,KPI!$E:$E,$E282)))</f>
        <v>тыс.руб.</v>
      </c>
      <c r="H282" s="3"/>
      <c r="I282" s="6"/>
      <c r="J282" s="114">
        <f>J280*J281/1000</f>
        <v>0.62040000000000006</v>
      </c>
      <c r="K282" s="28"/>
      <c r="L282" s="2"/>
      <c r="M282" s="52"/>
      <c r="N282" s="3"/>
      <c r="O282" s="2"/>
      <c r="P282" s="36"/>
      <c r="Q282" s="36"/>
      <c r="R282" s="36"/>
      <c r="S282" s="36"/>
      <c r="T282" s="36"/>
      <c r="U282" s="36"/>
      <c r="V282" s="36"/>
      <c r="W282" s="36"/>
      <c r="X282" s="36"/>
      <c r="Y282" s="36"/>
      <c r="Z282" s="36"/>
      <c r="AA282" s="36"/>
      <c r="AB282" s="2"/>
    </row>
    <row r="283" spans="1:28" ht="3.9" customHeight="1" x14ac:dyDescent="0.25">
      <c r="A283" s="2"/>
      <c r="B283" s="2"/>
      <c r="C283" s="2"/>
      <c r="D283" s="2"/>
      <c r="E283" s="110"/>
      <c r="F283" s="2"/>
      <c r="G283" s="2"/>
      <c r="H283" s="2"/>
      <c r="I283" s="28"/>
      <c r="J283" s="2"/>
      <c r="K283" s="28"/>
      <c r="L283" s="2"/>
      <c r="M283" s="52"/>
      <c r="N283" s="2"/>
      <c r="O283" s="2"/>
      <c r="P283" s="36"/>
      <c r="Q283" s="36"/>
      <c r="R283" s="36"/>
      <c r="S283" s="36"/>
      <c r="T283" s="36"/>
      <c r="U283" s="36"/>
      <c r="V283" s="36"/>
      <c r="W283" s="36"/>
      <c r="X283" s="36"/>
      <c r="Y283" s="36"/>
      <c r="Z283" s="36"/>
      <c r="AA283" s="36"/>
      <c r="AB283" s="2"/>
    </row>
    <row r="284" spans="1:28" ht="8.1" customHeight="1" x14ac:dyDescent="0.25">
      <c r="A284" s="2"/>
      <c r="B284" s="2"/>
      <c r="C284" s="2"/>
      <c r="D284" s="2"/>
      <c r="E284" s="2"/>
      <c r="F284" s="2"/>
      <c r="G284" s="2"/>
      <c r="H284" s="2"/>
      <c r="I284" s="28"/>
      <c r="J284" s="2"/>
      <c r="K284" s="28"/>
      <c r="L284" s="2"/>
      <c r="M284" s="52"/>
      <c r="N284" s="2"/>
      <c r="O284" s="2"/>
      <c r="P284" s="36"/>
      <c r="Q284" s="36"/>
      <c r="R284" s="36"/>
      <c r="S284" s="36"/>
      <c r="T284" s="36"/>
      <c r="U284" s="36"/>
      <c r="V284" s="36"/>
      <c r="W284" s="36"/>
      <c r="X284" s="36"/>
      <c r="Y284" s="36"/>
      <c r="Z284" s="36"/>
      <c r="AA284" s="36"/>
      <c r="AB284" s="2"/>
    </row>
    <row r="285" spans="1:28" x14ac:dyDescent="0.25">
      <c r="A285" s="2"/>
      <c r="B285" s="2"/>
      <c r="C285" s="2"/>
      <c r="D285" s="2"/>
      <c r="E285" s="3" t="str">
        <f>KPI!$E$51</f>
        <v>сезонный коэффициент по коммуналке</v>
      </c>
      <c r="F285" s="3"/>
      <c r="G285" s="3" t="str">
        <f>IF($E285="","",INDEX(KPI!$G:$G,SUMIFS(KPI!$B:$B,KPI!$E:$E,$E285)))</f>
        <v>%</v>
      </c>
      <c r="H285" s="3"/>
      <c r="I285" s="28"/>
      <c r="J285" s="44"/>
      <c r="K285" s="28"/>
      <c r="L285" s="3"/>
      <c r="M285" s="55"/>
      <c r="N285" s="2"/>
      <c r="O285" s="2"/>
      <c r="P285" s="36"/>
      <c r="Q285" s="36"/>
      <c r="R285" s="36"/>
      <c r="S285" s="36"/>
      <c r="T285" s="36"/>
      <c r="U285" s="36"/>
      <c r="V285" s="36"/>
      <c r="W285" s="36"/>
      <c r="X285" s="36"/>
      <c r="Y285" s="36"/>
      <c r="Z285" s="36"/>
      <c r="AA285" s="36"/>
      <c r="AB285" s="2"/>
    </row>
    <row r="286" spans="1:28" s="23" customFormat="1" ht="10.199999999999999" x14ac:dyDescent="0.2">
      <c r="A286" s="22"/>
      <c r="B286" s="22"/>
      <c r="C286" s="22"/>
      <c r="D286" s="22"/>
      <c r="E286" s="22" t="str">
        <f>E285</f>
        <v>сезонный коэффициент по коммуналке</v>
      </c>
      <c r="F286" s="22"/>
      <c r="G286" s="22" t="str">
        <f>IF($E286="","",INDEX(KPI!$G:$G,SUMIFS(KPI!$B:$B,KPI!$E:$E,$E286)))</f>
        <v>%</v>
      </c>
      <c r="H286" s="100">
        <f>структура!$V$12</f>
        <v>1</v>
      </c>
      <c r="I286" s="31"/>
      <c r="J286" s="98" t="str">
        <f>структура!$X$12</f>
        <v>янв</v>
      </c>
      <c r="K286" s="99"/>
      <c r="L286" s="31" t="s">
        <v>0</v>
      </c>
      <c r="M286" s="113">
        <v>1.4</v>
      </c>
      <c r="N286" s="22"/>
      <c r="O286" s="22"/>
      <c r="P286" s="100"/>
      <c r="Q286" s="100"/>
      <c r="R286" s="100"/>
      <c r="S286" s="100"/>
      <c r="T286" s="100"/>
      <c r="U286" s="100"/>
      <c r="V286" s="100"/>
      <c r="W286" s="100"/>
      <c r="X286" s="100"/>
      <c r="Y286" s="100"/>
      <c r="Z286" s="100"/>
      <c r="AA286" s="100"/>
      <c r="AB286" s="22"/>
    </row>
    <row r="287" spans="1:28" s="23" customFormat="1" ht="10.199999999999999" x14ac:dyDescent="0.2">
      <c r="A287" s="22"/>
      <c r="B287" s="22"/>
      <c r="C287" s="22"/>
      <c r="D287" s="22"/>
      <c r="E287" s="22" t="str">
        <f>E285</f>
        <v>сезонный коэффициент по коммуналке</v>
      </c>
      <c r="F287" s="22"/>
      <c r="G287" s="22" t="str">
        <f>IF($E287="","",INDEX(KPI!$G:$G,SUMIFS(KPI!$B:$B,KPI!$E:$E,$E287)))</f>
        <v>%</v>
      </c>
      <c r="H287" s="100">
        <f>структура!$V$13</f>
        <v>2</v>
      </c>
      <c r="I287" s="31"/>
      <c r="J287" s="98" t="str">
        <f>структура!$X$13</f>
        <v>фев</v>
      </c>
      <c r="K287" s="99"/>
      <c r="L287" s="31" t="s">
        <v>0</v>
      </c>
      <c r="M287" s="113">
        <v>1.4</v>
      </c>
      <c r="N287" s="22"/>
      <c r="O287" s="22"/>
      <c r="P287" s="100"/>
      <c r="Q287" s="100"/>
      <c r="R287" s="100"/>
      <c r="S287" s="100"/>
      <c r="T287" s="100"/>
      <c r="U287" s="100"/>
      <c r="V287" s="100"/>
      <c r="W287" s="100"/>
      <c r="X287" s="100"/>
      <c r="Y287" s="100"/>
      <c r="Z287" s="100"/>
      <c r="AA287" s="100"/>
      <c r="AB287" s="22"/>
    </row>
    <row r="288" spans="1:28" s="23" customFormat="1" ht="10.199999999999999" x14ac:dyDescent="0.2">
      <c r="A288" s="22"/>
      <c r="B288" s="22"/>
      <c r="C288" s="22"/>
      <c r="D288" s="22"/>
      <c r="E288" s="22" t="str">
        <f>E285</f>
        <v>сезонный коэффициент по коммуналке</v>
      </c>
      <c r="F288" s="22"/>
      <c r="G288" s="22" t="str">
        <f>IF($E288="","",INDEX(KPI!$G:$G,SUMIFS(KPI!$B:$B,KPI!$E:$E,$E288)))</f>
        <v>%</v>
      </c>
      <c r="H288" s="100">
        <f>структура!$V$14</f>
        <v>3</v>
      </c>
      <c r="I288" s="31"/>
      <c r="J288" s="98" t="str">
        <f>структура!$X$14</f>
        <v>мар</v>
      </c>
      <c r="K288" s="99"/>
      <c r="L288" s="31" t="s">
        <v>0</v>
      </c>
      <c r="M288" s="113">
        <v>1.2</v>
      </c>
      <c r="N288" s="22"/>
      <c r="O288" s="22"/>
      <c r="P288" s="100"/>
      <c r="Q288" s="100"/>
      <c r="R288" s="100"/>
      <c r="S288" s="100"/>
      <c r="T288" s="100"/>
      <c r="U288" s="100"/>
      <c r="V288" s="100"/>
      <c r="W288" s="100"/>
      <c r="X288" s="100"/>
      <c r="Y288" s="100"/>
      <c r="Z288" s="100"/>
      <c r="AA288" s="100"/>
      <c r="AB288" s="22"/>
    </row>
    <row r="289" spans="1:28" s="23" customFormat="1" ht="10.199999999999999" x14ac:dyDescent="0.2">
      <c r="A289" s="22"/>
      <c r="B289" s="22"/>
      <c r="C289" s="22"/>
      <c r="D289" s="22"/>
      <c r="E289" s="22" t="str">
        <f>E285</f>
        <v>сезонный коэффициент по коммуналке</v>
      </c>
      <c r="F289" s="22"/>
      <c r="G289" s="22" t="str">
        <f>IF($E289="","",INDEX(KPI!$G:$G,SUMIFS(KPI!$B:$B,KPI!$E:$E,$E289)))</f>
        <v>%</v>
      </c>
      <c r="H289" s="100">
        <f>структура!$V$15</f>
        <v>4</v>
      </c>
      <c r="I289" s="31"/>
      <c r="J289" s="98" t="str">
        <f>структура!$X$15</f>
        <v>апр</v>
      </c>
      <c r="K289" s="99"/>
      <c r="L289" s="31" t="s">
        <v>0</v>
      </c>
      <c r="M289" s="113">
        <v>1.1499999999999999</v>
      </c>
      <c r="N289" s="22"/>
      <c r="O289" s="22"/>
      <c r="P289" s="100"/>
      <c r="Q289" s="100"/>
      <c r="R289" s="100"/>
      <c r="S289" s="100"/>
      <c r="T289" s="100"/>
      <c r="U289" s="100"/>
      <c r="V289" s="100"/>
      <c r="W289" s="100"/>
      <c r="X289" s="100"/>
      <c r="Y289" s="100"/>
      <c r="Z289" s="100"/>
      <c r="AA289" s="100"/>
      <c r="AB289" s="22"/>
    </row>
    <row r="290" spans="1:28" s="23" customFormat="1" ht="10.199999999999999" x14ac:dyDescent="0.2">
      <c r="A290" s="22"/>
      <c r="B290" s="22"/>
      <c r="C290" s="22"/>
      <c r="D290" s="22"/>
      <c r="E290" s="22" t="str">
        <f>E285</f>
        <v>сезонный коэффициент по коммуналке</v>
      </c>
      <c r="F290" s="22"/>
      <c r="G290" s="22" t="str">
        <f>IF($E290="","",INDEX(KPI!$G:$G,SUMIFS(KPI!$B:$B,KPI!$E:$E,$E290)))</f>
        <v>%</v>
      </c>
      <c r="H290" s="100">
        <f>структура!$V$16</f>
        <v>5</v>
      </c>
      <c r="I290" s="31"/>
      <c r="J290" s="98" t="str">
        <f>структура!$X$16</f>
        <v>май</v>
      </c>
      <c r="K290" s="99"/>
      <c r="L290" s="31" t="s">
        <v>0</v>
      </c>
      <c r="M290" s="113">
        <v>1.1000000000000001</v>
      </c>
      <c r="N290" s="22"/>
      <c r="O290" s="22"/>
      <c r="P290" s="100"/>
      <c r="Q290" s="100"/>
      <c r="R290" s="100"/>
      <c r="S290" s="100"/>
      <c r="T290" s="100"/>
      <c r="U290" s="100"/>
      <c r="V290" s="100"/>
      <c r="W290" s="100"/>
      <c r="X290" s="100"/>
      <c r="Y290" s="100"/>
      <c r="Z290" s="100"/>
      <c r="AA290" s="100"/>
      <c r="AB290" s="22"/>
    </row>
    <row r="291" spans="1:28" s="23" customFormat="1" ht="10.199999999999999" x14ac:dyDescent="0.2">
      <c r="A291" s="22"/>
      <c r="B291" s="22"/>
      <c r="C291" s="22"/>
      <c r="D291" s="22"/>
      <c r="E291" s="22" t="str">
        <f>E285</f>
        <v>сезонный коэффициент по коммуналке</v>
      </c>
      <c r="F291" s="22"/>
      <c r="G291" s="22" t="str">
        <f>IF($E291="","",INDEX(KPI!$G:$G,SUMIFS(KPI!$B:$B,KPI!$E:$E,$E291)))</f>
        <v>%</v>
      </c>
      <c r="H291" s="100">
        <f>структура!$V$17</f>
        <v>6</v>
      </c>
      <c r="I291" s="31"/>
      <c r="J291" s="98" t="str">
        <f>структура!$X$17</f>
        <v>июн</v>
      </c>
      <c r="K291" s="99"/>
      <c r="L291" s="31" t="s">
        <v>0</v>
      </c>
      <c r="M291" s="113">
        <v>1</v>
      </c>
      <c r="N291" s="22"/>
      <c r="O291" s="22"/>
      <c r="P291" s="100"/>
      <c r="Q291" s="100"/>
      <c r="R291" s="100"/>
      <c r="S291" s="100"/>
      <c r="T291" s="100"/>
      <c r="U291" s="100"/>
      <c r="V291" s="100"/>
      <c r="W291" s="100"/>
      <c r="X291" s="100"/>
      <c r="Y291" s="100"/>
      <c r="Z291" s="100"/>
      <c r="AA291" s="100"/>
      <c r="AB291" s="22"/>
    </row>
    <row r="292" spans="1:28" s="23" customFormat="1" ht="10.199999999999999" x14ac:dyDescent="0.2">
      <c r="A292" s="22"/>
      <c r="B292" s="22"/>
      <c r="C292" s="22"/>
      <c r="D292" s="22"/>
      <c r="E292" s="22" t="str">
        <f>E285</f>
        <v>сезонный коэффициент по коммуналке</v>
      </c>
      <c r="F292" s="22"/>
      <c r="G292" s="22" t="str">
        <f>IF($E292="","",INDEX(KPI!$G:$G,SUMIFS(KPI!$B:$B,KPI!$E:$E,$E292)))</f>
        <v>%</v>
      </c>
      <c r="H292" s="100">
        <f>структура!$V$18</f>
        <v>7</v>
      </c>
      <c r="I292" s="31"/>
      <c r="J292" s="98" t="str">
        <f>структура!$X$18</f>
        <v>июл</v>
      </c>
      <c r="K292" s="99"/>
      <c r="L292" s="31" t="s">
        <v>0</v>
      </c>
      <c r="M292" s="113">
        <v>1</v>
      </c>
      <c r="N292" s="22"/>
      <c r="O292" s="22"/>
      <c r="P292" s="100"/>
      <c r="Q292" s="100"/>
      <c r="R292" s="100"/>
      <c r="S292" s="100"/>
      <c r="T292" s="100"/>
      <c r="U292" s="100"/>
      <c r="V292" s="100"/>
      <c r="W292" s="100"/>
      <c r="X292" s="100"/>
      <c r="Y292" s="100"/>
      <c r="Z292" s="100"/>
      <c r="AA292" s="100"/>
      <c r="AB292" s="22"/>
    </row>
    <row r="293" spans="1:28" s="23" customFormat="1" ht="10.199999999999999" x14ac:dyDescent="0.2">
      <c r="A293" s="22"/>
      <c r="B293" s="22"/>
      <c r="C293" s="22"/>
      <c r="D293" s="22"/>
      <c r="E293" s="22" t="str">
        <f>E285</f>
        <v>сезонный коэффициент по коммуналке</v>
      </c>
      <c r="F293" s="22"/>
      <c r="G293" s="22" t="str">
        <f>IF($E293="","",INDEX(KPI!$G:$G,SUMIFS(KPI!$B:$B,KPI!$E:$E,$E293)))</f>
        <v>%</v>
      </c>
      <c r="H293" s="100">
        <f>структура!$V$19</f>
        <v>8</v>
      </c>
      <c r="I293" s="31"/>
      <c r="J293" s="98" t="str">
        <f>структура!$X$19</f>
        <v>авг</v>
      </c>
      <c r="K293" s="99"/>
      <c r="L293" s="31" t="s">
        <v>0</v>
      </c>
      <c r="M293" s="113">
        <v>1</v>
      </c>
      <c r="N293" s="22"/>
      <c r="O293" s="22"/>
      <c r="P293" s="100"/>
      <c r="Q293" s="100"/>
      <c r="R293" s="100"/>
      <c r="S293" s="100"/>
      <c r="T293" s="100"/>
      <c r="U293" s="100"/>
      <c r="V293" s="100"/>
      <c r="W293" s="100"/>
      <c r="X293" s="100"/>
      <c r="Y293" s="100"/>
      <c r="Z293" s="100"/>
      <c r="AA293" s="100"/>
      <c r="AB293" s="22"/>
    </row>
    <row r="294" spans="1:28" s="23" customFormat="1" ht="10.199999999999999" x14ac:dyDescent="0.2">
      <c r="A294" s="22"/>
      <c r="B294" s="22"/>
      <c r="C294" s="22"/>
      <c r="D294" s="22"/>
      <c r="E294" s="22" t="str">
        <f>E285</f>
        <v>сезонный коэффициент по коммуналке</v>
      </c>
      <c r="F294" s="22"/>
      <c r="G294" s="22" t="str">
        <f>IF($E294="","",INDEX(KPI!$G:$G,SUMIFS(KPI!$B:$B,KPI!$E:$E,$E294)))</f>
        <v>%</v>
      </c>
      <c r="H294" s="100">
        <f>структура!$V$20</f>
        <v>9</v>
      </c>
      <c r="I294" s="31"/>
      <c r="J294" s="98" t="str">
        <f>структура!$X$20</f>
        <v>сен</v>
      </c>
      <c r="K294" s="99"/>
      <c r="L294" s="31" t="s">
        <v>0</v>
      </c>
      <c r="M294" s="113">
        <v>1.1000000000000001</v>
      </c>
      <c r="N294" s="22"/>
      <c r="O294" s="22"/>
      <c r="P294" s="100"/>
      <c r="Q294" s="100"/>
      <c r="R294" s="100"/>
      <c r="S294" s="100"/>
      <c r="T294" s="100"/>
      <c r="U294" s="100"/>
      <c r="V294" s="100"/>
      <c r="W294" s="100"/>
      <c r="X294" s="100"/>
      <c r="Y294" s="100"/>
      <c r="Z294" s="100"/>
      <c r="AA294" s="100"/>
      <c r="AB294" s="22"/>
    </row>
    <row r="295" spans="1:28" s="23" customFormat="1" ht="10.199999999999999" x14ac:dyDescent="0.2">
      <c r="A295" s="22"/>
      <c r="B295" s="22"/>
      <c r="C295" s="22"/>
      <c r="D295" s="22"/>
      <c r="E295" s="22" t="str">
        <f>E285</f>
        <v>сезонный коэффициент по коммуналке</v>
      </c>
      <c r="F295" s="22"/>
      <c r="G295" s="22" t="str">
        <f>IF($E295="","",INDEX(KPI!$G:$G,SUMIFS(KPI!$B:$B,KPI!$E:$E,$E295)))</f>
        <v>%</v>
      </c>
      <c r="H295" s="100">
        <f>структура!$V$21</f>
        <v>10</v>
      </c>
      <c r="I295" s="31"/>
      <c r="J295" s="98" t="str">
        <f>структура!$X$21</f>
        <v>окт</v>
      </c>
      <c r="K295" s="99"/>
      <c r="L295" s="31" t="s">
        <v>0</v>
      </c>
      <c r="M295" s="113">
        <v>1.1499999999999999</v>
      </c>
      <c r="N295" s="22"/>
      <c r="O295" s="22"/>
      <c r="P295" s="100"/>
      <c r="Q295" s="100"/>
      <c r="R295" s="100"/>
      <c r="S295" s="100"/>
      <c r="T295" s="100"/>
      <c r="U295" s="100"/>
      <c r="V295" s="100"/>
      <c r="W295" s="100"/>
      <c r="X295" s="100"/>
      <c r="Y295" s="100"/>
      <c r="Z295" s="100"/>
      <c r="AA295" s="100"/>
      <c r="AB295" s="22"/>
    </row>
    <row r="296" spans="1:28" s="23" customFormat="1" ht="10.199999999999999" x14ac:dyDescent="0.2">
      <c r="A296" s="22"/>
      <c r="B296" s="22"/>
      <c r="C296" s="22"/>
      <c r="D296" s="22"/>
      <c r="E296" s="22" t="str">
        <f>E285</f>
        <v>сезонный коэффициент по коммуналке</v>
      </c>
      <c r="F296" s="22"/>
      <c r="G296" s="22" t="str">
        <f>IF($E296="","",INDEX(KPI!$G:$G,SUMIFS(KPI!$B:$B,KPI!$E:$E,$E296)))</f>
        <v>%</v>
      </c>
      <c r="H296" s="100">
        <f>структура!$V$22</f>
        <v>11</v>
      </c>
      <c r="I296" s="31"/>
      <c r="J296" s="98" t="str">
        <f>структура!$X$22</f>
        <v>ноя</v>
      </c>
      <c r="K296" s="99"/>
      <c r="L296" s="31" t="s">
        <v>0</v>
      </c>
      <c r="M296" s="113">
        <v>1.2</v>
      </c>
      <c r="N296" s="22"/>
      <c r="O296" s="22"/>
      <c r="P296" s="100"/>
      <c r="Q296" s="100"/>
      <c r="R296" s="100"/>
      <c r="S296" s="100"/>
      <c r="T296" s="100"/>
      <c r="U296" s="100"/>
      <c r="V296" s="100"/>
      <c r="W296" s="100"/>
      <c r="X296" s="100"/>
      <c r="Y296" s="100"/>
      <c r="Z296" s="100"/>
      <c r="AA296" s="100"/>
      <c r="AB296" s="22"/>
    </row>
    <row r="297" spans="1:28" s="23" customFormat="1" ht="10.199999999999999" x14ac:dyDescent="0.2">
      <c r="A297" s="22"/>
      <c r="B297" s="22"/>
      <c r="C297" s="22"/>
      <c r="D297" s="22"/>
      <c r="E297" s="22" t="str">
        <f>E285</f>
        <v>сезонный коэффициент по коммуналке</v>
      </c>
      <c r="F297" s="22"/>
      <c r="G297" s="22" t="str">
        <f>IF($E297="","",INDEX(KPI!$G:$G,SUMIFS(KPI!$B:$B,KPI!$E:$E,$E297)))</f>
        <v>%</v>
      </c>
      <c r="H297" s="100">
        <f>структура!$V$23</f>
        <v>12</v>
      </c>
      <c r="I297" s="31"/>
      <c r="J297" s="98" t="str">
        <f>структура!$X$23</f>
        <v>дек</v>
      </c>
      <c r="K297" s="99"/>
      <c r="L297" s="31" t="s">
        <v>0</v>
      </c>
      <c r="M297" s="113">
        <v>1.4</v>
      </c>
      <c r="N297" s="22"/>
      <c r="O297" s="22"/>
      <c r="P297" s="100"/>
      <c r="Q297" s="100"/>
      <c r="R297" s="100"/>
      <c r="S297" s="100"/>
      <c r="T297" s="100"/>
      <c r="U297" s="100"/>
      <c r="V297" s="100"/>
      <c r="W297" s="100"/>
      <c r="X297" s="100"/>
      <c r="Y297" s="100"/>
      <c r="Z297" s="100"/>
      <c r="AA297" s="100"/>
      <c r="AB297" s="22"/>
    </row>
    <row r="298" spans="1:28" ht="3.9" customHeight="1" x14ac:dyDescent="0.25">
      <c r="A298" s="2"/>
      <c r="B298" s="2"/>
      <c r="C298" s="2"/>
      <c r="D298" s="2"/>
      <c r="E298" s="21"/>
      <c r="F298" s="2"/>
      <c r="G298" s="21"/>
      <c r="H298" s="2"/>
      <c r="I298" s="28"/>
      <c r="J298" s="21"/>
      <c r="K298" s="28"/>
      <c r="L298" s="2"/>
      <c r="M298" s="52"/>
      <c r="N298" s="2"/>
      <c r="O298" s="2"/>
      <c r="P298" s="36"/>
      <c r="Q298" s="36"/>
      <c r="R298" s="36"/>
      <c r="S298" s="36"/>
      <c r="T298" s="36"/>
      <c r="U298" s="36"/>
      <c r="V298" s="36"/>
      <c r="W298" s="36"/>
      <c r="X298" s="36"/>
      <c r="Y298" s="36"/>
      <c r="Z298" s="36"/>
      <c r="AA298" s="36"/>
      <c r="AB298" s="2"/>
    </row>
    <row r="299" spans="1:28" ht="8.1" customHeight="1" x14ac:dyDescent="0.25">
      <c r="A299" s="2"/>
      <c r="B299" s="2"/>
      <c r="C299" s="2"/>
      <c r="D299" s="2"/>
      <c r="E299" s="2"/>
      <c r="F299" s="2"/>
      <c r="G299" s="2"/>
      <c r="H299" s="2"/>
      <c r="I299" s="28"/>
      <c r="J299" s="2"/>
      <c r="K299" s="28"/>
      <c r="L299" s="2"/>
      <c r="M299" s="52"/>
      <c r="N299" s="2"/>
      <c r="O299" s="2"/>
      <c r="P299" s="36"/>
      <c r="Q299" s="36"/>
      <c r="R299" s="36"/>
      <c r="S299" s="36"/>
      <c r="T299" s="36"/>
      <c r="U299" s="36"/>
      <c r="V299" s="36"/>
      <c r="W299" s="36"/>
      <c r="X299" s="36"/>
      <c r="Y299" s="36"/>
      <c r="Z299" s="36"/>
      <c r="AA299" s="36"/>
      <c r="AB299" s="2"/>
    </row>
    <row r="300" spans="1:28" s="5" customFormat="1" x14ac:dyDescent="0.25">
      <c r="A300" s="3"/>
      <c r="B300" s="3"/>
      <c r="C300" s="3"/>
      <c r="D300" s="111"/>
      <c r="E300" s="3" t="str">
        <f>KPI!$E$52</f>
        <v>коммунальные расходы - начисление</v>
      </c>
      <c r="F300" s="3"/>
      <c r="G300" s="3" t="str">
        <f>IF($E300="","",INDEX(KPI!$G:$G,SUMIFS(KPI!$B:$B,KPI!$E:$E,$E300)))</f>
        <v>тыс.руб.</v>
      </c>
      <c r="H300" s="103"/>
      <c r="I300" s="28"/>
      <c r="J300" s="44"/>
      <c r="K300" s="28"/>
      <c r="L300" s="3"/>
      <c r="M300" s="55">
        <f>SUM($O300:$AB300)</f>
        <v>1862.4097800000006</v>
      </c>
      <c r="N300" s="3"/>
      <c r="O300" s="3"/>
      <c r="P300" s="46">
        <f>IF(P$1="",0,IF(P$1=0,SUMIFS(P301:P312,H301:H312,"&gt;="&amp;MONTH($J$13)),SUM(P301:P312)))</f>
        <v>265.81038000000007</v>
      </c>
      <c r="Q300" s="46">
        <f t="shared" ref="Q300" si="105">IF(Q$1="",0,SUM(Q301:Q312))</f>
        <v>265.81038000000007</v>
      </c>
      <c r="R300" s="46">
        <f t="shared" ref="R300:AA300" si="106">IF(R$1="",0,SUM(R301:R312))</f>
        <v>266.67894000000007</v>
      </c>
      <c r="S300" s="46">
        <f t="shared" si="106"/>
        <v>265.81038000000007</v>
      </c>
      <c r="T300" s="46">
        <f t="shared" si="106"/>
        <v>265.81038000000007</v>
      </c>
      <c r="U300" s="46">
        <f t="shared" si="106"/>
        <v>265.81038000000007</v>
      </c>
      <c r="V300" s="46">
        <f t="shared" si="106"/>
        <v>266.67894000000007</v>
      </c>
      <c r="W300" s="46">
        <f t="shared" si="106"/>
        <v>0</v>
      </c>
      <c r="X300" s="46">
        <f t="shared" si="106"/>
        <v>0</v>
      </c>
      <c r="Y300" s="46">
        <f t="shared" si="106"/>
        <v>0</v>
      </c>
      <c r="Z300" s="46">
        <f t="shared" si="106"/>
        <v>0</v>
      </c>
      <c r="AA300" s="46">
        <f t="shared" si="106"/>
        <v>0</v>
      </c>
      <c r="AB300" s="3"/>
    </row>
    <row r="301" spans="1:28" s="23" customFormat="1" ht="10.199999999999999" x14ac:dyDescent="0.2">
      <c r="A301" s="22"/>
      <c r="B301" s="22"/>
      <c r="C301" s="22"/>
      <c r="D301" s="22"/>
      <c r="E301" s="22" t="str">
        <f>E300</f>
        <v>коммунальные расходы - начисление</v>
      </c>
      <c r="F301" s="22"/>
      <c r="G301" s="22" t="str">
        <f>IF($E301="","",INDEX(KPI!$G:$G,SUMIFS(KPI!$B:$B,KPI!$E:$E,$E301)))</f>
        <v>тыс.руб.</v>
      </c>
      <c r="H301" s="100">
        <f>структура!$V$12</f>
        <v>1</v>
      </c>
      <c r="I301" s="31"/>
      <c r="J301" s="98" t="str">
        <f>структура!$X$12</f>
        <v>янв</v>
      </c>
      <c r="K301" s="99"/>
      <c r="L301" s="22"/>
      <c r="M301" s="58"/>
      <c r="N301" s="22"/>
      <c r="O301" s="22"/>
      <c r="P301" s="101">
        <f>IF(P$1="",0,$J$282*$M286*DAY(EOMONTH(P$8,$H301-MONTH(P$8))))</f>
        <v>26.925360000000001</v>
      </c>
      <c r="Q301" s="101">
        <f t="shared" ref="Q301:AA301" si="107">IF(Q$1="",0,$J$282*$M286*DAY(EOMONTH(Q$8,$H301-MONTH(Q$8))))</f>
        <v>26.925360000000001</v>
      </c>
      <c r="R301" s="101">
        <f t="shared" si="107"/>
        <v>26.925360000000001</v>
      </c>
      <c r="S301" s="101">
        <f t="shared" si="107"/>
        <v>26.925360000000001</v>
      </c>
      <c r="T301" s="101">
        <f t="shared" si="107"/>
        <v>26.925360000000001</v>
      </c>
      <c r="U301" s="101">
        <f t="shared" si="107"/>
        <v>26.925360000000001</v>
      </c>
      <c r="V301" s="101">
        <f t="shared" si="107"/>
        <v>26.925360000000001</v>
      </c>
      <c r="W301" s="101">
        <f t="shared" si="107"/>
        <v>0</v>
      </c>
      <c r="X301" s="101">
        <f t="shared" si="107"/>
        <v>0</v>
      </c>
      <c r="Y301" s="101">
        <f t="shared" si="107"/>
        <v>0</v>
      </c>
      <c r="Z301" s="101">
        <f t="shared" si="107"/>
        <v>0</v>
      </c>
      <c r="AA301" s="101">
        <f t="shared" si="107"/>
        <v>0</v>
      </c>
      <c r="AB301" s="22"/>
    </row>
    <row r="302" spans="1:28" s="23" customFormat="1" ht="10.199999999999999" x14ac:dyDescent="0.2">
      <c r="A302" s="22"/>
      <c r="B302" s="22"/>
      <c r="C302" s="22"/>
      <c r="D302" s="22"/>
      <c r="E302" s="22" t="str">
        <f>E300</f>
        <v>коммунальные расходы - начисление</v>
      </c>
      <c r="F302" s="22"/>
      <c r="G302" s="22" t="str">
        <f>IF($E302="","",INDEX(KPI!$G:$G,SUMIFS(KPI!$B:$B,KPI!$E:$E,$E302)))</f>
        <v>тыс.руб.</v>
      </c>
      <c r="H302" s="100">
        <f>структура!$V$13</f>
        <v>2</v>
      </c>
      <c r="I302" s="31"/>
      <c r="J302" s="98" t="str">
        <f>структура!$X$13</f>
        <v>фев</v>
      </c>
      <c r="K302" s="99"/>
      <c r="L302" s="22"/>
      <c r="M302" s="58"/>
      <c r="N302" s="22"/>
      <c r="O302" s="22"/>
      <c r="P302" s="101">
        <f t="shared" ref="P302:AA302" si="108">IF(P$1="",0,$J$282*$M287*DAY(EOMONTH(P$8,$H302-MONTH(P$8))))</f>
        <v>24.319679999999998</v>
      </c>
      <c r="Q302" s="101">
        <f t="shared" si="108"/>
        <v>24.319679999999998</v>
      </c>
      <c r="R302" s="101">
        <f t="shared" si="108"/>
        <v>25.18824</v>
      </c>
      <c r="S302" s="101">
        <f t="shared" si="108"/>
        <v>24.319679999999998</v>
      </c>
      <c r="T302" s="101">
        <f t="shared" si="108"/>
        <v>24.319679999999998</v>
      </c>
      <c r="U302" s="101">
        <f t="shared" si="108"/>
        <v>24.319679999999998</v>
      </c>
      <c r="V302" s="101">
        <f t="shared" si="108"/>
        <v>25.18824</v>
      </c>
      <c r="W302" s="101">
        <f t="shared" si="108"/>
        <v>0</v>
      </c>
      <c r="X302" s="101">
        <f t="shared" si="108"/>
        <v>0</v>
      </c>
      <c r="Y302" s="101">
        <f t="shared" si="108"/>
        <v>0</v>
      </c>
      <c r="Z302" s="101">
        <f t="shared" si="108"/>
        <v>0</v>
      </c>
      <c r="AA302" s="101">
        <f t="shared" si="108"/>
        <v>0</v>
      </c>
      <c r="AB302" s="22"/>
    </row>
    <row r="303" spans="1:28" s="23" customFormat="1" ht="10.199999999999999" x14ac:dyDescent="0.2">
      <c r="A303" s="22"/>
      <c r="B303" s="22"/>
      <c r="C303" s="22"/>
      <c r="D303" s="22"/>
      <c r="E303" s="22" t="str">
        <f>E300</f>
        <v>коммунальные расходы - начисление</v>
      </c>
      <c r="F303" s="22"/>
      <c r="G303" s="22" t="str">
        <f>IF($E303="","",INDEX(KPI!$G:$G,SUMIFS(KPI!$B:$B,KPI!$E:$E,$E303)))</f>
        <v>тыс.руб.</v>
      </c>
      <c r="H303" s="100">
        <f>структура!$V$14</f>
        <v>3</v>
      </c>
      <c r="I303" s="31"/>
      <c r="J303" s="98" t="str">
        <f>структура!$X$14</f>
        <v>мар</v>
      </c>
      <c r="K303" s="99"/>
      <c r="L303" s="22"/>
      <c r="M303" s="58"/>
      <c r="N303" s="22"/>
      <c r="O303" s="22"/>
      <c r="P303" s="101">
        <f t="shared" ref="P303:AA303" si="109">IF(P$1="",0,$J$282*$M288*DAY(EOMONTH(P$8,$H303-MONTH(P$8))))</f>
        <v>23.078880000000002</v>
      </c>
      <c r="Q303" s="101">
        <f t="shared" si="109"/>
        <v>23.078880000000002</v>
      </c>
      <c r="R303" s="101">
        <f t="shared" si="109"/>
        <v>23.078880000000002</v>
      </c>
      <c r="S303" s="101">
        <f t="shared" si="109"/>
        <v>23.078880000000002</v>
      </c>
      <c r="T303" s="101">
        <f t="shared" si="109"/>
        <v>23.078880000000002</v>
      </c>
      <c r="U303" s="101">
        <f t="shared" si="109"/>
        <v>23.078880000000002</v>
      </c>
      <c r="V303" s="101">
        <f t="shared" si="109"/>
        <v>23.078880000000002</v>
      </c>
      <c r="W303" s="101">
        <f t="shared" si="109"/>
        <v>0</v>
      </c>
      <c r="X303" s="101">
        <f t="shared" si="109"/>
        <v>0</v>
      </c>
      <c r="Y303" s="101">
        <f t="shared" si="109"/>
        <v>0</v>
      </c>
      <c r="Z303" s="101">
        <f t="shared" si="109"/>
        <v>0</v>
      </c>
      <c r="AA303" s="101">
        <f t="shared" si="109"/>
        <v>0</v>
      </c>
      <c r="AB303" s="22"/>
    </row>
    <row r="304" spans="1:28" s="23" customFormat="1" ht="10.199999999999999" x14ac:dyDescent="0.2">
      <c r="A304" s="22"/>
      <c r="B304" s="22"/>
      <c r="C304" s="22"/>
      <c r="D304" s="22"/>
      <c r="E304" s="22" t="str">
        <f>E300</f>
        <v>коммунальные расходы - начисление</v>
      </c>
      <c r="F304" s="22"/>
      <c r="G304" s="22" t="str">
        <f>IF($E304="","",INDEX(KPI!$G:$G,SUMIFS(KPI!$B:$B,KPI!$E:$E,$E304)))</f>
        <v>тыс.руб.</v>
      </c>
      <c r="H304" s="100">
        <f>структура!$V$15</f>
        <v>4</v>
      </c>
      <c r="I304" s="31"/>
      <c r="J304" s="98" t="str">
        <f>структура!$X$15</f>
        <v>апр</v>
      </c>
      <c r="K304" s="99"/>
      <c r="L304" s="22"/>
      <c r="M304" s="58"/>
      <c r="N304" s="22"/>
      <c r="O304" s="22"/>
      <c r="P304" s="101">
        <f t="shared" ref="P304:AA304" si="110">IF(P$1="",0,$J$282*$M289*DAY(EOMONTH(P$8,$H304-MONTH(P$8))))</f>
        <v>21.4038</v>
      </c>
      <c r="Q304" s="101">
        <f t="shared" si="110"/>
        <v>21.4038</v>
      </c>
      <c r="R304" s="101">
        <f t="shared" si="110"/>
        <v>21.4038</v>
      </c>
      <c r="S304" s="101">
        <f t="shared" si="110"/>
        <v>21.4038</v>
      </c>
      <c r="T304" s="101">
        <f t="shared" si="110"/>
        <v>21.4038</v>
      </c>
      <c r="U304" s="101">
        <f t="shared" si="110"/>
        <v>21.4038</v>
      </c>
      <c r="V304" s="101">
        <f t="shared" si="110"/>
        <v>21.4038</v>
      </c>
      <c r="W304" s="101">
        <f t="shared" si="110"/>
        <v>0</v>
      </c>
      <c r="X304" s="101">
        <f t="shared" si="110"/>
        <v>0</v>
      </c>
      <c r="Y304" s="101">
        <f t="shared" si="110"/>
        <v>0</v>
      </c>
      <c r="Z304" s="101">
        <f t="shared" si="110"/>
        <v>0</v>
      </c>
      <c r="AA304" s="101">
        <f t="shared" si="110"/>
        <v>0</v>
      </c>
      <c r="AB304" s="22"/>
    </row>
    <row r="305" spans="1:28" s="23" customFormat="1" ht="10.199999999999999" x14ac:dyDescent="0.2">
      <c r="A305" s="22"/>
      <c r="B305" s="22"/>
      <c r="C305" s="22"/>
      <c r="D305" s="22"/>
      <c r="E305" s="22" t="str">
        <f>E300</f>
        <v>коммунальные расходы - начисление</v>
      </c>
      <c r="F305" s="22"/>
      <c r="G305" s="22" t="str">
        <f>IF($E305="","",INDEX(KPI!$G:$G,SUMIFS(KPI!$B:$B,KPI!$E:$E,$E305)))</f>
        <v>тыс.руб.</v>
      </c>
      <c r="H305" s="100">
        <f>структура!$V$16</f>
        <v>5</v>
      </c>
      <c r="I305" s="31"/>
      <c r="J305" s="98" t="str">
        <f>структура!$X$16</f>
        <v>май</v>
      </c>
      <c r="K305" s="99"/>
      <c r="L305" s="22"/>
      <c r="M305" s="58"/>
      <c r="N305" s="22"/>
      <c r="O305" s="22"/>
      <c r="P305" s="101">
        <f t="shared" ref="P305:AA305" si="111">IF(P$1="",0,$J$282*$M290*DAY(EOMONTH(P$8,$H305-MONTH(P$8))))</f>
        <v>21.155640000000005</v>
      </c>
      <c r="Q305" s="101">
        <f t="shared" si="111"/>
        <v>21.155640000000005</v>
      </c>
      <c r="R305" s="101">
        <f t="shared" si="111"/>
        <v>21.155640000000005</v>
      </c>
      <c r="S305" s="101">
        <f t="shared" si="111"/>
        <v>21.155640000000005</v>
      </c>
      <c r="T305" s="101">
        <f t="shared" si="111"/>
        <v>21.155640000000005</v>
      </c>
      <c r="U305" s="101">
        <f t="shared" si="111"/>
        <v>21.155640000000005</v>
      </c>
      <c r="V305" s="101">
        <f t="shared" si="111"/>
        <v>21.155640000000005</v>
      </c>
      <c r="W305" s="101">
        <f t="shared" si="111"/>
        <v>0</v>
      </c>
      <c r="X305" s="101">
        <f t="shared" si="111"/>
        <v>0</v>
      </c>
      <c r="Y305" s="101">
        <f t="shared" si="111"/>
        <v>0</v>
      </c>
      <c r="Z305" s="101">
        <f t="shared" si="111"/>
        <v>0</v>
      </c>
      <c r="AA305" s="101">
        <f t="shared" si="111"/>
        <v>0</v>
      </c>
      <c r="AB305" s="22"/>
    </row>
    <row r="306" spans="1:28" s="23" customFormat="1" ht="10.199999999999999" x14ac:dyDescent="0.2">
      <c r="A306" s="22"/>
      <c r="B306" s="22"/>
      <c r="C306" s="22"/>
      <c r="D306" s="22"/>
      <c r="E306" s="22" t="str">
        <f>E300</f>
        <v>коммунальные расходы - начисление</v>
      </c>
      <c r="F306" s="22"/>
      <c r="G306" s="22" t="str">
        <f>IF($E306="","",INDEX(KPI!$G:$G,SUMIFS(KPI!$B:$B,KPI!$E:$E,$E306)))</f>
        <v>тыс.руб.</v>
      </c>
      <c r="H306" s="100">
        <f>структура!$V$17</f>
        <v>6</v>
      </c>
      <c r="I306" s="31"/>
      <c r="J306" s="98" t="str">
        <f>структура!$X$17</f>
        <v>июн</v>
      </c>
      <c r="K306" s="99"/>
      <c r="L306" s="22"/>
      <c r="M306" s="58"/>
      <c r="N306" s="22"/>
      <c r="O306" s="22"/>
      <c r="P306" s="101">
        <f t="shared" ref="P306:AA306" si="112">IF(P$1="",0,$J$282*$M291*DAY(EOMONTH(P$8,$H306-MONTH(P$8))))</f>
        <v>18.612000000000002</v>
      </c>
      <c r="Q306" s="101">
        <f t="shared" si="112"/>
        <v>18.612000000000002</v>
      </c>
      <c r="R306" s="101">
        <f t="shared" si="112"/>
        <v>18.612000000000002</v>
      </c>
      <c r="S306" s="101">
        <f t="shared" si="112"/>
        <v>18.612000000000002</v>
      </c>
      <c r="T306" s="101">
        <f t="shared" si="112"/>
        <v>18.612000000000002</v>
      </c>
      <c r="U306" s="101">
        <f t="shared" si="112"/>
        <v>18.612000000000002</v>
      </c>
      <c r="V306" s="101">
        <f t="shared" si="112"/>
        <v>18.612000000000002</v>
      </c>
      <c r="W306" s="101">
        <f t="shared" si="112"/>
        <v>0</v>
      </c>
      <c r="X306" s="101">
        <f t="shared" si="112"/>
        <v>0</v>
      </c>
      <c r="Y306" s="101">
        <f t="shared" si="112"/>
        <v>0</v>
      </c>
      <c r="Z306" s="101">
        <f t="shared" si="112"/>
        <v>0</v>
      </c>
      <c r="AA306" s="101">
        <f t="shared" si="112"/>
        <v>0</v>
      </c>
      <c r="AB306" s="22"/>
    </row>
    <row r="307" spans="1:28" s="23" customFormat="1" ht="10.199999999999999" x14ac:dyDescent="0.2">
      <c r="A307" s="22"/>
      <c r="B307" s="22"/>
      <c r="C307" s="22"/>
      <c r="D307" s="22"/>
      <c r="E307" s="22" t="str">
        <f>E300</f>
        <v>коммунальные расходы - начисление</v>
      </c>
      <c r="F307" s="22"/>
      <c r="G307" s="22" t="str">
        <f>IF($E307="","",INDEX(KPI!$G:$G,SUMIFS(KPI!$B:$B,KPI!$E:$E,$E307)))</f>
        <v>тыс.руб.</v>
      </c>
      <c r="H307" s="100">
        <f>структура!$V$18</f>
        <v>7</v>
      </c>
      <c r="I307" s="31"/>
      <c r="J307" s="98" t="str">
        <f>структура!$X$18</f>
        <v>июл</v>
      </c>
      <c r="K307" s="99"/>
      <c r="L307" s="22"/>
      <c r="M307" s="58"/>
      <c r="N307" s="22"/>
      <c r="O307" s="22"/>
      <c r="P307" s="101">
        <f t="shared" ref="P307:AA307" si="113">IF(P$1="",0,$J$282*$M292*DAY(EOMONTH(P$8,$H307-MONTH(P$8))))</f>
        <v>19.232400000000002</v>
      </c>
      <c r="Q307" s="101">
        <f t="shared" si="113"/>
        <v>19.232400000000002</v>
      </c>
      <c r="R307" s="101">
        <f t="shared" si="113"/>
        <v>19.232400000000002</v>
      </c>
      <c r="S307" s="101">
        <f t="shared" si="113"/>
        <v>19.232400000000002</v>
      </c>
      <c r="T307" s="101">
        <f t="shared" si="113"/>
        <v>19.232400000000002</v>
      </c>
      <c r="U307" s="101">
        <f t="shared" si="113"/>
        <v>19.232400000000002</v>
      </c>
      <c r="V307" s="101">
        <f t="shared" si="113"/>
        <v>19.232400000000002</v>
      </c>
      <c r="W307" s="101">
        <f t="shared" si="113"/>
        <v>0</v>
      </c>
      <c r="X307" s="101">
        <f t="shared" si="113"/>
        <v>0</v>
      </c>
      <c r="Y307" s="101">
        <f t="shared" si="113"/>
        <v>0</v>
      </c>
      <c r="Z307" s="101">
        <f t="shared" si="113"/>
        <v>0</v>
      </c>
      <c r="AA307" s="101">
        <f t="shared" si="113"/>
        <v>0</v>
      </c>
      <c r="AB307" s="22"/>
    </row>
    <row r="308" spans="1:28" s="23" customFormat="1" ht="10.199999999999999" x14ac:dyDescent="0.2">
      <c r="A308" s="22"/>
      <c r="B308" s="22"/>
      <c r="C308" s="22"/>
      <c r="D308" s="22"/>
      <c r="E308" s="22" t="str">
        <f>E300</f>
        <v>коммунальные расходы - начисление</v>
      </c>
      <c r="F308" s="22"/>
      <c r="G308" s="22" t="str">
        <f>IF($E308="","",INDEX(KPI!$G:$G,SUMIFS(KPI!$B:$B,KPI!$E:$E,$E308)))</f>
        <v>тыс.руб.</v>
      </c>
      <c r="H308" s="100">
        <f>структура!$V$19</f>
        <v>8</v>
      </c>
      <c r="I308" s="31"/>
      <c r="J308" s="98" t="str">
        <f>структура!$X$19</f>
        <v>авг</v>
      </c>
      <c r="K308" s="99"/>
      <c r="L308" s="22"/>
      <c r="M308" s="58"/>
      <c r="N308" s="22"/>
      <c r="O308" s="22"/>
      <c r="P308" s="101">
        <f t="shared" ref="P308:AA308" si="114">IF(P$1="",0,$J$282*$M293*DAY(EOMONTH(P$8,$H308-MONTH(P$8))))</f>
        <v>19.232400000000002</v>
      </c>
      <c r="Q308" s="101">
        <f t="shared" si="114"/>
        <v>19.232400000000002</v>
      </c>
      <c r="R308" s="101">
        <f t="shared" si="114"/>
        <v>19.232400000000002</v>
      </c>
      <c r="S308" s="101">
        <f t="shared" si="114"/>
        <v>19.232400000000002</v>
      </c>
      <c r="T308" s="101">
        <f t="shared" si="114"/>
        <v>19.232400000000002</v>
      </c>
      <c r="U308" s="101">
        <f t="shared" si="114"/>
        <v>19.232400000000002</v>
      </c>
      <c r="V308" s="101">
        <f t="shared" si="114"/>
        <v>19.232400000000002</v>
      </c>
      <c r="W308" s="101">
        <f t="shared" si="114"/>
        <v>0</v>
      </c>
      <c r="X308" s="101">
        <f t="shared" si="114"/>
        <v>0</v>
      </c>
      <c r="Y308" s="101">
        <f t="shared" si="114"/>
        <v>0</v>
      </c>
      <c r="Z308" s="101">
        <f t="shared" si="114"/>
        <v>0</v>
      </c>
      <c r="AA308" s="101">
        <f t="shared" si="114"/>
        <v>0</v>
      </c>
      <c r="AB308" s="22"/>
    </row>
    <row r="309" spans="1:28" s="23" customFormat="1" ht="10.199999999999999" x14ac:dyDescent="0.2">
      <c r="A309" s="22"/>
      <c r="B309" s="22"/>
      <c r="C309" s="22"/>
      <c r="D309" s="22"/>
      <c r="E309" s="22" t="str">
        <f>E300</f>
        <v>коммунальные расходы - начисление</v>
      </c>
      <c r="F309" s="22"/>
      <c r="G309" s="22" t="str">
        <f>IF($E309="","",INDEX(KPI!$G:$G,SUMIFS(KPI!$B:$B,KPI!$E:$E,$E309)))</f>
        <v>тыс.руб.</v>
      </c>
      <c r="H309" s="100">
        <f>структура!$V$20</f>
        <v>9</v>
      </c>
      <c r="I309" s="31"/>
      <c r="J309" s="98" t="str">
        <f>структура!$X$20</f>
        <v>сен</v>
      </c>
      <c r="K309" s="99"/>
      <c r="L309" s="22"/>
      <c r="M309" s="58"/>
      <c r="N309" s="22"/>
      <c r="O309" s="22"/>
      <c r="P309" s="101">
        <f t="shared" ref="P309:AA309" si="115">IF(P$1="",0,$J$282*$M294*DAY(EOMONTH(P$8,$H309-MONTH(P$8))))</f>
        <v>20.473200000000006</v>
      </c>
      <c r="Q309" s="101">
        <f t="shared" si="115"/>
        <v>20.473200000000006</v>
      </c>
      <c r="R309" s="101">
        <f t="shared" si="115"/>
        <v>20.473200000000006</v>
      </c>
      <c r="S309" s="101">
        <f t="shared" si="115"/>
        <v>20.473200000000006</v>
      </c>
      <c r="T309" s="101">
        <f t="shared" si="115"/>
        <v>20.473200000000006</v>
      </c>
      <c r="U309" s="101">
        <f t="shared" si="115"/>
        <v>20.473200000000006</v>
      </c>
      <c r="V309" s="101">
        <f t="shared" si="115"/>
        <v>20.473200000000006</v>
      </c>
      <c r="W309" s="101">
        <f t="shared" si="115"/>
        <v>0</v>
      </c>
      <c r="X309" s="101">
        <f t="shared" si="115"/>
        <v>0</v>
      </c>
      <c r="Y309" s="101">
        <f t="shared" si="115"/>
        <v>0</v>
      </c>
      <c r="Z309" s="101">
        <f t="shared" si="115"/>
        <v>0</v>
      </c>
      <c r="AA309" s="101">
        <f t="shared" si="115"/>
        <v>0</v>
      </c>
      <c r="AB309" s="22"/>
    </row>
    <row r="310" spans="1:28" s="23" customFormat="1" ht="10.199999999999999" x14ac:dyDescent="0.2">
      <c r="A310" s="22"/>
      <c r="B310" s="22"/>
      <c r="C310" s="22"/>
      <c r="D310" s="22"/>
      <c r="E310" s="22" t="str">
        <f>E300</f>
        <v>коммунальные расходы - начисление</v>
      </c>
      <c r="F310" s="22"/>
      <c r="G310" s="22" t="str">
        <f>IF($E310="","",INDEX(KPI!$G:$G,SUMIFS(KPI!$B:$B,KPI!$E:$E,$E310)))</f>
        <v>тыс.руб.</v>
      </c>
      <c r="H310" s="100">
        <f>структура!$V$21</f>
        <v>10</v>
      </c>
      <c r="I310" s="31"/>
      <c r="J310" s="98" t="str">
        <f>структура!$X$21</f>
        <v>окт</v>
      </c>
      <c r="K310" s="99"/>
      <c r="L310" s="22"/>
      <c r="M310" s="58"/>
      <c r="N310" s="22"/>
      <c r="O310" s="22"/>
      <c r="P310" s="101">
        <f t="shared" ref="P310:AA310" si="116">IF(P$1="",0,$J$282*$M295*DAY(EOMONTH(P$8,$H310-MONTH(P$8))))</f>
        <v>22.117259999999998</v>
      </c>
      <c r="Q310" s="101">
        <f t="shared" si="116"/>
        <v>22.117259999999998</v>
      </c>
      <c r="R310" s="101">
        <f t="shared" si="116"/>
        <v>22.117259999999998</v>
      </c>
      <c r="S310" s="101">
        <f t="shared" si="116"/>
        <v>22.117259999999998</v>
      </c>
      <c r="T310" s="101">
        <f t="shared" si="116"/>
        <v>22.117259999999998</v>
      </c>
      <c r="U310" s="101">
        <f t="shared" si="116"/>
        <v>22.117259999999998</v>
      </c>
      <c r="V310" s="101">
        <f t="shared" si="116"/>
        <v>22.117259999999998</v>
      </c>
      <c r="W310" s="101">
        <f t="shared" si="116"/>
        <v>0</v>
      </c>
      <c r="X310" s="101">
        <f t="shared" si="116"/>
        <v>0</v>
      </c>
      <c r="Y310" s="101">
        <f t="shared" si="116"/>
        <v>0</v>
      </c>
      <c r="Z310" s="101">
        <f t="shared" si="116"/>
        <v>0</v>
      </c>
      <c r="AA310" s="101">
        <f t="shared" si="116"/>
        <v>0</v>
      </c>
      <c r="AB310" s="22"/>
    </row>
    <row r="311" spans="1:28" s="23" customFormat="1" ht="10.199999999999999" x14ac:dyDescent="0.2">
      <c r="A311" s="22"/>
      <c r="B311" s="22"/>
      <c r="C311" s="22"/>
      <c r="D311" s="22"/>
      <c r="E311" s="22" t="str">
        <f>E300</f>
        <v>коммунальные расходы - начисление</v>
      </c>
      <c r="F311" s="22"/>
      <c r="G311" s="22" t="str">
        <f>IF($E311="","",INDEX(KPI!$G:$G,SUMIFS(KPI!$B:$B,KPI!$E:$E,$E311)))</f>
        <v>тыс.руб.</v>
      </c>
      <c r="H311" s="100">
        <f>структура!$V$22</f>
        <v>11</v>
      </c>
      <c r="I311" s="31"/>
      <c r="J311" s="98" t="str">
        <f>структура!$X$22</f>
        <v>ноя</v>
      </c>
      <c r="K311" s="99"/>
      <c r="L311" s="22"/>
      <c r="M311" s="58"/>
      <c r="N311" s="22"/>
      <c r="O311" s="22"/>
      <c r="P311" s="101">
        <f t="shared" ref="P311:AA311" si="117">IF(P$1="",0,$J$282*$M296*DAY(EOMONTH(P$8,$H311-MONTH(P$8))))</f>
        <v>22.334400000000002</v>
      </c>
      <c r="Q311" s="101">
        <f t="shared" si="117"/>
        <v>22.334400000000002</v>
      </c>
      <c r="R311" s="101">
        <f t="shared" si="117"/>
        <v>22.334400000000002</v>
      </c>
      <c r="S311" s="101">
        <f t="shared" si="117"/>
        <v>22.334400000000002</v>
      </c>
      <c r="T311" s="101">
        <f t="shared" si="117"/>
        <v>22.334400000000002</v>
      </c>
      <c r="U311" s="101">
        <f t="shared" si="117"/>
        <v>22.334400000000002</v>
      </c>
      <c r="V311" s="101">
        <f t="shared" si="117"/>
        <v>22.334400000000002</v>
      </c>
      <c r="W311" s="101">
        <f t="shared" si="117"/>
        <v>0</v>
      </c>
      <c r="X311" s="101">
        <f t="shared" si="117"/>
        <v>0</v>
      </c>
      <c r="Y311" s="101">
        <f t="shared" si="117"/>
        <v>0</v>
      </c>
      <c r="Z311" s="101">
        <f t="shared" si="117"/>
        <v>0</v>
      </c>
      <c r="AA311" s="101">
        <f t="shared" si="117"/>
        <v>0</v>
      </c>
      <c r="AB311" s="22"/>
    </row>
    <row r="312" spans="1:28" s="23" customFormat="1" ht="10.199999999999999" x14ac:dyDescent="0.2">
      <c r="A312" s="22"/>
      <c r="B312" s="22"/>
      <c r="C312" s="22"/>
      <c r="D312" s="22"/>
      <c r="E312" s="22" t="str">
        <f>E300</f>
        <v>коммунальные расходы - начисление</v>
      </c>
      <c r="F312" s="22"/>
      <c r="G312" s="22" t="str">
        <f>IF($E312="","",INDEX(KPI!$G:$G,SUMIFS(KPI!$B:$B,KPI!$E:$E,$E312)))</f>
        <v>тыс.руб.</v>
      </c>
      <c r="H312" s="100">
        <f>структура!$V$23</f>
        <v>12</v>
      </c>
      <c r="I312" s="31"/>
      <c r="J312" s="98" t="str">
        <f>структура!$X$23</f>
        <v>дек</v>
      </c>
      <c r="K312" s="99"/>
      <c r="L312" s="22"/>
      <c r="M312" s="58"/>
      <c r="N312" s="22"/>
      <c r="O312" s="22"/>
      <c r="P312" s="101">
        <f t="shared" ref="P312:AA312" si="118">IF(P$1="",0,$J$282*$M297*DAY(EOMONTH(P$8,$H312-MONTH(P$8))))</f>
        <v>26.925360000000001</v>
      </c>
      <c r="Q312" s="101">
        <f t="shared" si="118"/>
        <v>26.925360000000001</v>
      </c>
      <c r="R312" s="101">
        <f t="shared" si="118"/>
        <v>26.925360000000001</v>
      </c>
      <c r="S312" s="101">
        <f t="shared" si="118"/>
        <v>26.925360000000001</v>
      </c>
      <c r="T312" s="101">
        <f t="shared" si="118"/>
        <v>26.925360000000001</v>
      </c>
      <c r="U312" s="101">
        <f t="shared" si="118"/>
        <v>26.925360000000001</v>
      </c>
      <c r="V312" s="101">
        <f t="shared" si="118"/>
        <v>26.925360000000001</v>
      </c>
      <c r="W312" s="101">
        <f t="shared" si="118"/>
        <v>0</v>
      </c>
      <c r="X312" s="101">
        <f t="shared" si="118"/>
        <v>0</v>
      </c>
      <c r="Y312" s="101">
        <f t="shared" si="118"/>
        <v>0</v>
      </c>
      <c r="Z312" s="101">
        <f t="shared" si="118"/>
        <v>0</v>
      </c>
      <c r="AA312" s="101">
        <f t="shared" si="118"/>
        <v>0</v>
      </c>
      <c r="AB312" s="22"/>
    </row>
    <row r="313" spans="1:28" ht="3.9" customHeight="1" x14ac:dyDescent="0.25">
      <c r="A313" s="2"/>
      <c r="B313" s="2"/>
      <c r="C313" s="2"/>
      <c r="D313" s="2"/>
      <c r="E313" s="21"/>
      <c r="F313" s="2"/>
      <c r="G313" s="21"/>
      <c r="H313" s="2"/>
      <c r="I313" s="28"/>
      <c r="J313" s="21"/>
      <c r="K313" s="28"/>
      <c r="L313" s="2"/>
      <c r="M313" s="52"/>
      <c r="N313" s="2"/>
      <c r="O313" s="2"/>
      <c r="P313" s="36"/>
      <c r="Q313" s="36"/>
      <c r="R313" s="36"/>
      <c r="S313" s="36"/>
      <c r="T313" s="36"/>
      <c r="U313" s="36"/>
      <c r="V313" s="36"/>
      <c r="W313" s="36"/>
      <c r="X313" s="36"/>
      <c r="Y313" s="36"/>
      <c r="Z313" s="36"/>
      <c r="AA313" s="36"/>
      <c r="AB313" s="2"/>
    </row>
    <row r="314" spans="1:28" ht="8.1" customHeight="1" x14ac:dyDescent="0.25">
      <c r="A314" s="2"/>
      <c r="B314" s="2"/>
      <c r="C314" s="2"/>
      <c r="D314" s="2"/>
      <c r="E314" s="2"/>
      <c r="F314" s="2"/>
      <c r="G314" s="2"/>
      <c r="H314" s="2"/>
      <c r="I314" s="28"/>
      <c r="J314" s="2"/>
      <c r="K314" s="28"/>
      <c r="L314" s="2"/>
      <c r="M314" s="52"/>
      <c r="N314" s="2"/>
      <c r="O314" s="2"/>
      <c r="P314" s="36"/>
      <c r="Q314" s="36"/>
      <c r="R314" s="36"/>
      <c r="S314" s="36"/>
      <c r="T314" s="36"/>
      <c r="U314" s="36"/>
      <c r="V314" s="36"/>
      <c r="W314" s="36"/>
      <c r="X314" s="36"/>
      <c r="Y314" s="36"/>
      <c r="Z314" s="36"/>
      <c r="AA314" s="36"/>
      <c r="AB314" s="2"/>
    </row>
    <row r="315" spans="1:28" s="5" customFormat="1" x14ac:dyDescent="0.25">
      <c r="A315" s="3"/>
      <c r="B315" s="3"/>
      <c r="C315" s="3"/>
      <c r="D315" s="111"/>
      <c r="E315" s="3" t="str">
        <f>KPI!$E$53</f>
        <v>коммунальные расходы - оплата</v>
      </c>
      <c r="F315" s="3"/>
      <c r="G315" s="3" t="str">
        <f>IF($E315="","",INDEX(KPI!$G:$G,SUMIFS(KPI!$B:$B,KPI!$E:$E,$E315)))</f>
        <v>тыс.руб.</v>
      </c>
      <c r="H315" s="116" t="str">
        <f>структура!$AL$20</f>
        <v>Заложен сдвиг на один месяц!</v>
      </c>
      <c r="I315" s="28"/>
      <c r="J315" s="44"/>
      <c r="K315" s="28"/>
      <c r="L315" s="3"/>
      <c r="M315" s="55">
        <f>SUM($O315:$AB315)</f>
        <v>1835.48442</v>
      </c>
      <c r="N315" s="3"/>
      <c r="O315" s="3"/>
      <c r="P315" s="46">
        <f>IF(P$1="",0,IF(P$1=0,SUMIFS(P316:P327,H316:H327,"&gt;="&amp;MONTH($J$13)),SUM(P316:P327)))</f>
        <v>238.88502000000005</v>
      </c>
      <c r="Q315" s="46">
        <f t="shared" ref="Q315" si="119">IF(Q$1="",0,SUM(Q316:Q327))</f>
        <v>265.81038000000001</v>
      </c>
      <c r="R315" s="46">
        <f t="shared" ref="R315:AA315" si="120">IF(R$1="",0,SUM(R316:R327))</f>
        <v>266.67894000000001</v>
      </c>
      <c r="S315" s="46">
        <f t="shared" si="120"/>
        <v>265.81038000000001</v>
      </c>
      <c r="T315" s="46">
        <f t="shared" si="120"/>
        <v>265.81038000000001</v>
      </c>
      <c r="U315" s="46">
        <f t="shared" si="120"/>
        <v>265.81038000000001</v>
      </c>
      <c r="V315" s="46">
        <f t="shared" si="120"/>
        <v>266.67894000000001</v>
      </c>
      <c r="W315" s="46">
        <f t="shared" si="120"/>
        <v>0</v>
      </c>
      <c r="X315" s="46">
        <f t="shared" si="120"/>
        <v>0</v>
      </c>
      <c r="Y315" s="46">
        <f t="shared" si="120"/>
        <v>0</v>
      </c>
      <c r="Z315" s="46">
        <f t="shared" si="120"/>
        <v>0</v>
      </c>
      <c r="AA315" s="46">
        <f t="shared" si="120"/>
        <v>0</v>
      </c>
      <c r="AB315" s="3"/>
    </row>
    <row r="316" spans="1:28" s="23" customFormat="1" ht="10.199999999999999" x14ac:dyDescent="0.2">
      <c r="A316" s="22"/>
      <c r="B316" s="22"/>
      <c r="C316" s="22"/>
      <c r="D316" s="22"/>
      <c r="E316" s="22" t="str">
        <f>E315</f>
        <v>коммунальные расходы - оплата</v>
      </c>
      <c r="F316" s="22"/>
      <c r="G316" s="22" t="str">
        <f>IF($E316="","",INDEX(KPI!$G:$G,SUMIFS(KPI!$B:$B,KPI!$E:$E,$E316)))</f>
        <v>тыс.руб.</v>
      </c>
      <c r="H316" s="100">
        <f>структура!$V$12</f>
        <v>1</v>
      </c>
      <c r="I316" s="31"/>
      <c r="J316" s="98" t="str">
        <f>структура!$X$12</f>
        <v>янв</v>
      </c>
      <c r="K316" s="99"/>
      <c r="L316" s="22"/>
      <c r="M316" s="58"/>
      <c r="N316" s="22"/>
      <c r="O316" s="22"/>
      <c r="P316" s="101">
        <f t="shared" ref="P316" si="121">IF(P$1="",0,O312)</f>
        <v>0</v>
      </c>
      <c r="Q316" s="101">
        <f>IF(Q$1="",0,P312)</f>
        <v>26.925360000000001</v>
      </c>
      <c r="R316" s="101">
        <f t="shared" ref="R316:AA316" si="122">IF(R$1="",0,Q312)</f>
        <v>26.925360000000001</v>
      </c>
      <c r="S316" s="101">
        <f t="shared" si="122"/>
        <v>26.925360000000001</v>
      </c>
      <c r="T316" s="101">
        <f t="shared" si="122"/>
        <v>26.925360000000001</v>
      </c>
      <c r="U316" s="101">
        <f t="shared" si="122"/>
        <v>26.925360000000001</v>
      </c>
      <c r="V316" s="101">
        <f t="shared" si="122"/>
        <v>26.925360000000001</v>
      </c>
      <c r="W316" s="101">
        <f t="shared" si="122"/>
        <v>0</v>
      </c>
      <c r="X316" s="101">
        <f t="shared" si="122"/>
        <v>0</v>
      </c>
      <c r="Y316" s="101">
        <f t="shared" si="122"/>
        <v>0</v>
      </c>
      <c r="Z316" s="101">
        <f t="shared" si="122"/>
        <v>0</v>
      </c>
      <c r="AA316" s="101">
        <f t="shared" si="122"/>
        <v>0</v>
      </c>
      <c r="AB316" s="22"/>
    </row>
    <row r="317" spans="1:28" s="23" customFormat="1" ht="10.199999999999999" x14ac:dyDescent="0.2">
      <c r="A317" s="22"/>
      <c r="B317" s="22"/>
      <c r="C317" s="22"/>
      <c r="D317" s="22"/>
      <c r="E317" s="22" t="str">
        <f>E315</f>
        <v>коммунальные расходы - оплата</v>
      </c>
      <c r="F317" s="22"/>
      <c r="G317" s="22" t="str">
        <f>IF($E317="","",INDEX(KPI!$G:$G,SUMIFS(KPI!$B:$B,KPI!$E:$E,$E317)))</f>
        <v>тыс.руб.</v>
      </c>
      <c r="H317" s="100">
        <f>структура!$V$13</f>
        <v>2</v>
      </c>
      <c r="I317" s="31"/>
      <c r="J317" s="98" t="str">
        <f>структура!$X$13</f>
        <v>фев</v>
      </c>
      <c r="K317" s="99"/>
      <c r="L317" s="22"/>
      <c r="M317" s="58"/>
      <c r="N317" s="22"/>
      <c r="O317" s="22"/>
      <c r="P317" s="101">
        <f>IF(P$1="",0,P301)</f>
        <v>26.925360000000001</v>
      </c>
      <c r="Q317" s="101">
        <f t="shared" ref="Q317:AA317" si="123">IF(Q$1="",0,Q301)</f>
        <v>26.925360000000001</v>
      </c>
      <c r="R317" s="101">
        <f t="shared" si="123"/>
        <v>26.925360000000001</v>
      </c>
      <c r="S317" s="101">
        <f t="shared" si="123"/>
        <v>26.925360000000001</v>
      </c>
      <c r="T317" s="101">
        <f t="shared" si="123"/>
        <v>26.925360000000001</v>
      </c>
      <c r="U317" s="101">
        <f t="shared" si="123"/>
        <v>26.925360000000001</v>
      </c>
      <c r="V317" s="101">
        <f t="shared" si="123"/>
        <v>26.925360000000001</v>
      </c>
      <c r="W317" s="101">
        <f t="shared" si="123"/>
        <v>0</v>
      </c>
      <c r="X317" s="101">
        <f t="shared" si="123"/>
        <v>0</v>
      </c>
      <c r="Y317" s="101">
        <f t="shared" si="123"/>
        <v>0</v>
      </c>
      <c r="Z317" s="101">
        <f t="shared" si="123"/>
        <v>0</v>
      </c>
      <c r="AA317" s="101">
        <f t="shared" si="123"/>
        <v>0</v>
      </c>
      <c r="AB317" s="22"/>
    </row>
    <row r="318" spans="1:28" s="23" customFormat="1" ht="10.199999999999999" x14ac:dyDescent="0.2">
      <c r="A318" s="22"/>
      <c r="B318" s="22"/>
      <c r="C318" s="22"/>
      <c r="D318" s="22"/>
      <c r="E318" s="22" t="str">
        <f>E315</f>
        <v>коммунальные расходы - оплата</v>
      </c>
      <c r="F318" s="22"/>
      <c r="G318" s="22" t="str">
        <f>IF($E318="","",INDEX(KPI!$G:$G,SUMIFS(KPI!$B:$B,KPI!$E:$E,$E318)))</f>
        <v>тыс.руб.</v>
      </c>
      <c r="H318" s="100">
        <f>структура!$V$14</f>
        <v>3</v>
      </c>
      <c r="I318" s="31"/>
      <c r="J318" s="98" t="str">
        <f>структура!$X$14</f>
        <v>мар</v>
      </c>
      <c r="K318" s="99"/>
      <c r="L318" s="22"/>
      <c r="M318" s="58"/>
      <c r="N318" s="22"/>
      <c r="O318" s="22"/>
      <c r="P318" s="101">
        <f t="shared" ref="P318:AA318" si="124">IF(P$1="",0,P302)</f>
        <v>24.319679999999998</v>
      </c>
      <c r="Q318" s="101">
        <f t="shared" si="124"/>
        <v>24.319679999999998</v>
      </c>
      <c r="R318" s="101">
        <f t="shared" si="124"/>
        <v>25.18824</v>
      </c>
      <c r="S318" s="101">
        <f t="shared" si="124"/>
        <v>24.319679999999998</v>
      </c>
      <c r="T318" s="101">
        <f t="shared" si="124"/>
        <v>24.319679999999998</v>
      </c>
      <c r="U318" s="101">
        <f t="shared" si="124"/>
        <v>24.319679999999998</v>
      </c>
      <c r="V318" s="101">
        <f t="shared" si="124"/>
        <v>25.18824</v>
      </c>
      <c r="W318" s="101">
        <f t="shared" si="124"/>
        <v>0</v>
      </c>
      <c r="X318" s="101">
        <f t="shared" si="124"/>
        <v>0</v>
      </c>
      <c r="Y318" s="101">
        <f t="shared" si="124"/>
        <v>0</v>
      </c>
      <c r="Z318" s="101">
        <f t="shared" si="124"/>
        <v>0</v>
      </c>
      <c r="AA318" s="101">
        <f t="shared" si="124"/>
        <v>0</v>
      </c>
      <c r="AB318" s="22"/>
    </row>
    <row r="319" spans="1:28" s="23" customFormat="1" ht="10.199999999999999" x14ac:dyDescent="0.2">
      <c r="A319" s="22"/>
      <c r="B319" s="22"/>
      <c r="C319" s="22"/>
      <c r="D319" s="22"/>
      <c r="E319" s="22" t="str">
        <f>E315</f>
        <v>коммунальные расходы - оплата</v>
      </c>
      <c r="F319" s="22"/>
      <c r="G319" s="22" t="str">
        <f>IF($E319="","",INDEX(KPI!$G:$G,SUMIFS(KPI!$B:$B,KPI!$E:$E,$E319)))</f>
        <v>тыс.руб.</v>
      </c>
      <c r="H319" s="100">
        <f>структура!$V$15</f>
        <v>4</v>
      </c>
      <c r="I319" s="31"/>
      <c r="J319" s="98" t="str">
        <f>структура!$X$15</f>
        <v>апр</v>
      </c>
      <c r="K319" s="99"/>
      <c r="L319" s="22"/>
      <c r="M319" s="58"/>
      <c r="N319" s="22"/>
      <c r="O319" s="22"/>
      <c r="P319" s="101">
        <f t="shared" ref="P319:AA319" si="125">IF(P$1="",0,P303)</f>
        <v>23.078880000000002</v>
      </c>
      <c r="Q319" s="101">
        <f>IF(Q$1="",0,Q303)</f>
        <v>23.078880000000002</v>
      </c>
      <c r="R319" s="101">
        <f t="shared" si="125"/>
        <v>23.078880000000002</v>
      </c>
      <c r="S319" s="101">
        <f t="shared" si="125"/>
        <v>23.078880000000002</v>
      </c>
      <c r="T319" s="101">
        <f t="shared" si="125"/>
        <v>23.078880000000002</v>
      </c>
      <c r="U319" s="101">
        <f t="shared" si="125"/>
        <v>23.078880000000002</v>
      </c>
      <c r="V319" s="101">
        <f t="shared" si="125"/>
        <v>23.078880000000002</v>
      </c>
      <c r="W319" s="101">
        <f t="shared" si="125"/>
        <v>0</v>
      </c>
      <c r="X319" s="101">
        <f t="shared" si="125"/>
        <v>0</v>
      </c>
      <c r="Y319" s="101">
        <f t="shared" si="125"/>
        <v>0</v>
      </c>
      <c r="Z319" s="101">
        <f t="shared" si="125"/>
        <v>0</v>
      </c>
      <c r="AA319" s="101">
        <f t="shared" si="125"/>
        <v>0</v>
      </c>
      <c r="AB319" s="22"/>
    </row>
    <row r="320" spans="1:28" s="23" customFormat="1" ht="10.199999999999999" x14ac:dyDescent="0.2">
      <c r="A320" s="22"/>
      <c r="B320" s="22"/>
      <c r="C320" s="22"/>
      <c r="D320" s="22"/>
      <c r="E320" s="22" t="str">
        <f>E315</f>
        <v>коммунальные расходы - оплата</v>
      </c>
      <c r="F320" s="22"/>
      <c r="G320" s="22" t="str">
        <f>IF($E320="","",INDEX(KPI!$G:$G,SUMIFS(KPI!$B:$B,KPI!$E:$E,$E320)))</f>
        <v>тыс.руб.</v>
      </c>
      <c r="H320" s="100">
        <f>структура!$V$16</f>
        <v>5</v>
      </c>
      <c r="I320" s="31"/>
      <c r="J320" s="98" t="str">
        <f>структура!$X$16</f>
        <v>май</v>
      </c>
      <c r="K320" s="99"/>
      <c r="L320" s="22"/>
      <c r="M320" s="58"/>
      <c r="N320" s="22"/>
      <c r="O320" s="22"/>
      <c r="P320" s="101">
        <f t="shared" ref="P320:AA320" si="126">IF(P$1="",0,P304)</f>
        <v>21.4038</v>
      </c>
      <c r="Q320" s="101">
        <f t="shared" si="126"/>
        <v>21.4038</v>
      </c>
      <c r="R320" s="101">
        <f t="shared" si="126"/>
        <v>21.4038</v>
      </c>
      <c r="S320" s="101">
        <f t="shared" si="126"/>
        <v>21.4038</v>
      </c>
      <c r="T320" s="101">
        <f t="shared" si="126"/>
        <v>21.4038</v>
      </c>
      <c r="U320" s="101">
        <f t="shared" si="126"/>
        <v>21.4038</v>
      </c>
      <c r="V320" s="101">
        <f t="shared" si="126"/>
        <v>21.4038</v>
      </c>
      <c r="W320" s="101">
        <f t="shared" si="126"/>
        <v>0</v>
      </c>
      <c r="X320" s="101">
        <f t="shared" si="126"/>
        <v>0</v>
      </c>
      <c r="Y320" s="101">
        <f t="shared" si="126"/>
        <v>0</v>
      </c>
      <c r="Z320" s="101">
        <f t="shared" si="126"/>
        <v>0</v>
      </c>
      <c r="AA320" s="101">
        <f t="shared" si="126"/>
        <v>0</v>
      </c>
      <c r="AB320" s="22"/>
    </row>
    <row r="321" spans="1:28" s="23" customFormat="1" ht="10.199999999999999" x14ac:dyDescent="0.2">
      <c r="A321" s="22"/>
      <c r="B321" s="22"/>
      <c r="C321" s="22"/>
      <c r="D321" s="22"/>
      <c r="E321" s="22" t="str">
        <f>E315</f>
        <v>коммунальные расходы - оплата</v>
      </c>
      <c r="F321" s="22"/>
      <c r="G321" s="22" t="str">
        <f>IF($E321="","",INDEX(KPI!$G:$G,SUMIFS(KPI!$B:$B,KPI!$E:$E,$E321)))</f>
        <v>тыс.руб.</v>
      </c>
      <c r="H321" s="100">
        <f>структура!$V$17</f>
        <v>6</v>
      </c>
      <c r="I321" s="31"/>
      <c r="J321" s="98" t="str">
        <f>структура!$X$17</f>
        <v>июн</v>
      </c>
      <c r="K321" s="99"/>
      <c r="L321" s="22"/>
      <c r="M321" s="58"/>
      <c r="N321" s="22"/>
      <c r="O321" s="22"/>
      <c r="P321" s="101">
        <f t="shared" ref="P321:AA321" si="127">IF(P$1="",0,P305)</f>
        <v>21.155640000000005</v>
      </c>
      <c r="Q321" s="101">
        <f t="shared" si="127"/>
        <v>21.155640000000005</v>
      </c>
      <c r="R321" s="101">
        <f t="shared" si="127"/>
        <v>21.155640000000005</v>
      </c>
      <c r="S321" s="101">
        <f t="shared" si="127"/>
        <v>21.155640000000005</v>
      </c>
      <c r="T321" s="101">
        <f t="shared" si="127"/>
        <v>21.155640000000005</v>
      </c>
      <c r="U321" s="101">
        <f t="shared" si="127"/>
        <v>21.155640000000005</v>
      </c>
      <c r="V321" s="101">
        <f t="shared" si="127"/>
        <v>21.155640000000005</v>
      </c>
      <c r="W321" s="101">
        <f t="shared" si="127"/>
        <v>0</v>
      </c>
      <c r="X321" s="101">
        <f t="shared" si="127"/>
        <v>0</v>
      </c>
      <c r="Y321" s="101">
        <f t="shared" si="127"/>
        <v>0</v>
      </c>
      <c r="Z321" s="101">
        <f t="shared" si="127"/>
        <v>0</v>
      </c>
      <c r="AA321" s="101">
        <f t="shared" si="127"/>
        <v>0</v>
      </c>
      <c r="AB321" s="22"/>
    </row>
    <row r="322" spans="1:28" s="23" customFormat="1" ht="10.199999999999999" x14ac:dyDescent="0.2">
      <c r="A322" s="22"/>
      <c r="B322" s="22"/>
      <c r="C322" s="22"/>
      <c r="D322" s="22"/>
      <c r="E322" s="22" t="str">
        <f>E315</f>
        <v>коммунальные расходы - оплата</v>
      </c>
      <c r="F322" s="22"/>
      <c r="G322" s="22" t="str">
        <f>IF($E322="","",INDEX(KPI!$G:$G,SUMIFS(KPI!$B:$B,KPI!$E:$E,$E322)))</f>
        <v>тыс.руб.</v>
      </c>
      <c r="H322" s="100">
        <f>структура!$V$18</f>
        <v>7</v>
      </c>
      <c r="I322" s="31"/>
      <c r="J322" s="98" t="str">
        <f>структура!$X$18</f>
        <v>июл</v>
      </c>
      <c r="K322" s="99"/>
      <c r="L322" s="22"/>
      <c r="M322" s="58"/>
      <c r="N322" s="22"/>
      <c r="O322" s="22"/>
      <c r="P322" s="101">
        <f t="shared" ref="P322:AA322" si="128">IF(P$1="",0,P306)</f>
        <v>18.612000000000002</v>
      </c>
      <c r="Q322" s="101">
        <f t="shared" si="128"/>
        <v>18.612000000000002</v>
      </c>
      <c r="R322" s="101">
        <f t="shared" si="128"/>
        <v>18.612000000000002</v>
      </c>
      <c r="S322" s="101">
        <f t="shared" si="128"/>
        <v>18.612000000000002</v>
      </c>
      <c r="T322" s="101">
        <f t="shared" si="128"/>
        <v>18.612000000000002</v>
      </c>
      <c r="U322" s="101">
        <f t="shared" si="128"/>
        <v>18.612000000000002</v>
      </c>
      <c r="V322" s="101">
        <f t="shared" si="128"/>
        <v>18.612000000000002</v>
      </c>
      <c r="W322" s="101">
        <f t="shared" si="128"/>
        <v>0</v>
      </c>
      <c r="X322" s="101">
        <f t="shared" si="128"/>
        <v>0</v>
      </c>
      <c r="Y322" s="101">
        <f t="shared" si="128"/>
        <v>0</v>
      </c>
      <c r="Z322" s="101">
        <f t="shared" si="128"/>
        <v>0</v>
      </c>
      <c r="AA322" s="101">
        <f t="shared" si="128"/>
        <v>0</v>
      </c>
      <c r="AB322" s="22"/>
    </row>
    <row r="323" spans="1:28" s="23" customFormat="1" ht="10.199999999999999" x14ac:dyDescent="0.2">
      <c r="A323" s="22"/>
      <c r="B323" s="22"/>
      <c r="C323" s="22"/>
      <c r="D323" s="22"/>
      <c r="E323" s="22" t="str">
        <f>E315</f>
        <v>коммунальные расходы - оплата</v>
      </c>
      <c r="F323" s="22"/>
      <c r="G323" s="22" t="str">
        <f>IF($E323="","",INDEX(KPI!$G:$G,SUMIFS(KPI!$B:$B,KPI!$E:$E,$E323)))</f>
        <v>тыс.руб.</v>
      </c>
      <c r="H323" s="100">
        <f>структура!$V$19</f>
        <v>8</v>
      </c>
      <c r="I323" s="31"/>
      <c r="J323" s="98" t="str">
        <f>структура!$X$19</f>
        <v>авг</v>
      </c>
      <c r="K323" s="99"/>
      <c r="L323" s="22"/>
      <c r="M323" s="58"/>
      <c r="N323" s="22"/>
      <c r="O323" s="22"/>
      <c r="P323" s="101">
        <f t="shared" ref="P323:AA323" si="129">IF(P$1="",0,P307)</f>
        <v>19.232400000000002</v>
      </c>
      <c r="Q323" s="101">
        <f t="shared" si="129"/>
        <v>19.232400000000002</v>
      </c>
      <c r="R323" s="101">
        <f t="shared" si="129"/>
        <v>19.232400000000002</v>
      </c>
      <c r="S323" s="101">
        <f t="shared" si="129"/>
        <v>19.232400000000002</v>
      </c>
      <c r="T323" s="101">
        <f t="shared" si="129"/>
        <v>19.232400000000002</v>
      </c>
      <c r="U323" s="101">
        <f t="shared" si="129"/>
        <v>19.232400000000002</v>
      </c>
      <c r="V323" s="101">
        <f t="shared" si="129"/>
        <v>19.232400000000002</v>
      </c>
      <c r="W323" s="101">
        <f t="shared" si="129"/>
        <v>0</v>
      </c>
      <c r="X323" s="101">
        <f t="shared" si="129"/>
        <v>0</v>
      </c>
      <c r="Y323" s="101">
        <f t="shared" si="129"/>
        <v>0</v>
      </c>
      <c r="Z323" s="101">
        <f t="shared" si="129"/>
        <v>0</v>
      </c>
      <c r="AA323" s="101">
        <f t="shared" si="129"/>
        <v>0</v>
      </c>
      <c r="AB323" s="22"/>
    </row>
    <row r="324" spans="1:28" s="23" customFormat="1" ht="10.199999999999999" x14ac:dyDescent="0.2">
      <c r="A324" s="22"/>
      <c r="B324" s="22"/>
      <c r="C324" s="22"/>
      <c r="D324" s="22"/>
      <c r="E324" s="22" t="str">
        <f>E315</f>
        <v>коммунальные расходы - оплата</v>
      </c>
      <c r="F324" s="22"/>
      <c r="G324" s="22" t="str">
        <f>IF($E324="","",INDEX(KPI!$G:$G,SUMIFS(KPI!$B:$B,KPI!$E:$E,$E324)))</f>
        <v>тыс.руб.</v>
      </c>
      <c r="H324" s="100">
        <f>структура!$V$20</f>
        <v>9</v>
      </c>
      <c r="I324" s="31"/>
      <c r="J324" s="98" t="str">
        <f>структура!$X$20</f>
        <v>сен</v>
      </c>
      <c r="K324" s="99"/>
      <c r="L324" s="22"/>
      <c r="M324" s="58"/>
      <c r="N324" s="22"/>
      <c r="O324" s="22"/>
      <c r="P324" s="101">
        <f t="shared" ref="P324:AA324" si="130">IF(P$1="",0,P308)</f>
        <v>19.232400000000002</v>
      </c>
      <c r="Q324" s="101">
        <f t="shared" si="130"/>
        <v>19.232400000000002</v>
      </c>
      <c r="R324" s="101">
        <f t="shared" si="130"/>
        <v>19.232400000000002</v>
      </c>
      <c r="S324" s="101">
        <f t="shared" si="130"/>
        <v>19.232400000000002</v>
      </c>
      <c r="T324" s="101">
        <f t="shared" si="130"/>
        <v>19.232400000000002</v>
      </c>
      <c r="U324" s="101">
        <f t="shared" si="130"/>
        <v>19.232400000000002</v>
      </c>
      <c r="V324" s="101">
        <f t="shared" si="130"/>
        <v>19.232400000000002</v>
      </c>
      <c r="W324" s="101">
        <f t="shared" si="130"/>
        <v>0</v>
      </c>
      <c r="X324" s="101">
        <f t="shared" si="130"/>
        <v>0</v>
      </c>
      <c r="Y324" s="101">
        <f t="shared" si="130"/>
        <v>0</v>
      </c>
      <c r="Z324" s="101">
        <f t="shared" si="130"/>
        <v>0</v>
      </c>
      <c r="AA324" s="101">
        <f t="shared" si="130"/>
        <v>0</v>
      </c>
      <c r="AB324" s="22"/>
    </row>
    <row r="325" spans="1:28" s="23" customFormat="1" ht="10.199999999999999" x14ac:dyDescent="0.2">
      <c r="A325" s="22"/>
      <c r="B325" s="22"/>
      <c r="C325" s="22"/>
      <c r="D325" s="22"/>
      <c r="E325" s="22" t="str">
        <f>E315</f>
        <v>коммунальные расходы - оплата</v>
      </c>
      <c r="F325" s="22"/>
      <c r="G325" s="22" t="str">
        <f>IF($E325="","",INDEX(KPI!$G:$G,SUMIFS(KPI!$B:$B,KPI!$E:$E,$E325)))</f>
        <v>тыс.руб.</v>
      </c>
      <c r="H325" s="100">
        <f>структура!$V$21</f>
        <v>10</v>
      </c>
      <c r="I325" s="31"/>
      <c r="J325" s="98" t="str">
        <f>структура!$X$21</f>
        <v>окт</v>
      </c>
      <c r="K325" s="99"/>
      <c r="L325" s="22"/>
      <c r="M325" s="58"/>
      <c r="N325" s="22"/>
      <c r="O325" s="22"/>
      <c r="P325" s="101">
        <f t="shared" ref="P325:AA325" si="131">IF(P$1="",0,P309)</f>
        <v>20.473200000000006</v>
      </c>
      <c r="Q325" s="101">
        <f t="shared" si="131"/>
        <v>20.473200000000006</v>
      </c>
      <c r="R325" s="101">
        <f t="shared" si="131"/>
        <v>20.473200000000006</v>
      </c>
      <c r="S325" s="101">
        <f t="shared" si="131"/>
        <v>20.473200000000006</v>
      </c>
      <c r="T325" s="101">
        <f t="shared" si="131"/>
        <v>20.473200000000006</v>
      </c>
      <c r="U325" s="101">
        <f t="shared" si="131"/>
        <v>20.473200000000006</v>
      </c>
      <c r="V325" s="101">
        <f t="shared" si="131"/>
        <v>20.473200000000006</v>
      </c>
      <c r="W325" s="101">
        <f t="shared" si="131"/>
        <v>0</v>
      </c>
      <c r="X325" s="101">
        <f t="shared" si="131"/>
        <v>0</v>
      </c>
      <c r="Y325" s="101">
        <f t="shared" si="131"/>
        <v>0</v>
      </c>
      <c r="Z325" s="101">
        <f t="shared" si="131"/>
        <v>0</v>
      </c>
      <c r="AA325" s="101">
        <f t="shared" si="131"/>
        <v>0</v>
      </c>
      <c r="AB325" s="22"/>
    </row>
    <row r="326" spans="1:28" s="23" customFormat="1" ht="10.199999999999999" x14ac:dyDescent="0.2">
      <c r="A326" s="22"/>
      <c r="B326" s="22"/>
      <c r="C326" s="22"/>
      <c r="D326" s="22"/>
      <c r="E326" s="22" t="str">
        <f>E315</f>
        <v>коммунальные расходы - оплата</v>
      </c>
      <c r="F326" s="22"/>
      <c r="G326" s="22" t="str">
        <f>IF($E326="","",INDEX(KPI!$G:$G,SUMIFS(KPI!$B:$B,KPI!$E:$E,$E326)))</f>
        <v>тыс.руб.</v>
      </c>
      <c r="H326" s="100">
        <f>структура!$V$22</f>
        <v>11</v>
      </c>
      <c r="I326" s="31"/>
      <c r="J326" s="98" t="str">
        <f>структура!$X$22</f>
        <v>ноя</v>
      </c>
      <c r="K326" s="99"/>
      <c r="L326" s="22"/>
      <c r="M326" s="58"/>
      <c r="N326" s="22"/>
      <c r="O326" s="22"/>
      <c r="P326" s="101">
        <f t="shared" ref="P326:AA326" si="132">IF(P$1="",0,P310)</f>
        <v>22.117259999999998</v>
      </c>
      <c r="Q326" s="101">
        <f>IF(Q$1="",0,Q310)</f>
        <v>22.117259999999998</v>
      </c>
      <c r="R326" s="101">
        <f t="shared" si="132"/>
        <v>22.117259999999998</v>
      </c>
      <c r="S326" s="101">
        <f t="shared" si="132"/>
        <v>22.117259999999998</v>
      </c>
      <c r="T326" s="101">
        <f t="shared" si="132"/>
        <v>22.117259999999998</v>
      </c>
      <c r="U326" s="101">
        <f t="shared" si="132"/>
        <v>22.117259999999998</v>
      </c>
      <c r="V326" s="101">
        <f t="shared" si="132"/>
        <v>22.117259999999998</v>
      </c>
      <c r="W326" s="101">
        <f t="shared" si="132"/>
        <v>0</v>
      </c>
      <c r="X326" s="101">
        <f t="shared" si="132"/>
        <v>0</v>
      </c>
      <c r="Y326" s="101">
        <f t="shared" si="132"/>
        <v>0</v>
      </c>
      <c r="Z326" s="101">
        <f t="shared" si="132"/>
        <v>0</v>
      </c>
      <c r="AA326" s="101">
        <f t="shared" si="132"/>
        <v>0</v>
      </c>
      <c r="AB326" s="22"/>
    </row>
    <row r="327" spans="1:28" s="23" customFormat="1" ht="10.199999999999999" x14ac:dyDescent="0.2">
      <c r="A327" s="22"/>
      <c r="B327" s="22"/>
      <c r="C327" s="22"/>
      <c r="D327" s="22"/>
      <c r="E327" s="22" t="str">
        <f>E315</f>
        <v>коммунальные расходы - оплата</v>
      </c>
      <c r="F327" s="22"/>
      <c r="G327" s="22" t="str">
        <f>IF($E327="","",INDEX(KPI!$G:$G,SUMIFS(KPI!$B:$B,KPI!$E:$E,$E327)))</f>
        <v>тыс.руб.</v>
      </c>
      <c r="H327" s="100">
        <f>структура!$V$23</f>
        <v>12</v>
      </c>
      <c r="I327" s="31"/>
      <c r="J327" s="98" t="str">
        <f>структура!$X$23</f>
        <v>дек</v>
      </c>
      <c r="K327" s="99"/>
      <c r="L327" s="22"/>
      <c r="M327" s="58"/>
      <c r="N327" s="22"/>
      <c r="O327" s="22"/>
      <c r="P327" s="101">
        <f t="shared" ref="P327:AA327" si="133">IF(P$1="",0,P311)</f>
        <v>22.334400000000002</v>
      </c>
      <c r="Q327" s="101">
        <f>IF(Q$1="",0,Q311)</f>
        <v>22.334400000000002</v>
      </c>
      <c r="R327" s="101">
        <f t="shared" si="133"/>
        <v>22.334400000000002</v>
      </c>
      <c r="S327" s="101">
        <f t="shared" si="133"/>
        <v>22.334400000000002</v>
      </c>
      <c r="T327" s="101">
        <f t="shared" si="133"/>
        <v>22.334400000000002</v>
      </c>
      <c r="U327" s="101">
        <f t="shared" si="133"/>
        <v>22.334400000000002</v>
      </c>
      <c r="V327" s="101">
        <f t="shared" si="133"/>
        <v>22.334400000000002</v>
      </c>
      <c r="W327" s="101">
        <f t="shared" si="133"/>
        <v>0</v>
      </c>
      <c r="X327" s="101">
        <f t="shared" si="133"/>
        <v>0</v>
      </c>
      <c r="Y327" s="101">
        <f t="shared" si="133"/>
        <v>0</v>
      </c>
      <c r="Z327" s="101">
        <f t="shared" si="133"/>
        <v>0</v>
      </c>
      <c r="AA327" s="101">
        <f t="shared" si="133"/>
        <v>0</v>
      </c>
      <c r="AB327" s="22"/>
    </row>
    <row r="328" spans="1:28" ht="3.9" customHeight="1" x14ac:dyDescent="0.25">
      <c r="A328" s="2"/>
      <c r="B328" s="2"/>
      <c r="C328" s="2"/>
      <c r="D328" s="2"/>
      <c r="E328" s="21"/>
      <c r="F328" s="2"/>
      <c r="G328" s="21"/>
      <c r="H328" s="2"/>
      <c r="I328" s="28"/>
      <c r="J328" s="21"/>
      <c r="K328" s="28"/>
      <c r="L328" s="2"/>
      <c r="M328" s="52"/>
      <c r="N328" s="2"/>
      <c r="O328" s="2"/>
      <c r="P328" s="36"/>
      <c r="Q328" s="36"/>
      <c r="R328" s="36"/>
      <c r="S328" s="36"/>
      <c r="T328" s="36"/>
      <c r="U328" s="36"/>
      <c r="V328" s="36"/>
      <c r="W328" s="36"/>
      <c r="X328" s="36"/>
      <c r="Y328" s="36"/>
      <c r="Z328" s="36"/>
      <c r="AA328" s="36"/>
      <c r="AB328" s="2"/>
    </row>
    <row r="329" spans="1:28" ht="8.1" customHeight="1" x14ac:dyDescent="0.25">
      <c r="A329" s="2"/>
      <c r="B329" s="2"/>
      <c r="C329" s="2"/>
      <c r="D329" s="2"/>
      <c r="E329" s="2"/>
      <c r="F329" s="2"/>
      <c r="G329" s="2"/>
      <c r="H329" s="2"/>
      <c r="I329" s="28"/>
      <c r="J329" s="2"/>
      <c r="K329" s="28"/>
      <c r="L329" s="2"/>
      <c r="M329" s="52"/>
      <c r="N329" s="2"/>
      <c r="O329" s="2"/>
      <c r="P329" s="36"/>
      <c r="Q329" s="36"/>
      <c r="R329" s="36"/>
      <c r="S329" s="36"/>
      <c r="T329" s="36"/>
      <c r="U329" s="36"/>
      <c r="V329" s="36"/>
      <c r="W329" s="36"/>
      <c r="X329" s="36"/>
      <c r="Y329" s="36"/>
      <c r="Z329" s="36"/>
      <c r="AA329" s="36"/>
      <c r="AB329" s="2"/>
    </row>
    <row r="330" spans="1:28" s="5" customFormat="1" x14ac:dyDescent="0.25">
      <c r="A330" s="3"/>
      <c r="B330" s="3"/>
      <c r="C330" s="3"/>
      <c r="D330" s="3"/>
      <c r="E330" s="3" t="str">
        <f>KPI!$E$54</f>
        <v>количество персонала</v>
      </c>
      <c r="F330" s="3"/>
      <c r="G330" s="3" t="str">
        <f>IF($E330="","",INDEX(KPI!$G:$G,SUMIFS(KPI!$B:$B,KPI!$E:$E,$E330)))</f>
        <v>чел</v>
      </c>
      <c r="H330" s="3"/>
      <c r="I330" s="28"/>
      <c r="J330" s="2"/>
      <c r="K330" s="28"/>
      <c r="L330" s="2"/>
      <c r="M330" s="52"/>
      <c r="N330" s="3"/>
      <c r="O330" s="2"/>
      <c r="P330" s="101">
        <f>IF(P$1="",0,ФОТ!P21+ФОТ!P87)</f>
        <v>10</v>
      </c>
      <c r="Q330" s="101">
        <f>IF(Q$1="",0,ФОТ!Q21+ФОТ!Q87)</f>
        <v>10</v>
      </c>
      <c r="R330" s="101">
        <f>IF(R$1="",0,ФОТ!R21+ФОТ!R87)</f>
        <v>10</v>
      </c>
      <c r="S330" s="101">
        <f>IF(S$1="",0,ФОТ!S21+ФОТ!S87)</f>
        <v>10</v>
      </c>
      <c r="T330" s="101">
        <f>IF(T$1="",0,ФОТ!T21+ФОТ!T87)</f>
        <v>10</v>
      </c>
      <c r="U330" s="101">
        <f>IF(U$1="",0,ФОТ!U21+ФОТ!U87)</f>
        <v>10</v>
      </c>
      <c r="V330" s="101">
        <f>IF(V$1="",0,ФОТ!V21+ФОТ!V87)</f>
        <v>10</v>
      </c>
      <c r="W330" s="101">
        <f>IF(W$1="",0,ФОТ!W21+ФОТ!W87)</f>
        <v>0</v>
      </c>
      <c r="X330" s="101">
        <f>IF(X$1="",0,ФОТ!X21+ФОТ!X87)</f>
        <v>0</v>
      </c>
      <c r="Y330" s="101">
        <f>IF(Y$1="",0,ФОТ!Y21+ФОТ!Y87)</f>
        <v>0</v>
      </c>
      <c r="Z330" s="101">
        <f>IF(Z$1="",0,ФОТ!Z21+ФОТ!Z87)</f>
        <v>0</v>
      </c>
      <c r="AA330" s="101">
        <f>IF(AA$1="",0,ФОТ!AA21+ФОТ!AA87)</f>
        <v>0</v>
      </c>
      <c r="AB330" s="2"/>
    </row>
    <row r="331" spans="1:28" s="5" customFormat="1" x14ac:dyDescent="0.25">
      <c r="A331" s="3"/>
      <c r="B331" s="3"/>
      <c r="C331" s="3"/>
      <c r="D331" s="3"/>
      <c r="E331" s="3" t="str">
        <f>KPI!$E$55</f>
        <v>средний оклад одного сотрудника</v>
      </c>
      <c r="F331" s="3"/>
      <c r="G331" s="3" t="str">
        <f>IF($E331="","",INDEX(KPI!$G:$G,SUMIFS(KPI!$B:$B,KPI!$E:$E,$E331)))</f>
        <v>тыс.руб.</v>
      </c>
      <c r="H331" s="3"/>
      <c r="I331" s="28"/>
      <c r="J331" s="2"/>
      <c r="K331" s="28"/>
      <c r="L331" s="2"/>
      <c r="M331" s="52"/>
      <c r="N331" s="3"/>
      <c r="O331" s="2"/>
      <c r="P331" s="101">
        <f>IF(P330=0,0,P332/P330)</f>
        <v>18.5</v>
      </c>
      <c r="Q331" s="101">
        <f t="shared" ref="Q331:AA331" si="134">IF(Q330=0,0,Q332/Q330)</f>
        <v>18.5</v>
      </c>
      <c r="R331" s="101">
        <f t="shared" si="134"/>
        <v>18.5</v>
      </c>
      <c r="S331" s="101">
        <f t="shared" si="134"/>
        <v>18.5</v>
      </c>
      <c r="T331" s="101">
        <f t="shared" si="134"/>
        <v>18.5</v>
      </c>
      <c r="U331" s="101">
        <f t="shared" si="134"/>
        <v>18.5</v>
      </c>
      <c r="V331" s="101">
        <f t="shared" si="134"/>
        <v>18.5</v>
      </c>
      <c r="W331" s="101">
        <f t="shared" si="134"/>
        <v>0</v>
      </c>
      <c r="X331" s="101">
        <f t="shared" si="134"/>
        <v>0</v>
      </c>
      <c r="Y331" s="101">
        <f t="shared" si="134"/>
        <v>0</v>
      </c>
      <c r="Z331" s="101">
        <f t="shared" si="134"/>
        <v>0</v>
      </c>
      <c r="AA331" s="101">
        <f t="shared" si="134"/>
        <v>0</v>
      </c>
      <c r="AB331" s="2"/>
    </row>
    <row r="332" spans="1:28" s="5" customFormat="1" x14ac:dyDescent="0.25">
      <c r="A332" s="3"/>
      <c r="B332" s="3"/>
      <c r="C332" s="3"/>
      <c r="D332" s="3"/>
      <c r="E332" s="3" t="str">
        <f>KPI!$E$56</f>
        <v>ФОТ в месяц</v>
      </c>
      <c r="F332" s="3"/>
      <c r="G332" s="3" t="str">
        <f>IF($E332="","",INDEX(KPI!$G:$G,SUMIFS(KPI!$B:$B,KPI!$E:$E,$E332)))</f>
        <v>тыс.руб.</v>
      </c>
      <c r="H332" s="3"/>
      <c r="I332" s="28"/>
      <c r="J332" s="2"/>
      <c r="K332" s="28"/>
      <c r="L332" s="2"/>
      <c r="M332" s="52"/>
      <c r="N332" s="3"/>
      <c r="O332" s="2"/>
      <c r="P332" s="101">
        <f>IF(P$1="",0,ФОТ!P23+ФОТ!P89)</f>
        <v>185</v>
      </c>
      <c r="Q332" s="101">
        <f>IF(Q$1="",0,ФОТ!Q23+ФОТ!Q89)</f>
        <v>185</v>
      </c>
      <c r="R332" s="101">
        <f>IF(R$1="",0,ФОТ!R23+ФОТ!R89)</f>
        <v>185</v>
      </c>
      <c r="S332" s="101">
        <f>IF(S$1="",0,ФОТ!S23+ФОТ!S89)</f>
        <v>185</v>
      </c>
      <c r="T332" s="101">
        <f>IF(T$1="",0,ФОТ!T23+ФОТ!T89)</f>
        <v>185</v>
      </c>
      <c r="U332" s="101">
        <f>IF(U$1="",0,ФОТ!U23+ФОТ!U89)</f>
        <v>185</v>
      </c>
      <c r="V332" s="101">
        <f>IF(V$1="",0,ФОТ!V23+ФОТ!V89)</f>
        <v>185</v>
      </c>
      <c r="W332" s="101">
        <f>IF(W$1="",0,ФОТ!W23+ФОТ!W89)</f>
        <v>0</v>
      </c>
      <c r="X332" s="101">
        <f>IF(X$1="",0,ФОТ!X23+ФОТ!X89)</f>
        <v>0</v>
      </c>
      <c r="Y332" s="101">
        <f>IF(Y$1="",0,ФОТ!Y23+ФОТ!Y89)</f>
        <v>0</v>
      </c>
      <c r="Z332" s="101">
        <f>IF(Z$1="",0,ФОТ!Z23+ФОТ!Z89)</f>
        <v>0</v>
      </c>
      <c r="AA332" s="101">
        <f>IF(AA$1="",0,ФОТ!AA23+ФОТ!AA89)</f>
        <v>0</v>
      </c>
      <c r="AB332" s="2"/>
    </row>
    <row r="333" spans="1:28" ht="3.9" customHeight="1" x14ac:dyDescent="0.25">
      <c r="A333" s="2"/>
      <c r="B333" s="2"/>
      <c r="C333" s="2"/>
      <c r="D333" s="2"/>
      <c r="E333" s="110"/>
      <c r="F333" s="2"/>
      <c r="G333" s="2"/>
      <c r="H333" s="2"/>
      <c r="I333" s="28"/>
      <c r="J333" s="2"/>
      <c r="K333" s="28"/>
      <c r="L333" s="2"/>
      <c r="M333" s="52"/>
      <c r="N333" s="2"/>
      <c r="O333" s="2"/>
      <c r="P333" s="36"/>
      <c r="Q333" s="36"/>
      <c r="R333" s="36"/>
      <c r="S333" s="36"/>
      <c r="T333" s="36"/>
      <c r="U333" s="36"/>
      <c r="V333" s="36"/>
      <c r="W333" s="36"/>
      <c r="X333" s="36"/>
      <c r="Y333" s="36"/>
      <c r="Z333" s="36"/>
      <c r="AA333" s="36"/>
      <c r="AB333" s="2"/>
    </row>
    <row r="334" spans="1:28" ht="8.1" customHeight="1" x14ac:dyDescent="0.25">
      <c r="A334" s="2"/>
      <c r="B334" s="2"/>
      <c r="C334" s="2"/>
      <c r="D334" s="2"/>
      <c r="E334" s="2"/>
      <c r="F334" s="2"/>
      <c r="G334" s="2"/>
      <c r="H334" s="2"/>
      <c r="I334" s="28"/>
      <c r="J334" s="2"/>
      <c r="K334" s="28"/>
      <c r="L334" s="2"/>
      <c r="M334" s="52"/>
      <c r="N334" s="2"/>
      <c r="O334" s="2"/>
      <c r="P334" s="36"/>
      <c r="Q334" s="36"/>
      <c r="R334" s="36"/>
      <c r="S334" s="36"/>
      <c r="T334" s="36"/>
      <c r="U334" s="36"/>
      <c r="V334" s="36"/>
      <c r="W334" s="36"/>
      <c r="X334" s="36"/>
      <c r="Y334" s="36"/>
      <c r="Z334" s="36"/>
      <c r="AA334" s="36"/>
      <c r="AB334" s="2"/>
    </row>
    <row r="335" spans="1:28" s="5" customFormat="1" x14ac:dyDescent="0.25">
      <c r="A335" s="3"/>
      <c r="B335" s="3"/>
      <c r="C335" s="3"/>
      <c r="D335" s="111"/>
      <c r="E335" s="3" t="str">
        <f>KPI!$E$57</f>
        <v>ФОТ - начисления/оплаты</v>
      </c>
      <c r="F335" s="3"/>
      <c r="G335" s="3" t="str">
        <f>IF($E335="","",INDEX(KPI!$G:$G,SUMIFS(KPI!$B:$B,KPI!$E:$E,$E335)))</f>
        <v>тыс.руб.</v>
      </c>
      <c r="H335" s="103"/>
      <c r="I335" s="28"/>
      <c r="J335" s="44"/>
      <c r="K335" s="28"/>
      <c r="L335" s="3"/>
      <c r="M335" s="55">
        <f>SUM($O335:$AB335)</f>
        <v>15540</v>
      </c>
      <c r="N335" s="3"/>
      <c r="O335" s="3"/>
      <c r="P335" s="46">
        <f>IF(P$1="",0,IF(P$1=0,SUMIFS(P336:P347,H336:H347,"&gt;="&amp;MONTH($J$13)),SUM(P336:P347)))</f>
        <v>2220</v>
      </c>
      <c r="Q335" s="46">
        <f t="shared" ref="Q335" si="135">IF(Q$1="",0,SUM(Q336:Q347))</f>
        <v>2220</v>
      </c>
      <c r="R335" s="46">
        <f t="shared" ref="R335:AA335" si="136">IF(R$1="",0,SUM(R336:R347))</f>
        <v>2220</v>
      </c>
      <c r="S335" s="46">
        <f t="shared" si="136"/>
        <v>2220</v>
      </c>
      <c r="T335" s="46">
        <f t="shared" si="136"/>
        <v>2220</v>
      </c>
      <c r="U335" s="46">
        <f t="shared" si="136"/>
        <v>2220</v>
      </c>
      <c r="V335" s="46">
        <f t="shared" si="136"/>
        <v>2220</v>
      </c>
      <c r="W335" s="46">
        <f t="shared" si="136"/>
        <v>0</v>
      </c>
      <c r="X335" s="46">
        <f t="shared" si="136"/>
        <v>0</v>
      </c>
      <c r="Y335" s="46">
        <f t="shared" si="136"/>
        <v>0</v>
      </c>
      <c r="Z335" s="46">
        <f t="shared" si="136"/>
        <v>0</v>
      </c>
      <c r="AA335" s="46">
        <f t="shared" si="136"/>
        <v>0</v>
      </c>
      <c r="AB335" s="3"/>
    </row>
    <row r="336" spans="1:28" s="23" customFormat="1" ht="10.199999999999999" x14ac:dyDescent="0.2">
      <c r="A336" s="22"/>
      <c r="B336" s="22"/>
      <c r="C336" s="22"/>
      <c r="D336" s="22"/>
      <c r="E336" s="22" t="str">
        <f>E335</f>
        <v>ФОТ - начисления/оплаты</v>
      </c>
      <c r="F336" s="22"/>
      <c r="G336" s="22" t="str">
        <f>IF($E336="","",INDEX(KPI!$G:$G,SUMIFS(KPI!$B:$B,KPI!$E:$E,$E336)))</f>
        <v>тыс.руб.</v>
      </c>
      <c r="H336" s="100">
        <f>структура!$V$12</f>
        <v>1</v>
      </c>
      <c r="I336" s="31"/>
      <c r="J336" s="98" t="str">
        <f>структура!$X$12</f>
        <v>янв</v>
      </c>
      <c r="K336" s="99"/>
      <c r="L336" s="22"/>
      <c r="M336" s="58"/>
      <c r="N336" s="22"/>
      <c r="O336" s="22"/>
      <c r="P336" s="101">
        <f>IF(P$1="",0,ФОТ!P27+ФОТ!P93)</f>
        <v>185</v>
      </c>
      <c r="Q336" s="101">
        <f>IF(Q$1="",0,ФОТ!Q27+ФОТ!Q93)</f>
        <v>185</v>
      </c>
      <c r="R336" s="101">
        <f>IF(R$1="",0,ФОТ!R27+ФОТ!R93)</f>
        <v>185</v>
      </c>
      <c r="S336" s="101">
        <f>IF(S$1="",0,ФОТ!S27+ФОТ!S93)</f>
        <v>185</v>
      </c>
      <c r="T336" s="101">
        <f>IF(T$1="",0,ФОТ!T27+ФОТ!T93)</f>
        <v>185</v>
      </c>
      <c r="U336" s="101">
        <f>IF(U$1="",0,ФОТ!U27+ФОТ!U93)</f>
        <v>185</v>
      </c>
      <c r="V336" s="101">
        <f>IF(V$1="",0,ФОТ!V27+ФОТ!V93)</f>
        <v>185</v>
      </c>
      <c r="W336" s="101">
        <f>IF(W$1="",0,ФОТ!W27+ФОТ!W93)</f>
        <v>0</v>
      </c>
      <c r="X336" s="101">
        <f>IF(X$1="",0,ФОТ!X27+ФОТ!X93)</f>
        <v>0</v>
      </c>
      <c r="Y336" s="101">
        <f>IF(Y$1="",0,ФОТ!Y27+ФОТ!Y93)</f>
        <v>0</v>
      </c>
      <c r="Z336" s="101">
        <f>IF(Z$1="",0,ФОТ!Z27+ФОТ!Z93)</f>
        <v>0</v>
      </c>
      <c r="AA336" s="101">
        <f>IF(AA$1="",0,ФОТ!AA27+ФОТ!AA93)</f>
        <v>0</v>
      </c>
      <c r="AB336" s="22"/>
    </row>
    <row r="337" spans="1:28" s="23" customFormat="1" ht="10.199999999999999" x14ac:dyDescent="0.2">
      <c r="A337" s="22"/>
      <c r="B337" s="22"/>
      <c r="C337" s="22"/>
      <c r="D337" s="22"/>
      <c r="E337" s="22" t="str">
        <f>E335</f>
        <v>ФОТ - начисления/оплаты</v>
      </c>
      <c r="F337" s="22"/>
      <c r="G337" s="22" t="str">
        <f>IF($E337="","",INDEX(KPI!$G:$G,SUMIFS(KPI!$B:$B,KPI!$E:$E,$E337)))</f>
        <v>тыс.руб.</v>
      </c>
      <c r="H337" s="100">
        <f>структура!$V$13</f>
        <v>2</v>
      </c>
      <c r="I337" s="31"/>
      <c r="J337" s="98" t="str">
        <f>структура!$X$13</f>
        <v>фев</v>
      </c>
      <c r="K337" s="99"/>
      <c r="L337" s="22"/>
      <c r="M337" s="58"/>
      <c r="N337" s="22"/>
      <c r="O337" s="22"/>
      <c r="P337" s="101">
        <f>IF(P$1="",0,ФОТ!P28+ФОТ!P94)</f>
        <v>185</v>
      </c>
      <c r="Q337" s="101">
        <f>IF(Q$1="",0,ФОТ!Q28+ФОТ!Q94)</f>
        <v>185</v>
      </c>
      <c r="R337" s="101">
        <f>IF(R$1="",0,ФОТ!R28+ФОТ!R94)</f>
        <v>185</v>
      </c>
      <c r="S337" s="101">
        <f>IF(S$1="",0,ФОТ!S28+ФОТ!S94)</f>
        <v>185</v>
      </c>
      <c r="T337" s="101">
        <f>IF(T$1="",0,ФОТ!T28+ФОТ!T94)</f>
        <v>185</v>
      </c>
      <c r="U337" s="101">
        <f>IF(U$1="",0,ФОТ!U28+ФОТ!U94)</f>
        <v>185</v>
      </c>
      <c r="V337" s="101">
        <f>IF(V$1="",0,ФОТ!V28+ФОТ!V94)</f>
        <v>185</v>
      </c>
      <c r="W337" s="101">
        <f>IF(W$1="",0,ФОТ!W28+ФОТ!W94)</f>
        <v>0</v>
      </c>
      <c r="X337" s="101">
        <f>IF(X$1="",0,ФОТ!X28+ФОТ!X94)</f>
        <v>0</v>
      </c>
      <c r="Y337" s="101">
        <f>IF(Y$1="",0,ФОТ!Y28+ФОТ!Y94)</f>
        <v>0</v>
      </c>
      <c r="Z337" s="101">
        <f>IF(Z$1="",0,ФОТ!Z28+ФОТ!Z94)</f>
        <v>0</v>
      </c>
      <c r="AA337" s="101">
        <f>IF(AA$1="",0,ФОТ!AA28+ФОТ!AA94)</f>
        <v>0</v>
      </c>
      <c r="AB337" s="22"/>
    </row>
    <row r="338" spans="1:28" s="23" customFormat="1" ht="10.199999999999999" x14ac:dyDescent="0.2">
      <c r="A338" s="22"/>
      <c r="B338" s="22"/>
      <c r="C338" s="22"/>
      <c r="D338" s="22"/>
      <c r="E338" s="22" t="str">
        <f>E335</f>
        <v>ФОТ - начисления/оплаты</v>
      </c>
      <c r="F338" s="22"/>
      <c r="G338" s="22" t="str">
        <f>IF($E338="","",INDEX(KPI!$G:$G,SUMIFS(KPI!$B:$B,KPI!$E:$E,$E338)))</f>
        <v>тыс.руб.</v>
      </c>
      <c r="H338" s="100">
        <f>структура!$V$14</f>
        <v>3</v>
      </c>
      <c r="I338" s="31"/>
      <c r="J338" s="98" t="str">
        <f>структура!$X$14</f>
        <v>мар</v>
      </c>
      <c r="K338" s="99"/>
      <c r="L338" s="22"/>
      <c r="M338" s="58"/>
      <c r="N338" s="22"/>
      <c r="O338" s="22"/>
      <c r="P338" s="101">
        <f>IF(P$1="",0,ФОТ!P29+ФОТ!P95)</f>
        <v>185</v>
      </c>
      <c r="Q338" s="101">
        <f>IF(Q$1="",0,ФОТ!Q29+ФОТ!Q95)</f>
        <v>185</v>
      </c>
      <c r="R338" s="101">
        <f>IF(R$1="",0,ФОТ!R29+ФОТ!R95)</f>
        <v>185</v>
      </c>
      <c r="S338" s="101">
        <f>IF(S$1="",0,ФОТ!S29+ФОТ!S95)</f>
        <v>185</v>
      </c>
      <c r="T338" s="101">
        <f>IF(T$1="",0,ФОТ!T29+ФОТ!T95)</f>
        <v>185</v>
      </c>
      <c r="U338" s="101">
        <f>IF(U$1="",0,ФОТ!U29+ФОТ!U95)</f>
        <v>185</v>
      </c>
      <c r="V338" s="101">
        <f>IF(V$1="",0,ФОТ!V29+ФОТ!V95)</f>
        <v>185</v>
      </c>
      <c r="W338" s="101">
        <f>IF(W$1="",0,ФОТ!W29+ФОТ!W95)</f>
        <v>0</v>
      </c>
      <c r="X338" s="101">
        <f>IF(X$1="",0,ФОТ!X29+ФОТ!X95)</f>
        <v>0</v>
      </c>
      <c r="Y338" s="101">
        <f>IF(Y$1="",0,ФОТ!Y29+ФОТ!Y95)</f>
        <v>0</v>
      </c>
      <c r="Z338" s="101">
        <f>IF(Z$1="",0,ФОТ!Z29+ФОТ!Z95)</f>
        <v>0</v>
      </c>
      <c r="AA338" s="101">
        <f>IF(AA$1="",0,ФОТ!AA29+ФОТ!AA95)</f>
        <v>0</v>
      </c>
      <c r="AB338" s="22"/>
    </row>
    <row r="339" spans="1:28" s="23" customFormat="1" ht="10.199999999999999" x14ac:dyDescent="0.2">
      <c r="A339" s="22"/>
      <c r="B339" s="22"/>
      <c r="C339" s="22"/>
      <c r="D339" s="22"/>
      <c r="E339" s="22" t="str">
        <f>E335</f>
        <v>ФОТ - начисления/оплаты</v>
      </c>
      <c r="F339" s="22"/>
      <c r="G339" s="22" t="str">
        <f>IF($E339="","",INDEX(KPI!$G:$G,SUMIFS(KPI!$B:$B,KPI!$E:$E,$E339)))</f>
        <v>тыс.руб.</v>
      </c>
      <c r="H339" s="100">
        <f>структура!$V$15</f>
        <v>4</v>
      </c>
      <c r="I339" s="31"/>
      <c r="J339" s="98" t="str">
        <f>структура!$X$15</f>
        <v>апр</v>
      </c>
      <c r="K339" s="99"/>
      <c r="L339" s="22"/>
      <c r="M339" s="58"/>
      <c r="N339" s="22"/>
      <c r="O339" s="22"/>
      <c r="P339" s="101">
        <f>IF(P$1="",0,ФОТ!P30+ФОТ!P96)</f>
        <v>185</v>
      </c>
      <c r="Q339" s="101">
        <f>IF(Q$1="",0,ФОТ!Q30+ФОТ!Q96)</f>
        <v>185</v>
      </c>
      <c r="R339" s="101">
        <f>IF(R$1="",0,ФОТ!R30+ФОТ!R96)</f>
        <v>185</v>
      </c>
      <c r="S339" s="101">
        <f>IF(S$1="",0,ФОТ!S30+ФОТ!S96)</f>
        <v>185</v>
      </c>
      <c r="T339" s="101">
        <f>IF(T$1="",0,ФОТ!T30+ФОТ!T96)</f>
        <v>185</v>
      </c>
      <c r="U339" s="101">
        <f>IF(U$1="",0,ФОТ!U30+ФОТ!U96)</f>
        <v>185</v>
      </c>
      <c r="V339" s="101">
        <f>IF(V$1="",0,ФОТ!V30+ФОТ!V96)</f>
        <v>185</v>
      </c>
      <c r="W339" s="101">
        <f>IF(W$1="",0,ФОТ!W30+ФОТ!W96)</f>
        <v>0</v>
      </c>
      <c r="X339" s="101">
        <f>IF(X$1="",0,ФОТ!X30+ФОТ!X96)</f>
        <v>0</v>
      </c>
      <c r="Y339" s="101">
        <f>IF(Y$1="",0,ФОТ!Y30+ФОТ!Y96)</f>
        <v>0</v>
      </c>
      <c r="Z339" s="101">
        <f>IF(Z$1="",0,ФОТ!Z30+ФОТ!Z96)</f>
        <v>0</v>
      </c>
      <c r="AA339" s="101">
        <f>IF(AA$1="",0,ФОТ!AA30+ФОТ!AA96)</f>
        <v>0</v>
      </c>
      <c r="AB339" s="22"/>
    </row>
    <row r="340" spans="1:28" s="23" customFormat="1" ht="10.199999999999999" x14ac:dyDescent="0.2">
      <c r="A340" s="22"/>
      <c r="B340" s="22"/>
      <c r="C340" s="22"/>
      <c r="D340" s="22"/>
      <c r="E340" s="22" t="str">
        <f>E335</f>
        <v>ФОТ - начисления/оплаты</v>
      </c>
      <c r="F340" s="22"/>
      <c r="G340" s="22" t="str">
        <f>IF($E340="","",INDEX(KPI!$G:$G,SUMIFS(KPI!$B:$B,KPI!$E:$E,$E340)))</f>
        <v>тыс.руб.</v>
      </c>
      <c r="H340" s="100">
        <f>структура!$V$16</f>
        <v>5</v>
      </c>
      <c r="I340" s="31"/>
      <c r="J340" s="98" t="str">
        <f>структура!$X$16</f>
        <v>май</v>
      </c>
      <c r="K340" s="99"/>
      <c r="L340" s="22"/>
      <c r="M340" s="58"/>
      <c r="N340" s="22"/>
      <c r="O340" s="22"/>
      <c r="P340" s="101">
        <f>IF(P$1="",0,ФОТ!P31+ФОТ!P97)</f>
        <v>185</v>
      </c>
      <c r="Q340" s="101">
        <f>IF(Q$1="",0,ФОТ!Q31+ФОТ!Q97)</f>
        <v>185</v>
      </c>
      <c r="R340" s="101">
        <f>IF(R$1="",0,ФОТ!R31+ФОТ!R97)</f>
        <v>185</v>
      </c>
      <c r="S340" s="101">
        <f>IF(S$1="",0,ФОТ!S31+ФОТ!S97)</f>
        <v>185</v>
      </c>
      <c r="T340" s="101">
        <f>IF(T$1="",0,ФОТ!T31+ФОТ!T97)</f>
        <v>185</v>
      </c>
      <c r="U340" s="101">
        <f>IF(U$1="",0,ФОТ!U31+ФОТ!U97)</f>
        <v>185</v>
      </c>
      <c r="V340" s="101">
        <f>IF(V$1="",0,ФОТ!V31+ФОТ!V97)</f>
        <v>185</v>
      </c>
      <c r="W340" s="101">
        <f>IF(W$1="",0,ФОТ!W31+ФОТ!W97)</f>
        <v>0</v>
      </c>
      <c r="X340" s="101">
        <f>IF(X$1="",0,ФОТ!X31+ФОТ!X97)</f>
        <v>0</v>
      </c>
      <c r="Y340" s="101">
        <f>IF(Y$1="",0,ФОТ!Y31+ФОТ!Y97)</f>
        <v>0</v>
      </c>
      <c r="Z340" s="101">
        <f>IF(Z$1="",0,ФОТ!Z31+ФОТ!Z97)</f>
        <v>0</v>
      </c>
      <c r="AA340" s="101">
        <f>IF(AA$1="",0,ФОТ!AA31+ФОТ!AA97)</f>
        <v>0</v>
      </c>
      <c r="AB340" s="22"/>
    </row>
    <row r="341" spans="1:28" s="23" customFormat="1" ht="10.199999999999999" x14ac:dyDescent="0.2">
      <c r="A341" s="22"/>
      <c r="B341" s="22"/>
      <c r="C341" s="22"/>
      <c r="D341" s="22"/>
      <c r="E341" s="22" t="str">
        <f>E335</f>
        <v>ФОТ - начисления/оплаты</v>
      </c>
      <c r="F341" s="22"/>
      <c r="G341" s="22" t="str">
        <f>IF($E341="","",INDEX(KPI!$G:$G,SUMIFS(KPI!$B:$B,KPI!$E:$E,$E341)))</f>
        <v>тыс.руб.</v>
      </c>
      <c r="H341" s="100">
        <f>структура!$V$17</f>
        <v>6</v>
      </c>
      <c r="I341" s="31"/>
      <c r="J341" s="98" t="str">
        <f>структура!$X$17</f>
        <v>июн</v>
      </c>
      <c r="K341" s="99"/>
      <c r="L341" s="22"/>
      <c r="M341" s="58"/>
      <c r="N341" s="22"/>
      <c r="O341" s="22"/>
      <c r="P341" s="101">
        <f>IF(P$1="",0,ФОТ!P32+ФОТ!P98)</f>
        <v>185</v>
      </c>
      <c r="Q341" s="101">
        <f>IF(Q$1="",0,ФОТ!Q32+ФОТ!Q98)</f>
        <v>185</v>
      </c>
      <c r="R341" s="101">
        <f>IF(R$1="",0,ФОТ!R32+ФОТ!R98)</f>
        <v>185</v>
      </c>
      <c r="S341" s="101">
        <f>IF(S$1="",0,ФОТ!S32+ФОТ!S98)</f>
        <v>185</v>
      </c>
      <c r="T341" s="101">
        <f>IF(T$1="",0,ФОТ!T32+ФОТ!T98)</f>
        <v>185</v>
      </c>
      <c r="U341" s="101">
        <f>IF(U$1="",0,ФОТ!U32+ФОТ!U98)</f>
        <v>185</v>
      </c>
      <c r="V341" s="101">
        <f>IF(V$1="",0,ФОТ!V32+ФОТ!V98)</f>
        <v>185</v>
      </c>
      <c r="W341" s="101">
        <f>IF(W$1="",0,ФОТ!W32+ФОТ!W98)</f>
        <v>0</v>
      </c>
      <c r="X341" s="101">
        <f>IF(X$1="",0,ФОТ!X32+ФОТ!X98)</f>
        <v>0</v>
      </c>
      <c r="Y341" s="101">
        <f>IF(Y$1="",0,ФОТ!Y32+ФОТ!Y98)</f>
        <v>0</v>
      </c>
      <c r="Z341" s="101">
        <f>IF(Z$1="",0,ФОТ!Z32+ФОТ!Z98)</f>
        <v>0</v>
      </c>
      <c r="AA341" s="101">
        <f>IF(AA$1="",0,ФОТ!AA32+ФОТ!AA98)</f>
        <v>0</v>
      </c>
      <c r="AB341" s="22"/>
    </row>
    <row r="342" spans="1:28" s="23" customFormat="1" ht="10.199999999999999" x14ac:dyDescent="0.2">
      <c r="A342" s="22"/>
      <c r="B342" s="22"/>
      <c r="C342" s="22"/>
      <c r="D342" s="22"/>
      <c r="E342" s="22" t="str">
        <f>E335</f>
        <v>ФОТ - начисления/оплаты</v>
      </c>
      <c r="F342" s="22"/>
      <c r="G342" s="22" t="str">
        <f>IF($E342="","",INDEX(KPI!$G:$G,SUMIFS(KPI!$B:$B,KPI!$E:$E,$E342)))</f>
        <v>тыс.руб.</v>
      </c>
      <c r="H342" s="100">
        <f>структура!$V$18</f>
        <v>7</v>
      </c>
      <c r="I342" s="31"/>
      <c r="J342" s="98" t="str">
        <f>структура!$X$18</f>
        <v>июл</v>
      </c>
      <c r="K342" s="99"/>
      <c r="L342" s="22"/>
      <c r="M342" s="58"/>
      <c r="N342" s="22"/>
      <c r="O342" s="22"/>
      <c r="P342" s="101">
        <f>IF(P$1="",0,ФОТ!P33+ФОТ!P99)</f>
        <v>185</v>
      </c>
      <c r="Q342" s="101">
        <f>IF(Q$1="",0,ФОТ!Q33+ФОТ!Q99)</f>
        <v>185</v>
      </c>
      <c r="R342" s="101">
        <f>IF(R$1="",0,ФОТ!R33+ФОТ!R99)</f>
        <v>185</v>
      </c>
      <c r="S342" s="101">
        <f>IF(S$1="",0,ФОТ!S33+ФОТ!S99)</f>
        <v>185</v>
      </c>
      <c r="T342" s="101">
        <f>IF(T$1="",0,ФОТ!T33+ФОТ!T99)</f>
        <v>185</v>
      </c>
      <c r="U342" s="101">
        <f>IF(U$1="",0,ФОТ!U33+ФОТ!U99)</f>
        <v>185</v>
      </c>
      <c r="V342" s="101">
        <f>IF(V$1="",0,ФОТ!V33+ФОТ!V99)</f>
        <v>185</v>
      </c>
      <c r="W342" s="101">
        <f>IF(W$1="",0,ФОТ!W33+ФОТ!W99)</f>
        <v>0</v>
      </c>
      <c r="X342" s="101">
        <f>IF(X$1="",0,ФОТ!X33+ФОТ!X99)</f>
        <v>0</v>
      </c>
      <c r="Y342" s="101">
        <f>IF(Y$1="",0,ФОТ!Y33+ФОТ!Y99)</f>
        <v>0</v>
      </c>
      <c r="Z342" s="101">
        <f>IF(Z$1="",0,ФОТ!Z33+ФОТ!Z99)</f>
        <v>0</v>
      </c>
      <c r="AA342" s="101">
        <f>IF(AA$1="",0,ФОТ!AA33+ФОТ!AA99)</f>
        <v>0</v>
      </c>
      <c r="AB342" s="22"/>
    </row>
    <row r="343" spans="1:28" s="23" customFormat="1" ht="10.199999999999999" x14ac:dyDescent="0.2">
      <c r="A343" s="22"/>
      <c r="B343" s="22"/>
      <c r="C343" s="22"/>
      <c r="D343" s="22"/>
      <c r="E343" s="22" t="str">
        <f>E335</f>
        <v>ФОТ - начисления/оплаты</v>
      </c>
      <c r="F343" s="22"/>
      <c r="G343" s="22" t="str">
        <f>IF($E343="","",INDEX(KPI!$G:$G,SUMIFS(KPI!$B:$B,KPI!$E:$E,$E343)))</f>
        <v>тыс.руб.</v>
      </c>
      <c r="H343" s="100">
        <f>структура!$V$19</f>
        <v>8</v>
      </c>
      <c r="I343" s="31"/>
      <c r="J343" s="98" t="str">
        <f>структура!$X$19</f>
        <v>авг</v>
      </c>
      <c r="K343" s="99"/>
      <c r="L343" s="22"/>
      <c r="M343" s="58"/>
      <c r="N343" s="22"/>
      <c r="O343" s="22"/>
      <c r="P343" s="101">
        <f>IF(P$1="",0,ФОТ!P34+ФОТ!P100)</f>
        <v>185</v>
      </c>
      <c r="Q343" s="101">
        <f>IF(Q$1="",0,ФОТ!Q34+ФОТ!Q100)</f>
        <v>185</v>
      </c>
      <c r="R343" s="101">
        <f>IF(R$1="",0,ФОТ!R34+ФОТ!R100)</f>
        <v>185</v>
      </c>
      <c r="S343" s="101">
        <f>IF(S$1="",0,ФОТ!S34+ФОТ!S100)</f>
        <v>185</v>
      </c>
      <c r="T343" s="101">
        <f>IF(T$1="",0,ФОТ!T34+ФОТ!T100)</f>
        <v>185</v>
      </c>
      <c r="U343" s="101">
        <f>IF(U$1="",0,ФОТ!U34+ФОТ!U100)</f>
        <v>185</v>
      </c>
      <c r="V343" s="101">
        <f>IF(V$1="",0,ФОТ!V34+ФОТ!V100)</f>
        <v>185</v>
      </c>
      <c r="W343" s="101">
        <f>IF(W$1="",0,ФОТ!W34+ФОТ!W100)</f>
        <v>0</v>
      </c>
      <c r="X343" s="101">
        <f>IF(X$1="",0,ФОТ!X34+ФОТ!X100)</f>
        <v>0</v>
      </c>
      <c r="Y343" s="101">
        <f>IF(Y$1="",0,ФОТ!Y34+ФОТ!Y100)</f>
        <v>0</v>
      </c>
      <c r="Z343" s="101">
        <f>IF(Z$1="",0,ФОТ!Z34+ФОТ!Z100)</f>
        <v>0</v>
      </c>
      <c r="AA343" s="101">
        <f>IF(AA$1="",0,ФОТ!AA34+ФОТ!AA100)</f>
        <v>0</v>
      </c>
      <c r="AB343" s="22"/>
    </row>
    <row r="344" spans="1:28" s="23" customFormat="1" ht="10.199999999999999" x14ac:dyDescent="0.2">
      <c r="A344" s="22"/>
      <c r="B344" s="22"/>
      <c r="C344" s="22"/>
      <c r="D344" s="22"/>
      <c r="E344" s="22" t="str">
        <f>E335</f>
        <v>ФОТ - начисления/оплаты</v>
      </c>
      <c r="F344" s="22"/>
      <c r="G344" s="22" t="str">
        <f>IF($E344="","",INDEX(KPI!$G:$G,SUMIFS(KPI!$B:$B,KPI!$E:$E,$E344)))</f>
        <v>тыс.руб.</v>
      </c>
      <c r="H344" s="100">
        <f>структура!$V$20</f>
        <v>9</v>
      </c>
      <c r="I344" s="31"/>
      <c r="J344" s="98" t="str">
        <f>структура!$X$20</f>
        <v>сен</v>
      </c>
      <c r="K344" s="99"/>
      <c r="L344" s="22"/>
      <c r="M344" s="58"/>
      <c r="N344" s="22"/>
      <c r="O344" s="22"/>
      <c r="P344" s="101">
        <f>IF(P$1="",0,ФОТ!P35+ФОТ!P101)</f>
        <v>185</v>
      </c>
      <c r="Q344" s="101">
        <f>IF(Q$1="",0,ФОТ!Q35+ФОТ!Q101)</f>
        <v>185</v>
      </c>
      <c r="R344" s="101">
        <f>IF(R$1="",0,ФОТ!R35+ФОТ!R101)</f>
        <v>185</v>
      </c>
      <c r="S344" s="101">
        <f>IF(S$1="",0,ФОТ!S35+ФОТ!S101)</f>
        <v>185</v>
      </c>
      <c r="T344" s="101">
        <f>IF(T$1="",0,ФОТ!T35+ФОТ!T101)</f>
        <v>185</v>
      </c>
      <c r="U344" s="101">
        <f>IF(U$1="",0,ФОТ!U35+ФОТ!U101)</f>
        <v>185</v>
      </c>
      <c r="V344" s="101">
        <f>IF(V$1="",0,ФОТ!V35+ФОТ!V101)</f>
        <v>185</v>
      </c>
      <c r="W344" s="101">
        <f>IF(W$1="",0,ФОТ!W35+ФОТ!W101)</f>
        <v>0</v>
      </c>
      <c r="X344" s="101">
        <f>IF(X$1="",0,ФОТ!X35+ФОТ!X101)</f>
        <v>0</v>
      </c>
      <c r="Y344" s="101">
        <f>IF(Y$1="",0,ФОТ!Y35+ФОТ!Y101)</f>
        <v>0</v>
      </c>
      <c r="Z344" s="101">
        <f>IF(Z$1="",0,ФОТ!Z35+ФОТ!Z101)</f>
        <v>0</v>
      </c>
      <c r="AA344" s="101">
        <f>IF(AA$1="",0,ФОТ!AA35+ФОТ!AA101)</f>
        <v>0</v>
      </c>
      <c r="AB344" s="22"/>
    </row>
    <row r="345" spans="1:28" s="23" customFormat="1" ht="10.199999999999999" x14ac:dyDescent="0.2">
      <c r="A345" s="22"/>
      <c r="B345" s="22"/>
      <c r="C345" s="22"/>
      <c r="D345" s="22"/>
      <c r="E345" s="22" t="str">
        <f>E335</f>
        <v>ФОТ - начисления/оплаты</v>
      </c>
      <c r="F345" s="22"/>
      <c r="G345" s="22" t="str">
        <f>IF($E345="","",INDEX(KPI!$G:$G,SUMIFS(KPI!$B:$B,KPI!$E:$E,$E345)))</f>
        <v>тыс.руб.</v>
      </c>
      <c r="H345" s="100">
        <f>структура!$V$21</f>
        <v>10</v>
      </c>
      <c r="I345" s="31"/>
      <c r="J345" s="98" t="str">
        <f>структура!$X$21</f>
        <v>окт</v>
      </c>
      <c r="K345" s="99"/>
      <c r="L345" s="22"/>
      <c r="M345" s="58"/>
      <c r="N345" s="22"/>
      <c r="O345" s="22"/>
      <c r="P345" s="101">
        <f>IF(P$1="",0,ФОТ!P36+ФОТ!P102)</f>
        <v>185</v>
      </c>
      <c r="Q345" s="101">
        <f>IF(Q$1="",0,ФОТ!Q36+ФОТ!Q102)</f>
        <v>185</v>
      </c>
      <c r="R345" s="101">
        <f>IF(R$1="",0,ФОТ!R36+ФОТ!R102)</f>
        <v>185</v>
      </c>
      <c r="S345" s="101">
        <f>IF(S$1="",0,ФОТ!S36+ФОТ!S102)</f>
        <v>185</v>
      </c>
      <c r="T345" s="101">
        <f>IF(T$1="",0,ФОТ!T36+ФОТ!T102)</f>
        <v>185</v>
      </c>
      <c r="U345" s="101">
        <f>IF(U$1="",0,ФОТ!U36+ФОТ!U102)</f>
        <v>185</v>
      </c>
      <c r="V345" s="101">
        <f>IF(V$1="",0,ФОТ!V36+ФОТ!V102)</f>
        <v>185</v>
      </c>
      <c r="W345" s="101">
        <f>IF(W$1="",0,ФОТ!W36+ФОТ!W102)</f>
        <v>0</v>
      </c>
      <c r="X345" s="101">
        <f>IF(X$1="",0,ФОТ!X36+ФОТ!X102)</f>
        <v>0</v>
      </c>
      <c r="Y345" s="101">
        <f>IF(Y$1="",0,ФОТ!Y36+ФОТ!Y102)</f>
        <v>0</v>
      </c>
      <c r="Z345" s="101">
        <f>IF(Z$1="",0,ФОТ!Z36+ФОТ!Z102)</f>
        <v>0</v>
      </c>
      <c r="AA345" s="101">
        <f>IF(AA$1="",0,ФОТ!AA36+ФОТ!AA102)</f>
        <v>0</v>
      </c>
      <c r="AB345" s="22"/>
    </row>
    <row r="346" spans="1:28" s="23" customFormat="1" ht="10.199999999999999" x14ac:dyDescent="0.2">
      <c r="A346" s="22"/>
      <c r="B346" s="22"/>
      <c r="C346" s="22"/>
      <c r="D346" s="22"/>
      <c r="E346" s="22" t="str">
        <f>E335</f>
        <v>ФОТ - начисления/оплаты</v>
      </c>
      <c r="F346" s="22"/>
      <c r="G346" s="22" t="str">
        <f>IF($E346="","",INDEX(KPI!$G:$G,SUMIFS(KPI!$B:$B,KPI!$E:$E,$E346)))</f>
        <v>тыс.руб.</v>
      </c>
      <c r="H346" s="100">
        <f>структура!$V$22</f>
        <v>11</v>
      </c>
      <c r="I346" s="31"/>
      <c r="J346" s="98" t="str">
        <f>структура!$X$22</f>
        <v>ноя</v>
      </c>
      <c r="K346" s="99"/>
      <c r="L346" s="22"/>
      <c r="M346" s="58"/>
      <c r="N346" s="22"/>
      <c r="O346" s="22"/>
      <c r="P346" s="101">
        <f>IF(P$1="",0,ФОТ!P37+ФОТ!P103)</f>
        <v>185</v>
      </c>
      <c r="Q346" s="101">
        <f>IF(Q$1="",0,ФОТ!Q37+ФОТ!Q103)</f>
        <v>185</v>
      </c>
      <c r="R346" s="101">
        <f>IF(R$1="",0,ФОТ!R37+ФОТ!R103)</f>
        <v>185</v>
      </c>
      <c r="S346" s="101">
        <f>IF(S$1="",0,ФОТ!S37+ФОТ!S103)</f>
        <v>185</v>
      </c>
      <c r="T346" s="101">
        <f>IF(T$1="",0,ФОТ!T37+ФОТ!T103)</f>
        <v>185</v>
      </c>
      <c r="U346" s="101">
        <f>IF(U$1="",0,ФОТ!U37+ФОТ!U103)</f>
        <v>185</v>
      </c>
      <c r="V346" s="101">
        <f>IF(V$1="",0,ФОТ!V37+ФОТ!V103)</f>
        <v>185</v>
      </c>
      <c r="W346" s="101">
        <f>IF(W$1="",0,ФОТ!W37+ФОТ!W103)</f>
        <v>0</v>
      </c>
      <c r="X346" s="101">
        <f>IF(X$1="",0,ФОТ!X37+ФОТ!X103)</f>
        <v>0</v>
      </c>
      <c r="Y346" s="101">
        <f>IF(Y$1="",0,ФОТ!Y37+ФОТ!Y103)</f>
        <v>0</v>
      </c>
      <c r="Z346" s="101">
        <f>IF(Z$1="",0,ФОТ!Z37+ФОТ!Z103)</f>
        <v>0</v>
      </c>
      <c r="AA346" s="101">
        <f>IF(AA$1="",0,ФОТ!AA37+ФОТ!AA103)</f>
        <v>0</v>
      </c>
      <c r="AB346" s="22"/>
    </row>
    <row r="347" spans="1:28" s="23" customFormat="1" ht="10.199999999999999" x14ac:dyDescent="0.2">
      <c r="A347" s="22"/>
      <c r="B347" s="22"/>
      <c r="C347" s="22"/>
      <c r="D347" s="22"/>
      <c r="E347" s="22" t="str">
        <f>E335</f>
        <v>ФОТ - начисления/оплаты</v>
      </c>
      <c r="F347" s="22"/>
      <c r="G347" s="22" t="str">
        <f>IF($E347="","",INDEX(KPI!$G:$G,SUMIFS(KPI!$B:$B,KPI!$E:$E,$E347)))</f>
        <v>тыс.руб.</v>
      </c>
      <c r="H347" s="100">
        <f>структура!$V$23</f>
        <v>12</v>
      </c>
      <c r="I347" s="31"/>
      <c r="J347" s="98" t="str">
        <f>структура!$X$23</f>
        <v>дек</v>
      </c>
      <c r="K347" s="99"/>
      <c r="L347" s="22"/>
      <c r="M347" s="58"/>
      <c r="N347" s="22"/>
      <c r="O347" s="22"/>
      <c r="P347" s="101">
        <f>IF(P$1="",0,ФОТ!P38+ФОТ!P104)</f>
        <v>185</v>
      </c>
      <c r="Q347" s="101">
        <f>IF(Q$1="",0,ФОТ!Q38+ФОТ!Q104)</f>
        <v>185</v>
      </c>
      <c r="R347" s="101">
        <f>IF(R$1="",0,ФОТ!R38+ФОТ!R104)</f>
        <v>185</v>
      </c>
      <c r="S347" s="101">
        <f>IF(S$1="",0,ФОТ!S38+ФОТ!S104)</f>
        <v>185</v>
      </c>
      <c r="T347" s="101">
        <f>IF(T$1="",0,ФОТ!T38+ФОТ!T104)</f>
        <v>185</v>
      </c>
      <c r="U347" s="101">
        <f>IF(U$1="",0,ФОТ!U38+ФОТ!U104)</f>
        <v>185</v>
      </c>
      <c r="V347" s="101">
        <f>IF(V$1="",0,ФОТ!V38+ФОТ!V104)</f>
        <v>185</v>
      </c>
      <c r="W347" s="101">
        <f>IF(W$1="",0,ФОТ!W38+ФОТ!W104)</f>
        <v>0</v>
      </c>
      <c r="X347" s="101">
        <f>IF(X$1="",0,ФОТ!X38+ФОТ!X104)</f>
        <v>0</v>
      </c>
      <c r="Y347" s="101">
        <f>IF(Y$1="",0,ФОТ!Y38+ФОТ!Y104)</f>
        <v>0</v>
      </c>
      <c r="Z347" s="101">
        <f>IF(Z$1="",0,ФОТ!Z38+ФОТ!Z104)</f>
        <v>0</v>
      </c>
      <c r="AA347" s="101">
        <f>IF(AA$1="",0,ФОТ!AA38+ФОТ!AA104)</f>
        <v>0</v>
      </c>
      <c r="AB347" s="22"/>
    </row>
    <row r="348" spans="1:28" ht="3.9" customHeight="1" x14ac:dyDescent="0.25">
      <c r="A348" s="2"/>
      <c r="B348" s="2"/>
      <c r="C348" s="2"/>
      <c r="D348" s="2"/>
      <c r="E348" s="21"/>
      <c r="F348" s="2"/>
      <c r="G348" s="21"/>
      <c r="H348" s="2"/>
      <c r="I348" s="28"/>
      <c r="J348" s="21"/>
      <c r="K348" s="28"/>
      <c r="L348" s="2"/>
      <c r="M348" s="52"/>
      <c r="N348" s="2"/>
      <c r="O348" s="2"/>
      <c r="P348" s="36"/>
      <c r="Q348" s="36"/>
      <c r="R348" s="36"/>
      <c r="S348" s="36"/>
      <c r="T348" s="36"/>
      <c r="U348" s="36"/>
      <c r="V348" s="36"/>
      <c r="W348" s="36"/>
      <c r="X348" s="36"/>
      <c r="Y348" s="36"/>
      <c r="Z348" s="36"/>
      <c r="AA348" s="36"/>
      <c r="AB348" s="2"/>
    </row>
    <row r="349" spans="1:28" ht="8.1" customHeight="1" x14ac:dyDescent="0.25">
      <c r="A349" s="2"/>
      <c r="B349" s="2"/>
      <c r="C349" s="2"/>
      <c r="D349" s="2"/>
      <c r="E349" s="2"/>
      <c r="F349" s="2"/>
      <c r="G349" s="2"/>
      <c r="H349" s="2"/>
      <c r="I349" s="28"/>
      <c r="J349" s="2"/>
      <c r="K349" s="28"/>
      <c r="L349" s="2"/>
      <c r="M349" s="52"/>
      <c r="N349" s="2"/>
      <c r="O349" s="2"/>
      <c r="P349" s="36"/>
      <c r="Q349" s="36"/>
      <c r="R349" s="36"/>
      <c r="S349" s="36"/>
      <c r="T349" s="36"/>
      <c r="U349" s="36"/>
      <c r="V349" s="36"/>
      <c r="W349" s="36"/>
      <c r="X349" s="36"/>
      <c r="Y349" s="36"/>
      <c r="Z349" s="36"/>
      <c r="AA349" s="36"/>
      <c r="AB349" s="2"/>
    </row>
    <row r="350" spans="1:28" s="5" customFormat="1" x14ac:dyDescent="0.25">
      <c r="A350" s="3"/>
      <c r="B350" s="3"/>
      <c r="C350" s="3"/>
      <c r="D350" s="3"/>
      <c r="E350" s="3" t="str">
        <f>KPI!$E$58</f>
        <v>ставка отчислений в соцфонды+страхНС</v>
      </c>
      <c r="F350" s="3"/>
      <c r="G350" s="3" t="str">
        <f>IF($E350="","",INDEX(KPI!$G:$G,SUMIFS(KPI!$B:$B,KPI!$E:$E,$E350)))</f>
        <v>%</v>
      </c>
      <c r="H350" s="3"/>
      <c r="I350" s="6" t="s">
        <v>0</v>
      </c>
      <c r="J350" s="88">
        <v>0.30199999999999999</v>
      </c>
      <c r="K350" s="28"/>
      <c r="L350" s="2"/>
      <c r="M350" s="52"/>
      <c r="N350" s="3"/>
      <c r="O350" s="2"/>
      <c r="P350" s="36"/>
      <c r="Q350" s="36"/>
      <c r="R350" s="36"/>
      <c r="S350" s="36"/>
      <c r="T350" s="36"/>
      <c r="U350" s="36"/>
      <c r="V350" s="36"/>
      <c r="W350" s="36"/>
      <c r="X350" s="36"/>
      <c r="Y350" s="36"/>
      <c r="Z350" s="36"/>
      <c r="AA350" s="36"/>
      <c r="AB350" s="2"/>
    </row>
    <row r="351" spans="1:28" ht="3.9" customHeight="1" x14ac:dyDescent="0.25">
      <c r="A351" s="2"/>
      <c r="B351" s="2"/>
      <c r="C351" s="2"/>
      <c r="D351" s="2"/>
      <c r="E351" s="110"/>
      <c r="F351" s="2"/>
      <c r="G351" s="2"/>
      <c r="H351" s="2"/>
      <c r="I351" s="28"/>
      <c r="J351" s="2"/>
      <c r="K351" s="28"/>
      <c r="L351" s="2"/>
      <c r="M351" s="52"/>
      <c r="N351" s="2"/>
      <c r="O351" s="2"/>
      <c r="P351" s="36"/>
      <c r="Q351" s="36"/>
      <c r="R351" s="36"/>
      <c r="S351" s="36"/>
      <c r="T351" s="36"/>
      <c r="U351" s="36"/>
      <c r="V351" s="36"/>
      <c r="W351" s="36"/>
      <c r="X351" s="36"/>
      <c r="Y351" s="36"/>
      <c r="Z351" s="36"/>
      <c r="AA351" s="36"/>
      <c r="AB351" s="2"/>
    </row>
    <row r="352" spans="1:28" ht="8.1" customHeight="1" x14ac:dyDescent="0.25">
      <c r="A352" s="2"/>
      <c r="B352" s="2"/>
      <c r="C352" s="2"/>
      <c r="D352" s="2"/>
      <c r="E352" s="2"/>
      <c r="F352" s="2"/>
      <c r="G352" s="2"/>
      <c r="H352" s="2"/>
      <c r="I352" s="28"/>
      <c r="J352" s="2"/>
      <c r="K352" s="28"/>
      <c r="L352" s="2"/>
      <c r="M352" s="52"/>
      <c r="N352" s="2"/>
      <c r="O352" s="2"/>
      <c r="P352" s="36"/>
      <c r="Q352" s="36"/>
      <c r="R352" s="36"/>
      <c r="S352" s="36"/>
      <c r="T352" s="36"/>
      <c r="U352" s="36"/>
      <c r="V352" s="36"/>
      <c r="W352" s="36"/>
      <c r="X352" s="36"/>
      <c r="Y352" s="36"/>
      <c r="Z352" s="36"/>
      <c r="AA352" s="36"/>
      <c r="AB352" s="2"/>
    </row>
    <row r="353" spans="1:28" s="5" customFormat="1" x14ac:dyDescent="0.25">
      <c r="A353" s="3"/>
      <c r="B353" s="3"/>
      <c r="C353" s="3"/>
      <c r="D353" s="111"/>
      <c r="E353" s="3" t="str">
        <f>KPI!$E$59</f>
        <v>начисления в соцфонды</v>
      </c>
      <c r="F353" s="3"/>
      <c r="G353" s="3" t="str">
        <f>IF($E353="","",INDEX(KPI!$G:$G,SUMIFS(KPI!$B:$B,KPI!$E:$E,$E353)))</f>
        <v>тыс.руб.</v>
      </c>
      <c r="H353" s="103"/>
      <c r="I353" s="28"/>
      <c r="J353" s="44"/>
      <c r="K353" s="28"/>
      <c r="L353" s="3"/>
      <c r="M353" s="55">
        <f>SUM($O353:$AB353)</f>
        <v>4693.08</v>
      </c>
      <c r="N353" s="3"/>
      <c r="O353" s="3"/>
      <c r="P353" s="46">
        <f>IF(P$1="",0,IF(P$1=0,SUMIFS(P354:P365,H354:H365,"&gt;="&amp;MONTH($J$13)),SUM(P354:P365)))</f>
        <v>670.43999999999994</v>
      </c>
      <c r="Q353" s="46">
        <f t="shared" ref="Q353" si="137">IF(Q$1="",0,SUM(Q354:Q365))</f>
        <v>670.43999999999994</v>
      </c>
      <c r="R353" s="46">
        <f t="shared" ref="R353:AA353" si="138">IF(R$1="",0,SUM(R354:R365))</f>
        <v>670.43999999999994</v>
      </c>
      <c r="S353" s="46">
        <f t="shared" si="138"/>
        <v>670.43999999999994</v>
      </c>
      <c r="T353" s="46">
        <f t="shared" si="138"/>
        <v>670.43999999999994</v>
      </c>
      <c r="U353" s="46">
        <f t="shared" si="138"/>
        <v>670.43999999999994</v>
      </c>
      <c r="V353" s="46">
        <f t="shared" si="138"/>
        <v>670.43999999999994</v>
      </c>
      <c r="W353" s="46">
        <f t="shared" si="138"/>
        <v>0</v>
      </c>
      <c r="X353" s="46">
        <f t="shared" si="138"/>
        <v>0</v>
      </c>
      <c r="Y353" s="46">
        <f t="shared" si="138"/>
        <v>0</v>
      </c>
      <c r="Z353" s="46">
        <f t="shared" si="138"/>
        <v>0</v>
      </c>
      <c r="AA353" s="46">
        <f t="shared" si="138"/>
        <v>0</v>
      </c>
      <c r="AB353" s="3"/>
    </row>
    <row r="354" spans="1:28" s="23" customFormat="1" ht="10.199999999999999" x14ac:dyDescent="0.2">
      <c r="A354" s="22"/>
      <c r="B354" s="22"/>
      <c r="C354" s="22"/>
      <c r="D354" s="22"/>
      <c r="E354" s="22" t="str">
        <f>E353</f>
        <v>начисления в соцфонды</v>
      </c>
      <c r="F354" s="22"/>
      <c r="G354" s="22" t="str">
        <f>IF($E354="","",INDEX(KPI!$G:$G,SUMIFS(KPI!$B:$B,KPI!$E:$E,$E354)))</f>
        <v>тыс.руб.</v>
      </c>
      <c r="H354" s="100">
        <f>структура!$V$12</f>
        <v>1</v>
      </c>
      <c r="I354" s="31"/>
      <c r="J354" s="98" t="str">
        <f>структура!$X$12</f>
        <v>янв</v>
      </c>
      <c r="K354" s="99"/>
      <c r="L354" s="22"/>
      <c r="M354" s="58"/>
      <c r="N354" s="22"/>
      <c r="O354" s="22"/>
      <c r="P354" s="101">
        <f>IF(P$1="",0,P336*$J$350)</f>
        <v>55.87</v>
      </c>
      <c r="Q354" s="101">
        <f t="shared" ref="Q354:AA354" si="139">IF(Q$1="",0,Q336*$J$350)</f>
        <v>55.87</v>
      </c>
      <c r="R354" s="101">
        <f t="shared" si="139"/>
        <v>55.87</v>
      </c>
      <c r="S354" s="101">
        <f t="shared" si="139"/>
        <v>55.87</v>
      </c>
      <c r="T354" s="101">
        <f t="shared" si="139"/>
        <v>55.87</v>
      </c>
      <c r="U354" s="101">
        <f t="shared" si="139"/>
        <v>55.87</v>
      </c>
      <c r="V354" s="101">
        <f t="shared" si="139"/>
        <v>55.87</v>
      </c>
      <c r="W354" s="101">
        <f t="shared" si="139"/>
        <v>0</v>
      </c>
      <c r="X354" s="101">
        <f t="shared" si="139"/>
        <v>0</v>
      </c>
      <c r="Y354" s="101">
        <f t="shared" si="139"/>
        <v>0</v>
      </c>
      <c r="Z354" s="101">
        <f t="shared" si="139"/>
        <v>0</v>
      </c>
      <c r="AA354" s="101">
        <f t="shared" si="139"/>
        <v>0</v>
      </c>
      <c r="AB354" s="22"/>
    </row>
    <row r="355" spans="1:28" s="23" customFormat="1" ht="10.199999999999999" x14ac:dyDescent="0.2">
      <c r="A355" s="22"/>
      <c r="B355" s="22"/>
      <c r="C355" s="22"/>
      <c r="D355" s="22"/>
      <c r="E355" s="22" t="str">
        <f>E353</f>
        <v>начисления в соцфонды</v>
      </c>
      <c r="F355" s="22"/>
      <c r="G355" s="22" t="str">
        <f>IF($E355="","",INDEX(KPI!$G:$G,SUMIFS(KPI!$B:$B,KPI!$E:$E,$E355)))</f>
        <v>тыс.руб.</v>
      </c>
      <c r="H355" s="100">
        <f>структура!$V$13</f>
        <v>2</v>
      </c>
      <c r="I355" s="31"/>
      <c r="J355" s="98" t="str">
        <f>структура!$X$13</f>
        <v>фев</v>
      </c>
      <c r="K355" s="99"/>
      <c r="L355" s="22"/>
      <c r="M355" s="58"/>
      <c r="N355" s="22"/>
      <c r="O355" s="22"/>
      <c r="P355" s="101">
        <f t="shared" ref="P355:AA355" si="140">IF(P$1="",0,P337*$J$350)</f>
        <v>55.87</v>
      </c>
      <c r="Q355" s="101">
        <f t="shared" si="140"/>
        <v>55.87</v>
      </c>
      <c r="R355" s="101">
        <f t="shared" si="140"/>
        <v>55.87</v>
      </c>
      <c r="S355" s="101">
        <f t="shared" si="140"/>
        <v>55.87</v>
      </c>
      <c r="T355" s="101">
        <f t="shared" si="140"/>
        <v>55.87</v>
      </c>
      <c r="U355" s="101">
        <f t="shared" si="140"/>
        <v>55.87</v>
      </c>
      <c r="V355" s="101">
        <f t="shared" si="140"/>
        <v>55.87</v>
      </c>
      <c r="W355" s="101">
        <f t="shared" si="140"/>
        <v>0</v>
      </c>
      <c r="X355" s="101">
        <f t="shared" si="140"/>
        <v>0</v>
      </c>
      <c r="Y355" s="101">
        <f t="shared" si="140"/>
        <v>0</v>
      </c>
      <c r="Z355" s="101">
        <f t="shared" si="140"/>
        <v>0</v>
      </c>
      <c r="AA355" s="101">
        <f t="shared" si="140"/>
        <v>0</v>
      </c>
      <c r="AB355" s="22"/>
    </row>
    <row r="356" spans="1:28" s="23" customFormat="1" ht="10.199999999999999" x14ac:dyDescent="0.2">
      <c r="A356" s="22"/>
      <c r="B356" s="22"/>
      <c r="C356" s="22"/>
      <c r="D356" s="22"/>
      <c r="E356" s="22" t="str">
        <f>E353</f>
        <v>начисления в соцфонды</v>
      </c>
      <c r="F356" s="22"/>
      <c r="G356" s="22" t="str">
        <f>IF($E356="","",INDEX(KPI!$G:$G,SUMIFS(KPI!$B:$B,KPI!$E:$E,$E356)))</f>
        <v>тыс.руб.</v>
      </c>
      <c r="H356" s="100">
        <f>структура!$V$14</f>
        <v>3</v>
      </c>
      <c r="I356" s="31"/>
      <c r="J356" s="98" t="str">
        <f>структура!$X$14</f>
        <v>мар</v>
      </c>
      <c r="K356" s="99"/>
      <c r="L356" s="22"/>
      <c r="M356" s="58"/>
      <c r="N356" s="22"/>
      <c r="O356" s="22"/>
      <c r="P356" s="101">
        <f t="shared" ref="P356:AA356" si="141">IF(P$1="",0,P338*$J$350)</f>
        <v>55.87</v>
      </c>
      <c r="Q356" s="101">
        <f t="shared" si="141"/>
        <v>55.87</v>
      </c>
      <c r="R356" s="101">
        <f t="shared" si="141"/>
        <v>55.87</v>
      </c>
      <c r="S356" s="101">
        <f t="shared" si="141"/>
        <v>55.87</v>
      </c>
      <c r="T356" s="101">
        <f t="shared" si="141"/>
        <v>55.87</v>
      </c>
      <c r="U356" s="101">
        <f t="shared" si="141"/>
        <v>55.87</v>
      </c>
      <c r="V356" s="101">
        <f t="shared" si="141"/>
        <v>55.87</v>
      </c>
      <c r="W356" s="101">
        <f t="shared" si="141"/>
        <v>0</v>
      </c>
      <c r="X356" s="101">
        <f t="shared" si="141"/>
        <v>0</v>
      </c>
      <c r="Y356" s="101">
        <f t="shared" si="141"/>
        <v>0</v>
      </c>
      <c r="Z356" s="101">
        <f t="shared" si="141"/>
        <v>0</v>
      </c>
      <c r="AA356" s="101">
        <f t="shared" si="141"/>
        <v>0</v>
      </c>
      <c r="AB356" s="22"/>
    </row>
    <row r="357" spans="1:28" s="23" customFormat="1" ht="10.199999999999999" x14ac:dyDescent="0.2">
      <c r="A357" s="22"/>
      <c r="B357" s="22"/>
      <c r="C357" s="22"/>
      <c r="D357" s="22"/>
      <c r="E357" s="22" t="str">
        <f>E353</f>
        <v>начисления в соцфонды</v>
      </c>
      <c r="F357" s="22"/>
      <c r="G357" s="22" t="str">
        <f>IF($E357="","",INDEX(KPI!$G:$G,SUMIFS(KPI!$B:$B,KPI!$E:$E,$E357)))</f>
        <v>тыс.руб.</v>
      </c>
      <c r="H357" s="100">
        <f>структура!$V$15</f>
        <v>4</v>
      </c>
      <c r="I357" s="31"/>
      <c r="J357" s="98" t="str">
        <f>структура!$X$15</f>
        <v>апр</v>
      </c>
      <c r="K357" s="99"/>
      <c r="L357" s="22"/>
      <c r="M357" s="58"/>
      <c r="N357" s="22"/>
      <c r="O357" s="22"/>
      <c r="P357" s="101">
        <f t="shared" ref="P357:AA357" si="142">IF(P$1="",0,P339*$J$350)</f>
        <v>55.87</v>
      </c>
      <c r="Q357" s="101">
        <f t="shared" si="142"/>
        <v>55.87</v>
      </c>
      <c r="R357" s="101">
        <f t="shared" si="142"/>
        <v>55.87</v>
      </c>
      <c r="S357" s="101">
        <f t="shared" si="142"/>
        <v>55.87</v>
      </c>
      <c r="T357" s="101">
        <f t="shared" si="142"/>
        <v>55.87</v>
      </c>
      <c r="U357" s="101">
        <f t="shared" si="142"/>
        <v>55.87</v>
      </c>
      <c r="V357" s="101">
        <f t="shared" si="142"/>
        <v>55.87</v>
      </c>
      <c r="W357" s="101">
        <f t="shared" si="142"/>
        <v>0</v>
      </c>
      <c r="X357" s="101">
        <f t="shared" si="142"/>
        <v>0</v>
      </c>
      <c r="Y357" s="101">
        <f t="shared" si="142"/>
        <v>0</v>
      </c>
      <c r="Z357" s="101">
        <f t="shared" si="142"/>
        <v>0</v>
      </c>
      <c r="AA357" s="101">
        <f t="shared" si="142"/>
        <v>0</v>
      </c>
      <c r="AB357" s="22"/>
    </row>
    <row r="358" spans="1:28" s="23" customFormat="1" ht="10.199999999999999" x14ac:dyDescent="0.2">
      <c r="A358" s="22"/>
      <c r="B358" s="22"/>
      <c r="C358" s="22"/>
      <c r="D358" s="22"/>
      <c r="E358" s="22" t="str">
        <f>E353</f>
        <v>начисления в соцфонды</v>
      </c>
      <c r="F358" s="22"/>
      <c r="G358" s="22" t="str">
        <f>IF($E358="","",INDEX(KPI!$G:$G,SUMIFS(KPI!$B:$B,KPI!$E:$E,$E358)))</f>
        <v>тыс.руб.</v>
      </c>
      <c r="H358" s="100">
        <f>структура!$V$16</f>
        <v>5</v>
      </c>
      <c r="I358" s="31"/>
      <c r="J358" s="98" t="str">
        <f>структура!$X$16</f>
        <v>май</v>
      </c>
      <c r="K358" s="99"/>
      <c r="L358" s="22"/>
      <c r="M358" s="58"/>
      <c r="N358" s="22"/>
      <c r="O358" s="22"/>
      <c r="P358" s="101">
        <f t="shared" ref="P358:AA358" si="143">IF(P$1="",0,P340*$J$350)</f>
        <v>55.87</v>
      </c>
      <c r="Q358" s="101">
        <f t="shared" si="143"/>
        <v>55.87</v>
      </c>
      <c r="R358" s="101">
        <f t="shared" si="143"/>
        <v>55.87</v>
      </c>
      <c r="S358" s="101">
        <f t="shared" si="143"/>
        <v>55.87</v>
      </c>
      <c r="T358" s="101">
        <f t="shared" si="143"/>
        <v>55.87</v>
      </c>
      <c r="U358" s="101">
        <f t="shared" si="143"/>
        <v>55.87</v>
      </c>
      <c r="V358" s="101">
        <f t="shared" si="143"/>
        <v>55.87</v>
      </c>
      <c r="W358" s="101">
        <f t="shared" si="143"/>
        <v>0</v>
      </c>
      <c r="X358" s="101">
        <f t="shared" si="143"/>
        <v>0</v>
      </c>
      <c r="Y358" s="101">
        <f t="shared" si="143"/>
        <v>0</v>
      </c>
      <c r="Z358" s="101">
        <f t="shared" si="143"/>
        <v>0</v>
      </c>
      <c r="AA358" s="101">
        <f t="shared" si="143"/>
        <v>0</v>
      </c>
      <c r="AB358" s="22"/>
    </row>
    <row r="359" spans="1:28" s="23" customFormat="1" ht="10.199999999999999" x14ac:dyDescent="0.2">
      <c r="A359" s="22"/>
      <c r="B359" s="22"/>
      <c r="C359" s="22"/>
      <c r="D359" s="22"/>
      <c r="E359" s="22" t="str">
        <f>E353</f>
        <v>начисления в соцфонды</v>
      </c>
      <c r="F359" s="22"/>
      <c r="G359" s="22" t="str">
        <f>IF($E359="","",INDEX(KPI!$G:$G,SUMIFS(KPI!$B:$B,KPI!$E:$E,$E359)))</f>
        <v>тыс.руб.</v>
      </c>
      <c r="H359" s="100">
        <f>структура!$V$17</f>
        <v>6</v>
      </c>
      <c r="I359" s="31"/>
      <c r="J359" s="98" t="str">
        <f>структура!$X$17</f>
        <v>июн</v>
      </c>
      <c r="K359" s="99"/>
      <c r="L359" s="22"/>
      <c r="M359" s="58"/>
      <c r="N359" s="22"/>
      <c r="O359" s="22"/>
      <c r="P359" s="101">
        <f t="shared" ref="P359:AA359" si="144">IF(P$1="",0,P341*$J$350)</f>
        <v>55.87</v>
      </c>
      <c r="Q359" s="101">
        <f t="shared" si="144"/>
        <v>55.87</v>
      </c>
      <c r="R359" s="101">
        <f t="shared" si="144"/>
        <v>55.87</v>
      </c>
      <c r="S359" s="101">
        <f t="shared" si="144"/>
        <v>55.87</v>
      </c>
      <c r="T359" s="101">
        <f t="shared" si="144"/>
        <v>55.87</v>
      </c>
      <c r="U359" s="101">
        <f t="shared" si="144"/>
        <v>55.87</v>
      </c>
      <c r="V359" s="101">
        <f t="shared" si="144"/>
        <v>55.87</v>
      </c>
      <c r="W359" s="101">
        <f t="shared" si="144"/>
        <v>0</v>
      </c>
      <c r="X359" s="101">
        <f t="shared" si="144"/>
        <v>0</v>
      </c>
      <c r="Y359" s="101">
        <f t="shared" si="144"/>
        <v>0</v>
      </c>
      <c r="Z359" s="101">
        <f t="shared" si="144"/>
        <v>0</v>
      </c>
      <c r="AA359" s="101">
        <f t="shared" si="144"/>
        <v>0</v>
      </c>
      <c r="AB359" s="22"/>
    </row>
    <row r="360" spans="1:28" s="23" customFormat="1" ht="10.199999999999999" x14ac:dyDescent="0.2">
      <c r="A360" s="22"/>
      <c r="B360" s="22"/>
      <c r="C360" s="22"/>
      <c r="D360" s="22"/>
      <c r="E360" s="22" t="str">
        <f>E353</f>
        <v>начисления в соцфонды</v>
      </c>
      <c r="F360" s="22"/>
      <c r="G360" s="22" t="str">
        <f>IF($E360="","",INDEX(KPI!$G:$G,SUMIFS(KPI!$B:$B,KPI!$E:$E,$E360)))</f>
        <v>тыс.руб.</v>
      </c>
      <c r="H360" s="100">
        <f>структура!$V$18</f>
        <v>7</v>
      </c>
      <c r="I360" s="31"/>
      <c r="J360" s="98" t="str">
        <f>структура!$X$18</f>
        <v>июл</v>
      </c>
      <c r="K360" s="99"/>
      <c r="L360" s="22"/>
      <c r="M360" s="58"/>
      <c r="N360" s="22"/>
      <c r="O360" s="22"/>
      <c r="P360" s="101">
        <f t="shared" ref="P360:AA360" si="145">IF(P$1="",0,P342*$J$350)</f>
        <v>55.87</v>
      </c>
      <c r="Q360" s="101">
        <f t="shared" si="145"/>
        <v>55.87</v>
      </c>
      <c r="R360" s="101">
        <f t="shared" si="145"/>
        <v>55.87</v>
      </c>
      <c r="S360" s="101">
        <f t="shared" si="145"/>
        <v>55.87</v>
      </c>
      <c r="T360" s="101">
        <f t="shared" si="145"/>
        <v>55.87</v>
      </c>
      <c r="U360" s="101">
        <f t="shared" si="145"/>
        <v>55.87</v>
      </c>
      <c r="V360" s="101">
        <f t="shared" si="145"/>
        <v>55.87</v>
      </c>
      <c r="W360" s="101">
        <f t="shared" si="145"/>
        <v>0</v>
      </c>
      <c r="X360" s="101">
        <f t="shared" si="145"/>
        <v>0</v>
      </c>
      <c r="Y360" s="101">
        <f t="shared" si="145"/>
        <v>0</v>
      </c>
      <c r="Z360" s="101">
        <f t="shared" si="145"/>
        <v>0</v>
      </c>
      <c r="AA360" s="101">
        <f t="shared" si="145"/>
        <v>0</v>
      </c>
      <c r="AB360" s="22"/>
    </row>
    <row r="361" spans="1:28" s="23" customFormat="1" ht="10.199999999999999" x14ac:dyDescent="0.2">
      <c r="A361" s="22"/>
      <c r="B361" s="22"/>
      <c r="C361" s="22"/>
      <c r="D361" s="22"/>
      <c r="E361" s="22" t="str">
        <f>E353</f>
        <v>начисления в соцфонды</v>
      </c>
      <c r="F361" s="22"/>
      <c r="G361" s="22" t="str">
        <f>IF($E361="","",INDEX(KPI!$G:$G,SUMIFS(KPI!$B:$B,KPI!$E:$E,$E361)))</f>
        <v>тыс.руб.</v>
      </c>
      <c r="H361" s="100">
        <f>структура!$V$19</f>
        <v>8</v>
      </c>
      <c r="I361" s="31"/>
      <c r="J361" s="98" t="str">
        <f>структура!$X$19</f>
        <v>авг</v>
      </c>
      <c r="K361" s="99"/>
      <c r="L361" s="22"/>
      <c r="M361" s="58"/>
      <c r="N361" s="22"/>
      <c r="O361" s="22"/>
      <c r="P361" s="101">
        <f t="shared" ref="P361:AA361" si="146">IF(P$1="",0,P343*$J$350)</f>
        <v>55.87</v>
      </c>
      <c r="Q361" s="101">
        <f t="shared" si="146"/>
        <v>55.87</v>
      </c>
      <c r="R361" s="101">
        <f t="shared" si="146"/>
        <v>55.87</v>
      </c>
      <c r="S361" s="101">
        <f t="shared" si="146"/>
        <v>55.87</v>
      </c>
      <c r="T361" s="101">
        <f t="shared" si="146"/>
        <v>55.87</v>
      </c>
      <c r="U361" s="101">
        <f t="shared" si="146"/>
        <v>55.87</v>
      </c>
      <c r="V361" s="101">
        <f t="shared" si="146"/>
        <v>55.87</v>
      </c>
      <c r="W361" s="101">
        <f t="shared" si="146"/>
        <v>0</v>
      </c>
      <c r="X361" s="101">
        <f t="shared" si="146"/>
        <v>0</v>
      </c>
      <c r="Y361" s="101">
        <f t="shared" si="146"/>
        <v>0</v>
      </c>
      <c r="Z361" s="101">
        <f t="shared" si="146"/>
        <v>0</v>
      </c>
      <c r="AA361" s="101">
        <f t="shared" si="146"/>
        <v>0</v>
      </c>
      <c r="AB361" s="22"/>
    </row>
    <row r="362" spans="1:28" s="23" customFormat="1" ht="10.199999999999999" x14ac:dyDescent="0.2">
      <c r="A362" s="22"/>
      <c r="B362" s="22"/>
      <c r="C362" s="22"/>
      <c r="D362" s="22"/>
      <c r="E362" s="22" t="str">
        <f>E353</f>
        <v>начисления в соцфонды</v>
      </c>
      <c r="F362" s="22"/>
      <c r="G362" s="22" t="str">
        <f>IF($E362="","",INDEX(KPI!$G:$G,SUMIFS(KPI!$B:$B,KPI!$E:$E,$E362)))</f>
        <v>тыс.руб.</v>
      </c>
      <c r="H362" s="100">
        <f>структура!$V$20</f>
        <v>9</v>
      </c>
      <c r="I362" s="31"/>
      <c r="J362" s="98" t="str">
        <f>структура!$X$20</f>
        <v>сен</v>
      </c>
      <c r="K362" s="99"/>
      <c r="L362" s="22"/>
      <c r="M362" s="58"/>
      <c r="N362" s="22"/>
      <c r="O362" s="22"/>
      <c r="P362" s="101">
        <f t="shared" ref="P362:AA362" si="147">IF(P$1="",0,P344*$J$350)</f>
        <v>55.87</v>
      </c>
      <c r="Q362" s="101">
        <f t="shared" si="147"/>
        <v>55.87</v>
      </c>
      <c r="R362" s="101">
        <f t="shared" si="147"/>
        <v>55.87</v>
      </c>
      <c r="S362" s="101">
        <f t="shared" si="147"/>
        <v>55.87</v>
      </c>
      <c r="T362" s="101">
        <f t="shared" si="147"/>
        <v>55.87</v>
      </c>
      <c r="U362" s="101">
        <f t="shared" si="147"/>
        <v>55.87</v>
      </c>
      <c r="V362" s="101">
        <f t="shared" si="147"/>
        <v>55.87</v>
      </c>
      <c r="W362" s="101">
        <f t="shared" si="147"/>
        <v>0</v>
      </c>
      <c r="X362" s="101">
        <f t="shared" si="147"/>
        <v>0</v>
      </c>
      <c r="Y362" s="101">
        <f t="shared" si="147"/>
        <v>0</v>
      </c>
      <c r="Z362" s="101">
        <f t="shared" si="147"/>
        <v>0</v>
      </c>
      <c r="AA362" s="101">
        <f t="shared" si="147"/>
        <v>0</v>
      </c>
      <c r="AB362" s="22"/>
    </row>
    <row r="363" spans="1:28" s="23" customFormat="1" ht="10.199999999999999" x14ac:dyDescent="0.2">
      <c r="A363" s="22"/>
      <c r="B363" s="22"/>
      <c r="C363" s="22"/>
      <c r="D363" s="22"/>
      <c r="E363" s="22" t="str">
        <f>E353</f>
        <v>начисления в соцфонды</v>
      </c>
      <c r="F363" s="22"/>
      <c r="G363" s="22" t="str">
        <f>IF($E363="","",INDEX(KPI!$G:$G,SUMIFS(KPI!$B:$B,KPI!$E:$E,$E363)))</f>
        <v>тыс.руб.</v>
      </c>
      <c r="H363" s="100">
        <f>структура!$V$21</f>
        <v>10</v>
      </c>
      <c r="I363" s="31"/>
      <c r="J363" s="98" t="str">
        <f>структура!$X$21</f>
        <v>окт</v>
      </c>
      <c r="K363" s="99"/>
      <c r="L363" s="22"/>
      <c r="M363" s="58"/>
      <c r="N363" s="22"/>
      <c r="O363" s="22"/>
      <c r="P363" s="101">
        <f t="shared" ref="P363:AA363" si="148">IF(P$1="",0,P345*$J$350)</f>
        <v>55.87</v>
      </c>
      <c r="Q363" s="101">
        <f t="shared" si="148"/>
        <v>55.87</v>
      </c>
      <c r="R363" s="101">
        <f t="shared" si="148"/>
        <v>55.87</v>
      </c>
      <c r="S363" s="101">
        <f t="shared" si="148"/>
        <v>55.87</v>
      </c>
      <c r="T363" s="101">
        <f t="shared" si="148"/>
        <v>55.87</v>
      </c>
      <c r="U363" s="101">
        <f t="shared" si="148"/>
        <v>55.87</v>
      </c>
      <c r="V363" s="101">
        <f t="shared" si="148"/>
        <v>55.87</v>
      </c>
      <c r="W363" s="101">
        <f t="shared" si="148"/>
        <v>0</v>
      </c>
      <c r="X363" s="101">
        <f t="shared" si="148"/>
        <v>0</v>
      </c>
      <c r="Y363" s="101">
        <f t="shared" si="148"/>
        <v>0</v>
      </c>
      <c r="Z363" s="101">
        <f t="shared" si="148"/>
        <v>0</v>
      </c>
      <c r="AA363" s="101">
        <f t="shared" si="148"/>
        <v>0</v>
      </c>
      <c r="AB363" s="22"/>
    </row>
    <row r="364" spans="1:28" s="23" customFormat="1" ht="10.199999999999999" x14ac:dyDescent="0.2">
      <c r="A364" s="22"/>
      <c r="B364" s="22"/>
      <c r="C364" s="22"/>
      <c r="D364" s="22"/>
      <c r="E364" s="22" t="str">
        <f>E353</f>
        <v>начисления в соцфонды</v>
      </c>
      <c r="F364" s="22"/>
      <c r="G364" s="22" t="str">
        <f>IF($E364="","",INDEX(KPI!$G:$G,SUMIFS(KPI!$B:$B,KPI!$E:$E,$E364)))</f>
        <v>тыс.руб.</v>
      </c>
      <c r="H364" s="100">
        <f>структура!$V$22</f>
        <v>11</v>
      </c>
      <c r="I364" s="31"/>
      <c r="J364" s="98" t="str">
        <f>структура!$X$22</f>
        <v>ноя</v>
      </c>
      <c r="K364" s="99"/>
      <c r="L364" s="22"/>
      <c r="M364" s="58"/>
      <c r="N364" s="22"/>
      <c r="O364" s="22"/>
      <c r="P364" s="101">
        <f t="shared" ref="P364:AA364" si="149">IF(P$1="",0,P346*$J$350)</f>
        <v>55.87</v>
      </c>
      <c r="Q364" s="101">
        <f t="shared" si="149"/>
        <v>55.87</v>
      </c>
      <c r="R364" s="101">
        <f t="shared" si="149"/>
        <v>55.87</v>
      </c>
      <c r="S364" s="101">
        <f t="shared" si="149"/>
        <v>55.87</v>
      </c>
      <c r="T364" s="101">
        <f t="shared" si="149"/>
        <v>55.87</v>
      </c>
      <c r="U364" s="101">
        <f t="shared" si="149"/>
        <v>55.87</v>
      </c>
      <c r="V364" s="101">
        <f t="shared" si="149"/>
        <v>55.87</v>
      </c>
      <c r="W364" s="101">
        <f t="shared" si="149"/>
        <v>0</v>
      </c>
      <c r="X364" s="101">
        <f t="shared" si="149"/>
        <v>0</v>
      </c>
      <c r="Y364" s="101">
        <f t="shared" si="149"/>
        <v>0</v>
      </c>
      <c r="Z364" s="101">
        <f t="shared" si="149"/>
        <v>0</v>
      </c>
      <c r="AA364" s="101">
        <f t="shared" si="149"/>
        <v>0</v>
      </c>
      <c r="AB364" s="22"/>
    </row>
    <row r="365" spans="1:28" s="23" customFormat="1" ht="10.199999999999999" x14ac:dyDescent="0.2">
      <c r="A365" s="22"/>
      <c r="B365" s="22"/>
      <c r="C365" s="22"/>
      <c r="D365" s="22"/>
      <c r="E365" s="22" t="str">
        <f>E353</f>
        <v>начисления в соцфонды</v>
      </c>
      <c r="F365" s="22"/>
      <c r="G365" s="22" t="str">
        <f>IF($E365="","",INDEX(KPI!$G:$G,SUMIFS(KPI!$B:$B,KPI!$E:$E,$E365)))</f>
        <v>тыс.руб.</v>
      </c>
      <c r="H365" s="100">
        <f>структура!$V$23</f>
        <v>12</v>
      </c>
      <c r="I365" s="31"/>
      <c r="J365" s="98" t="str">
        <f>структура!$X$23</f>
        <v>дек</v>
      </c>
      <c r="K365" s="99"/>
      <c r="L365" s="22"/>
      <c r="M365" s="58"/>
      <c r="N365" s="22"/>
      <c r="O365" s="22"/>
      <c r="P365" s="101">
        <f t="shared" ref="P365:AA365" si="150">IF(P$1="",0,P347*$J$350)</f>
        <v>55.87</v>
      </c>
      <c r="Q365" s="101">
        <f t="shared" si="150"/>
        <v>55.87</v>
      </c>
      <c r="R365" s="101">
        <f t="shared" si="150"/>
        <v>55.87</v>
      </c>
      <c r="S365" s="101">
        <f t="shared" si="150"/>
        <v>55.87</v>
      </c>
      <c r="T365" s="101">
        <f t="shared" si="150"/>
        <v>55.87</v>
      </c>
      <c r="U365" s="101">
        <f t="shared" si="150"/>
        <v>55.87</v>
      </c>
      <c r="V365" s="101">
        <f t="shared" si="150"/>
        <v>55.87</v>
      </c>
      <c r="W365" s="101">
        <f t="shared" si="150"/>
        <v>0</v>
      </c>
      <c r="X365" s="101">
        <f t="shared" si="150"/>
        <v>0</v>
      </c>
      <c r="Y365" s="101">
        <f t="shared" si="150"/>
        <v>0</v>
      </c>
      <c r="Z365" s="101">
        <f t="shared" si="150"/>
        <v>0</v>
      </c>
      <c r="AA365" s="101">
        <f t="shared" si="150"/>
        <v>0</v>
      </c>
      <c r="AB365" s="22"/>
    </row>
    <row r="366" spans="1:28" ht="3.9" customHeight="1" x14ac:dyDescent="0.25">
      <c r="A366" s="2"/>
      <c r="B366" s="2"/>
      <c r="C366" s="2"/>
      <c r="D366" s="2"/>
      <c r="E366" s="21"/>
      <c r="F366" s="2"/>
      <c r="G366" s="21"/>
      <c r="H366" s="2"/>
      <c r="I366" s="28"/>
      <c r="J366" s="21"/>
      <c r="K366" s="28"/>
      <c r="L366" s="2"/>
      <c r="M366" s="52"/>
      <c r="N366" s="2"/>
      <c r="O366" s="2"/>
      <c r="P366" s="36"/>
      <c r="Q366" s="36"/>
      <c r="R366" s="36"/>
      <c r="S366" s="36"/>
      <c r="T366" s="36"/>
      <c r="U366" s="36"/>
      <c r="V366" s="36"/>
      <c r="W366" s="36"/>
      <c r="X366" s="36"/>
      <c r="Y366" s="36"/>
      <c r="Z366" s="36"/>
      <c r="AA366" s="36"/>
      <c r="AB366" s="2"/>
    </row>
    <row r="367" spans="1:28" ht="8.1" customHeight="1" x14ac:dyDescent="0.25">
      <c r="A367" s="2"/>
      <c r="B367" s="2"/>
      <c r="C367" s="2"/>
      <c r="D367" s="2"/>
      <c r="E367" s="2"/>
      <c r="F367" s="2"/>
      <c r="G367" s="2"/>
      <c r="H367" s="2"/>
      <c r="I367" s="28"/>
      <c r="J367" s="2"/>
      <c r="K367" s="28"/>
      <c r="L367" s="2"/>
      <c r="M367" s="52"/>
      <c r="N367" s="2"/>
      <c r="O367" s="2"/>
      <c r="P367" s="36"/>
      <c r="Q367" s="36"/>
      <c r="R367" s="36"/>
      <c r="S367" s="36"/>
      <c r="T367" s="36"/>
      <c r="U367" s="36"/>
      <c r="V367" s="36"/>
      <c r="W367" s="36"/>
      <c r="X367" s="36"/>
      <c r="Y367" s="36"/>
      <c r="Z367" s="36"/>
      <c r="AA367" s="36"/>
      <c r="AB367" s="2"/>
    </row>
    <row r="368" spans="1:28" s="5" customFormat="1" x14ac:dyDescent="0.25">
      <c r="A368" s="3"/>
      <c r="B368" s="3"/>
      <c r="C368" s="3"/>
      <c r="D368" s="111"/>
      <c r="E368" s="3" t="str">
        <f>KPI!$E$60</f>
        <v>оплаты в соцфонды</v>
      </c>
      <c r="F368" s="3"/>
      <c r="G368" s="3" t="str">
        <f>IF($E368="","",INDEX(KPI!$G:$G,SUMIFS(KPI!$B:$B,KPI!$E:$E,$E368)))</f>
        <v>тыс.руб.</v>
      </c>
      <c r="H368" s="116" t="str">
        <f>структура!$AL$20</f>
        <v>Заложен сдвиг на один месяц!</v>
      </c>
      <c r="I368" s="28"/>
      <c r="J368" s="44"/>
      <c r="K368" s="28"/>
      <c r="L368" s="3"/>
      <c r="M368" s="55">
        <f>SUM($O368:$AB368)</f>
        <v>4637.21</v>
      </c>
      <c r="N368" s="3"/>
      <c r="O368" s="3"/>
      <c r="P368" s="46">
        <f>IF(P$1="",0,IF(P$1=0,SUMIFS(P369:P380,H369:H380,"&gt;="&amp;MONTH($J$13)),SUM(P369:P380)))</f>
        <v>614.56999999999994</v>
      </c>
      <c r="Q368" s="46">
        <f t="shared" ref="Q368" si="151">IF(Q$1="",0,SUM(Q369:Q380))</f>
        <v>670.43999999999994</v>
      </c>
      <c r="R368" s="46">
        <f t="shared" ref="R368:AA368" si="152">IF(R$1="",0,SUM(R369:R380))</f>
        <v>670.43999999999994</v>
      </c>
      <c r="S368" s="46">
        <f t="shared" si="152"/>
        <v>670.43999999999994</v>
      </c>
      <c r="T368" s="46">
        <f t="shared" si="152"/>
        <v>670.43999999999994</v>
      </c>
      <c r="U368" s="46">
        <f t="shared" si="152"/>
        <v>670.43999999999994</v>
      </c>
      <c r="V368" s="46">
        <f t="shared" si="152"/>
        <v>670.43999999999994</v>
      </c>
      <c r="W368" s="46">
        <f t="shared" si="152"/>
        <v>0</v>
      </c>
      <c r="X368" s="46">
        <f t="shared" si="152"/>
        <v>0</v>
      </c>
      <c r="Y368" s="46">
        <f t="shared" si="152"/>
        <v>0</v>
      </c>
      <c r="Z368" s="46">
        <f t="shared" si="152"/>
        <v>0</v>
      </c>
      <c r="AA368" s="46">
        <f t="shared" si="152"/>
        <v>0</v>
      </c>
      <c r="AB368" s="3"/>
    </row>
    <row r="369" spans="1:28" s="23" customFormat="1" ht="10.199999999999999" x14ac:dyDescent="0.2">
      <c r="A369" s="22"/>
      <c r="B369" s="22"/>
      <c r="C369" s="22"/>
      <c r="D369" s="22"/>
      <c r="E369" s="22" t="str">
        <f>E368</f>
        <v>оплаты в соцфонды</v>
      </c>
      <c r="F369" s="22"/>
      <c r="G369" s="22" t="str">
        <f>IF($E369="","",INDEX(KPI!$G:$G,SUMIFS(KPI!$B:$B,KPI!$E:$E,$E369)))</f>
        <v>тыс.руб.</v>
      </c>
      <c r="H369" s="100">
        <f>структура!$V$12</f>
        <v>1</v>
      </c>
      <c r="I369" s="31"/>
      <c r="J369" s="98" t="str">
        <f>структура!$X$12</f>
        <v>янв</v>
      </c>
      <c r="K369" s="99"/>
      <c r="L369" s="22"/>
      <c r="M369" s="58"/>
      <c r="N369" s="22"/>
      <c r="O369" s="22"/>
      <c r="P369" s="101">
        <f t="shared" ref="P369" si="153">IF(P$1="",0,O365)</f>
        <v>0</v>
      </c>
      <c r="Q369" s="101">
        <f>IF(Q$1="",0,P365)</f>
        <v>55.87</v>
      </c>
      <c r="R369" s="101">
        <f t="shared" ref="R369:AA369" si="154">IF(R$1="",0,Q365)</f>
        <v>55.87</v>
      </c>
      <c r="S369" s="101">
        <f t="shared" si="154"/>
        <v>55.87</v>
      </c>
      <c r="T369" s="101">
        <f t="shared" si="154"/>
        <v>55.87</v>
      </c>
      <c r="U369" s="101">
        <f t="shared" si="154"/>
        <v>55.87</v>
      </c>
      <c r="V369" s="101">
        <f t="shared" si="154"/>
        <v>55.87</v>
      </c>
      <c r="W369" s="101">
        <f t="shared" si="154"/>
        <v>0</v>
      </c>
      <c r="X369" s="101">
        <f t="shared" si="154"/>
        <v>0</v>
      </c>
      <c r="Y369" s="101">
        <f t="shared" si="154"/>
        <v>0</v>
      </c>
      <c r="Z369" s="101">
        <f t="shared" si="154"/>
        <v>0</v>
      </c>
      <c r="AA369" s="101">
        <f t="shared" si="154"/>
        <v>0</v>
      </c>
      <c r="AB369" s="22"/>
    </row>
    <row r="370" spans="1:28" s="23" customFormat="1" ht="10.199999999999999" x14ac:dyDescent="0.2">
      <c r="A370" s="22"/>
      <c r="B370" s="22"/>
      <c r="C370" s="22"/>
      <c r="D370" s="22"/>
      <c r="E370" s="22" t="str">
        <f>E368</f>
        <v>оплаты в соцфонды</v>
      </c>
      <c r="F370" s="22"/>
      <c r="G370" s="22" t="str">
        <f>IF($E370="","",INDEX(KPI!$G:$G,SUMIFS(KPI!$B:$B,KPI!$E:$E,$E370)))</f>
        <v>тыс.руб.</v>
      </c>
      <c r="H370" s="100">
        <f>структура!$V$13</f>
        <v>2</v>
      </c>
      <c r="I370" s="31"/>
      <c r="J370" s="98" t="str">
        <f>структура!$X$13</f>
        <v>фев</v>
      </c>
      <c r="K370" s="99"/>
      <c r="L370" s="22"/>
      <c r="M370" s="58"/>
      <c r="N370" s="22"/>
      <c r="O370" s="22"/>
      <c r="P370" s="101">
        <f>IF(P$1="",0,P354)</f>
        <v>55.87</v>
      </c>
      <c r="Q370" s="101">
        <f t="shared" ref="Q370:AA370" si="155">IF(Q$1="",0,Q354)</f>
        <v>55.87</v>
      </c>
      <c r="R370" s="101">
        <f t="shared" si="155"/>
        <v>55.87</v>
      </c>
      <c r="S370" s="101">
        <f t="shared" si="155"/>
        <v>55.87</v>
      </c>
      <c r="T370" s="101">
        <f t="shared" si="155"/>
        <v>55.87</v>
      </c>
      <c r="U370" s="101">
        <f t="shared" si="155"/>
        <v>55.87</v>
      </c>
      <c r="V370" s="101">
        <f t="shared" si="155"/>
        <v>55.87</v>
      </c>
      <c r="W370" s="101">
        <f t="shared" si="155"/>
        <v>0</v>
      </c>
      <c r="X370" s="101">
        <f t="shared" si="155"/>
        <v>0</v>
      </c>
      <c r="Y370" s="101">
        <f t="shared" si="155"/>
        <v>0</v>
      </c>
      <c r="Z370" s="101">
        <f t="shared" si="155"/>
        <v>0</v>
      </c>
      <c r="AA370" s="101">
        <f t="shared" si="155"/>
        <v>0</v>
      </c>
      <c r="AB370" s="22"/>
    </row>
    <row r="371" spans="1:28" s="23" customFormat="1" ht="10.199999999999999" x14ac:dyDescent="0.2">
      <c r="A371" s="22"/>
      <c r="B371" s="22"/>
      <c r="C371" s="22"/>
      <c r="D371" s="22"/>
      <c r="E371" s="22" t="str">
        <f>E368</f>
        <v>оплаты в соцфонды</v>
      </c>
      <c r="F371" s="22"/>
      <c r="G371" s="22" t="str">
        <f>IF($E371="","",INDEX(KPI!$G:$G,SUMIFS(KPI!$B:$B,KPI!$E:$E,$E371)))</f>
        <v>тыс.руб.</v>
      </c>
      <c r="H371" s="100">
        <f>структура!$V$14</f>
        <v>3</v>
      </c>
      <c r="I371" s="31"/>
      <c r="J371" s="98" t="str">
        <f>структура!$X$14</f>
        <v>мар</v>
      </c>
      <c r="K371" s="99"/>
      <c r="L371" s="22"/>
      <c r="M371" s="58"/>
      <c r="N371" s="22"/>
      <c r="O371" s="22"/>
      <c r="P371" s="101">
        <f t="shared" ref="P371:AA371" si="156">IF(P$1="",0,P355)</f>
        <v>55.87</v>
      </c>
      <c r="Q371" s="101">
        <f t="shared" si="156"/>
        <v>55.87</v>
      </c>
      <c r="R371" s="101">
        <f t="shared" si="156"/>
        <v>55.87</v>
      </c>
      <c r="S371" s="101">
        <f t="shared" si="156"/>
        <v>55.87</v>
      </c>
      <c r="T371" s="101">
        <f t="shared" si="156"/>
        <v>55.87</v>
      </c>
      <c r="U371" s="101">
        <f t="shared" si="156"/>
        <v>55.87</v>
      </c>
      <c r="V371" s="101">
        <f t="shared" si="156"/>
        <v>55.87</v>
      </c>
      <c r="W371" s="101">
        <f t="shared" si="156"/>
        <v>0</v>
      </c>
      <c r="X371" s="101">
        <f t="shared" si="156"/>
        <v>0</v>
      </c>
      <c r="Y371" s="101">
        <f t="shared" si="156"/>
        <v>0</v>
      </c>
      <c r="Z371" s="101">
        <f t="shared" si="156"/>
        <v>0</v>
      </c>
      <c r="AA371" s="101">
        <f t="shared" si="156"/>
        <v>0</v>
      </c>
      <c r="AB371" s="22"/>
    </row>
    <row r="372" spans="1:28" s="23" customFormat="1" ht="10.199999999999999" x14ac:dyDescent="0.2">
      <c r="A372" s="22"/>
      <c r="B372" s="22"/>
      <c r="C372" s="22"/>
      <c r="D372" s="22"/>
      <c r="E372" s="22" t="str">
        <f>E368</f>
        <v>оплаты в соцфонды</v>
      </c>
      <c r="F372" s="22"/>
      <c r="G372" s="22" t="str">
        <f>IF($E372="","",INDEX(KPI!$G:$G,SUMIFS(KPI!$B:$B,KPI!$E:$E,$E372)))</f>
        <v>тыс.руб.</v>
      </c>
      <c r="H372" s="100">
        <f>структура!$V$15</f>
        <v>4</v>
      </c>
      <c r="I372" s="31"/>
      <c r="J372" s="98" t="str">
        <f>структура!$X$15</f>
        <v>апр</v>
      </c>
      <c r="K372" s="99"/>
      <c r="L372" s="22"/>
      <c r="M372" s="58"/>
      <c r="N372" s="22"/>
      <c r="O372" s="22"/>
      <c r="P372" s="101">
        <f t="shared" ref="P372" si="157">IF(P$1="",0,P356)</f>
        <v>55.87</v>
      </c>
      <c r="Q372" s="101">
        <f>IF(Q$1="",0,Q356)</f>
        <v>55.87</v>
      </c>
      <c r="R372" s="101">
        <f t="shared" ref="R372:AA372" si="158">IF(R$1="",0,R356)</f>
        <v>55.87</v>
      </c>
      <c r="S372" s="101">
        <f t="shared" si="158"/>
        <v>55.87</v>
      </c>
      <c r="T372" s="101">
        <f t="shared" si="158"/>
        <v>55.87</v>
      </c>
      <c r="U372" s="101">
        <f t="shared" si="158"/>
        <v>55.87</v>
      </c>
      <c r="V372" s="101">
        <f t="shared" si="158"/>
        <v>55.87</v>
      </c>
      <c r="W372" s="101">
        <f t="shared" si="158"/>
        <v>0</v>
      </c>
      <c r="X372" s="101">
        <f t="shared" si="158"/>
        <v>0</v>
      </c>
      <c r="Y372" s="101">
        <f t="shared" si="158"/>
        <v>0</v>
      </c>
      <c r="Z372" s="101">
        <f t="shared" si="158"/>
        <v>0</v>
      </c>
      <c r="AA372" s="101">
        <f t="shared" si="158"/>
        <v>0</v>
      </c>
      <c r="AB372" s="22"/>
    </row>
    <row r="373" spans="1:28" s="23" customFormat="1" ht="10.199999999999999" x14ac:dyDescent="0.2">
      <c r="A373" s="22"/>
      <c r="B373" s="22"/>
      <c r="C373" s="22"/>
      <c r="D373" s="22"/>
      <c r="E373" s="22" t="str">
        <f>E368</f>
        <v>оплаты в соцфонды</v>
      </c>
      <c r="F373" s="22"/>
      <c r="G373" s="22" t="str">
        <f>IF($E373="","",INDEX(KPI!$G:$G,SUMIFS(KPI!$B:$B,KPI!$E:$E,$E373)))</f>
        <v>тыс.руб.</v>
      </c>
      <c r="H373" s="100">
        <f>структура!$V$16</f>
        <v>5</v>
      </c>
      <c r="I373" s="31"/>
      <c r="J373" s="98" t="str">
        <f>структура!$X$16</f>
        <v>май</v>
      </c>
      <c r="K373" s="99"/>
      <c r="L373" s="22"/>
      <c r="M373" s="58"/>
      <c r="N373" s="22"/>
      <c r="O373" s="22"/>
      <c r="P373" s="101">
        <f t="shared" ref="P373:AA373" si="159">IF(P$1="",0,P357)</f>
        <v>55.87</v>
      </c>
      <c r="Q373" s="101">
        <f t="shared" si="159"/>
        <v>55.87</v>
      </c>
      <c r="R373" s="101">
        <f t="shared" si="159"/>
        <v>55.87</v>
      </c>
      <c r="S373" s="101">
        <f t="shared" si="159"/>
        <v>55.87</v>
      </c>
      <c r="T373" s="101">
        <f t="shared" si="159"/>
        <v>55.87</v>
      </c>
      <c r="U373" s="101">
        <f t="shared" si="159"/>
        <v>55.87</v>
      </c>
      <c r="V373" s="101">
        <f t="shared" si="159"/>
        <v>55.87</v>
      </c>
      <c r="W373" s="101">
        <f t="shared" si="159"/>
        <v>0</v>
      </c>
      <c r="X373" s="101">
        <f t="shared" si="159"/>
        <v>0</v>
      </c>
      <c r="Y373" s="101">
        <f t="shared" si="159"/>
        <v>0</v>
      </c>
      <c r="Z373" s="101">
        <f t="shared" si="159"/>
        <v>0</v>
      </c>
      <c r="AA373" s="101">
        <f t="shared" si="159"/>
        <v>0</v>
      </c>
      <c r="AB373" s="22"/>
    </row>
    <row r="374" spans="1:28" s="23" customFormat="1" ht="10.199999999999999" x14ac:dyDescent="0.2">
      <c r="A374" s="22"/>
      <c r="B374" s="22"/>
      <c r="C374" s="22"/>
      <c r="D374" s="22"/>
      <c r="E374" s="22" t="str">
        <f>E368</f>
        <v>оплаты в соцфонды</v>
      </c>
      <c r="F374" s="22"/>
      <c r="G374" s="22" t="str">
        <f>IF($E374="","",INDEX(KPI!$G:$G,SUMIFS(KPI!$B:$B,KPI!$E:$E,$E374)))</f>
        <v>тыс.руб.</v>
      </c>
      <c r="H374" s="100">
        <f>структура!$V$17</f>
        <v>6</v>
      </c>
      <c r="I374" s="31"/>
      <c r="J374" s="98" t="str">
        <f>структура!$X$17</f>
        <v>июн</v>
      </c>
      <c r="K374" s="99"/>
      <c r="L374" s="22"/>
      <c r="M374" s="58"/>
      <c r="N374" s="22"/>
      <c r="O374" s="22"/>
      <c r="P374" s="101">
        <f t="shared" ref="P374:AA374" si="160">IF(P$1="",0,P358)</f>
        <v>55.87</v>
      </c>
      <c r="Q374" s="101">
        <f t="shared" si="160"/>
        <v>55.87</v>
      </c>
      <c r="R374" s="101">
        <f t="shared" si="160"/>
        <v>55.87</v>
      </c>
      <c r="S374" s="101">
        <f t="shared" si="160"/>
        <v>55.87</v>
      </c>
      <c r="T374" s="101">
        <f t="shared" si="160"/>
        <v>55.87</v>
      </c>
      <c r="U374" s="101">
        <f t="shared" si="160"/>
        <v>55.87</v>
      </c>
      <c r="V374" s="101">
        <f t="shared" si="160"/>
        <v>55.87</v>
      </c>
      <c r="W374" s="101">
        <f t="shared" si="160"/>
        <v>0</v>
      </c>
      <c r="X374" s="101">
        <f t="shared" si="160"/>
        <v>0</v>
      </c>
      <c r="Y374" s="101">
        <f t="shared" si="160"/>
        <v>0</v>
      </c>
      <c r="Z374" s="101">
        <f t="shared" si="160"/>
        <v>0</v>
      </c>
      <c r="AA374" s="101">
        <f t="shared" si="160"/>
        <v>0</v>
      </c>
      <c r="AB374" s="22"/>
    </row>
    <row r="375" spans="1:28" s="23" customFormat="1" ht="10.199999999999999" x14ac:dyDescent="0.2">
      <c r="A375" s="22"/>
      <c r="B375" s="22"/>
      <c r="C375" s="22"/>
      <c r="D375" s="22"/>
      <c r="E375" s="22" t="str">
        <f>E368</f>
        <v>оплаты в соцфонды</v>
      </c>
      <c r="F375" s="22"/>
      <c r="G375" s="22" t="str">
        <f>IF($E375="","",INDEX(KPI!$G:$G,SUMIFS(KPI!$B:$B,KPI!$E:$E,$E375)))</f>
        <v>тыс.руб.</v>
      </c>
      <c r="H375" s="100">
        <f>структура!$V$18</f>
        <v>7</v>
      </c>
      <c r="I375" s="31"/>
      <c r="J375" s="98" t="str">
        <f>структура!$X$18</f>
        <v>июл</v>
      </c>
      <c r="K375" s="99"/>
      <c r="L375" s="22"/>
      <c r="M375" s="58"/>
      <c r="N375" s="22"/>
      <c r="O375" s="22"/>
      <c r="P375" s="101">
        <f t="shared" ref="P375:AA375" si="161">IF(P$1="",0,P359)</f>
        <v>55.87</v>
      </c>
      <c r="Q375" s="101">
        <f t="shared" si="161"/>
        <v>55.87</v>
      </c>
      <c r="R375" s="101">
        <f t="shared" si="161"/>
        <v>55.87</v>
      </c>
      <c r="S375" s="101">
        <f t="shared" si="161"/>
        <v>55.87</v>
      </c>
      <c r="T375" s="101">
        <f t="shared" si="161"/>
        <v>55.87</v>
      </c>
      <c r="U375" s="101">
        <f t="shared" si="161"/>
        <v>55.87</v>
      </c>
      <c r="V375" s="101">
        <f t="shared" si="161"/>
        <v>55.87</v>
      </c>
      <c r="W375" s="101">
        <f t="shared" si="161"/>
        <v>0</v>
      </c>
      <c r="X375" s="101">
        <f t="shared" si="161"/>
        <v>0</v>
      </c>
      <c r="Y375" s="101">
        <f t="shared" si="161"/>
        <v>0</v>
      </c>
      <c r="Z375" s="101">
        <f t="shared" si="161"/>
        <v>0</v>
      </c>
      <c r="AA375" s="101">
        <f t="shared" si="161"/>
        <v>0</v>
      </c>
      <c r="AB375" s="22"/>
    </row>
    <row r="376" spans="1:28" s="23" customFormat="1" ht="10.199999999999999" x14ac:dyDescent="0.2">
      <c r="A376" s="22"/>
      <c r="B376" s="22"/>
      <c r="C376" s="22"/>
      <c r="D376" s="22"/>
      <c r="E376" s="22" t="str">
        <f>E368</f>
        <v>оплаты в соцфонды</v>
      </c>
      <c r="F376" s="22"/>
      <c r="G376" s="22" t="str">
        <f>IF($E376="","",INDEX(KPI!$G:$G,SUMIFS(KPI!$B:$B,KPI!$E:$E,$E376)))</f>
        <v>тыс.руб.</v>
      </c>
      <c r="H376" s="100">
        <f>структура!$V$19</f>
        <v>8</v>
      </c>
      <c r="I376" s="31"/>
      <c r="J376" s="98" t="str">
        <f>структура!$X$19</f>
        <v>авг</v>
      </c>
      <c r="K376" s="99"/>
      <c r="L376" s="22"/>
      <c r="M376" s="58"/>
      <c r="N376" s="22"/>
      <c r="O376" s="22"/>
      <c r="P376" s="101">
        <f t="shared" ref="P376:AA376" si="162">IF(P$1="",0,P360)</f>
        <v>55.87</v>
      </c>
      <c r="Q376" s="101">
        <f t="shared" si="162"/>
        <v>55.87</v>
      </c>
      <c r="R376" s="101">
        <f t="shared" si="162"/>
        <v>55.87</v>
      </c>
      <c r="S376" s="101">
        <f t="shared" si="162"/>
        <v>55.87</v>
      </c>
      <c r="T376" s="101">
        <f t="shared" si="162"/>
        <v>55.87</v>
      </c>
      <c r="U376" s="101">
        <f t="shared" si="162"/>
        <v>55.87</v>
      </c>
      <c r="V376" s="101">
        <f t="shared" si="162"/>
        <v>55.87</v>
      </c>
      <c r="W376" s="101">
        <f t="shared" si="162"/>
        <v>0</v>
      </c>
      <c r="X376" s="101">
        <f t="shared" si="162"/>
        <v>0</v>
      </c>
      <c r="Y376" s="101">
        <f t="shared" si="162"/>
        <v>0</v>
      </c>
      <c r="Z376" s="101">
        <f t="shared" si="162"/>
        <v>0</v>
      </c>
      <c r="AA376" s="101">
        <f t="shared" si="162"/>
        <v>0</v>
      </c>
      <c r="AB376" s="22"/>
    </row>
    <row r="377" spans="1:28" s="23" customFormat="1" ht="10.199999999999999" x14ac:dyDescent="0.2">
      <c r="A377" s="22"/>
      <c r="B377" s="22"/>
      <c r="C377" s="22"/>
      <c r="D377" s="22"/>
      <c r="E377" s="22" t="str">
        <f>E368</f>
        <v>оплаты в соцфонды</v>
      </c>
      <c r="F377" s="22"/>
      <c r="G377" s="22" t="str">
        <f>IF($E377="","",INDEX(KPI!$G:$G,SUMIFS(KPI!$B:$B,KPI!$E:$E,$E377)))</f>
        <v>тыс.руб.</v>
      </c>
      <c r="H377" s="100">
        <f>структура!$V$20</f>
        <v>9</v>
      </c>
      <c r="I377" s="31"/>
      <c r="J377" s="98" t="str">
        <f>структура!$X$20</f>
        <v>сен</v>
      </c>
      <c r="K377" s="99"/>
      <c r="L377" s="22"/>
      <c r="M377" s="58"/>
      <c r="N377" s="22"/>
      <c r="O377" s="22"/>
      <c r="P377" s="101">
        <f t="shared" ref="P377:AA377" si="163">IF(P$1="",0,P361)</f>
        <v>55.87</v>
      </c>
      <c r="Q377" s="101">
        <f t="shared" si="163"/>
        <v>55.87</v>
      </c>
      <c r="R377" s="101">
        <f t="shared" si="163"/>
        <v>55.87</v>
      </c>
      <c r="S377" s="101">
        <f t="shared" si="163"/>
        <v>55.87</v>
      </c>
      <c r="T377" s="101">
        <f t="shared" si="163"/>
        <v>55.87</v>
      </c>
      <c r="U377" s="101">
        <f t="shared" si="163"/>
        <v>55.87</v>
      </c>
      <c r="V377" s="101">
        <f t="shared" si="163"/>
        <v>55.87</v>
      </c>
      <c r="W377" s="101">
        <f t="shared" si="163"/>
        <v>0</v>
      </c>
      <c r="X377" s="101">
        <f t="shared" si="163"/>
        <v>0</v>
      </c>
      <c r="Y377" s="101">
        <f t="shared" si="163"/>
        <v>0</v>
      </c>
      <c r="Z377" s="101">
        <f t="shared" si="163"/>
        <v>0</v>
      </c>
      <c r="AA377" s="101">
        <f t="shared" si="163"/>
        <v>0</v>
      </c>
      <c r="AB377" s="22"/>
    </row>
    <row r="378" spans="1:28" s="23" customFormat="1" ht="10.199999999999999" x14ac:dyDescent="0.2">
      <c r="A378" s="22"/>
      <c r="B378" s="22"/>
      <c r="C378" s="22"/>
      <c r="D378" s="22"/>
      <c r="E378" s="22" t="str">
        <f>E368</f>
        <v>оплаты в соцфонды</v>
      </c>
      <c r="F378" s="22"/>
      <c r="G378" s="22" t="str">
        <f>IF($E378="","",INDEX(KPI!$G:$G,SUMIFS(KPI!$B:$B,KPI!$E:$E,$E378)))</f>
        <v>тыс.руб.</v>
      </c>
      <c r="H378" s="100">
        <f>структура!$V$21</f>
        <v>10</v>
      </c>
      <c r="I378" s="31"/>
      <c r="J378" s="98" t="str">
        <f>структура!$X$21</f>
        <v>окт</v>
      </c>
      <c r="K378" s="99"/>
      <c r="L378" s="22"/>
      <c r="M378" s="58"/>
      <c r="N378" s="22"/>
      <c r="O378" s="22"/>
      <c r="P378" s="101">
        <f t="shared" ref="P378:AA378" si="164">IF(P$1="",0,P362)</f>
        <v>55.87</v>
      </c>
      <c r="Q378" s="101">
        <f t="shared" si="164"/>
        <v>55.87</v>
      </c>
      <c r="R378" s="101">
        <f t="shared" si="164"/>
        <v>55.87</v>
      </c>
      <c r="S378" s="101">
        <f t="shared" si="164"/>
        <v>55.87</v>
      </c>
      <c r="T378" s="101">
        <f t="shared" si="164"/>
        <v>55.87</v>
      </c>
      <c r="U378" s="101">
        <f t="shared" si="164"/>
        <v>55.87</v>
      </c>
      <c r="V378" s="101">
        <f t="shared" si="164"/>
        <v>55.87</v>
      </c>
      <c r="W378" s="101">
        <f t="shared" si="164"/>
        <v>0</v>
      </c>
      <c r="X378" s="101">
        <f t="shared" si="164"/>
        <v>0</v>
      </c>
      <c r="Y378" s="101">
        <f t="shared" si="164"/>
        <v>0</v>
      </c>
      <c r="Z378" s="101">
        <f t="shared" si="164"/>
        <v>0</v>
      </c>
      <c r="AA378" s="101">
        <f t="shared" si="164"/>
        <v>0</v>
      </c>
      <c r="AB378" s="22"/>
    </row>
    <row r="379" spans="1:28" s="23" customFormat="1" ht="10.199999999999999" x14ac:dyDescent="0.2">
      <c r="A379" s="22"/>
      <c r="B379" s="22"/>
      <c r="C379" s="22"/>
      <c r="D379" s="22"/>
      <c r="E379" s="22" t="str">
        <f>E368</f>
        <v>оплаты в соцфонды</v>
      </c>
      <c r="F379" s="22"/>
      <c r="G379" s="22" t="str">
        <f>IF($E379="","",INDEX(KPI!$G:$G,SUMIFS(KPI!$B:$B,KPI!$E:$E,$E379)))</f>
        <v>тыс.руб.</v>
      </c>
      <c r="H379" s="100">
        <f>структура!$V$22</f>
        <v>11</v>
      </c>
      <c r="I379" s="31"/>
      <c r="J379" s="98" t="str">
        <f>структура!$X$22</f>
        <v>ноя</v>
      </c>
      <c r="K379" s="99"/>
      <c r="L379" s="22"/>
      <c r="M379" s="58"/>
      <c r="N379" s="22"/>
      <c r="O379" s="22"/>
      <c r="P379" s="101">
        <f t="shared" ref="P379" si="165">IF(P$1="",0,P363)</f>
        <v>55.87</v>
      </c>
      <c r="Q379" s="101">
        <f>IF(Q$1="",0,Q363)</f>
        <v>55.87</v>
      </c>
      <c r="R379" s="101">
        <f t="shared" ref="R379:AA379" si="166">IF(R$1="",0,R363)</f>
        <v>55.87</v>
      </c>
      <c r="S379" s="101">
        <f t="shared" si="166"/>
        <v>55.87</v>
      </c>
      <c r="T379" s="101">
        <f t="shared" si="166"/>
        <v>55.87</v>
      </c>
      <c r="U379" s="101">
        <f t="shared" si="166"/>
        <v>55.87</v>
      </c>
      <c r="V379" s="101">
        <f t="shared" si="166"/>
        <v>55.87</v>
      </c>
      <c r="W379" s="101">
        <f t="shared" si="166"/>
        <v>0</v>
      </c>
      <c r="X379" s="101">
        <f t="shared" si="166"/>
        <v>0</v>
      </c>
      <c r="Y379" s="101">
        <f t="shared" si="166"/>
        <v>0</v>
      </c>
      <c r="Z379" s="101">
        <f t="shared" si="166"/>
        <v>0</v>
      </c>
      <c r="AA379" s="101">
        <f t="shared" si="166"/>
        <v>0</v>
      </c>
      <c r="AB379" s="22"/>
    </row>
    <row r="380" spans="1:28" s="23" customFormat="1" ht="10.199999999999999" x14ac:dyDescent="0.2">
      <c r="A380" s="22"/>
      <c r="B380" s="22"/>
      <c r="C380" s="22"/>
      <c r="D380" s="22"/>
      <c r="E380" s="22" t="str">
        <f>E368</f>
        <v>оплаты в соцфонды</v>
      </c>
      <c r="F380" s="22"/>
      <c r="G380" s="22" t="str">
        <f>IF($E380="","",INDEX(KPI!$G:$G,SUMIFS(KPI!$B:$B,KPI!$E:$E,$E380)))</f>
        <v>тыс.руб.</v>
      </c>
      <c r="H380" s="100">
        <f>структура!$V$23</f>
        <v>12</v>
      </c>
      <c r="I380" s="31"/>
      <c r="J380" s="98" t="str">
        <f>структура!$X$23</f>
        <v>дек</v>
      </c>
      <c r="K380" s="99"/>
      <c r="L380" s="22"/>
      <c r="M380" s="58"/>
      <c r="N380" s="22"/>
      <c r="O380" s="22"/>
      <c r="P380" s="101">
        <f t="shared" ref="P380" si="167">IF(P$1="",0,P364)</f>
        <v>55.87</v>
      </c>
      <c r="Q380" s="101">
        <f>IF(Q$1="",0,Q364)</f>
        <v>55.87</v>
      </c>
      <c r="R380" s="101">
        <f t="shared" ref="R380:AA380" si="168">IF(R$1="",0,R364)</f>
        <v>55.87</v>
      </c>
      <c r="S380" s="101">
        <f t="shared" si="168"/>
        <v>55.87</v>
      </c>
      <c r="T380" s="101">
        <f t="shared" si="168"/>
        <v>55.87</v>
      </c>
      <c r="U380" s="101">
        <f t="shared" si="168"/>
        <v>55.87</v>
      </c>
      <c r="V380" s="101">
        <f t="shared" si="168"/>
        <v>55.87</v>
      </c>
      <c r="W380" s="101">
        <f t="shared" si="168"/>
        <v>0</v>
      </c>
      <c r="X380" s="101">
        <f t="shared" si="168"/>
        <v>0</v>
      </c>
      <c r="Y380" s="101">
        <f t="shared" si="168"/>
        <v>0</v>
      </c>
      <c r="Z380" s="101">
        <f t="shared" si="168"/>
        <v>0</v>
      </c>
      <c r="AA380" s="101">
        <f t="shared" si="168"/>
        <v>0</v>
      </c>
      <c r="AB380" s="22"/>
    </row>
    <row r="381" spans="1:28" ht="3.9" customHeight="1" x14ac:dyDescent="0.25">
      <c r="A381" s="2"/>
      <c r="B381" s="2"/>
      <c r="C381" s="2"/>
      <c r="D381" s="2"/>
      <c r="E381" s="21"/>
      <c r="F381" s="2"/>
      <c r="G381" s="21"/>
      <c r="H381" s="2"/>
      <c r="I381" s="28"/>
      <c r="J381" s="21"/>
      <c r="K381" s="28"/>
      <c r="L381" s="2"/>
      <c r="M381" s="52"/>
      <c r="N381" s="2"/>
      <c r="O381" s="2"/>
      <c r="P381" s="36"/>
      <c r="Q381" s="36"/>
      <c r="R381" s="36"/>
      <c r="S381" s="36"/>
      <c r="T381" s="36"/>
      <c r="U381" s="36"/>
      <c r="V381" s="36"/>
      <c r="W381" s="36"/>
      <c r="X381" s="36"/>
      <c r="Y381" s="36"/>
      <c r="Z381" s="36"/>
      <c r="AA381" s="36"/>
      <c r="AB381" s="2"/>
    </row>
    <row r="382" spans="1:28" ht="8.1" customHeight="1" x14ac:dyDescent="0.25">
      <c r="A382" s="2"/>
      <c r="B382" s="2"/>
      <c r="C382" s="2"/>
      <c r="D382" s="2"/>
      <c r="E382" s="2"/>
      <c r="F382" s="2"/>
      <c r="G382" s="2"/>
      <c r="H382" s="2"/>
      <c r="I382" s="28"/>
      <c r="J382" s="2"/>
      <c r="K382" s="28"/>
      <c r="L382" s="2"/>
      <c r="M382" s="52"/>
      <c r="N382" s="2"/>
      <c r="O382" s="2"/>
      <c r="P382" s="36"/>
      <c r="Q382" s="36"/>
      <c r="R382" s="36"/>
      <c r="S382" s="36"/>
      <c r="T382" s="36"/>
      <c r="U382" s="36"/>
      <c r="V382" s="36"/>
      <c r="W382" s="36"/>
      <c r="X382" s="36"/>
      <c r="Y382" s="36"/>
      <c r="Z382" s="36"/>
      <c r="AA382" s="36"/>
      <c r="AB382" s="2"/>
    </row>
    <row r="383" spans="1:28" s="5" customFormat="1" x14ac:dyDescent="0.25">
      <c r="A383" s="3"/>
      <c r="B383" s="3"/>
      <c r="C383" s="3"/>
      <c r="D383" s="3"/>
      <c r="E383" s="3" t="str">
        <f>KPI!$E$61</f>
        <v>доля общехоз. расходов в доходах</v>
      </c>
      <c r="F383" s="3"/>
      <c r="G383" s="3" t="str">
        <f>IF($E383="","",INDEX(KPI!$G:$G,SUMIFS(KPI!$B:$B,KPI!$E:$E,$E383)))</f>
        <v>%</v>
      </c>
      <c r="H383" s="3"/>
      <c r="I383" s="6" t="s">
        <v>0</v>
      </c>
      <c r="J383" s="107">
        <v>7.0000000000000007E-2</v>
      </c>
      <c r="K383" s="28"/>
      <c r="L383" s="2"/>
      <c r="M383" s="52"/>
      <c r="N383" s="3"/>
      <c r="O383" s="2"/>
      <c r="P383" s="36"/>
      <c r="Q383" s="36"/>
      <c r="R383" s="36"/>
      <c r="S383" s="36"/>
      <c r="T383" s="36"/>
      <c r="U383" s="36"/>
      <c r="V383" s="36"/>
      <c r="W383" s="36"/>
      <c r="X383" s="36"/>
      <c r="Y383" s="36"/>
      <c r="Z383" s="36"/>
      <c r="AA383" s="36"/>
      <c r="AB383" s="2"/>
    </row>
    <row r="384" spans="1:28" ht="3.9" customHeight="1" x14ac:dyDescent="0.25">
      <c r="A384" s="2"/>
      <c r="B384" s="2"/>
      <c r="C384" s="2"/>
      <c r="D384" s="2"/>
      <c r="E384" s="110"/>
      <c r="F384" s="2"/>
      <c r="G384" s="2"/>
      <c r="H384" s="2"/>
      <c r="I384" s="28"/>
      <c r="J384" s="2"/>
      <c r="K384" s="28"/>
      <c r="L384" s="2"/>
      <c r="M384" s="52"/>
      <c r="N384" s="2"/>
      <c r="O384" s="2"/>
      <c r="P384" s="36"/>
      <c r="Q384" s="36"/>
      <c r="R384" s="36"/>
      <c r="S384" s="36"/>
      <c r="T384" s="36"/>
      <c r="U384" s="36"/>
      <c r="V384" s="36"/>
      <c r="W384" s="36"/>
      <c r="X384" s="36"/>
      <c r="Y384" s="36"/>
      <c r="Z384" s="36"/>
      <c r="AA384" s="36"/>
      <c r="AB384" s="2"/>
    </row>
    <row r="385" spans="1:28" ht="8.1" customHeight="1" x14ac:dyDescent="0.25">
      <c r="A385" s="2"/>
      <c r="B385" s="2"/>
      <c r="C385" s="2"/>
      <c r="D385" s="2"/>
      <c r="E385" s="2"/>
      <c r="F385" s="2"/>
      <c r="G385" s="2"/>
      <c r="H385" s="2"/>
      <c r="I385" s="28"/>
      <c r="J385" s="2"/>
      <c r="K385" s="28"/>
      <c r="L385" s="2"/>
      <c r="M385" s="52"/>
      <c r="N385" s="2"/>
      <c r="O385" s="2"/>
      <c r="P385" s="36"/>
      <c r="Q385" s="36"/>
      <c r="R385" s="36"/>
      <c r="S385" s="36"/>
      <c r="T385" s="36"/>
      <c r="U385" s="36"/>
      <c r="V385" s="36"/>
      <c r="W385" s="36"/>
      <c r="X385" s="36"/>
      <c r="Y385" s="36"/>
      <c r="Z385" s="36"/>
      <c r="AA385" s="36"/>
      <c r="AB385" s="2"/>
    </row>
    <row r="386" spans="1:28" s="5" customFormat="1" x14ac:dyDescent="0.25">
      <c r="A386" s="3"/>
      <c r="B386" s="3"/>
      <c r="C386" s="3"/>
      <c r="D386" s="111"/>
      <c r="E386" s="3" t="str">
        <f>KPI!$E$62</f>
        <v>общехоз. расходы - начисление/оплата</v>
      </c>
      <c r="F386" s="3"/>
      <c r="G386" s="3" t="str">
        <f>IF($E386="","",INDEX(KPI!$G:$G,SUMIFS(KPI!$B:$B,KPI!$E:$E,$E386)))</f>
        <v>тыс.руб.</v>
      </c>
      <c r="H386" s="103"/>
      <c r="I386" s="28"/>
      <c r="J386" s="44"/>
      <c r="K386" s="28"/>
      <c r="L386" s="3"/>
      <c r="M386" s="55">
        <f>SUM($O386:$AB386)</f>
        <v>8285.7915000000012</v>
      </c>
      <c r="N386" s="3"/>
      <c r="O386" s="3"/>
      <c r="P386" s="46">
        <f>IF(P$1="",0,IF(P$1=0,SUMIFS(P387:P398,H387:H398,"&gt;="&amp;MONTH($J$13)),SUM(P387:P398)))</f>
        <v>990.10808076923081</v>
      </c>
      <c r="Q386" s="46">
        <f t="shared" ref="Q386" si="169">IF(Q$1="",0,SUM(Q387:Q398))</f>
        <v>1034.4495807692308</v>
      </c>
      <c r="R386" s="46">
        <f t="shared" ref="R386:AA386" si="170">IF(R$1="",0,SUM(R387:R398))</f>
        <v>1102.2714230769234</v>
      </c>
      <c r="S386" s="46">
        <f t="shared" si="170"/>
        <v>1145.3033307692308</v>
      </c>
      <c r="T386" s="46">
        <f t="shared" si="170"/>
        <v>1211.8155807692306</v>
      </c>
      <c r="U386" s="46">
        <f t="shared" si="170"/>
        <v>1322.6693307692308</v>
      </c>
      <c r="V386" s="46">
        <f t="shared" si="170"/>
        <v>1479.1741730769231</v>
      </c>
      <c r="W386" s="46">
        <f t="shared" si="170"/>
        <v>0</v>
      </c>
      <c r="X386" s="46">
        <f t="shared" si="170"/>
        <v>0</v>
      </c>
      <c r="Y386" s="46">
        <f t="shared" si="170"/>
        <v>0</v>
      </c>
      <c r="Z386" s="46">
        <f t="shared" si="170"/>
        <v>0</v>
      </c>
      <c r="AA386" s="46">
        <f t="shared" si="170"/>
        <v>0</v>
      </c>
      <c r="AB386" s="3"/>
    </row>
    <row r="387" spans="1:28" s="23" customFormat="1" ht="10.199999999999999" x14ac:dyDescent="0.2">
      <c r="A387" s="22"/>
      <c r="B387" s="22"/>
      <c r="C387" s="22"/>
      <c r="D387" s="22"/>
      <c r="E387" s="22" t="str">
        <f>E386</f>
        <v>общехоз. расходы - начисление/оплата</v>
      </c>
      <c r="F387" s="22"/>
      <c r="G387" s="22" t="str">
        <f>IF($E387="","",INDEX(KPI!$G:$G,SUMIFS(KPI!$B:$B,KPI!$E:$E,$E387)))</f>
        <v>тыс.руб.</v>
      </c>
      <c r="H387" s="100">
        <f>структура!$V$12</f>
        <v>1</v>
      </c>
      <c r="I387" s="31"/>
      <c r="J387" s="98" t="str">
        <f>структура!$X$12</f>
        <v>янв</v>
      </c>
      <c r="K387" s="99"/>
      <c r="L387" s="22"/>
      <c r="M387" s="58"/>
      <c r="N387" s="22"/>
      <c r="O387" s="22"/>
      <c r="P387" s="101">
        <f>IF(P$1="",0,(P59+P183)*$J$383)</f>
        <v>46.152211538461536</v>
      </c>
      <c r="Q387" s="101">
        <f t="shared" ref="Q387:AA387" si="171">IF(Q$1="",0,(Q59+Q183)*$J$383)</f>
        <v>47.464711538461536</v>
      </c>
      <c r="R387" s="101">
        <f t="shared" si="171"/>
        <v>49.433461538461536</v>
      </c>
      <c r="S387" s="101">
        <f t="shared" si="171"/>
        <v>50.745961538461536</v>
      </c>
      <c r="T387" s="101">
        <f t="shared" si="171"/>
        <v>52.714711538461536</v>
      </c>
      <c r="U387" s="101">
        <f t="shared" si="171"/>
        <v>55.995961538461536</v>
      </c>
      <c r="V387" s="101">
        <f t="shared" si="171"/>
        <v>60.589711538461536</v>
      </c>
      <c r="W387" s="101">
        <f t="shared" si="171"/>
        <v>0</v>
      </c>
      <c r="X387" s="101">
        <f t="shared" si="171"/>
        <v>0</v>
      </c>
      <c r="Y387" s="101">
        <f t="shared" si="171"/>
        <v>0</v>
      </c>
      <c r="Z387" s="101">
        <f t="shared" si="171"/>
        <v>0</v>
      </c>
      <c r="AA387" s="101">
        <f t="shared" si="171"/>
        <v>0</v>
      </c>
      <c r="AB387" s="22"/>
    </row>
    <row r="388" spans="1:28" s="23" customFormat="1" ht="10.199999999999999" x14ac:dyDescent="0.2">
      <c r="A388" s="22"/>
      <c r="B388" s="22"/>
      <c r="C388" s="22"/>
      <c r="D388" s="22"/>
      <c r="E388" s="22" t="str">
        <f>E386</f>
        <v>общехоз. расходы - начисление/оплата</v>
      </c>
      <c r="F388" s="22"/>
      <c r="G388" s="22" t="str">
        <f>IF($E388="","",INDEX(KPI!$G:$G,SUMIFS(KPI!$B:$B,KPI!$E:$E,$E388)))</f>
        <v>тыс.руб.</v>
      </c>
      <c r="H388" s="100">
        <f>структура!$V$13</f>
        <v>2</v>
      </c>
      <c r="I388" s="31"/>
      <c r="J388" s="98" t="str">
        <f>структура!$X$13</f>
        <v>фев</v>
      </c>
      <c r="K388" s="99"/>
      <c r="L388" s="22"/>
      <c r="M388" s="58"/>
      <c r="N388" s="22"/>
      <c r="O388" s="22"/>
      <c r="P388" s="101">
        <f t="shared" ref="P388:AA388" si="172">IF(P$1="",0,(P60+P184)*$J$383)</f>
        <v>44.450215384615383</v>
      </c>
      <c r="Q388" s="101">
        <f t="shared" si="172"/>
        <v>46.186215384615387</v>
      </c>
      <c r="R388" s="101">
        <f t="shared" si="172"/>
        <v>50.099807692307699</v>
      </c>
      <c r="S388" s="101">
        <f t="shared" si="172"/>
        <v>50.526215384615391</v>
      </c>
      <c r="T388" s="101">
        <f t="shared" si="172"/>
        <v>53.130215384615383</v>
      </c>
      <c r="U388" s="101">
        <f t="shared" si="172"/>
        <v>57.470215384615386</v>
      </c>
      <c r="V388" s="101">
        <f t="shared" si="172"/>
        <v>64.855807692307692</v>
      </c>
      <c r="W388" s="101">
        <f t="shared" si="172"/>
        <v>0</v>
      </c>
      <c r="X388" s="101">
        <f t="shared" si="172"/>
        <v>0</v>
      </c>
      <c r="Y388" s="101">
        <f t="shared" si="172"/>
        <v>0</v>
      </c>
      <c r="Z388" s="101">
        <f t="shared" si="172"/>
        <v>0</v>
      </c>
      <c r="AA388" s="101">
        <f t="shared" si="172"/>
        <v>0</v>
      </c>
      <c r="AB388" s="22"/>
    </row>
    <row r="389" spans="1:28" s="23" customFormat="1" ht="10.199999999999999" x14ac:dyDescent="0.2">
      <c r="A389" s="22"/>
      <c r="B389" s="22"/>
      <c r="C389" s="22"/>
      <c r="D389" s="22"/>
      <c r="E389" s="22" t="str">
        <f>E386</f>
        <v>общехоз. расходы - начисление/оплата</v>
      </c>
      <c r="F389" s="22"/>
      <c r="G389" s="22" t="str">
        <f>IF($E389="","",INDEX(KPI!$G:$G,SUMIFS(KPI!$B:$B,KPI!$E:$E,$E389)))</f>
        <v>тыс.руб.</v>
      </c>
      <c r="H389" s="100">
        <f>структура!$V$14</f>
        <v>3</v>
      </c>
      <c r="I389" s="31"/>
      <c r="J389" s="98" t="str">
        <f>структура!$X$14</f>
        <v>мар</v>
      </c>
      <c r="K389" s="99"/>
      <c r="L389" s="22"/>
      <c r="M389" s="58"/>
      <c r="N389" s="22"/>
      <c r="O389" s="22"/>
      <c r="P389" s="101">
        <f t="shared" ref="P389:AA389" si="173">IF(P$1="",0,(P61+P185)*$J$383)</f>
        <v>59.928076923076929</v>
      </c>
      <c r="Q389" s="101">
        <f t="shared" si="173"/>
        <v>62.098076923076931</v>
      </c>
      <c r="R389" s="101">
        <f t="shared" si="173"/>
        <v>65.353076923076927</v>
      </c>
      <c r="S389" s="101">
        <f t="shared" si="173"/>
        <v>67.523076923076928</v>
      </c>
      <c r="T389" s="101">
        <f t="shared" si="173"/>
        <v>70.778076923076938</v>
      </c>
      <c r="U389" s="101">
        <f t="shared" si="173"/>
        <v>76.203076923076935</v>
      </c>
      <c r="V389" s="101">
        <f t="shared" si="173"/>
        <v>83.798076923076934</v>
      </c>
      <c r="W389" s="101">
        <f t="shared" si="173"/>
        <v>0</v>
      </c>
      <c r="X389" s="101">
        <f t="shared" si="173"/>
        <v>0</v>
      </c>
      <c r="Y389" s="101">
        <f t="shared" si="173"/>
        <v>0</v>
      </c>
      <c r="Z389" s="101">
        <f t="shared" si="173"/>
        <v>0</v>
      </c>
      <c r="AA389" s="101">
        <f t="shared" si="173"/>
        <v>0</v>
      </c>
      <c r="AB389" s="22"/>
    </row>
    <row r="390" spans="1:28" s="23" customFormat="1" ht="10.199999999999999" x14ac:dyDescent="0.2">
      <c r="A390" s="22"/>
      <c r="B390" s="22"/>
      <c r="C390" s="22"/>
      <c r="D390" s="22"/>
      <c r="E390" s="22" t="str">
        <f>E386</f>
        <v>общехоз. расходы - начисление/оплата</v>
      </c>
      <c r="F390" s="22"/>
      <c r="G390" s="22" t="str">
        <f>IF($E390="","",INDEX(KPI!$G:$G,SUMIFS(KPI!$B:$B,KPI!$E:$E,$E390)))</f>
        <v>тыс.руб.</v>
      </c>
      <c r="H390" s="100">
        <f>структура!$V$15</f>
        <v>4</v>
      </c>
      <c r="I390" s="31"/>
      <c r="J390" s="98" t="str">
        <f>структура!$X$15</f>
        <v>апр</v>
      </c>
      <c r="K390" s="99"/>
      <c r="L390" s="22"/>
      <c r="M390" s="58"/>
      <c r="N390" s="22"/>
      <c r="O390" s="22"/>
      <c r="P390" s="101">
        <f t="shared" ref="P390:AA390" si="174">IF(P$1="",0,(P62+P186)*$J$383)</f>
        <v>67.349100000000007</v>
      </c>
      <c r="Q390" s="101">
        <f t="shared" si="174"/>
        <v>69.519100000000009</v>
      </c>
      <c r="R390" s="101">
        <f t="shared" si="174"/>
        <v>72.774100000000018</v>
      </c>
      <c r="S390" s="101">
        <f t="shared" si="174"/>
        <v>74.94410000000002</v>
      </c>
      <c r="T390" s="101">
        <f t="shared" si="174"/>
        <v>78.199100000000016</v>
      </c>
      <c r="U390" s="101">
        <f t="shared" si="174"/>
        <v>83.624100000000013</v>
      </c>
      <c r="V390" s="101">
        <f t="shared" si="174"/>
        <v>91.219100000000012</v>
      </c>
      <c r="W390" s="101">
        <f t="shared" si="174"/>
        <v>0</v>
      </c>
      <c r="X390" s="101">
        <f t="shared" si="174"/>
        <v>0</v>
      </c>
      <c r="Y390" s="101">
        <f t="shared" si="174"/>
        <v>0</v>
      </c>
      <c r="Z390" s="101">
        <f t="shared" si="174"/>
        <v>0</v>
      </c>
      <c r="AA390" s="101">
        <f t="shared" si="174"/>
        <v>0</v>
      </c>
      <c r="AB390" s="22"/>
    </row>
    <row r="391" spans="1:28" s="23" customFormat="1" ht="10.199999999999999" x14ac:dyDescent="0.2">
      <c r="A391" s="22"/>
      <c r="B391" s="22"/>
      <c r="C391" s="22"/>
      <c r="D391" s="22"/>
      <c r="E391" s="22" t="str">
        <f>E386</f>
        <v>общехоз. расходы - начисление/оплата</v>
      </c>
      <c r="F391" s="22"/>
      <c r="G391" s="22" t="str">
        <f>IF($E391="","",INDEX(KPI!$G:$G,SUMIFS(KPI!$B:$B,KPI!$E:$E,$E391)))</f>
        <v>тыс.руб.</v>
      </c>
      <c r="H391" s="100">
        <f>структура!$V$16</f>
        <v>5</v>
      </c>
      <c r="I391" s="31"/>
      <c r="J391" s="98" t="str">
        <f>структура!$X$16</f>
        <v>май</v>
      </c>
      <c r="K391" s="99"/>
      <c r="L391" s="22"/>
      <c r="M391" s="58"/>
      <c r="N391" s="22"/>
      <c r="O391" s="22"/>
      <c r="P391" s="101">
        <f t="shared" ref="P391:AA391" si="175">IF(P$1="",0,(P63+P187)*$J$383)</f>
        <v>104.37969230769232</v>
      </c>
      <c r="Q391" s="101">
        <f t="shared" si="175"/>
        <v>110.20369230769232</v>
      </c>
      <c r="R391" s="101">
        <f t="shared" si="175"/>
        <v>118.93969230769231</v>
      </c>
      <c r="S391" s="101">
        <f t="shared" si="175"/>
        <v>124.76369230769232</v>
      </c>
      <c r="T391" s="101">
        <f t="shared" si="175"/>
        <v>133.4996923076923</v>
      </c>
      <c r="U391" s="101">
        <f t="shared" si="175"/>
        <v>148.0596923076923</v>
      </c>
      <c r="V391" s="101">
        <f t="shared" si="175"/>
        <v>168.44369230769232</v>
      </c>
      <c r="W391" s="101">
        <f t="shared" si="175"/>
        <v>0</v>
      </c>
      <c r="X391" s="101">
        <f t="shared" si="175"/>
        <v>0</v>
      </c>
      <c r="Y391" s="101">
        <f t="shared" si="175"/>
        <v>0</v>
      </c>
      <c r="Z391" s="101">
        <f t="shared" si="175"/>
        <v>0</v>
      </c>
      <c r="AA391" s="101">
        <f t="shared" si="175"/>
        <v>0</v>
      </c>
      <c r="AB391" s="22"/>
    </row>
    <row r="392" spans="1:28" s="23" customFormat="1" ht="10.199999999999999" x14ac:dyDescent="0.2">
      <c r="A392" s="22"/>
      <c r="B392" s="22"/>
      <c r="C392" s="22"/>
      <c r="D392" s="22"/>
      <c r="E392" s="22" t="str">
        <f>E386</f>
        <v>общехоз. расходы - начисление/оплата</v>
      </c>
      <c r="F392" s="22"/>
      <c r="G392" s="22" t="str">
        <f>IF($E392="","",INDEX(KPI!$G:$G,SUMIFS(KPI!$B:$B,KPI!$E:$E,$E392)))</f>
        <v>тыс.руб.</v>
      </c>
      <c r="H392" s="100">
        <f>структура!$V$17</f>
        <v>6</v>
      </c>
      <c r="I392" s="31"/>
      <c r="J392" s="98" t="str">
        <f>структура!$X$17</f>
        <v>июн</v>
      </c>
      <c r="K392" s="99"/>
      <c r="L392" s="22"/>
      <c r="M392" s="58"/>
      <c r="N392" s="22"/>
      <c r="O392" s="22"/>
      <c r="P392" s="101">
        <f t="shared" ref="P392:AA392" si="176">IF(P$1="",0,(P64+P188)*$J$383)</f>
        <v>146.1096</v>
      </c>
      <c r="Q392" s="101">
        <f t="shared" si="176"/>
        <v>155.06960000000001</v>
      </c>
      <c r="R392" s="101">
        <f t="shared" si="176"/>
        <v>168.50960000000001</v>
      </c>
      <c r="S392" s="101">
        <f t="shared" si="176"/>
        <v>177.46959999999999</v>
      </c>
      <c r="T392" s="101">
        <f t="shared" si="176"/>
        <v>190.90960000000001</v>
      </c>
      <c r="U392" s="101">
        <f t="shared" si="176"/>
        <v>213.30959999999999</v>
      </c>
      <c r="V392" s="101">
        <f t="shared" si="176"/>
        <v>244.6696</v>
      </c>
      <c r="W392" s="101">
        <f t="shared" si="176"/>
        <v>0</v>
      </c>
      <c r="X392" s="101">
        <f t="shared" si="176"/>
        <v>0</v>
      </c>
      <c r="Y392" s="101">
        <f t="shared" si="176"/>
        <v>0</v>
      </c>
      <c r="Z392" s="101">
        <f t="shared" si="176"/>
        <v>0</v>
      </c>
      <c r="AA392" s="101">
        <f t="shared" si="176"/>
        <v>0</v>
      </c>
      <c r="AB392" s="22"/>
    </row>
    <row r="393" spans="1:28" s="23" customFormat="1" ht="10.199999999999999" x14ac:dyDescent="0.2">
      <c r="A393" s="22"/>
      <c r="B393" s="22"/>
      <c r="C393" s="22"/>
      <c r="D393" s="22"/>
      <c r="E393" s="22" t="str">
        <f>E386</f>
        <v>общехоз. расходы - начисление/оплата</v>
      </c>
      <c r="F393" s="22"/>
      <c r="G393" s="22" t="str">
        <f>IF($E393="","",INDEX(KPI!$G:$G,SUMIFS(KPI!$B:$B,KPI!$E:$E,$E393)))</f>
        <v>тыс.руб.</v>
      </c>
      <c r="H393" s="100">
        <f>структура!$V$18</f>
        <v>7</v>
      </c>
      <c r="I393" s="31"/>
      <c r="J393" s="98" t="str">
        <f>структура!$X$18</f>
        <v>июл</v>
      </c>
      <c r="K393" s="99"/>
      <c r="L393" s="22"/>
      <c r="M393" s="58"/>
      <c r="N393" s="22"/>
      <c r="O393" s="22"/>
      <c r="P393" s="101">
        <f t="shared" ref="P393:AA393" si="177">IF(P$1="",0,(P65+P189)*$J$383)</f>
        <v>131.83875384615388</v>
      </c>
      <c r="Q393" s="101">
        <f t="shared" si="177"/>
        <v>138.55875384615388</v>
      </c>
      <c r="R393" s="101">
        <f t="shared" si="177"/>
        <v>148.63875384615386</v>
      </c>
      <c r="S393" s="101">
        <f t="shared" si="177"/>
        <v>155.35875384615386</v>
      </c>
      <c r="T393" s="101">
        <f t="shared" si="177"/>
        <v>165.43875384615387</v>
      </c>
      <c r="U393" s="101">
        <f t="shared" si="177"/>
        <v>182.23875384615388</v>
      </c>
      <c r="V393" s="101">
        <f t="shared" si="177"/>
        <v>205.75875384615387</v>
      </c>
      <c r="W393" s="101">
        <f t="shared" si="177"/>
        <v>0</v>
      </c>
      <c r="X393" s="101">
        <f t="shared" si="177"/>
        <v>0</v>
      </c>
      <c r="Y393" s="101">
        <f t="shared" si="177"/>
        <v>0</v>
      </c>
      <c r="Z393" s="101">
        <f t="shared" si="177"/>
        <v>0</v>
      </c>
      <c r="AA393" s="101">
        <f t="shared" si="177"/>
        <v>0</v>
      </c>
      <c r="AB393" s="22"/>
    </row>
    <row r="394" spans="1:28" s="23" customFormat="1" ht="10.199999999999999" x14ac:dyDescent="0.2">
      <c r="A394" s="22"/>
      <c r="B394" s="22"/>
      <c r="C394" s="22"/>
      <c r="D394" s="22"/>
      <c r="E394" s="22" t="str">
        <f>E386</f>
        <v>общехоз. расходы - начисление/оплата</v>
      </c>
      <c r="F394" s="22"/>
      <c r="G394" s="22" t="str">
        <f>IF($E394="","",INDEX(KPI!$G:$G,SUMIFS(KPI!$B:$B,KPI!$E:$E,$E394)))</f>
        <v>тыс.руб.</v>
      </c>
      <c r="H394" s="100">
        <f>структура!$V$19</f>
        <v>8</v>
      </c>
      <c r="I394" s="31"/>
      <c r="J394" s="98" t="str">
        <f>структура!$X$19</f>
        <v>авг</v>
      </c>
      <c r="K394" s="99"/>
      <c r="L394" s="22"/>
      <c r="M394" s="58"/>
      <c r="N394" s="22"/>
      <c r="O394" s="22"/>
      <c r="P394" s="101">
        <f t="shared" ref="P394:AA394" si="178">IF(P$1="",0,(P66+P190)*$J$383)</f>
        <v>125.11875384615387</v>
      </c>
      <c r="Q394" s="101">
        <f t="shared" si="178"/>
        <v>130.94275384615386</v>
      </c>
      <c r="R394" s="101">
        <f t="shared" si="178"/>
        <v>139.67875384615388</v>
      </c>
      <c r="S394" s="101">
        <f t="shared" si="178"/>
        <v>145.50275384615387</v>
      </c>
      <c r="T394" s="101">
        <f t="shared" si="178"/>
        <v>154.23875384615386</v>
      </c>
      <c r="U394" s="101">
        <f t="shared" si="178"/>
        <v>168.79875384615386</v>
      </c>
      <c r="V394" s="101">
        <f t="shared" si="178"/>
        <v>189.18275384615387</v>
      </c>
      <c r="W394" s="101">
        <f t="shared" si="178"/>
        <v>0</v>
      </c>
      <c r="X394" s="101">
        <f t="shared" si="178"/>
        <v>0</v>
      </c>
      <c r="Y394" s="101">
        <f t="shared" si="178"/>
        <v>0</v>
      </c>
      <c r="Z394" s="101">
        <f t="shared" si="178"/>
        <v>0</v>
      </c>
      <c r="AA394" s="101">
        <f t="shared" si="178"/>
        <v>0</v>
      </c>
      <c r="AB394" s="22"/>
    </row>
    <row r="395" spans="1:28" s="23" customFormat="1" ht="10.199999999999999" x14ac:dyDescent="0.2">
      <c r="A395" s="22"/>
      <c r="B395" s="22"/>
      <c r="C395" s="22"/>
      <c r="D395" s="22"/>
      <c r="E395" s="22" t="str">
        <f>E386</f>
        <v>общехоз. расходы - начисление/оплата</v>
      </c>
      <c r="F395" s="22"/>
      <c r="G395" s="22" t="str">
        <f>IF($E395="","",INDEX(KPI!$G:$G,SUMIFS(KPI!$B:$B,KPI!$E:$E,$E395)))</f>
        <v>тыс.руб.</v>
      </c>
      <c r="H395" s="100">
        <f>структура!$V$20</f>
        <v>9</v>
      </c>
      <c r="I395" s="31"/>
      <c r="J395" s="98" t="str">
        <f>структура!$X$20</f>
        <v>сен</v>
      </c>
      <c r="K395" s="99"/>
      <c r="L395" s="22"/>
      <c r="M395" s="58"/>
      <c r="N395" s="22"/>
      <c r="O395" s="22"/>
      <c r="P395" s="101">
        <f t="shared" ref="P395:AA395" si="179">IF(P$1="",0,(P67+P191)*$J$383)</f>
        <v>78.130634615384608</v>
      </c>
      <c r="Q395" s="101">
        <f t="shared" si="179"/>
        <v>80.318134615384608</v>
      </c>
      <c r="R395" s="101">
        <f t="shared" si="179"/>
        <v>83.599384615384608</v>
      </c>
      <c r="S395" s="101">
        <f t="shared" si="179"/>
        <v>85.786884615384608</v>
      </c>
      <c r="T395" s="101">
        <f t="shared" si="179"/>
        <v>89.068134615384608</v>
      </c>
      <c r="U395" s="101">
        <f t="shared" si="179"/>
        <v>94.536884615384608</v>
      </c>
      <c r="V395" s="101">
        <f t="shared" si="179"/>
        <v>102.19313461538461</v>
      </c>
      <c r="W395" s="101">
        <f t="shared" si="179"/>
        <v>0</v>
      </c>
      <c r="X395" s="101">
        <f t="shared" si="179"/>
        <v>0</v>
      </c>
      <c r="Y395" s="101">
        <f t="shared" si="179"/>
        <v>0</v>
      </c>
      <c r="Z395" s="101">
        <f t="shared" si="179"/>
        <v>0</v>
      </c>
      <c r="AA395" s="101">
        <f t="shared" si="179"/>
        <v>0</v>
      </c>
      <c r="AB395" s="22"/>
    </row>
    <row r="396" spans="1:28" s="23" customFormat="1" ht="10.199999999999999" x14ac:dyDescent="0.2">
      <c r="A396" s="22"/>
      <c r="B396" s="22"/>
      <c r="C396" s="22"/>
      <c r="D396" s="22"/>
      <c r="E396" s="22" t="str">
        <f>E386</f>
        <v>общехоз. расходы - начисление/оплата</v>
      </c>
      <c r="F396" s="22"/>
      <c r="G396" s="22" t="str">
        <f>IF($E396="","",INDEX(KPI!$G:$G,SUMIFS(KPI!$B:$B,KPI!$E:$E,$E396)))</f>
        <v>тыс.руб.</v>
      </c>
      <c r="H396" s="100">
        <f>структура!$V$21</f>
        <v>10</v>
      </c>
      <c r="I396" s="31"/>
      <c r="J396" s="98" t="str">
        <f>структура!$X$21</f>
        <v>окт</v>
      </c>
      <c r="K396" s="99"/>
      <c r="L396" s="22"/>
      <c r="M396" s="58"/>
      <c r="N396" s="22"/>
      <c r="O396" s="22"/>
      <c r="P396" s="101">
        <f t="shared" ref="P396:AA396" si="180">IF(P$1="",0,(P68+P192)*$J$383)</f>
        <v>73.800596153846158</v>
      </c>
      <c r="Q396" s="101">
        <f t="shared" si="180"/>
        <v>76.863096153846158</v>
      </c>
      <c r="R396" s="101">
        <f t="shared" si="180"/>
        <v>81.456846153846186</v>
      </c>
      <c r="S396" s="101">
        <f t="shared" si="180"/>
        <v>84.519346153846186</v>
      </c>
      <c r="T396" s="101">
        <f t="shared" si="180"/>
        <v>89.113096153846172</v>
      </c>
      <c r="U396" s="101">
        <f t="shared" si="180"/>
        <v>96.769346153846186</v>
      </c>
      <c r="V396" s="101">
        <f t="shared" si="180"/>
        <v>107.48809615384619</v>
      </c>
      <c r="W396" s="101">
        <f t="shared" si="180"/>
        <v>0</v>
      </c>
      <c r="X396" s="101">
        <f t="shared" si="180"/>
        <v>0</v>
      </c>
      <c r="Y396" s="101">
        <f t="shared" si="180"/>
        <v>0</v>
      </c>
      <c r="Z396" s="101">
        <f t="shared" si="180"/>
        <v>0</v>
      </c>
      <c r="AA396" s="101">
        <f t="shared" si="180"/>
        <v>0</v>
      </c>
      <c r="AB396" s="22"/>
    </row>
    <row r="397" spans="1:28" s="23" customFormat="1" ht="10.199999999999999" x14ac:dyDescent="0.2">
      <c r="A397" s="22"/>
      <c r="B397" s="22"/>
      <c r="C397" s="22"/>
      <c r="D397" s="22"/>
      <c r="E397" s="22" t="str">
        <f>E386</f>
        <v>общехоз. расходы - начисление/оплата</v>
      </c>
      <c r="F397" s="22"/>
      <c r="G397" s="22" t="str">
        <f>IF($E397="","",INDEX(KPI!$G:$G,SUMIFS(KPI!$B:$B,KPI!$E:$E,$E397)))</f>
        <v>тыс.руб.</v>
      </c>
      <c r="H397" s="100">
        <f>структура!$V$22</f>
        <v>11</v>
      </c>
      <c r="I397" s="31"/>
      <c r="J397" s="98" t="str">
        <f>структура!$X$22</f>
        <v>ноя</v>
      </c>
      <c r="K397" s="99"/>
      <c r="L397" s="22"/>
      <c r="M397" s="58"/>
      <c r="N397" s="22"/>
      <c r="O397" s="22"/>
      <c r="P397" s="101">
        <f t="shared" ref="P397:AA397" si="181">IF(P$1="",0,(P69+P193)*$J$383)</f>
        <v>58.618484615384617</v>
      </c>
      <c r="Q397" s="101">
        <f t="shared" si="181"/>
        <v>60.788484615384618</v>
      </c>
      <c r="R397" s="101">
        <f t="shared" si="181"/>
        <v>64.043484615384614</v>
      </c>
      <c r="S397" s="101">
        <f t="shared" si="181"/>
        <v>66.213484615384615</v>
      </c>
      <c r="T397" s="101">
        <f t="shared" si="181"/>
        <v>69.468484615384625</v>
      </c>
      <c r="U397" s="101">
        <f t="shared" si="181"/>
        <v>74.893484615384622</v>
      </c>
      <c r="V397" s="101">
        <f t="shared" si="181"/>
        <v>82.488484615384621</v>
      </c>
      <c r="W397" s="101">
        <f t="shared" si="181"/>
        <v>0</v>
      </c>
      <c r="X397" s="101">
        <f t="shared" si="181"/>
        <v>0</v>
      </c>
      <c r="Y397" s="101">
        <f t="shared" si="181"/>
        <v>0</v>
      </c>
      <c r="Z397" s="101">
        <f t="shared" si="181"/>
        <v>0</v>
      </c>
      <c r="AA397" s="101">
        <f t="shared" si="181"/>
        <v>0</v>
      </c>
      <c r="AB397" s="22"/>
    </row>
    <row r="398" spans="1:28" s="23" customFormat="1" ht="10.199999999999999" x14ac:dyDescent="0.2">
      <c r="A398" s="22"/>
      <c r="B398" s="22"/>
      <c r="C398" s="22"/>
      <c r="D398" s="22"/>
      <c r="E398" s="22" t="str">
        <f>E386</f>
        <v>общехоз. расходы - начисление/оплата</v>
      </c>
      <c r="F398" s="22"/>
      <c r="G398" s="22" t="str">
        <f>IF($E398="","",INDEX(KPI!$G:$G,SUMIFS(KPI!$B:$B,KPI!$E:$E,$E398)))</f>
        <v>тыс.руб.</v>
      </c>
      <c r="H398" s="100">
        <f>структура!$V$23</f>
        <v>12</v>
      </c>
      <c r="I398" s="31"/>
      <c r="J398" s="98" t="str">
        <f>структура!$X$23</f>
        <v>дек</v>
      </c>
      <c r="K398" s="99"/>
      <c r="L398" s="22"/>
      <c r="M398" s="58"/>
      <c r="N398" s="22"/>
      <c r="O398" s="22"/>
      <c r="P398" s="101">
        <f t="shared" ref="P398:AA398" si="182">IF(P$1="",0,(P70+P194)*$J$383)</f>
        <v>54.231961538461476</v>
      </c>
      <c r="Q398" s="101">
        <f t="shared" si="182"/>
        <v>56.436961538461475</v>
      </c>
      <c r="R398" s="101">
        <f t="shared" si="182"/>
        <v>59.744461538461465</v>
      </c>
      <c r="S398" s="101">
        <f t="shared" si="182"/>
        <v>61.949461538461456</v>
      </c>
      <c r="T398" s="101">
        <f t="shared" si="182"/>
        <v>65.256961538461439</v>
      </c>
      <c r="U398" s="101">
        <f t="shared" si="182"/>
        <v>70.769461538461428</v>
      </c>
      <c r="V398" s="101">
        <f t="shared" si="182"/>
        <v>78.486961538461401</v>
      </c>
      <c r="W398" s="101">
        <f t="shared" si="182"/>
        <v>0</v>
      </c>
      <c r="X398" s="101">
        <f t="shared" si="182"/>
        <v>0</v>
      </c>
      <c r="Y398" s="101">
        <f t="shared" si="182"/>
        <v>0</v>
      </c>
      <c r="Z398" s="101">
        <f t="shared" si="182"/>
        <v>0</v>
      </c>
      <c r="AA398" s="101">
        <f t="shared" si="182"/>
        <v>0</v>
      </c>
      <c r="AB398" s="22"/>
    </row>
    <row r="399" spans="1:28" ht="3.9" customHeight="1" x14ac:dyDescent="0.25">
      <c r="A399" s="2"/>
      <c r="B399" s="2"/>
      <c r="C399" s="2"/>
      <c r="D399" s="2"/>
      <c r="E399" s="21"/>
      <c r="F399" s="2"/>
      <c r="G399" s="21"/>
      <c r="H399" s="2"/>
      <c r="I399" s="28"/>
      <c r="J399" s="21"/>
      <c r="K399" s="28"/>
      <c r="L399" s="2"/>
      <c r="M399" s="52"/>
      <c r="N399" s="2"/>
      <c r="O399" s="2"/>
      <c r="P399" s="36"/>
      <c r="Q399" s="36"/>
      <c r="R399" s="36"/>
      <c r="S399" s="36"/>
      <c r="T399" s="36"/>
      <c r="U399" s="36"/>
      <c r="V399" s="36"/>
      <c r="W399" s="36"/>
      <c r="X399" s="36"/>
      <c r="Y399" s="36"/>
      <c r="Z399" s="36"/>
      <c r="AA399" s="36"/>
      <c r="AB399" s="2"/>
    </row>
    <row r="400" spans="1:28" ht="8.1" customHeight="1" x14ac:dyDescent="0.25">
      <c r="A400" s="2"/>
      <c r="B400" s="2"/>
      <c r="C400" s="2"/>
      <c r="D400" s="2"/>
      <c r="E400" s="2"/>
      <c r="F400" s="2"/>
      <c r="G400" s="2"/>
      <c r="H400" s="2"/>
      <c r="I400" s="28"/>
      <c r="J400" s="2"/>
      <c r="K400" s="28"/>
      <c r="L400" s="2"/>
      <c r="M400" s="52"/>
      <c r="N400" s="2"/>
      <c r="O400" s="2"/>
      <c r="P400" s="36"/>
      <c r="Q400" s="36"/>
      <c r="R400" s="36"/>
      <c r="S400" s="36"/>
      <c r="T400" s="36"/>
      <c r="U400" s="36"/>
      <c r="V400" s="36"/>
      <c r="W400" s="36"/>
      <c r="X400" s="36"/>
      <c r="Y400" s="36"/>
      <c r="Z400" s="36"/>
      <c r="AA400" s="36"/>
      <c r="AB400" s="2"/>
    </row>
    <row r="401" spans="1:28" s="5" customFormat="1" x14ac:dyDescent="0.25">
      <c r="A401" s="3"/>
      <c r="B401" s="3"/>
      <c r="C401" s="3"/>
      <c r="D401" s="3"/>
      <c r="E401" s="3" t="str">
        <f>KPI!$E$63</f>
        <v>доля непредв. расходов в доходах</v>
      </c>
      <c r="F401" s="3"/>
      <c r="G401" s="3" t="str">
        <f>IF($E401="","",INDEX(KPI!$G:$G,SUMIFS(KPI!$B:$B,KPI!$E:$E,$E401)))</f>
        <v>%</v>
      </c>
      <c r="H401" s="3"/>
      <c r="I401" s="6" t="s">
        <v>0</v>
      </c>
      <c r="J401" s="107">
        <v>0.03</v>
      </c>
      <c r="K401" s="28"/>
      <c r="L401" s="2"/>
      <c r="M401" s="52"/>
      <c r="N401" s="3"/>
      <c r="O401" s="2"/>
      <c r="P401" s="36"/>
      <c r="Q401" s="36"/>
      <c r="R401" s="36"/>
      <c r="S401" s="36"/>
      <c r="T401" s="36"/>
      <c r="U401" s="36"/>
      <c r="V401" s="36"/>
      <c r="W401" s="36"/>
      <c r="X401" s="36"/>
      <c r="Y401" s="36"/>
      <c r="Z401" s="36"/>
      <c r="AA401" s="36"/>
      <c r="AB401" s="2"/>
    </row>
    <row r="402" spans="1:28" ht="3.9" customHeight="1" x14ac:dyDescent="0.25">
      <c r="A402" s="2"/>
      <c r="B402" s="2"/>
      <c r="C402" s="2"/>
      <c r="D402" s="2"/>
      <c r="E402" s="110"/>
      <c r="F402" s="2"/>
      <c r="G402" s="2"/>
      <c r="H402" s="2"/>
      <c r="I402" s="28"/>
      <c r="J402" s="2"/>
      <c r="K402" s="28"/>
      <c r="L402" s="2"/>
      <c r="M402" s="52"/>
      <c r="N402" s="2"/>
      <c r="O402" s="2"/>
      <c r="P402" s="36"/>
      <c r="Q402" s="36"/>
      <c r="R402" s="36"/>
      <c r="S402" s="36"/>
      <c r="T402" s="36"/>
      <c r="U402" s="36"/>
      <c r="V402" s="36"/>
      <c r="W402" s="36"/>
      <c r="X402" s="36"/>
      <c r="Y402" s="36"/>
      <c r="Z402" s="36"/>
      <c r="AA402" s="36"/>
      <c r="AB402" s="2"/>
    </row>
    <row r="403" spans="1:28" ht="8.1" customHeight="1" x14ac:dyDescent="0.25">
      <c r="A403" s="2"/>
      <c r="B403" s="2"/>
      <c r="C403" s="2"/>
      <c r="D403" s="2"/>
      <c r="E403" s="2"/>
      <c r="F403" s="2"/>
      <c r="G403" s="2"/>
      <c r="H403" s="2"/>
      <c r="I403" s="28"/>
      <c r="J403" s="2"/>
      <c r="K403" s="28"/>
      <c r="L403" s="2"/>
      <c r="M403" s="52"/>
      <c r="N403" s="2"/>
      <c r="O403" s="2"/>
      <c r="P403" s="36"/>
      <c r="Q403" s="36"/>
      <c r="R403" s="36"/>
      <c r="S403" s="36"/>
      <c r="T403" s="36"/>
      <c r="U403" s="36"/>
      <c r="V403" s="36"/>
      <c r="W403" s="36"/>
      <c r="X403" s="36"/>
      <c r="Y403" s="36"/>
      <c r="Z403" s="36"/>
      <c r="AA403" s="36"/>
      <c r="AB403" s="2"/>
    </row>
    <row r="404" spans="1:28" s="5" customFormat="1" x14ac:dyDescent="0.25">
      <c r="A404" s="3"/>
      <c r="B404" s="3"/>
      <c r="C404" s="3"/>
      <c r="D404" s="111"/>
      <c r="E404" s="3" t="str">
        <f>KPI!$E$64</f>
        <v>непредв. расходы - начисление/оплата</v>
      </c>
      <c r="F404" s="3"/>
      <c r="G404" s="3" t="str">
        <f>IF($E404="","",INDEX(KPI!$G:$G,SUMIFS(KPI!$B:$B,KPI!$E:$E,$E404)))</f>
        <v>тыс.руб.</v>
      </c>
      <c r="H404" s="103"/>
      <c r="I404" s="28"/>
      <c r="J404" s="44"/>
      <c r="K404" s="28"/>
      <c r="L404" s="3"/>
      <c r="M404" s="55">
        <f>SUM($O404:$AB404)</f>
        <v>3551.0534999999995</v>
      </c>
      <c r="N404" s="3"/>
      <c r="O404" s="3"/>
      <c r="P404" s="46">
        <f>IF(P$1="",0,IF(P$1=0,SUMIFS(P405:P416,H405:H416,"&gt;="&amp;MONTH($J$13)),SUM(P405:P416)))</f>
        <v>424.3320346153846</v>
      </c>
      <c r="Q404" s="46">
        <f t="shared" ref="Q404" si="183">IF(Q$1="",0,SUM(Q405:Q416))</f>
        <v>443.33553461538452</v>
      </c>
      <c r="R404" s="46">
        <f t="shared" ref="R404:AA404" si="184">IF(R$1="",0,SUM(R405:R416))</f>
        <v>472.40203846153838</v>
      </c>
      <c r="S404" s="46">
        <f t="shared" si="184"/>
        <v>490.84428461538459</v>
      </c>
      <c r="T404" s="46">
        <f t="shared" si="184"/>
        <v>519.34953461538453</v>
      </c>
      <c r="U404" s="46">
        <f t="shared" si="184"/>
        <v>566.8582846153846</v>
      </c>
      <c r="V404" s="46">
        <f t="shared" si="184"/>
        <v>633.93178846153842</v>
      </c>
      <c r="W404" s="46">
        <f t="shared" si="184"/>
        <v>0</v>
      </c>
      <c r="X404" s="46">
        <f t="shared" si="184"/>
        <v>0</v>
      </c>
      <c r="Y404" s="46">
        <f t="shared" si="184"/>
        <v>0</v>
      </c>
      <c r="Z404" s="46">
        <f t="shared" si="184"/>
        <v>0</v>
      </c>
      <c r="AA404" s="46">
        <f t="shared" si="184"/>
        <v>0</v>
      </c>
      <c r="AB404" s="3"/>
    </row>
    <row r="405" spans="1:28" s="23" customFormat="1" ht="10.199999999999999" x14ac:dyDescent="0.2">
      <c r="A405" s="22"/>
      <c r="B405" s="22"/>
      <c r="C405" s="22"/>
      <c r="D405" s="22"/>
      <c r="E405" s="22" t="str">
        <f>E404</f>
        <v>непредв. расходы - начисление/оплата</v>
      </c>
      <c r="F405" s="22"/>
      <c r="G405" s="22" t="str">
        <f>IF($E405="","",INDEX(KPI!$G:$G,SUMIFS(KPI!$B:$B,KPI!$E:$E,$E405)))</f>
        <v>тыс.руб.</v>
      </c>
      <c r="H405" s="100">
        <f>структура!$V$12</f>
        <v>1</v>
      </c>
      <c r="I405" s="31"/>
      <c r="J405" s="98" t="str">
        <f>структура!$X$12</f>
        <v>янв</v>
      </c>
      <c r="K405" s="99"/>
      <c r="L405" s="22"/>
      <c r="M405" s="58"/>
      <c r="N405" s="22"/>
      <c r="O405" s="22"/>
      <c r="P405" s="101">
        <f t="shared" ref="P405:AA405" si="185">IF(P$1="",0,(P59+P183)*$J$401)</f>
        <v>19.779519230769228</v>
      </c>
      <c r="Q405" s="101">
        <f t="shared" si="185"/>
        <v>20.342019230769228</v>
      </c>
      <c r="R405" s="101">
        <f t="shared" si="185"/>
        <v>21.185769230769228</v>
      </c>
      <c r="S405" s="101">
        <f t="shared" si="185"/>
        <v>21.748269230769228</v>
      </c>
      <c r="T405" s="101">
        <f t="shared" si="185"/>
        <v>22.592019230769228</v>
      </c>
      <c r="U405" s="101">
        <f t="shared" si="185"/>
        <v>23.998269230769228</v>
      </c>
      <c r="V405" s="101">
        <f t="shared" si="185"/>
        <v>25.967019230769228</v>
      </c>
      <c r="W405" s="101">
        <f t="shared" si="185"/>
        <v>0</v>
      </c>
      <c r="X405" s="101">
        <f t="shared" si="185"/>
        <v>0</v>
      </c>
      <c r="Y405" s="101">
        <f t="shared" si="185"/>
        <v>0</v>
      </c>
      <c r="Z405" s="101">
        <f t="shared" si="185"/>
        <v>0</v>
      </c>
      <c r="AA405" s="101">
        <f t="shared" si="185"/>
        <v>0</v>
      </c>
      <c r="AB405" s="22"/>
    </row>
    <row r="406" spans="1:28" s="23" customFormat="1" ht="10.199999999999999" x14ac:dyDescent="0.2">
      <c r="A406" s="22"/>
      <c r="B406" s="22"/>
      <c r="C406" s="22"/>
      <c r="D406" s="22"/>
      <c r="E406" s="22" t="str">
        <f>E404</f>
        <v>непредв. расходы - начисление/оплата</v>
      </c>
      <c r="F406" s="22"/>
      <c r="G406" s="22" t="str">
        <f>IF($E406="","",INDEX(KPI!$G:$G,SUMIFS(KPI!$B:$B,KPI!$E:$E,$E406)))</f>
        <v>тыс.руб.</v>
      </c>
      <c r="H406" s="100">
        <f>структура!$V$13</f>
        <v>2</v>
      </c>
      <c r="I406" s="31"/>
      <c r="J406" s="98" t="str">
        <f>структура!$X$13</f>
        <v>фев</v>
      </c>
      <c r="K406" s="99"/>
      <c r="L406" s="22"/>
      <c r="M406" s="58"/>
      <c r="N406" s="22"/>
      <c r="O406" s="22"/>
      <c r="P406" s="101">
        <f t="shared" ref="P406:AA406" si="186">IF(P$1="",0,(P60+P184)*$J$401)</f>
        <v>19.050092307692303</v>
      </c>
      <c r="Q406" s="101">
        <f t="shared" si="186"/>
        <v>19.794092307692306</v>
      </c>
      <c r="R406" s="101">
        <f t="shared" si="186"/>
        <v>21.471346153846152</v>
      </c>
      <c r="S406" s="101">
        <f t="shared" si="186"/>
        <v>21.654092307692306</v>
      </c>
      <c r="T406" s="101">
        <f t="shared" si="186"/>
        <v>22.770092307692305</v>
      </c>
      <c r="U406" s="101">
        <f t="shared" si="186"/>
        <v>24.630092307692305</v>
      </c>
      <c r="V406" s="101">
        <f t="shared" si="186"/>
        <v>27.79534615384615</v>
      </c>
      <c r="W406" s="101">
        <f t="shared" si="186"/>
        <v>0</v>
      </c>
      <c r="X406" s="101">
        <f t="shared" si="186"/>
        <v>0</v>
      </c>
      <c r="Y406" s="101">
        <f t="shared" si="186"/>
        <v>0</v>
      </c>
      <c r="Z406" s="101">
        <f t="shared" si="186"/>
        <v>0</v>
      </c>
      <c r="AA406" s="101">
        <f t="shared" si="186"/>
        <v>0</v>
      </c>
      <c r="AB406" s="22"/>
    </row>
    <row r="407" spans="1:28" s="23" customFormat="1" ht="10.199999999999999" x14ac:dyDescent="0.2">
      <c r="A407" s="22"/>
      <c r="B407" s="22"/>
      <c r="C407" s="22"/>
      <c r="D407" s="22"/>
      <c r="E407" s="22" t="str">
        <f>E404</f>
        <v>непредв. расходы - начисление/оплата</v>
      </c>
      <c r="F407" s="22"/>
      <c r="G407" s="22" t="str">
        <f>IF($E407="","",INDEX(KPI!$G:$G,SUMIFS(KPI!$B:$B,KPI!$E:$E,$E407)))</f>
        <v>тыс.руб.</v>
      </c>
      <c r="H407" s="100">
        <f>структура!$V$14</f>
        <v>3</v>
      </c>
      <c r="I407" s="31"/>
      <c r="J407" s="98" t="str">
        <f>структура!$X$14</f>
        <v>мар</v>
      </c>
      <c r="K407" s="99"/>
      <c r="L407" s="22"/>
      <c r="M407" s="58"/>
      <c r="N407" s="22"/>
      <c r="O407" s="22"/>
      <c r="P407" s="101">
        <f t="shared" ref="P407:AA407" si="187">IF(P$1="",0,(P61+P185)*$J$401)</f>
        <v>25.68346153846154</v>
      </c>
      <c r="Q407" s="101">
        <f t="shared" si="187"/>
        <v>26.613461538461539</v>
      </c>
      <c r="R407" s="101">
        <f t="shared" si="187"/>
        <v>28.008461538461539</v>
      </c>
      <c r="S407" s="101">
        <f t="shared" si="187"/>
        <v>28.938461538461539</v>
      </c>
      <c r="T407" s="101">
        <f t="shared" si="187"/>
        <v>30.333461538461538</v>
      </c>
      <c r="U407" s="101">
        <f t="shared" si="187"/>
        <v>32.658461538461545</v>
      </c>
      <c r="V407" s="101">
        <f t="shared" si="187"/>
        <v>35.91346153846154</v>
      </c>
      <c r="W407" s="101">
        <f t="shared" si="187"/>
        <v>0</v>
      </c>
      <c r="X407" s="101">
        <f t="shared" si="187"/>
        <v>0</v>
      </c>
      <c r="Y407" s="101">
        <f t="shared" si="187"/>
        <v>0</v>
      </c>
      <c r="Z407" s="101">
        <f t="shared" si="187"/>
        <v>0</v>
      </c>
      <c r="AA407" s="101">
        <f t="shared" si="187"/>
        <v>0</v>
      </c>
      <c r="AB407" s="22"/>
    </row>
    <row r="408" spans="1:28" s="23" customFormat="1" ht="10.199999999999999" x14ac:dyDescent="0.2">
      <c r="A408" s="22"/>
      <c r="B408" s="22"/>
      <c r="C408" s="22"/>
      <c r="D408" s="22"/>
      <c r="E408" s="22" t="str">
        <f>E404</f>
        <v>непредв. расходы - начисление/оплата</v>
      </c>
      <c r="F408" s="22"/>
      <c r="G408" s="22" t="str">
        <f>IF($E408="","",INDEX(KPI!$G:$G,SUMIFS(KPI!$B:$B,KPI!$E:$E,$E408)))</f>
        <v>тыс.руб.</v>
      </c>
      <c r="H408" s="100">
        <f>структура!$V$15</f>
        <v>4</v>
      </c>
      <c r="I408" s="31"/>
      <c r="J408" s="98" t="str">
        <f>структура!$X$15</f>
        <v>апр</v>
      </c>
      <c r="K408" s="99"/>
      <c r="L408" s="22"/>
      <c r="M408" s="58"/>
      <c r="N408" s="22"/>
      <c r="O408" s="22"/>
      <c r="P408" s="101">
        <f t="shared" ref="P408:AA408" si="188">IF(P$1="",0,(P62+P186)*$J$401)</f>
        <v>28.863899999999997</v>
      </c>
      <c r="Q408" s="101">
        <f t="shared" si="188"/>
        <v>29.793899999999997</v>
      </c>
      <c r="R408" s="101">
        <f t="shared" si="188"/>
        <v>31.188900000000004</v>
      </c>
      <c r="S408" s="101">
        <f t="shared" si="188"/>
        <v>32.118900000000004</v>
      </c>
      <c r="T408" s="101">
        <f t="shared" si="188"/>
        <v>33.5139</v>
      </c>
      <c r="U408" s="101">
        <f t="shared" si="188"/>
        <v>35.838900000000002</v>
      </c>
      <c r="V408" s="101">
        <f t="shared" si="188"/>
        <v>39.093900000000005</v>
      </c>
      <c r="W408" s="101">
        <f t="shared" si="188"/>
        <v>0</v>
      </c>
      <c r="X408" s="101">
        <f t="shared" si="188"/>
        <v>0</v>
      </c>
      <c r="Y408" s="101">
        <f t="shared" si="188"/>
        <v>0</v>
      </c>
      <c r="Z408" s="101">
        <f t="shared" si="188"/>
        <v>0</v>
      </c>
      <c r="AA408" s="101">
        <f t="shared" si="188"/>
        <v>0</v>
      </c>
      <c r="AB408" s="22"/>
    </row>
    <row r="409" spans="1:28" s="23" customFormat="1" ht="10.199999999999999" x14ac:dyDescent="0.2">
      <c r="A409" s="22"/>
      <c r="B409" s="22"/>
      <c r="C409" s="22"/>
      <c r="D409" s="22"/>
      <c r="E409" s="22" t="str">
        <f>E404</f>
        <v>непредв. расходы - начисление/оплата</v>
      </c>
      <c r="F409" s="22"/>
      <c r="G409" s="22" t="str">
        <f>IF($E409="","",INDEX(KPI!$G:$G,SUMIFS(KPI!$B:$B,KPI!$E:$E,$E409)))</f>
        <v>тыс.руб.</v>
      </c>
      <c r="H409" s="100">
        <f>структура!$V$16</f>
        <v>5</v>
      </c>
      <c r="I409" s="31"/>
      <c r="J409" s="98" t="str">
        <f>структура!$X$16</f>
        <v>май</v>
      </c>
      <c r="K409" s="99"/>
      <c r="L409" s="22"/>
      <c r="M409" s="58"/>
      <c r="N409" s="22"/>
      <c r="O409" s="22"/>
      <c r="P409" s="101">
        <f t="shared" ref="P409:AA409" si="189">IF(P$1="",0,(P63+P187)*$J$401)</f>
        <v>44.734153846153845</v>
      </c>
      <c r="Q409" s="101">
        <f t="shared" si="189"/>
        <v>47.230153846153847</v>
      </c>
      <c r="R409" s="101">
        <f t="shared" si="189"/>
        <v>50.97415384615384</v>
      </c>
      <c r="S409" s="101">
        <f t="shared" si="189"/>
        <v>53.470153846153849</v>
      </c>
      <c r="T409" s="101">
        <f t="shared" si="189"/>
        <v>57.214153846153842</v>
      </c>
      <c r="U409" s="101">
        <f t="shared" si="189"/>
        <v>63.454153846153837</v>
      </c>
      <c r="V409" s="101">
        <f t="shared" si="189"/>
        <v>72.190153846153848</v>
      </c>
      <c r="W409" s="101">
        <f t="shared" si="189"/>
        <v>0</v>
      </c>
      <c r="X409" s="101">
        <f t="shared" si="189"/>
        <v>0</v>
      </c>
      <c r="Y409" s="101">
        <f t="shared" si="189"/>
        <v>0</v>
      </c>
      <c r="Z409" s="101">
        <f t="shared" si="189"/>
        <v>0</v>
      </c>
      <c r="AA409" s="101">
        <f t="shared" si="189"/>
        <v>0</v>
      </c>
      <c r="AB409" s="22"/>
    </row>
    <row r="410" spans="1:28" s="23" customFormat="1" ht="10.199999999999999" x14ac:dyDescent="0.2">
      <c r="A410" s="22"/>
      <c r="B410" s="22"/>
      <c r="C410" s="22"/>
      <c r="D410" s="22"/>
      <c r="E410" s="22" t="str">
        <f>E404</f>
        <v>непредв. расходы - начисление/оплата</v>
      </c>
      <c r="F410" s="22"/>
      <c r="G410" s="22" t="str">
        <f>IF($E410="","",INDEX(KPI!$G:$G,SUMIFS(KPI!$B:$B,KPI!$E:$E,$E410)))</f>
        <v>тыс.руб.</v>
      </c>
      <c r="H410" s="100">
        <f>структура!$V$17</f>
        <v>6</v>
      </c>
      <c r="I410" s="31"/>
      <c r="J410" s="98" t="str">
        <f>структура!$X$17</f>
        <v>июн</v>
      </c>
      <c r="K410" s="99"/>
      <c r="L410" s="22"/>
      <c r="M410" s="58"/>
      <c r="N410" s="22"/>
      <c r="O410" s="22"/>
      <c r="P410" s="101">
        <f t="shared" ref="P410:AA410" si="190">IF(P$1="",0,(P64+P188)*$J$401)</f>
        <v>62.618399999999987</v>
      </c>
      <c r="Q410" s="101">
        <f t="shared" si="190"/>
        <v>66.458399999999983</v>
      </c>
      <c r="R410" s="101">
        <f t="shared" si="190"/>
        <v>72.218399999999988</v>
      </c>
      <c r="S410" s="101">
        <f t="shared" si="190"/>
        <v>76.058399999999992</v>
      </c>
      <c r="T410" s="101">
        <f t="shared" si="190"/>
        <v>81.818399999999983</v>
      </c>
      <c r="U410" s="101">
        <f t="shared" si="190"/>
        <v>91.418399999999991</v>
      </c>
      <c r="V410" s="101">
        <f t="shared" si="190"/>
        <v>104.85839999999999</v>
      </c>
      <c r="W410" s="101">
        <f t="shared" si="190"/>
        <v>0</v>
      </c>
      <c r="X410" s="101">
        <f t="shared" si="190"/>
        <v>0</v>
      </c>
      <c r="Y410" s="101">
        <f t="shared" si="190"/>
        <v>0</v>
      </c>
      <c r="Z410" s="101">
        <f t="shared" si="190"/>
        <v>0</v>
      </c>
      <c r="AA410" s="101">
        <f t="shared" si="190"/>
        <v>0</v>
      </c>
      <c r="AB410" s="22"/>
    </row>
    <row r="411" spans="1:28" s="23" customFormat="1" ht="10.199999999999999" x14ac:dyDescent="0.2">
      <c r="A411" s="22"/>
      <c r="B411" s="22"/>
      <c r="C411" s="22"/>
      <c r="D411" s="22"/>
      <c r="E411" s="22" t="str">
        <f>E404</f>
        <v>непредв. расходы - начисление/оплата</v>
      </c>
      <c r="F411" s="22"/>
      <c r="G411" s="22" t="str">
        <f>IF($E411="","",INDEX(KPI!$G:$G,SUMIFS(KPI!$B:$B,KPI!$E:$E,$E411)))</f>
        <v>тыс.руб.</v>
      </c>
      <c r="H411" s="100">
        <f>структура!$V$18</f>
        <v>7</v>
      </c>
      <c r="I411" s="31"/>
      <c r="J411" s="98" t="str">
        <f>структура!$X$18</f>
        <v>июл</v>
      </c>
      <c r="K411" s="99"/>
      <c r="L411" s="22"/>
      <c r="M411" s="58"/>
      <c r="N411" s="22"/>
      <c r="O411" s="22"/>
      <c r="P411" s="101">
        <f t="shared" ref="P411:AA411" si="191">IF(P$1="",0,(P65+P189)*$J$401)</f>
        <v>56.502323076923076</v>
      </c>
      <c r="Q411" s="101">
        <f t="shared" si="191"/>
        <v>59.382323076923079</v>
      </c>
      <c r="R411" s="101">
        <f t="shared" si="191"/>
        <v>63.702323076923079</v>
      </c>
      <c r="S411" s="101">
        <f t="shared" si="191"/>
        <v>66.582323076923075</v>
      </c>
      <c r="T411" s="101">
        <f t="shared" si="191"/>
        <v>70.902323076923082</v>
      </c>
      <c r="U411" s="101">
        <f t="shared" si="191"/>
        <v>78.102323076923071</v>
      </c>
      <c r="V411" s="101">
        <f t="shared" si="191"/>
        <v>88.182323076923083</v>
      </c>
      <c r="W411" s="101">
        <f t="shared" si="191"/>
        <v>0</v>
      </c>
      <c r="X411" s="101">
        <f t="shared" si="191"/>
        <v>0</v>
      </c>
      <c r="Y411" s="101">
        <f t="shared" si="191"/>
        <v>0</v>
      </c>
      <c r="Z411" s="101">
        <f t="shared" si="191"/>
        <v>0</v>
      </c>
      <c r="AA411" s="101">
        <f t="shared" si="191"/>
        <v>0</v>
      </c>
      <c r="AB411" s="22"/>
    </row>
    <row r="412" spans="1:28" s="23" customFormat="1" ht="10.199999999999999" x14ac:dyDescent="0.2">
      <c r="A412" s="22"/>
      <c r="B412" s="22"/>
      <c r="C412" s="22"/>
      <c r="D412" s="22"/>
      <c r="E412" s="22" t="str">
        <f>E404</f>
        <v>непредв. расходы - начисление/оплата</v>
      </c>
      <c r="F412" s="22"/>
      <c r="G412" s="22" t="str">
        <f>IF($E412="","",INDEX(KPI!$G:$G,SUMIFS(KPI!$B:$B,KPI!$E:$E,$E412)))</f>
        <v>тыс.руб.</v>
      </c>
      <c r="H412" s="100">
        <f>структура!$V$19</f>
        <v>8</v>
      </c>
      <c r="I412" s="31"/>
      <c r="J412" s="98" t="str">
        <f>структура!$X$19</f>
        <v>авг</v>
      </c>
      <c r="K412" s="99"/>
      <c r="L412" s="22"/>
      <c r="M412" s="58"/>
      <c r="N412" s="22"/>
      <c r="O412" s="22"/>
      <c r="P412" s="101">
        <f t="shared" ref="P412:AA412" si="192">IF(P$1="",0,(P66+P190)*$J$401)</f>
        <v>53.622323076923081</v>
      </c>
      <c r="Q412" s="101">
        <f t="shared" si="192"/>
        <v>56.118323076923076</v>
      </c>
      <c r="R412" s="101">
        <f t="shared" si="192"/>
        <v>59.862323076923076</v>
      </c>
      <c r="S412" s="101">
        <f t="shared" si="192"/>
        <v>62.358323076923071</v>
      </c>
      <c r="T412" s="101">
        <f t="shared" si="192"/>
        <v>66.102323076923085</v>
      </c>
      <c r="U412" s="101">
        <f t="shared" si="192"/>
        <v>72.34232307692308</v>
      </c>
      <c r="V412" s="101">
        <f t="shared" si="192"/>
        <v>81.07832307692307</v>
      </c>
      <c r="W412" s="101">
        <f t="shared" si="192"/>
        <v>0</v>
      </c>
      <c r="X412" s="101">
        <f t="shared" si="192"/>
        <v>0</v>
      </c>
      <c r="Y412" s="101">
        <f t="shared" si="192"/>
        <v>0</v>
      </c>
      <c r="Z412" s="101">
        <f t="shared" si="192"/>
        <v>0</v>
      </c>
      <c r="AA412" s="101">
        <f t="shared" si="192"/>
        <v>0</v>
      </c>
      <c r="AB412" s="22"/>
    </row>
    <row r="413" spans="1:28" s="23" customFormat="1" ht="10.199999999999999" x14ac:dyDescent="0.2">
      <c r="A413" s="22"/>
      <c r="B413" s="22"/>
      <c r="C413" s="22"/>
      <c r="D413" s="22"/>
      <c r="E413" s="22" t="str">
        <f>E404</f>
        <v>непредв. расходы - начисление/оплата</v>
      </c>
      <c r="F413" s="22"/>
      <c r="G413" s="22" t="str">
        <f>IF($E413="","",INDEX(KPI!$G:$G,SUMIFS(KPI!$B:$B,KPI!$E:$E,$E413)))</f>
        <v>тыс.руб.</v>
      </c>
      <c r="H413" s="100">
        <f>структура!$V$20</f>
        <v>9</v>
      </c>
      <c r="I413" s="31"/>
      <c r="J413" s="98" t="str">
        <f>структура!$X$20</f>
        <v>сен</v>
      </c>
      <c r="K413" s="99"/>
      <c r="L413" s="22"/>
      <c r="M413" s="58"/>
      <c r="N413" s="22"/>
      <c r="O413" s="22"/>
      <c r="P413" s="101">
        <f t="shared" ref="P413:AA413" si="193">IF(P$1="",0,(P67+P191)*$J$401)</f>
        <v>33.484557692307689</v>
      </c>
      <c r="Q413" s="101">
        <f t="shared" si="193"/>
        <v>34.422057692307689</v>
      </c>
      <c r="R413" s="101">
        <f t="shared" si="193"/>
        <v>35.828307692307689</v>
      </c>
      <c r="S413" s="101">
        <f t="shared" si="193"/>
        <v>36.765807692307689</v>
      </c>
      <c r="T413" s="101">
        <f t="shared" si="193"/>
        <v>38.172057692307689</v>
      </c>
      <c r="U413" s="101">
        <f t="shared" si="193"/>
        <v>40.515807692307689</v>
      </c>
      <c r="V413" s="101">
        <f t="shared" si="193"/>
        <v>43.797057692307689</v>
      </c>
      <c r="W413" s="101">
        <f t="shared" si="193"/>
        <v>0</v>
      </c>
      <c r="X413" s="101">
        <f t="shared" si="193"/>
        <v>0</v>
      </c>
      <c r="Y413" s="101">
        <f t="shared" si="193"/>
        <v>0</v>
      </c>
      <c r="Z413" s="101">
        <f t="shared" si="193"/>
        <v>0</v>
      </c>
      <c r="AA413" s="101">
        <f t="shared" si="193"/>
        <v>0</v>
      </c>
      <c r="AB413" s="22"/>
    </row>
    <row r="414" spans="1:28" s="23" customFormat="1" ht="10.199999999999999" x14ac:dyDescent="0.2">
      <c r="A414" s="22"/>
      <c r="B414" s="22"/>
      <c r="C414" s="22"/>
      <c r="D414" s="22"/>
      <c r="E414" s="22" t="str">
        <f>E404</f>
        <v>непредв. расходы - начисление/оплата</v>
      </c>
      <c r="F414" s="22"/>
      <c r="G414" s="22" t="str">
        <f>IF($E414="","",INDEX(KPI!$G:$G,SUMIFS(KPI!$B:$B,KPI!$E:$E,$E414)))</f>
        <v>тыс.руб.</v>
      </c>
      <c r="H414" s="100">
        <f>структура!$V$21</f>
        <v>10</v>
      </c>
      <c r="I414" s="31"/>
      <c r="J414" s="98" t="str">
        <f>структура!$X$21</f>
        <v>окт</v>
      </c>
      <c r="K414" s="99"/>
      <c r="L414" s="22"/>
      <c r="M414" s="58"/>
      <c r="N414" s="22"/>
      <c r="O414" s="22"/>
      <c r="P414" s="101">
        <f t="shared" ref="P414:AA414" si="194">IF(P$1="",0,(P68+P192)*$J$401)</f>
        <v>31.628826923076922</v>
      </c>
      <c r="Q414" s="101">
        <f t="shared" si="194"/>
        <v>32.941326923076922</v>
      </c>
      <c r="R414" s="101">
        <f t="shared" si="194"/>
        <v>34.910076923076929</v>
      </c>
      <c r="S414" s="101">
        <f t="shared" si="194"/>
        <v>36.222576923076929</v>
      </c>
      <c r="T414" s="101">
        <f t="shared" si="194"/>
        <v>38.191326923076922</v>
      </c>
      <c r="U414" s="101">
        <f t="shared" si="194"/>
        <v>41.472576923076929</v>
      </c>
      <c r="V414" s="101">
        <f t="shared" si="194"/>
        <v>46.066326923076929</v>
      </c>
      <c r="W414" s="101">
        <f t="shared" si="194"/>
        <v>0</v>
      </c>
      <c r="X414" s="101">
        <f t="shared" si="194"/>
        <v>0</v>
      </c>
      <c r="Y414" s="101">
        <f t="shared" si="194"/>
        <v>0</v>
      </c>
      <c r="Z414" s="101">
        <f t="shared" si="194"/>
        <v>0</v>
      </c>
      <c r="AA414" s="101">
        <f t="shared" si="194"/>
        <v>0</v>
      </c>
      <c r="AB414" s="22"/>
    </row>
    <row r="415" spans="1:28" s="23" customFormat="1" ht="10.199999999999999" x14ac:dyDescent="0.2">
      <c r="A415" s="22"/>
      <c r="B415" s="22"/>
      <c r="C415" s="22"/>
      <c r="D415" s="22"/>
      <c r="E415" s="22" t="str">
        <f>E404</f>
        <v>непредв. расходы - начисление/оплата</v>
      </c>
      <c r="F415" s="22"/>
      <c r="G415" s="22" t="str">
        <f>IF($E415="","",INDEX(KPI!$G:$G,SUMIFS(KPI!$B:$B,KPI!$E:$E,$E415)))</f>
        <v>тыс.руб.</v>
      </c>
      <c r="H415" s="100">
        <f>структура!$V$22</f>
        <v>11</v>
      </c>
      <c r="I415" s="31"/>
      <c r="J415" s="98" t="str">
        <f>структура!$X$22</f>
        <v>ноя</v>
      </c>
      <c r="K415" s="99"/>
      <c r="L415" s="22"/>
      <c r="M415" s="58"/>
      <c r="N415" s="22"/>
      <c r="O415" s="22"/>
      <c r="P415" s="101">
        <f t="shared" ref="P415:AA415" si="195">IF(P$1="",0,(P69+P193)*$J$401)</f>
        <v>25.12220769230769</v>
      </c>
      <c r="Q415" s="101">
        <f t="shared" si="195"/>
        <v>26.05220769230769</v>
      </c>
      <c r="R415" s="101">
        <f t="shared" si="195"/>
        <v>27.447207692307689</v>
      </c>
      <c r="S415" s="101">
        <f t="shared" si="195"/>
        <v>28.377207692307689</v>
      </c>
      <c r="T415" s="101">
        <f t="shared" si="195"/>
        <v>29.772207692307688</v>
      </c>
      <c r="U415" s="101">
        <f t="shared" si="195"/>
        <v>32.097207692307691</v>
      </c>
      <c r="V415" s="101">
        <f t="shared" si="195"/>
        <v>35.352207692307687</v>
      </c>
      <c r="W415" s="101">
        <f t="shared" si="195"/>
        <v>0</v>
      </c>
      <c r="X415" s="101">
        <f t="shared" si="195"/>
        <v>0</v>
      </c>
      <c r="Y415" s="101">
        <f t="shared" si="195"/>
        <v>0</v>
      </c>
      <c r="Z415" s="101">
        <f t="shared" si="195"/>
        <v>0</v>
      </c>
      <c r="AA415" s="101">
        <f t="shared" si="195"/>
        <v>0</v>
      </c>
      <c r="AB415" s="22"/>
    </row>
    <row r="416" spans="1:28" s="23" customFormat="1" ht="10.199999999999999" x14ac:dyDescent="0.2">
      <c r="A416" s="22"/>
      <c r="B416" s="22"/>
      <c r="C416" s="22"/>
      <c r="D416" s="22"/>
      <c r="E416" s="22" t="str">
        <f>E404</f>
        <v>непредв. расходы - начисление/оплата</v>
      </c>
      <c r="F416" s="22"/>
      <c r="G416" s="22" t="str">
        <f>IF($E416="","",INDEX(KPI!$G:$G,SUMIFS(KPI!$B:$B,KPI!$E:$E,$E416)))</f>
        <v>тыс.руб.</v>
      </c>
      <c r="H416" s="100">
        <f>структура!$V$23</f>
        <v>12</v>
      </c>
      <c r="I416" s="31"/>
      <c r="J416" s="98" t="str">
        <f>структура!$X$23</f>
        <v>дек</v>
      </c>
      <c r="K416" s="99"/>
      <c r="L416" s="22"/>
      <c r="M416" s="58"/>
      <c r="N416" s="22"/>
      <c r="O416" s="22"/>
      <c r="P416" s="101">
        <f t="shared" ref="P416:AA416" si="196">IF(P$1="",0,(P70+P194)*$J$401)</f>
        <v>23.242269230769203</v>
      </c>
      <c r="Q416" s="101">
        <f t="shared" si="196"/>
        <v>24.1872692307692</v>
      </c>
      <c r="R416" s="101">
        <f t="shared" si="196"/>
        <v>25.604769230769197</v>
      </c>
      <c r="S416" s="101">
        <f t="shared" si="196"/>
        <v>26.549769230769193</v>
      </c>
      <c r="T416" s="101">
        <f t="shared" si="196"/>
        <v>27.967269230769187</v>
      </c>
      <c r="U416" s="101">
        <f t="shared" si="196"/>
        <v>30.329769230769177</v>
      </c>
      <c r="V416" s="101">
        <f t="shared" si="196"/>
        <v>33.637269230769164</v>
      </c>
      <c r="W416" s="101">
        <f t="shared" si="196"/>
        <v>0</v>
      </c>
      <c r="X416" s="101">
        <f t="shared" si="196"/>
        <v>0</v>
      </c>
      <c r="Y416" s="101">
        <f t="shared" si="196"/>
        <v>0</v>
      </c>
      <c r="Z416" s="101">
        <f t="shared" si="196"/>
        <v>0</v>
      </c>
      <c r="AA416" s="101">
        <f t="shared" si="196"/>
        <v>0</v>
      </c>
      <c r="AB416" s="22"/>
    </row>
    <row r="417" spans="1:28" ht="3.9" customHeight="1" x14ac:dyDescent="0.25">
      <c r="A417" s="2"/>
      <c r="B417" s="2"/>
      <c r="C417" s="2"/>
      <c r="D417" s="119"/>
      <c r="E417" s="119"/>
      <c r="F417" s="2"/>
      <c r="G417" s="119"/>
      <c r="H417" s="2"/>
      <c r="I417" s="28"/>
      <c r="J417" s="119"/>
      <c r="K417" s="28"/>
      <c r="L417" s="2"/>
      <c r="M417" s="52"/>
      <c r="N417" s="2"/>
      <c r="O417" s="2"/>
      <c r="P417" s="36"/>
      <c r="Q417" s="36"/>
      <c r="R417" s="36"/>
      <c r="S417" s="36"/>
      <c r="T417" s="36"/>
      <c r="U417" s="36"/>
      <c r="V417" s="36"/>
      <c r="W417" s="36"/>
      <c r="X417" s="36"/>
      <c r="Y417" s="36"/>
      <c r="Z417" s="36"/>
      <c r="AA417" s="36"/>
      <c r="AB417" s="2"/>
    </row>
    <row r="418" spans="1:28" ht="8.1" customHeight="1" x14ac:dyDescent="0.25">
      <c r="A418" s="2"/>
      <c r="B418" s="2"/>
      <c r="C418" s="2"/>
      <c r="D418" s="2"/>
      <c r="E418" s="2"/>
      <c r="F418" s="2"/>
      <c r="G418" s="2"/>
      <c r="H418" s="2"/>
      <c r="I418" s="28"/>
      <c r="J418" s="2"/>
      <c r="K418" s="28"/>
      <c r="L418" s="2"/>
      <c r="M418" s="52"/>
      <c r="N418" s="2"/>
      <c r="O418" s="2"/>
      <c r="P418" s="36"/>
      <c r="Q418" s="36"/>
      <c r="R418" s="36"/>
      <c r="S418" s="36"/>
      <c r="T418" s="36"/>
      <c r="U418" s="36"/>
      <c r="V418" s="36"/>
      <c r="W418" s="36"/>
      <c r="X418" s="36"/>
      <c r="Y418" s="36"/>
      <c r="Z418" s="36"/>
      <c r="AA418" s="36"/>
      <c r="AB418" s="2"/>
    </row>
    <row r="419" spans="1:28" x14ac:dyDescent="0.25">
      <c r="A419" s="2"/>
      <c r="B419" s="2"/>
      <c r="C419" s="2"/>
      <c r="D419" s="2"/>
      <c r="E419" s="121" t="s">
        <v>244</v>
      </c>
      <c r="F419" s="2"/>
      <c r="G419" s="2"/>
      <c r="H419" s="2"/>
      <c r="I419" s="28"/>
      <c r="J419" s="2"/>
      <c r="K419" s="28"/>
      <c r="L419" s="2"/>
      <c r="M419" s="52"/>
      <c r="N419" s="2"/>
      <c r="O419" s="2"/>
      <c r="P419" s="36"/>
      <c r="Q419" s="36"/>
      <c r="R419" s="36"/>
      <c r="S419" s="36"/>
      <c r="T419" s="36"/>
      <c r="U419" s="36"/>
      <c r="V419" s="36"/>
      <c r="W419" s="36"/>
      <c r="X419" s="36"/>
      <c r="Y419" s="36"/>
      <c r="Z419" s="36"/>
      <c r="AA419" s="36"/>
      <c r="AB419" s="2"/>
    </row>
    <row r="420" spans="1:28" ht="8.1" customHeight="1" x14ac:dyDescent="0.25">
      <c r="A420" s="2"/>
      <c r="B420" s="2"/>
      <c r="C420" s="2"/>
      <c r="D420" s="2"/>
      <c r="E420" s="2"/>
      <c r="F420" s="2"/>
      <c r="G420" s="2"/>
      <c r="H420" s="2"/>
      <c r="I420" s="28"/>
      <c r="J420" s="2"/>
      <c r="K420" s="28"/>
      <c r="L420" s="2"/>
      <c r="M420" s="52"/>
      <c r="N420" s="2"/>
      <c r="O420" s="2"/>
      <c r="P420" s="36"/>
      <c r="Q420" s="36"/>
      <c r="R420" s="36"/>
      <c r="S420" s="36"/>
      <c r="T420" s="36"/>
      <c r="U420" s="36"/>
      <c r="V420" s="36"/>
      <c r="W420" s="36"/>
      <c r="X420" s="36"/>
      <c r="Y420" s="36"/>
      <c r="Z420" s="36"/>
      <c r="AA420" s="36"/>
      <c r="AB420" s="2"/>
    </row>
    <row r="421" spans="1:28" s="5" customFormat="1" x14ac:dyDescent="0.25">
      <c r="A421" s="3"/>
      <c r="B421" s="3"/>
      <c r="C421" s="3"/>
      <c r="D421" s="3"/>
      <c r="E421" s="3" t="str">
        <f>KPI!$E$65</f>
        <v>ставка НДС</v>
      </c>
      <c r="F421" s="3"/>
      <c r="G421" s="3" t="str">
        <f>IF($E421="","",INDEX(KPI!$G:$G,SUMIFS(KPI!$B:$B,KPI!$E:$E,$E421)))</f>
        <v>%</v>
      </c>
      <c r="H421" s="3"/>
      <c r="I421" s="28"/>
      <c r="J421" s="2"/>
      <c r="K421" s="28"/>
      <c r="L421" s="2"/>
      <c r="M421" s="52"/>
      <c r="N421" s="3"/>
      <c r="O421" s="6" t="s">
        <v>0</v>
      </c>
      <c r="P421" s="88">
        <v>0.2</v>
      </c>
      <c r="Q421" s="88">
        <v>0.2</v>
      </c>
      <c r="R421" s="88">
        <v>0.2</v>
      </c>
      <c r="S421" s="88">
        <v>0.2</v>
      </c>
      <c r="T421" s="88">
        <v>0.2</v>
      </c>
      <c r="U421" s="88">
        <v>0.2</v>
      </c>
      <c r="V421" s="88">
        <v>0.2</v>
      </c>
      <c r="W421" s="88">
        <v>0.2</v>
      </c>
      <c r="X421" s="88">
        <v>0.2</v>
      </c>
      <c r="Y421" s="88">
        <v>0.2</v>
      </c>
      <c r="Z421" s="88">
        <v>0.2</v>
      </c>
      <c r="AA421" s="88">
        <v>0.2</v>
      </c>
      <c r="AB421" s="3"/>
    </row>
    <row r="422" spans="1:28" ht="3.9" customHeight="1" x14ac:dyDescent="0.25">
      <c r="A422" s="2"/>
      <c r="B422" s="2"/>
      <c r="C422" s="2"/>
      <c r="D422" s="2"/>
      <c r="E422" s="122"/>
      <c r="F422" s="2"/>
      <c r="G422" s="2"/>
      <c r="H422" s="2"/>
      <c r="I422" s="28"/>
      <c r="J422" s="2"/>
      <c r="K422" s="28"/>
      <c r="L422" s="2"/>
      <c r="M422" s="52"/>
      <c r="N422" s="2"/>
      <c r="O422" s="2"/>
      <c r="P422" s="36"/>
      <c r="Q422" s="36"/>
      <c r="R422" s="36"/>
      <c r="S422" s="36"/>
      <c r="T422" s="36"/>
      <c r="U422" s="36"/>
      <c r="V422" s="36"/>
      <c r="W422" s="36"/>
      <c r="X422" s="36"/>
      <c r="Y422" s="36"/>
      <c r="Z422" s="36"/>
      <c r="AA422" s="36"/>
      <c r="AB422" s="2"/>
    </row>
    <row r="423" spans="1:28" ht="3.9" customHeight="1" x14ac:dyDescent="0.25">
      <c r="A423" s="2"/>
      <c r="B423" s="2"/>
      <c r="C423" s="2"/>
      <c r="D423" s="2"/>
      <c r="E423" s="2"/>
      <c r="F423" s="2"/>
      <c r="G423" s="2"/>
      <c r="H423" s="2"/>
      <c r="I423" s="28"/>
      <c r="J423" s="2"/>
      <c r="K423" s="28"/>
      <c r="L423" s="2"/>
      <c r="M423" s="52"/>
      <c r="N423" s="2"/>
      <c r="O423" s="2"/>
      <c r="P423" s="36"/>
      <c r="Q423" s="36"/>
      <c r="R423" s="36"/>
      <c r="S423" s="36"/>
      <c r="T423" s="36"/>
      <c r="U423" s="36"/>
      <c r="V423" s="36"/>
      <c r="W423" s="36"/>
      <c r="X423" s="36"/>
      <c r="Y423" s="36"/>
      <c r="Z423" s="36"/>
      <c r="AA423" s="36"/>
      <c r="AB423" s="2"/>
    </row>
    <row r="424" spans="1:28" s="5" customFormat="1" x14ac:dyDescent="0.25">
      <c r="A424" s="3"/>
      <c r="B424" s="3"/>
      <c r="C424" s="3"/>
      <c r="D424" s="3"/>
      <c r="E424" s="3" t="str">
        <f>KPI!$E$66</f>
        <v>ставка налога на прибыль (ОСНО)</v>
      </c>
      <c r="F424" s="3"/>
      <c r="G424" s="3" t="str">
        <f>IF($E424="","",INDEX(KPI!$G:$G,SUMIFS(KPI!$B:$B,KPI!$E:$E,$E424)))</f>
        <v>%</v>
      </c>
      <c r="H424" s="3"/>
      <c r="I424" s="28"/>
      <c r="J424" s="2"/>
      <c r="K424" s="28"/>
      <c r="L424" s="2"/>
      <c r="M424" s="52"/>
      <c r="N424" s="3"/>
      <c r="O424" s="6" t="s">
        <v>0</v>
      </c>
      <c r="P424" s="88">
        <v>0.2</v>
      </c>
      <c r="Q424" s="88">
        <v>0.2</v>
      </c>
      <c r="R424" s="88">
        <v>0.2</v>
      </c>
      <c r="S424" s="88">
        <v>0.2</v>
      </c>
      <c r="T424" s="88">
        <v>0.2</v>
      </c>
      <c r="U424" s="88">
        <v>0.2</v>
      </c>
      <c r="V424" s="88">
        <v>0.2</v>
      </c>
      <c r="W424" s="88">
        <v>0.2</v>
      </c>
      <c r="X424" s="88">
        <v>0.2</v>
      </c>
      <c r="Y424" s="88">
        <v>0.2</v>
      </c>
      <c r="Z424" s="88">
        <v>0.2</v>
      </c>
      <c r="AA424" s="88">
        <v>0.2</v>
      </c>
      <c r="AB424" s="3"/>
    </row>
    <row r="425" spans="1:28" ht="3.9" customHeight="1" x14ac:dyDescent="0.25">
      <c r="A425" s="2"/>
      <c r="B425" s="2"/>
      <c r="C425" s="2"/>
      <c r="D425" s="2"/>
      <c r="E425" s="122"/>
      <c r="F425" s="2"/>
      <c r="G425" s="2"/>
      <c r="H425" s="2"/>
      <c r="I425" s="28"/>
      <c r="J425" s="2"/>
      <c r="K425" s="28"/>
      <c r="L425" s="2"/>
      <c r="M425" s="52"/>
      <c r="N425" s="2"/>
      <c r="O425" s="2"/>
      <c r="P425" s="36"/>
      <c r="Q425" s="36"/>
      <c r="R425" s="36"/>
      <c r="S425" s="36"/>
      <c r="T425" s="36"/>
      <c r="U425" s="36"/>
      <c r="V425" s="36"/>
      <c r="W425" s="36"/>
      <c r="X425" s="36"/>
      <c r="Y425" s="36"/>
      <c r="Z425" s="36"/>
      <c r="AA425" s="36"/>
      <c r="AB425" s="2"/>
    </row>
    <row r="426" spans="1:28" ht="3.9" customHeight="1" x14ac:dyDescent="0.25">
      <c r="A426" s="2"/>
      <c r="B426" s="2"/>
      <c r="C426" s="2"/>
      <c r="D426" s="2"/>
      <c r="E426" s="2"/>
      <c r="F426" s="2"/>
      <c r="G426" s="2"/>
      <c r="H426" s="2"/>
      <c r="I426" s="28"/>
      <c r="J426" s="2"/>
      <c r="K426" s="28"/>
      <c r="L426" s="2"/>
      <c r="M426" s="52"/>
      <c r="N426" s="2"/>
      <c r="O426" s="2"/>
      <c r="P426" s="36"/>
      <c r="Q426" s="36"/>
      <c r="R426" s="36"/>
      <c r="S426" s="36"/>
      <c r="T426" s="36"/>
      <c r="U426" s="36"/>
      <c r="V426" s="36"/>
      <c r="W426" s="36"/>
      <c r="X426" s="36"/>
      <c r="Y426" s="36"/>
      <c r="Z426" s="36"/>
      <c r="AA426" s="36"/>
      <c r="AB426" s="2"/>
    </row>
    <row r="427" spans="1:28" s="5" customFormat="1" x14ac:dyDescent="0.25">
      <c r="A427" s="3"/>
      <c r="B427" s="3"/>
      <c r="C427" s="3"/>
      <c r="D427" s="3"/>
      <c r="E427" s="3" t="str">
        <f>KPI!$E$67</f>
        <v>ставка налога УСН-доход</v>
      </c>
      <c r="F427" s="3"/>
      <c r="G427" s="3" t="str">
        <f>IF($E427="","",INDEX(KPI!$G:$G,SUMIFS(KPI!$B:$B,KPI!$E:$E,$E427)))</f>
        <v>%</v>
      </c>
      <c r="H427" s="3"/>
      <c r="I427" s="28"/>
      <c r="J427" s="2"/>
      <c r="K427" s="28"/>
      <c r="L427" s="2"/>
      <c r="M427" s="52"/>
      <c r="N427" s="3"/>
      <c r="O427" s="6" t="s">
        <v>0</v>
      </c>
      <c r="P427" s="88">
        <v>0.06</v>
      </c>
      <c r="Q427" s="88">
        <v>0.06</v>
      </c>
      <c r="R427" s="88">
        <v>0.06</v>
      </c>
      <c r="S427" s="88">
        <v>0.06</v>
      </c>
      <c r="T427" s="88">
        <v>0.06</v>
      </c>
      <c r="U427" s="88">
        <v>0.06</v>
      </c>
      <c r="V427" s="88">
        <v>0.06</v>
      </c>
      <c r="W427" s="88">
        <v>0.06</v>
      </c>
      <c r="X427" s="88">
        <v>0.06</v>
      </c>
      <c r="Y427" s="88">
        <v>0.06</v>
      </c>
      <c r="Z427" s="88">
        <v>0.06</v>
      </c>
      <c r="AA427" s="88">
        <v>0.06</v>
      </c>
      <c r="AB427" s="3"/>
    </row>
    <row r="428" spans="1:28" ht="3.9" customHeight="1" x14ac:dyDescent="0.25">
      <c r="A428" s="2"/>
      <c r="B428" s="2"/>
      <c r="C428" s="2"/>
      <c r="D428" s="2"/>
      <c r="E428" s="122"/>
      <c r="F428" s="2"/>
      <c r="G428" s="2"/>
      <c r="H428" s="2"/>
      <c r="I428" s="28"/>
      <c r="J428" s="2"/>
      <c r="K428" s="28"/>
      <c r="L428" s="2"/>
      <c r="M428" s="52"/>
      <c r="N428" s="2"/>
      <c r="O428" s="2"/>
      <c r="P428" s="36"/>
      <c r="Q428" s="36"/>
      <c r="R428" s="36"/>
      <c r="S428" s="36"/>
      <c r="T428" s="36"/>
      <c r="U428" s="36"/>
      <c r="V428" s="36"/>
      <c r="W428" s="36"/>
      <c r="X428" s="36"/>
      <c r="Y428" s="36"/>
      <c r="Z428" s="36"/>
      <c r="AA428" s="36"/>
      <c r="AB428" s="2"/>
    </row>
    <row r="429" spans="1:28" ht="3.9" customHeight="1" x14ac:dyDescent="0.25">
      <c r="A429" s="2"/>
      <c r="B429" s="2"/>
      <c r="C429" s="2"/>
      <c r="D429" s="2"/>
      <c r="E429" s="2"/>
      <c r="F429" s="2"/>
      <c r="G429" s="2"/>
      <c r="H429" s="2"/>
      <c r="I429" s="28"/>
      <c r="J429" s="2"/>
      <c r="K429" s="28"/>
      <c r="L429" s="2"/>
      <c r="M429" s="52"/>
      <c r="N429" s="2"/>
      <c r="O429" s="2"/>
      <c r="P429" s="36"/>
      <c r="Q429" s="36"/>
      <c r="R429" s="36"/>
      <c r="S429" s="36"/>
      <c r="T429" s="36"/>
      <c r="U429" s="36"/>
      <c r="V429" s="36"/>
      <c r="W429" s="36"/>
      <c r="X429" s="36"/>
      <c r="Y429" s="36"/>
      <c r="Z429" s="36"/>
      <c r="AA429" s="36"/>
      <c r="AB429" s="2"/>
    </row>
    <row r="430" spans="1:28" s="5" customFormat="1" x14ac:dyDescent="0.25">
      <c r="A430" s="3"/>
      <c r="B430" s="3"/>
      <c r="C430" s="3"/>
      <c r="D430" s="3"/>
      <c r="E430" s="3" t="str">
        <f>KPI!$E$68</f>
        <v>ставка налога УСН-доход-расход</v>
      </c>
      <c r="F430" s="3"/>
      <c r="G430" s="3" t="str">
        <f>IF($E430="","",INDEX(KPI!$G:$G,SUMIFS(KPI!$B:$B,KPI!$E:$E,$E430)))</f>
        <v>%</v>
      </c>
      <c r="H430" s="3"/>
      <c r="I430" s="28"/>
      <c r="J430" s="2"/>
      <c r="K430" s="28"/>
      <c r="L430" s="2"/>
      <c r="M430" s="52"/>
      <c r="N430" s="3"/>
      <c r="O430" s="6" t="s">
        <v>0</v>
      </c>
      <c r="P430" s="88">
        <v>0.15</v>
      </c>
      <c r="Q430" s="88">
        <v>0.15</v>
      </c>
      <c r="R430" s="88">
        <v>0.15</v>
      </c>
      <c r="S430" s="88">
        <v>0.15</v>
      </c>
      <c r="T430" s="88">
        <v>0.15</v>
      </c>
      <c r="U430" s="88">
        <v>0.15</v>
      </c>
      <c r="V430" s="88">
        <v>0.15</v>
      </c>
      <c r="W430" s="88">
        <v>0.15</v>
      </c>
      <c r="X430" s="88">
        <v>0.15</v>
      </c>
      <c r="Y430" s="88">
        <v>0.15</v>
      </c>
      <c r="Z430" s="88">
        <v>0.15</v>
      </c>
      <c r="AA430" s="88">
        <v>0.15</v>
      </c>
      <c r="AB430" s="3"/>
    </row>
    <row r="431" spans="1:28" ht="3.9" customHeight="1" x14ac:dyDescent="0.25">
      <c r="A431" s="2"/>
      <c r="B431" s="2"/>
      <c r="C431" s="2"/>
      <c r="D431" s="2"/>
      <c r="E431" s="122"/>
      <c r="F431" s="2"/>
      <c r="G431" s="2"/>
      <c r="H431" s="2"/>
      <c r="I431" s="28"/>
      <c r="J431" s="2"/>
      <c r="K431" s="28"/>
      <c r="L431" s="2"/>
      <c r="M431" s="52"/>
      <c r="N431" s="2"/>
      <c r="O431" s="2"/>
      <c r="P431" s="36"/>
      <c r="Q431" s="36"/>
      <c r="R431" s="36"/>
      <c r="S431" s="36"/>
      <c r="T431" s="36"/>
      <c r="U431" s="36"/>
      <c r="V431" s="36"/>
      <c r="W431" s="36"/>
      <c r="X431" s="36"/>
      <c r="Y431" s="36"/>
      <c r="Z431" s="36"/>
      <c r="AA431" s="36"/>
      <c r="AB431" s="2"/>
    </row>
    <row r="432" spans="1:28" ht="3.9" customHeight="1" x14ac:dyDescent="0.25">
      <c r="A432" s="2"/>
      <c r="B432" s="2"/>
      <c r="C432" s="2"/>
      <c r="D432" s="2"/>
      <c r="E432" s="2"/>
      <c r="F432" s="2"/>
      <c r="G432" s="2"/>
      <c r="H432" s="2"/>
      <c r="I432" s="28"/>
      <c r="J432" s="2"/>
      <c r="K432" s="28"/>
      <c r="L432" s="2"/>
      <c r="M432" s="52"/>
      <c r="N432" s="2"/>
      <c r="O432" s="2"/>
      <c r="P432" s="36"/>
      <c r="Q432" s="36"/>
      <c r="R432" s="36"/>
      <c r="S432" s="36"/>
      <c r="T432" s="36"/>
      <c r="U432" s="36"/>
      <c r="V432" s="36"/>
      <c r="W432" s="36"/>
      <c r="X432" s="36"/>
      <c r="Y432" s="36"/>
      <c r="Z432" s="36"/>
      <c r="AA432" s="36"/>
      <c r="AB432" s="2"/>
    </row>
    <row r="433" spans="1:28" s="5" customFormat="1" x14ac:dyDescent="0.25">
      <c r="A433" s="3"/>
      <c r="B433" s="3"/>
      <c r="C433" s="3"/>
      <c r="D433" s="3"/>
      <c r="E433" s="3" t="str">
        <f>KPI!$E$69</f>
        <v>ставка налога УСН-ИП-доход</v>
      </c>
      <c r="F433" s="3"/>
      <c r="G433" s="3" t="str">
        <f>IF($E433="","",INDEX(KPI!$G:$G,SUMIFS(KPI!$B:$B,KPI!$E:$E,$E433)))</f>
        <v>%</v>
      </c>
      <c r="H433" s="3"/>
      <c r="I433" s="28"/>
      <c r="J433" s="2"/>
      <c r="K433" s="28"/>
      <c r="L433" s="2"/>
      <c r="M433" s="52"/>
      <c r="N433" s="3"/>
      <c r="O433" s="6" t="s">
        <v>0</v>
      </c>
      <c r="P433" s="88">
        <v>0</v>
      </c>
      <c r="Q433" s="88">
        <v>0</v>
      </c>
      <c r="R433" s="88">
        <v>0</v>
      </c>
      <c r="S433" s="88">
        <v>0</v>
      </c>
      <c r="T433" s="88">
        <v>0.06</v>
      </c>
      <c r="U433" s="88">
        <v>0.06</v>
      </c>
      <c r="V433" s="88">
        <v>0.06</v>
      </c>
      <c r="W433" s="88">
        <v>0.03</v>
      </c>
      <c r="X433" s="88">
        <v>0.03</v>
      </c>
      <c r="Y433" s="88">
        <v>0.03</v>
      </c>
      <c r="Z433" s="88">
        <v>0.03</v>
      </c>
      <c r="AA433" s="88">
        <v>0.03</v>
      </c>
      <c r="AB433" s="3"/>
    </row>
    <row r="434" spans="1:28" ht="3.9" customHeight="1" x14ac:dyDescent="0.25">
      <c r="A434" s="2"/>
      <c r="B434" s="2"/>
      <c r="C434" s="2"/>
      <c r="D434" s="2"/>
      <c r="E434" s="122"/>
      <c r="F434" s="2"/>
      <c r="G434" s="2"/>
      <c r="H434" s="2"/>
      <c r="I434" s="28"/>
      <c r="J434" s="2"/>
      <c r="K434" s="28"/>
      <c r="L434" s="2"/>
      <c r="M434" s="52"/>
      <c r="N434" s="2"/>
      <c r="O434" s="2"/>
      <c r="P434" s="36"/>
      <c r="Q434" s="36"/>
      <c r="R434" s="36"/>
      <c r="S434" s="36"/>
      <c r="T434" s="36"/>
      <c r="U434" s="36"/>
      <c r="V434" s="36"/>
      <c r="W434" s="36"/>
      <c r="X434" s="36"/>
      <c r="Y434" s="36"/>
      <c r="Z434" s="36"/>
      <c r="AA434" s="36"/>
      <c r="AB434" s="2"/>
    </row>
    <row r="435" spans="1:28" ht="3.9" customHeight="1" x14ac:dyDescent="0.25">
      <c r="A435" s="2"/>
      <c r="B435" s="2"/>
      <c r="C435" s="2"/>
      <c r="D435" s="2"/>
      <c r="E435" s="2"/>
      <c r="F435" s="2"/>
      <c r="G435" s="2"/>
      <c r="H435" s="2"/>
      <c r="I435" s="28"/>
      <c r="J435" s="2"/>
      <c r="K435" s="28"/>
      <c r="L435" s="2"/>
      <c r="M435" s="52"/>
      <c r="N435" s="2"/>
      <c r="O435" s="2"/>
      <c r="P435" s="36"/>
      <c r="Q435" s="36"/>
      <c r="R435" s="36"/>
      <c r="S435" s="36"/>
      <c r="T435" s="36"/>
      <c r="U435" s="36"/>
      <c r="V435" s="36"/>
      <c r="W435" s="36"/>
      <c r="X435" s="36"/>
      <c r="Y435" s="36"/>
      <c r="Z435" s="36"/>
      <c r="AA435" s="36"/>
      <c r="AB435" s="2"/>
    </row>
    <row r="436" spans="1:28" s="5" customFormat="1" x14ac:dyDescent="0.25">
      <c r="A436" s="3"/>
      <c r="B436" s="3"/>
      <c r="C436" s="3"/>
      <c r="D436" s="3"/>
      <c r="E436" s="3" t="str">
        <f>KPI!$E$70</f>
        <v>неснижаемая доля налога УСН-доход</v>
      </c>
      <c r="F436" s="3"/>
      <c r="G436" s="3" t="str">
        <f>IF($E436="","",INDEX(KPI!$G:$G,SUMIFS(KPI!$B:$B,KPI!$E:$E,$E436)))</f>
        <v>%</v>
      </c>
      <c r="H436" s="3"/>
      <c r="I436" s="28"/>
      <c r="J436" s="2"/>
      <c r="K436" s="28"/>
      <c r="L436" s="2"/>
      <c r="M436" s="52"/>
      <c r="N436" s="3"/>
      <c r="O436" s="6" t="s">
        <v>0</v>
      </c>
      <c r="P436" s="88">
        <v>0.5</v>
      </c>
      <c r="Q436" s="88">
        <v>0.5</v>
      </c>
      <c r="R436" s="88">
        <v>0.5</v>
      </c>
      <c r="S436" s="88">
        <v>0.5</v>
      </c>
      <c r="T436" s="88">
        <v>0.5</v>
      </c>
      <c r="U436" s="88">
        <v>0.5</v>
      </c>
      <c r="V436" s="88">
        <v>0.5</v>
      </c>
      <c r="W436" s="88">
        <v>0.5</v>
      </c>
      <c r="X436" s="88">
        <v>0.5</v>
      </c>
      <c r="Y436" s="88">
        <v>0.5</v>
      </c>
      <c r="Z436" s="88">
        <v>0.5</v>
      </c>
      <c r="AA436" s="88">
        <v>0.5</v>
      </c>
      <c r="AB436" s="3"/>
    </row>
    <row r="437" spans="1:28" ht="3.9" customHeight="1" x14ac:dyDescent="0.25">
      <c r="A437" s="2"/>
      <c r="B437" s="2"/>
      <c r="C437" s="2"/>
      <c r="D437" s="2"/>
      <c r="E437" s="122"/>
      <c r="F437" s="2"/>
      <c r="G437" s="2"/>
      <c r="H437" s="2"/>
      <c r="I437" s="28"/>
      <c r="J437" s="2"/>
      <c r="K437" s="28"/>
      <c r="L437" s="2"/>
      <c r="M437" s="52"/>
      <c r="N437" s="2"/>
      <c r="O437" s="2"/>
      <c r="P437" s="36"/>
      <c r="Q437" s="36"/>
      <c r="R437" s="36"/>
      <c r="S437" s="36"/>
      <c r="T437" s="36"/>
      <c r="U437" s="36"/>
      <c r="V437" s="36"/>
      <c r="W437" s="36"/>
      <c r="X437" s="36"/>
      <c r="Y437" s="36"/>
      <c r="Z437" s="36"/>
      <c r="AA437" s="36"/>
      <c r="AB437" s="2"/>
    </row>
    <row r="438" spans="1:28" ht="3.9" customHeight="1" x14ac:dyDescent="0.25">
      <c r="A438" s="2"/>
      <c r="B438" s="2"/>
      <c r="C438" s="2"/>
      <c r="D438" s="2"/>
      <c r="E438" s="2"/>
      <c r="F438" s="2"/>
      <c r="G438" s="2"/>
      <c r="H438" s="2"/>
      <c r="I438" s="28"/>
      <c r="J438" s="2"/>
      <c r="K438" s="28"/>
      <c r="L438" s="2"/>
      <c r="M438" s="52"/>
      <c r="N438" s="2"/>
      <c r="O438" s="2"/>
      <c r="P438" s="36"/>
      <c r="Q438" s="36"/>
      <c r="R438" s="36"/>
      <c r="S438" s="36"/>
      <c r="T438" s="36"/>
      <c r="U438" s="36"/>
      <c r="V438" s="36"/>
      <c r="W438" s="36"/>
      <c r="X438" s="36"/>
      <c r="Y438" s="36"/>
      <c r="Z438" s="36"/>
      <c r="AA438" s="36"/>
      <c r="AB438" s="2"/>
    </row>
    <row r="439" spans="1:28" s="5" customFormat="1" x14ac:dyDescent="0.25">
      <c r="A439" s="3"/>
      <c r="B439" s="3"/>
      <c r="C439" s="3"/>
      <c r="D439" s="3"/>
      <c r="E439" s="3" t="str">
        <f>KPI!$E$71</f>
        <v>минимум налога УСН-доход-расход</v>
      </c>
      <c r="F439" s="3"/>
      <c r="G439" s="3" t="str">
        <f>IF($E439="","",INDEX(KPI!$G:$G,SUMIFS(KPI!$B:$B,KPI!$E:$E,$E439)))</f>
        <v>%</v>
      </c>
      <c r="H439" s="3"/>
      <c r="I439" s="28"/>
      <c r="J439" s="2"/>
      <c r="K439" s="28"/>
      <c r="L439" s="2"/>
      <c r="M439" s="52"/>
      <c r="N439" s="3"/>
      <c r="O439" s="6" t="s">
        <v>0</v>
      </c>
      <c r="P439" s="88">
        <v>0.01</v>
      </c>
      <c r="Q439" s="88">
        <v>0.01</v>
      </c>
      <c r="R439" s="88">
        <v>0.01</v>
      </c>
      <c r="S439" s="88">
        <v>0.01</v>
      </c>
      <c r="T439" s="88">
        <v>0.01</v>
      </c>
      <c r="U439" s="88">
        <v>0.01</v>
      </c>
      <c r="V439" s="88">
        <v>0.01</v>
      </c>
      <c r="W439" s="88">
        <v>0.01</v>
      </c>
      <c r="X439" s="88">
        <v>0.01</v>
      </c>
      <c r="Y439" s="88">
        <v>0.01</v>
      </c>
      <c r="Z439" s="88">
        <v>0.01</v>
      </c>
      <c r="AA439" s="88">
        <v>0.01</v>
      </c>
      <c r="AB439" s="3"/>
    </row>
    <row r="440" spans="1:28" ht="3.9" customHeight="1" x14ac:dyDescent="0.25">
      <c r="A440" s="2"/>
      <c r="B440" s="2"/>
      <c r="C440" s="2"/>
      <c r="D440" s="2"/>
      <c r="E440" s="122"/>
      <c r="F440" s="2"/>
      <c r="G440" s="2"/>
      <c r="H440" s="2"/>
      <c r="I440" s="28"/>
      <c r="J440" s="2"/>
      <c r="K440" s="28"/>
      <c r="L440" s="2"/>
      <c r="M440" s="52"/>
      <c r="N440" s="2"/>
      <c r="O440" s="2"/>
      <c r="P440" s="36"/>
      <c r="Q440" s="36"/>
      <c r="R440" s="36"/>
      <c r="S440" s="36"/>
      <c r="T440" s="36"/>
      <c r="U440" s="36"/>
      <c r="V440" s="36"/>
      <c r="W440" s="36"/>
      <c r="X440" s="36"/>
      <c r="Y440" s="36"/>
      <c r="Z440" s="36"/>
      <c r="AA440" s="36"/>
      <c r="AB440" s="2"/>
    </row>
    <row r="441" spans="1:28" ht="3.9" customHeight="1" x14ac:dyDescent="0.25">
      <c r="A441" s="2"/>
      <c r="B441" s="2"/>
      <c r="C441" s="2"/>
      <c r="D441" s="2"/>
      <c r="E441" s="2"/>
      <c r="F441" s="2"/>
      <c r="G441" s="2"/>
      <c r="H441" s="2"/>
      <c r="I441" s="28"/>
      <c r="J441" s="2"/>
      <c r="K441" s="28"/>
      <c r="L441" s="2"/>
      <c r="M441" s="52"/>
      <c r="N441" s="2"/>
      <c r="O441" s="2"/>
      <c r="P441" s="36"/>
      <c r="Q441" s="36"/>
      <c r="R441" s="36"/>
      <c r="S441" s="36"/>
      <c r="T441" s="36"/>
      <c r="U441" s="36"/>
      <c r="V441" s="36"/>
      <c r="W441" s="36"/>
      <c r="X441" s="36"/>
      <c r="Y441" s="36"/>
      <c r="Z441" s="36"/>
      <c r="AA441" s="36"/>
      <c r="AB441" s="2"/>
    </row>
    <row r="442" spans="1:28" s="5" customFormat="1" x14ac:dyDescent="0.25">
      <c r="A442" s="3"/>
      <c r="B442" s="3"/>
      <c r="C442" s="3"/>
      <c r="D442" s="3"/>
      <c r="E442" s="3" t="str">
        <f>KPI!$E$72</f>
        <v>ставка налога на имущество</v>
      </c>
      <c r="F442" s="3"/>
      <c r="G442" s="3" t="str">
        <f>IF($E442="","",INDEX(KPI!$G:$G,SUMIFS(KPI!$B:$B,KPI!$E:$E,$E442)))</f>
        <v>%</v>
      </c>
      <c r="H442" s="3"/>
      <c r="I442" s="28"/>
      <c r="J442" s="2"/>
      <c r="K442" s="28"/>
      <c r="L442" s="2"/>
      <c r="M442" s="52"/>
      <c r="N442" s="3"/>
      <c r="O442" s="6" t="s">
        <v>0</v>
      </c>
      <c r="P442" s="88">
        <v>2.1999999999999999E-2</v>
      </c>
      <c r="Q442" s="88">
        <v>2.1999999999999999E-2</v>
      </c>
      <c r="R442" s="88">
        <v>2.1999999999999999E-2</v>
      </c>
      <c r="S442" s="88">
        <v>2.1999999999999999E-2</v>
      </c>
      <c r="T442" s="88">
        <v>2.1999999999999999E-2</v>
      </c>
      <c r="U442" s="88">
        <v>2.1999999999999999E-2</v>
      </c>
      <c r="V442" s="88">
        <v>2.1999999999999999E-2</v>
      </c>
      <c r="W442" s="88">
        <v>2.1999999999999999E-2</v>
      </c>
      <c r="X442" s="88">
        <v>2.1999999999999999E-2</v>
      </c>
      <c r="Y442" s="88">
        <v>2.1999999999999999E-2</v>
      </c>
      <c r="Z442" s="88">
        <v>2.1999999999999999E-2</v>
      </c>
      <c r="AA442" s="88">
        <v>2.1999999999999999E-2</v>
      </c>
      <c r="AB442" s="3"/>
    </row>
    <row r="443" spans="1:28" ht="3.9" customHeight="1" x14ac:dyDescent="0.25">
      <c r="A443" s="2"/>
      <c r="B443" s="2"/>
      <c r="C443" s="2"/>
      <c r="D443" s="2"/>
      <c r="E443" s="122"/>
      <c r="F443" s="2"/>
      <c r="G443" s="2"/>
      <c r="H443" s="2"/>
      <c r="I443" s="28"/>
      <c r="J443" s="2"/>
      <c r="K443" s="28"/>
      <c r="L443" s="2"/>
      <c r="M443" s="52"/>
      <c r="N443" s="2"/>
      <c r="O443" s="2"/>
      <c r="P443" s="36"/>
      <c r="Q443" s="36"/>
      <c r="R443" s="36"/>
      <c r="S443" s="36"/>
      <c r="T443" s="36"/>
      <c r="U443" s="36"/>
      <c r="V443" s="36"/>
      <c r="W443" s="36"/>
      <c r="X443" s="36"/>
      <c r="Y443" s="36"/>
      <c r="Z443" s="36"/>
      <c r="AA443" s="36"/>
      <c r="AB443" s="2"/>
    </row>
    <row r="444" spans="1:28" ht="3.9" customHeight="1" x14ac:dyDescent="0.25">
      <c r="A444" s="2"/>
      <c r="B444" s="2"/>
      <c r="C444" s="2"/>
      <c r="D444" s="2"/>
      <c r="E444" s="2"/>
      <c r="F444" s="2"/>
      <c r="G444" s="2"/>
      <c r="H444" s="2"/>
      <c r="I444" s="28"/>
      <c r="J444" s="2"/>
      <c r="K444" s="28"/>
      <c r="L444" s="2"/>
      <c r="M444" s="52"/>
      <c r="N444" s="2"/>
      <c r="O444" s="2"/>
      <c r="P444" s="36"/>
      <c r="Q444" s="36"/>
      <c r="R444" s="36"/>
      <c r="S444" s="36"/>
      <c r="T444" s="36"/>
      <c r="U444" s="36"/>
      <c r="V444" s="36"/>
      <c r="W444" s="36"/>
      <c r="X444" s="36"/>
      <c r="Y444" s="36"/>
      <c r="Z444" s="36"/>
      <c r="AA444" s="36"/>
      <c r="AB444" s="2"/>
    </row>
    <row r="445" spans="1:28" s="5" customFormat="1" x14ac:dyDescent="0.25">
      <c r="A445" s="3"/>
      <c r="B445" s="3"/>
      <c r="C445" s="3"/>
      <c r="D445" s="3"/>
      <c r="E445" s="3" t="str">
        <f>KPI!$E$73</f>
        <v>ставка дисконтирования</v>
      </c>
      <c r="F445" s="3"/>
      <c r="G445" s="3" t="str">
        <f>IF($E445="","",INDEX(KPI!$G:$G,SUMIFS(KPI!$B:$B,KPI!$E:$E,$E445)))</f>
        <v>%</v>
      </c>
      <c r="H445" s="3"/>
      <c r="I445" s="28"/>
      <c r="J445" s="3"/>
      <c r="K445" s="28"/>
      <c r="L445" s="3"/>
      <c r="M445" s="55"/>
      <c r="N445" s="3"/>
      <c r="O445" s="6" t="s">
        <v>0</v>
      </c>
      <c r="P445" s="127">
        <v>0.1</v>
      </c>
      <c r="Q445" s="127">
        <v>0.1</v>
      </c>
      <c r="R445" s="127">
        <v>0.1</v>
      </c>
      <c r="S445" s="127">
        <v>0.1</v>
      </c>
      <c r="T445" s="127">
        <v>0.1</v>
      </c>
      <c r="U445" s="127">
        <v>0.1</v>
      </c>
      <c r="V445" s="127">
        <v>0.1</v>
      </c>
      <c r="W445" s="127">
        <v>0.1</v>
      </c>
      <c r="X445" s="127">
        <v>0.1</v>
      </c>
      <c r="Y445" s="127">
        <v>0.1</v>
      </c>
      <c r="Z445" s="127">
        <v>0.1</v>
      </c>
      <c r="AA445" s="127">
        <v>0.1</v>
      </c>
      <c r="AB445" s="3"/>
    </row>
    <row r="446" spans="1:28" ht="3.9" customHeight="1" x14ac:dyDescent="0.25">
      <c r="A446" s="2"/>
      <c r="B446" s="2"/>
      <c r="C446" s="2"/>
      <c r="D446" s="2"/>
      <c r="E446" s="122"/>
      <c r="F446" s="2"/>
      <c r="G446" s="2"/>
      <c r="H446" s="2"/>
      <c r="I446" s="28"/>
      <c r="J446" s="2"/>
      <c r="K446" s="28"/>
      <c r="L446" s="2"/>
      <c r="M446" s="52"/>
      <c r="N446" s="2"/>
      <c r="O446" s="2"/>
      <c r="P446" s="36"/>
      <c r="Q446" s="36"/>
      <c r="R446" s="36"/>
      <c r="S446" s="36"/>
      <c r="T446" s="36"/>
      <c r="U446" s="36"/>
      <c r="V446" s="36"/>
      <c r="W446" s="36"/>
      <c r="X446" s="36"/>
      <c r="Y446" s="36"/>
      <c r="Z446" s="36"/>
      <c r="AA446" s="36"/>
      <c r="AB446" s="2"/>
    </row>
    <row r="447" spans="1:28" x14ac:dyDescent="0.25">
      <c r="A447" s="2"/>
      <c r="B447" s="2"/>
      <c r="C447" s="2"/>
      <c r="D447" s="2"/>
      <c r="E447" s="2"/>
      <c r="F447" s="2"/>
      <c r="G447" s="2"/>
      <c r="H447" s="2"/>
      <c r="I447" s="28"/>
      <c r="J447" s="2"/>
      <c r="K447" s="28"/>
      <c r="L447" s="2"/>
      <c r="M447" s="52"/>
      <c r="N447" s="2"/>
      <c r="O447" s="2"/>
      <c r="P447" s="36"/>
      <c r="Q447" s="36"/>
      <c r="R447" s="36"/>
      <c r="S447" s="36"/>
      <c r="T447" s="36"/>
      <c r="U447" s="36"/>
      <c r="V447" s="36"/>
      <c r="W447" s="36"/>
      <c r="X447" s="36"/>
      <c r="Y447" s="36"/>
      <c r="Z447" s="36"/>
      <c r="AA447" s="36"/>
      <c r="AB447" s="2"/>
    </row>
    <row r="448" spans="1:28" ht="8.1" customHeight="1" x14ac:dyDescent="0.25">
      <c r="A448" s="2"/>
      <c r="B448" s="2"/>
      <c r="C448" s="2"/>
      <c r="D448" s="2"/>
      <c r="E448" s="2"/>
      <c r="F448" s="2"/>
      <c r="G448" s="2"/>
      <c r="H448" s="2"/>
      <c r="I448" s="28"/>
      <c r="J448" s="2"/>
      <c r="K448" s="28"/>
      <c r="L448" s="2"/>
      <c r="M448" s="52"/>
      <c r="N448" s="2"/>
      <c r="O448" s="2"/>
      <c r="P448" s="36"/>
      <c r="Q448" s="36"/>
      <c r="R448" s="36"/>
      <c r="S448" s="36"/>
      <c r="T448" s="36"/>
      <c r="U448" s="36"/>
      <c r="V448" s="36"/>
      <c r="W448" s="36"/>
      <c r="X448" s="36"/>
      <c r="Y448" s="36"/>
      <c r="Z448" s="36"/>
      <c r="AA448" s="36"/>
      <c r="AB448" s="2"/>
    </row>
    <row r="449" spans="1:28" s="5" customFormat="1" x14ac:dyDescent="0.25">
      <c r="A449" s="3"/>
      <c r="B449" s="3"/>
      <c r="C449" s="3"/>
      <c r="D449" s="148"/>
      <c r="E449" s="3" t="str">
        <f>KPI!$E$84</f>
        <v>амортизация кап/затрат</v>
      </c>
      <c r="F449" s="3"/>
      <c r="G449" s="3" t="str">
        <f>IF($E449="","",INDEX(KPI!$G:$G,SUMIFS(KPI!$B:$B,KPI!$E:$E,$E449)))</f>
        <v>тыс.руб.</v>
      </c>
      <c r="H449" s="103"/>
      <c r="I449" s="28"/>
      <c r="J449" s="44"/>
      <c r="K449" s="28"/>
      <c r="L449" s="3"/>
      <c r="M449" s="55">
        <f>SUM($O449:$AB449)</f>
        <v>14970.374840000004</v>
      </c>
      <c r="N449" s="3"/>
      <c r="O449" s="3"/>
      <c r="P449" s="46">
        <f>IF(P$1="",0,IF(P$1=0,SUMIFS(P450:P461,H450:H461,"&gt;="&amp;MONTH($J$13)),SUM(P450:P461)))</f>
        <v>2138.6249771428579</v>
      </c>
      <c r="Q449" s="46">
        <f t="shared" ref="Q449" si="197">IF(Q$1="",0,SUM(Q450:Q461))</f>
        <v>2138.6249771428579</v>
      </c>
      <c r="R449" s="46">
        <f t="shared" ref="R449:AA449" si="198">IF(R$1="",0,SUM(R450:R461))</f>
        <v>2138.6249771428579</v>
      </c>
      <c r="S449" s="46">
        <f t="shared" si="198"/>
        <v>2138.6249771428579</v>
      </c>
      <c r="T449" s="46">
        <f t="shared" si="198"/>
        <v>2138.6249771428579</v>
      </c>
      <c r="U449" s="46">
        <f t="shared" si="198"/>
        <v>2138.6249771428579</v>
      </c>
      <c r="V449" s="46">
        <f t="shared" si="198"/>
        <v>2138.6249771428579</v>
      </c>
      <c r="W449" s="46">
        <f t="shared" si="198"/>
        <v>0</v>
      </c>
      <c r="X449" s="46">
        <f t="shared" si="198"/>
        <v>0</v>
      </c>
      <c r="Y449" s="46">
        <f t="shared" si="198"/>
        <v>0</v>
      </c>
      <c r="Z449" s="46">
        <f t="shared" si="198"/>
        <v>0</v>
      </c>
      <c r="AA449" s="46">
        <f t="shared" si="198"/>
        <v>0</v>
      </c>
      <c r="AB449" s="3"/>
    </row>
    <row r="450" spans="1:28" s="23" customFormat="1" ht="10.199999999999999" x14ac:dyDescent="0.2">
      <c r="A450" s="22"/>
      <c r="B450" s="22"/>
      <c r="C450" s="22"/>
      <c r="D450" s="22"/>
      <c r="E450" s="22" t="str">
        <f>E449</f>
        <v>амортизация кап/затрат</v>
      </c>
      <c r="F450" s="22"/>
      <c r="G450" s="22" t="str">
        <f>IF($E450="","",INDEX(KPI!$G:$G,SUMIFS(KPI!$B:$B,KPI!$E:$E,$E450)))</f>
        <v>тыс.руб.</v>
      </c>
      <c r="H450" s="100">
        <f>структура!$V$12</f>
        <v>1</v>
      </c>
      <c r="I450" s="31"/>
      <c r="J450" s="98" t="str">
        <f>структура!$X$12</f>
        <v>янв</v>
      </c>
      <c r="K450" s="99"/>
      <c r="L450" s="22"/>
      <c r="M450" s="58"/>
      <c r="N450" s="22"/>
      <c r="O450" s="22"/>
      <c r="P450" s="101">
        <f>IF(P$1="",0,IF(AND(P$1=0,$H450&lt;MONTH($J$13)),0,IF(((YEAR(P$8)-1)*12+$H450)-((YEAR($J$13)-1)*12+MONTH($J$13))+1&gt;капитал!$J$105*12,0,IF(капитал!$J$105=0,0,капитал!$M$102/(капитал!$J$105*12)))))</f>
        <v>178.21874809523811</v>
      </c>
      <c r="Q450" s="101">
        <f>IF(Q$1="",0,IF(AND(Q$1=0,$H450&lt;MONTH($J$13)),0,IF(((YEAR(Q$8)-1)*12+$H450)-((YEAR($J$13)-1)*12+MONTH($J$13))+1&gt;капитал!$J$105*12,0,IF(капитал!$J$105=0,0,капитал!$M$102/(капитал!$J$105*12)))))</f>
        <v>178.21874809523811</v>
      </c>
      <c r="R450" s="101">
        <f>IF(R$1="",0,IF(AND(R$1=0,$H450&lt;MONTH($J$13)),0,IF(((YEAR(R$8)-1)*12+$H450)-((YEAR($J$13)-1)*12+MONTH($J$13))+1&gt;капитал!$J$105*12,0,IF(капитал!$J$105=0,0,капитал!$M$102/(капитал!$J$105*12)))))</f>
        <v>178.21874809523811</v>
      </c>
      <c r="S450" s="101">
        <f>IF(S$1="",0,IF(AND(S$1=0,$H450&lt;MONTH($J$13)),0,IF(((YEAR(S$8)-1)*12+$H450)-((YEAR($J$13)-1)*12+MONTH($J$13))+1&gt;капитал!$J$105*12,0,IF(капитал!$J$105=0,0,капитал!$M$102/(капитал!$J$105*12)))))</f>
        <v>178.21874809523811</v>
      </c>
      <c r="T450" s="101">
        <f>IF(T$1="",0,IF(AND(T$1=0,$H450&lt;MONTH($J$13)),0,IF(((YEAR(T$8)-1)*12+$H450)-((YEAR($J$13)-1)*12+MONTH($J$13))+1&gt;капитал!$J$105*12,0,IF(капитал!$J$105=0,0,капитал!$M$102/(капитал!$J$105*12)))))</f>
        <v>178.21874809523811</v>
      </c>
      <c r="U450" s="101">
        <f>IF(U$1="",0,IF(AND(U$1=0,$H450&lt;MONTH($J$13)),0,IF(((YEAR(U$8)-1)*12+$H450)-((YEAR($J$13)-1)*12+MONTH($J$13))+1&gt;капитал!$J$105*12,0,IF(капитал!$J$105=0,0,капитал!$M$102/(капитал!$J$105*12)))))</f>
        <v>178.21874809523811</v>
      </c>
      <c r="V450" s="101">
        <f>IF(V$1="",0,IF(AND(V$1=0,$H450&lt;MONTH($J$13)),0,IF(((YEAR(V$8)-1)*12+$H450)-((YEAR($J$13)-1)*12+MONTH($J$13))+1&gt;капитал!$J$105*12,0,IF(капитал!$J$105=0,0,капитал!$M$102/(капитал!$J$105*12)))))</f>
        <v>178.21874809523811</v>
      </c>
      <c r="W450" s="101">
        <f>IF(W$1="",0,IF(AND(W$1=0,$H450&lt;MONTH($J$13)),0,IF(((YEAR(W$8)-1)*12+$H450)-((YEAR($J$13)-1)*12+MONTH($J$13))+1&gt;капитал!$J$105*12,0,IF(капитал!$J$105=0,0,капитал!$M$102/(капитал!$J$105*12)))))</f>
        <v>0</v>
      </c>
      <c r="X450" s="101">
        <f>IF(X$1="",0,IF(AND(X$1=0,$H450&lt;MONTH($J$13)),0,IF(((YEAR(X$8)-1)*12+$H450)-((YEAR($J$13)-1)*12+MONTH($J$13))+1&gt;капитал!$J$105*12,0,IF(капитал!$J$105=0,0,капитал!$M$102/(капитал!$J$105*12)))))</f>
        <v>0</v>
      </c>
      <c r="Y450" s="101">
        <f>IF(Y$1="",0,IF(AND(Y$1=0,$H450&lt;MONTH($J$13)),0,IF(((YEAR(Y$8)-1)*12+$H450)-((YEAR($J$13)-1)*12+MONTH($J$13))+1&gt;капитал!$J$105*12,0,IF(капитал!$J$105=0,0,капитал!$M$102/(капитал!$J$105*12)))))</f>
        <v>0</v>
      </c>
      <c r="Z450" s="101">
        <f>IF(Z$1="",0,IF(AND(Z$1=0,$H450&lt;MONTH($J$13)),0,IF(((YEAR(Z$8)-1)*12+$H450)-((YEAR($J$13)-1)*12+MONTH($J$13))+1&gt;капитал!$J$105*12,0,IF(капитал!$J$105=0,0,капитал!$M$102/(капитал!$J$105*12)))))</f>
        <v>0</v>
      </c>
      <c r="AA450" s="101">
        <f>IF(AA$1="",0,IF(AND(AA$1=0,$H450&lt;MONTH($J$13)),0,IF(((YEAR(AA$8)-1)*12+$H450)-((YEAR($J$13)-1)*12+MONTH($J$13))+1&gt;капитал!$J$105*12,0,IF(капитал!$J$105=0,0,капитал!$M$102/(капитал!$J$105*12)))))</f>
        <v>0</v>
      </c>
      <c r="AB450" s="22"/>
    </row>
    <row r="451" spans="1:28" s="23" customFormat="1" ht="10.199999999999999" x14ac:dyDescent="0.2">
      <c r="A451" s="22"/>
      <c r="B451" s="22"/>
      <c r="C451" s="22"/>
      <c r="D451" s="22"/>
      <c r="E451" s="22" t="str">
        <f>E449</f>
        <v>амортизация кап/затрат</v>
      </c>
      <c r="F451" s="22"/>
      <c r="G451" s="22" t="str">
        <f>IF($E451="","",INDEX(KPI!$G:$G,SUMIFS(KPI!$B:$B,KPI!$E:$E,$E451)))</f>
        <v>тыс.руб.</v>
      </c>
      <c r="H451" s="100">
        <f>структура!$V$13</f>
        <v>2</v>
      </c>
      <c r="I451" s="31"/>
      <c r="J451" s="98" t="str">
        <f>структура!$X$13</f>
        <v>фев</v>
      </c>
      <c r="K451" s="99"/>
      <c r="L451" s="22"/>
      <c r="M451" s="58"/>
      <c r="N451" s="22"/>
      <c r="O451" s="22"/>
      <c r="P451" s="101">
        <f>IF(P$1="",0,IF(AND(P$1=0,$H451&lt;MONTH($J$13)),0,IF(((YEAR(P$8)-1)*12+$H451)-((YEAR($J$13)-1)*12+MONTH($J$13))+1&gt;капитал!$J$105*12,0,IF(капитал!$J$105=0,0,капитал!$M$102/(капитал!$J$105*12)))))</f>
        <v>178.21874809523811</v>
      </c>
      <c r="Q451" s="101">
        <f>IF(Q$1="",0,IF(AND(Q$1=0,$H451&lt;MONTH($J$13)),0,IF(((YEAR(Q$8)-1)*12+$H451)-((YEAR($J$13)-1)*12+MONTH($J$13))+1&gt;капитал!$J$105*12,0,IF(капитал!$J$105=0,0,капитал!$M$102/(капитал!$J$105*12)))))</f>
        <v>178.21874809523811</v>
      </c>
      <c r="R451" s="101">
        <f>IF(R$1="",0,IF(AND(R$1=0,$H451&lt;MONTH($J$13)),0,IF(((YEAR(R$8)-1)*12+$H451)-((YEAR($J$13)-1)*12+MONTH($J$13))+1&gt;капитал!$J$105*12,0,IF(капитал!$J$105=0,0,капитал!$M$102/(капитал!$J$105*12)))))</f>
        <v>178.21874809523811</v>
      </c>
      <c r="S451" s="101">
        <f>IF(S$1="",0,IF(AND(S$1=0,$H451&lt;MONTH($J$13)),0,IF(((YEAR(S$8)-1)*12+$H451)-((YEAR($J$13)-1)*12+MONTH($J$13))+1&gt;капитал!$J$105*12,0,IF(капитал!$J$105=0,0,капитал!$M$102/(капитал!$J$105*12)))))</f>
        <v>178.21874809523811</v>
      </c>
      <c r="T451" s="101">
        <f>IF(T$1="",0,IF(AND(T$1=0,$H451&lt;MONTH($J$13)),0,IF(((YEAR(T$8)-1)*12+$H451)-((YEAR($J$13)-1)*12+MONTH($J$13))+1&gt;капитал!$J$105*12,0,IF(капитал!$J$105=0,0,капитал!$M$102/(капитал!$J$105*12)))))</f>
        <v>178.21874809523811</v>
      </c>
      <c r="U451" s="101">
        <f>IF(U$1="",0,IF(AND(U$1=0,$H451&lt;MONTH($J$13)),0,IF(((YEAR(U$8)-1)*12+$H451)-((YEAR($J$13)-1)*12+MONTH($J$13))+1&gt;капитал!$J$105*12,0,IF(капитал!$J$105=0,0,капитал!$M$102/(капитал!$J$105*12)))))</f>
        <v>178.21874809523811</v>
      </c>
      <c r="V451" s="101">
        <f>IF(V$1="",0,IF(AND(V$1=0,$H451&lt;MONTH($J$13)),0,IF(((YEAR(V$8)-1)*12+$H451)-((YEAR($J$13)-1)*12+MONTH($J$13))+1&gt;капитал!$J$105*12,0,IF(капитал!$J$105=0,0,капитал!$M$102/(капитал!$J$105*12)))))</f>
        <v>178.21874809523811</v>
      </c>
      <c r="W451" s="101">
        <f>IF(W$1="",0,IF(AND(W$1=0,$H451&lt;MONTH($J$13)),0,IF(((YEAR(W$8)-1)*12+$H451)-((YEAR($J$13)-1)*12+MONTH($J$13))+1&gt;капитал!$J$105*12,0,IF(капитал!$J$105=0,0,капитал!$M$102/(капитал!$J$105*12)))))</f>
        <v>0</v>
      </c>
      <c r="X451" s="101">
        <f>IF(X$1="",0,IF(AND(X$1=0,$H451&lt;MONTH($J$13)),0,IF(((YEAR(X$8)-1)*12+$H451)-((YEAR($J$13)-1)*12+MONTH($J$13))+1&gt;капитал!$J$105*12,0,IF(капитал!$J$105=0,0,капитал!$M$102/(капитал!$J$105*12)))))</f>
        <v>0</v>
      </c>
      <c r="Y451" s="101">
        <f>IF(Y$1="",0,IF(AND(Y$1=0,$H451&lt;MONTH($J$13)),0,IF(((YEAR(Y$8)-1)*12+$H451)-((YEAR($J$13)-1)*12+MONTH($J$13))+1&gt;капитал!$J$105*12,0,IF(капитал!$J$105=0,0,капитал!$M$102/(капитал!$J$105*12)))))</f>
        <v>0</v>
      </c>
      <c r="Z451" s="101">
        <f>IF(Z$1="",0,IF(AND(Z$1=0,$H451&lt;MONTH($J$13)),0,IF(((YEAR(Z$8)-1)*12+$H451)-((YEAR($J$13)-1)*12+MONTH($J$13))+1&gt;капитал!$J$105*12,0,IF(капитал!$J$105=0,0,капитал!$M$102/(капитал!$J$105*12)))))</f>
        <v>0</v>
      </c>
      <c r="AA451" s="101">
        <f>IF(AA$1="",0,IF(AND(AA$1=0,$H451&lt;MONTH($J$13)),0,IF(((YEAR(AA$8)-1)*12+$H451)-((YEAR($J$13)-1)*12+MONTH($J$13))+1&gt;капитал!$J$105*12,0,IF(капитал!$J$105=0,0,капитал!$M$102/(капитал!$J$105*12)))))</f>
        <v>0</v>
      </c>
      <c r="AB451" s="22"/>
    </row>
    <row r="452" spans="1:28" s="23" customFormat="1" ht="10.199999999999999" x14ac:dyDescent="0.2">
      <c r="A452" s="22"/>
      <c r="B452" s="22"/>
      <c r="C452" s="22"/>
      <c r="D452" s="22"/>
      <c r="E452" s="22" t="str">
        <f>E449</f>
        <v>амортизация кап/затрат</v>
      </c>
      <c r="F452" s="22"/>
      <c r="G452" s="22" t="str">
        <f>IF($E452="","",INDEX(KPI!$G:$G,SUMIFS(KPI!$B:$B,KPI!$E:$E,$E452)))</f>
        <v>тыс.руб.</v>
      </c>
      <c r="H452" s="100">
        <f>структура!$V$14</f>
        <v>3</v>
      </c>
      <c r="I452" s="31"/>
      <c r="J452" s="98" t="str">
        <f>структура!$X$14</f>
        <v>мар</v>
      </c>
      <c r="K452" s="99"/>
      <c r="L452" s="22"/>
      <c r="M452" s="58"/>
      <c r="N452" s="22"/>
      <c r="O452" s="22"/>
      <c r="P452" s="101">
        <f>IF(P$1="",0,IF(AND(P$1=0,$H452&lt;MONTH($J$13)),0,IF(((YEAR(P$8)-1)*12+$H452)-((YEAR($J$13)-1)*12+MONTH($J$13))+1&gt;капитал!$J$105*12,0,IF(капитал!$J$105=0,0,капитал!$M$102/(капитал!$J$105*12)))))</f>
        <v>178.21874809523811</v>
      </c>
      <c r="Q452" s="101">
        <f>IF(Q$1="",0,IF(AND(Q$1=0,$H452&lt;MONTH($J$13)),0,IF(((YEAR(Q$8)-1)*12+$H452)-((YEAR($J$13)-1)*12+MONTH($J$13))+1&gt;капитал!$J$105*12,0,IF(капитал!$J$105=0,0,капитал!$M$102/(капитал!$J$105*12)))))</f>
        <v>178.21874809523811</v>
      </c>
      <c r="R452" s="101">
        <f>IF(R$1="",0,IF(AND(R$1=0,$H452&lt;MONTH($J$13)),0,IF(((YEAR(R$8)-1)*12+$H452)-((YEAR($J$13)-1)*12+MONTH($J$13))+1&gt;капитал!$J$105*12,0,IF(капитал!$J$105=0,0,капитал!$M$102/(капитал!$J$105*12)))))</f>
        <v>178.21874809523811</v>
      </c>
      <c r="S452" s="101">
        <f>IF(S$1="",0,IF(AND(S$1=0,$H452&lt;MONTH($J$13)),0,IF(((YEAR(S$8)-1)*12+$H452)-((YEAR($J$13)-1)*12+MONTH($J$13))+1&gt;капитал!$J$105*12,0,IF(капитал!$J$105=0,0,капитал!$M$102/(капитал!$J$105*12)))))</f>
        <v>178.21874809523811</v>
      </c>
      <c r="T452" s="101">
        <f>IF(T$1="",0,IF(AND(T$1=0,$H452&lt;MONTH($J$13)),0,IF(((YEAR(T$8)-1)*12+$H452)-((YEAR($J$13)-1)*12+MONTH($J$13))+1&gt;капитал!$J$105*12,0,IF(капитал!$J$105=0,0,капитал!$M$102/(капитал!$J$105*12)))))</f>
        <v>178.21874809523811</v>
      </c>
      <c r="U452" s="101">
        <f>IF(U$1="",0,IF(AND(U$1=0,$H452&lt;MONTH($J$13)),0,IF(((YEAR(U$8)-1)*12+$H452)-((YEAR($J$13)-1)*12+MONTH($J$13))+1&gt;капитал!$J$105*12,0,IF(капитал!$J$105=0,0,капитал!$M$102/(капитал!$J$105*12)))))</f>
        <v>178.21874809523811</v>
      </c>
      <c r="V452" s="101">
        <f>IF(V$1="",0,IF(AND(V$1=0,$H452&lt;MONTH($J$13)),0,IF(((YEAR(V$8)-1)*12+$H452)-((YEAR($J$13)-1)*12+MONTH($J$13))+1&gt;капитал!$J$105*12,0,IF(капитал!$J$105=0,0,капитал!$M$102/(капитал!$J$105*12)))))</f>
        <v>178.21874809523811</v>
      </c>
      <c r="W452" s="101">
        <f>IF(W$1="",0,IF(AND(W$1=0,$H452&lt;MONTH($J$13)),0,IF(((YEAR(W$8)-1)*12+$H452)-((YEAR($J$13)-1)*12+MONTH($J$13))+1&gt;капитал!$J$105*12,0,IF(капитал!$J$105=0,0,капитал!$M$102/(капитал!$J$105*12)))))</f>
        <v>0</v>
      </c>
      <c r="X452" s="101">
        <f>IF(X$1="",0,IF(AND(X$1=0,$H452&lt;MONTH($J$13)),0,IF(((YEAR(X$8)-1)*12+$H452)-((YEAR($J$13)-1)*12+MONTH($J$13))+1&gt;капитал!$J$105*12,0,IF(капитал!$J$105=0,0,капитал!$M$102/(капитал!$J$105*12)))))</f>
        <v>0</v>
      </c>
      <c r="Y452" s="101">
        <f>IF(Y$1="",0,IF(AND(Y$1=0,$H452&lt;MONTH($J$13)),0,IF(((YEAR(Y$8)-1)*12+$H452)-((YEAR($J$13)-1)*12+MONTH($J$13))+1&gt;капитал!$J$105*12,0,IF(капитал!$J$105=0,0,капитал!$M$102/(капитал!$J$105*12)))))</f>
        <v>0</v>
      </c>
      <c r="Z452" s="101">
        <f>IF(Z$1="",0,IF(AND(Z$1=0,$H452&lt;MONTH($J$13)),0,IF(((YEAR(Z$8)-1)*12+$H452)-((YEAR($J$13)-1)*12+MONTH($J$13))+1&gt;капитал!$J$105*12,0,IF(капитал!$J$105=0,0,капитал!$M$102/(капитал!$J$105*12)))))</f>
        <v>0</v>
      </c>
      <c r="AA452" s="101">
        <f>IF(AA$1="",0,IF(AND(AA$1=0,$H452&lt;MONTH($J$13)),0,IF(((YEAR(AA$8)-1)*12+$H452)-((YEAR($J$13)-1)*12+MONTH($J$13))+1&gt;капитал!$J$105*12,0,IF(капитал!$J$105=0,0,капитал!$M$102/(капитал!$J$105*12)))))</f>
        <v>0</v>
      </c>
      <c r="AB452" s="22"/>
    </row>
    <row r="453" spans="1:28" s="23" customFormat="1" ht="10.199999999999999" x14ac:dyDescent="0.2">
      <c r="A453" s="22"/>
      <c r="B453" s="22"/>
      <c r="C453" s="22"/>
      <c r="D453" s="22"/>
      <c r="E453" s="22" t="str">
        <f>E449</f>
        <v>амортизация кап/затрат</v>
      </c>
      <c r="F453" s="22"/>
      <c r="G453" s="22" t="str">
        <f>IF($E453="","",INDEX(KPI!$G:$G,SUMIFS(KPI!$B:$B,KPI!$E:$E,$E453)))</f>
        <v>тыс.руб.</v>
      </c>
      <c r="H453" s="100">
        <f>структура!$V$15</f>
        <v>4</v>
      </c>
      <c r="I453" s="31"/>
      <c r="J453" s="98" t="str">
        <f>структура!$X$15</f>
        <v>апр</v>
      </c>
      <c r="K453" s="99"/>
      <c r="L453" s="22"/>
      <c r="M453" s="58"/>
      <c r="N453" s="22"/>
      <c r="O453" s="22"/>
      <c r="P453" s="101">
        <f>IF(P$1="",0,IF(AND(P$1=0,$H453&lt;MONTH($J$13)),0,IF(((YEAR(P$8)-1)*12+$H453)-((YEAR($J$13)-1)*12+MONTH($J$13))+1&gt;капитал!$J$105*12,0,IF(капитал!$J$105=0,0,капитал!$M$102/(капитал!$J$105*12)))))</f>
        <v>178.21874809523811</v>
      </c>
      <c r="Q453" s="101">
        <f>IF(Q$1="",0,IF(AND(Q$1=0,$H453&lt;MONTH($J$13)),0,IF(((YEAR(Q$8)-1)*12+$H453)-((YEAR($J$13)-1)*12+MONTH($J$13))+1&gt;капитал!$J$105*12,0,IF(капитал!$J$105=0,0,капитал!$M$102/(капитал!$J$105*12)))))</f>
        <v>178.21874809523811</v>
      </c>
      <c r="R453" s="101">
        <f>IF(R$1="",0,IF(AND(R$1=0,$H453&lt;MONTH($J$13)),0,IF(((YEAR(R$8)-1)*12+$H453)-((YEAR($J$13)-1)*12+MONTH($J$13))+1&gt;капитал!$J$105*12,0,IF(капитал!$J$105=0,0,капитал!$M$102/(капитал!$J$105*12)))))</f>
        <v>178.21874809523811</v>
      </c>
      <c r="S453" s="101">
        <f>IF(S$1="",0,IF(AND(S$1=0,$H453&lt;MONTH($J$13)),0,IF(((YEAR(S$8)-1)*12+$H453)-((YEAR($J$13)-1)*12+MONTH($J$13))+1&gt;капитал!$J$105*12,0,IF(капитал!$J$105=0,0,капитал!$M$102/(капитал!$J$105*12)))))</f>
        <v>178.21874809523811</v>
      </c>
      <c r="T453" s="101">
        <f>IF(T$1="",0,IF(AND(T$1=0,$H453&lt;MONTH($J$13)),0,IF(((YEAR(T$8)-1)*12+$H453)-((YEAR($J$13)-1)*12+MONTH($J$13))+1&gt;капитал!$J$105*12,0,IF(капитал!$J$105=0,0,капитал!$M$102/(капитал!$J$105*12)))))</f>
        <v>178.21874809523811</v>
      </c>
      <c r="U453" s="101">
        <f>IF(U$1="",0,IF(AND(U$1=0,$H453&lt;MONTH($J$13)),0,IF(((YEAR(U$8)-1)*12+$H453)-((YEAR($J$13)-1)*12+MONTH($J$13))+1&gt;капитал!$J$105*12,0,IF(капитал!$J$105=0,0,капитал!$M$102/(капитал!$J$105*12)))))</f>
        <v>178.21874809523811</v>
      </c>
      <c r="V453" s="101">
        <f>IF(V$1="",0,IF(AND(V$1=0,$H453&lt;MONTH($J$13)),0,IF(((YEAR(V$8)-1)*12+$H453)-((YEAR($J$13)-1)*12+MONTH($J$13))+1&gt;капитал!$J$105*12,0,IF(капитал!$J$105=0,0,капитал!$M$102/(капитал!$J$105*12)))))</f>
        <v>178.21874809523811</v>
      </c>
      <c r="W453" s="101">
        <f>IF(W$1="",0,IF(AND(W$1=0,$H453&lt;MONTH($J$13)),0,IF(((YEAR(W$8)-1)*12+$H453)-((YEAR($J$13)-1)*12+MONTH($J$13))+1&gt;капитал!$J$105*12,0,IF(капитал!$J$105=0,0,капитал!$M$102/(капитал!$J$105*12)))))</f>
        <v>0</v>
      </c>
      <c r="X453" s="101">
        <f>IF(X$1="",0,IF(AND(X$1=0,$H453&lt;MONTH($J$13)),0,IF(((YEAR(X$8)-1)*12+$H453)-((YEAR($J$13)-1)*12+MONTH($J$13))+1&gt;капитал!$J$105*12,0,IF(капитал!$J$105=0,0,капитал!$M$102/(капитал!$J$105*12)))))</f>
        <v>0</v>
      </c>
      <c r="Y453" s="101">
        <f>IF(Y$1="",0,IF(AND(Y$1=0,$H453&lt;MONTH($J$13)),0,IF(((YEAR(Y$8)-1)*12+$H453)-((YEAR($J$13)-1)*12+MONTH($J$13))+1&gt;капитал!$J$105*12,0,IF(капитал!$J$105=0,0,капитал!$M$102/(капитал!$J$105*12)))))</f>
        <v>0</v>
      </c>
      <c r="Z453" s="101">
        <f>IF(Z$1="",0,IF(AND(Z$1=0,$H453&lt;MONTH($J$13)),0,IF(((YEAR(Z$8)-1)*12+$H453)-((YEAR($J$13)-1)*12+MONTH($J$13))+1&gt;капитал!$J$105*12,0,IF(капитал!$J$105=0,0,капитал!$M$102/(капитал!$J$105*12)))))</f>
        <v>0</v>
      </c>
      <c r="AA453" s="101">
        <f>IF(AA$1="",0,IF(AND(AA$1=0,$H453&lt;MONTH($J$13)),0,IF(((YEAR(AA$8)-1)*12+$H453)-((YEAR($J$13)-1)*12+MONTH($J$13))+1&gt;капитал!$J$105*12,0,IF(капитал!$J$105=0,0,капитал!$M$102/(капитал!$J$105*12)))))</f>
        <v>0</v>
      </c>
      <c r="AB453" s="22"/>
    </row>
    <row r="454" spans="1:28" s="23" customFormat="1" ht="10.199999999999999" x14ac:dyDescent="0.2">
      <c r="A454" s="22"/>
      <c r="B454" s="22"/>
      <c r="C454" s="22"/>
      <c r="D454" s="22"/>
      <c r="E454" s="22" t="str">
        <f>E449</f>
        <v>амортизация кап/затрат</v>
      </c>
      <c r="F454" s="22"/>
      <c r="G454" s="22" t="str">
        <f>IF($E454="","",INDEX(KPI!$G:$G,SUMIFS(KPI!$B:$B,KPI!$E:$E,$E454)))</f>
        <v>тыс.руб.</v>
      </c>
      <c r="H454" s="100">
        <f>структура!$V$16</f>
        <v>5</v>
      </c>
      <c r="I454" s="31"/>
      <c r="J454" s="98" t="str">
        <f>структура!$X$16</f>
        <v>май</v>
      </c>
      <c r="K454" s="99"/>
      <c r="L454" s="22"/>
      <c r="M454" s="58"/>
      <c r="N454" s="22"/>
      <c r="O454" s="22"/>
      <c r="P454" s="101">
        <f>IF(P$1="",0,IF(AND(P$1=0,$H454&lt;MONTH($J$13)),0,IF(((YEAR(P$8)-1)*12+$H454)-((YEAR($J$13)-1)*12+MONTH($J$13))+1&gt;капитал!$J$105*12,0,IF(капитал!$J$105=0,0,капитал!$M$102/(капитал!$J$105*12)))))</f>
        <v>178.21874809523811</v>
      </c>
      <c r="Q454" s="101">
        <f>IF(Q$1="",0,IF(AND(Q$1=0,$H454&lt;MONTH($J$13)),0,IF(((YEAR(Q$8)-1)*12+$H454)-((YEAR($J$13)-1)*12+MONTH($J$13))+1&gt;капитал!$J$105*12,0,IF(капитал!$J$105=0,0,капитал!$M$102/(капитал!$J$105*12)))))</f>
        <v>178.21874809523811</v>
      </c>
      <c r="R454" s="101">
        <f>IF(R$1="",0,IF(AND(R$1=0,$H454&lt;MONTH($J$13)),0,IF(((YEAR(R$8)-1)*12+$H454)-((YEAR($J$13)-1)*12+MONTH($J$13))+1&gt;капитал!$J$105*12,0,IF(капитал!$J$105=0,0,капитал!$M$102/(капитал!$J$105*12)))))</f>
        <v>178.21874809523811</v>
      </c>
      <c r="S454" s="101">
        <f>IF(S$1="",0,IF(AND(S$1=0,$H454&lt;MONTH($J$13)),0,IF(((YEAR(S$8)-1)*12+$H454)-((YEAR($J$13)-1)*12+MONTH($J$13))+1&gt;капитал!$J$105*12,0,IF(капитал!$J$105=0,0,капитал!$M$102/(капитал!$J$105*12)))))</f>
        <v>178.21874809523811</v>
      </c>
      <c r="T454" s="101">
        <f>IF(T$1="",0,IF(AND(T$1=0,$H454&lt;MONTH($J$13)),0,IF(((YEAR(T$8)-1)*12+$H454)-((YEAR($J$13)-1)*12+MONTH($J$13))+1&gt;капитал!$J$105*12,0,IF(капитал!$J$105=0,0,капитал!$M$102/(капитал!$J$105*12)))))</f>
        <v>178.21874809523811</v>
      </c>
      <c r="U454" s="101">
        <f>IF(U$1="",0,IF(AND(U$1=0,$H454&lt;MONTH($J$13)),0,IF(((YEAR(U$8)-1)*12+$H454)-((YEAR($J$13)-1)*12+MONTH($J$13))+1&gt;капитал!$J$105*12,0,IF(капитал!$J$105=0,0,капитал!$M$102/(капитал!$J$105*12)))))</f>
        <v>178.21874809523811</v>
      </c>
      <c r="V454" s="101">
        <f>IF(V$1="",0,IF(AND(V$1=0,$H454&lt;MONTH($J$13)),0,IF(((YEAR(V$8)-1)*12+$H454)-((YEAR($J$13)-1)*12+MONTH($J$13))+1&gt;капитал!$J$105*12,0,IF(капитал!$J$105=0,0,капитал!$M$102/(капитал!$J$105*12)))))</f>
        <v>178.21874809523811</v>
      </c>
      <c r="W454" s="101">
        <f>IF(W$1="",0,IF(AND(W$1=0,$H454&lt;MONTH($J$13)),0,IF(((YEAR(W$8)-1)*12+$H454)-((YEAR($J$13)-1)*12+MONTH($J$13))+1&gt;капитал!$J$105*12,0,IF(капитал!$J$105=0,0,капитал!$M$102/(капитал!$J$105*12)))))</f>
        <v>0</v>
      </c>
      <c r="X454" s="101">
        <f>IF(X$1="",0,IF(AND(X$1=0,$H454&lt;MONTH($J$13)),0,IF(((YEAR(X$8)-1)*12+$H454)-((YEAR($J$13)-1)*12+MONTH($J$13))+1&gt;капитал!$J$105*12,0,IF(капитал!$J$105=0,0,капитал!$M$102/(капитал!$J$105*12)))))</f>
        <v>0</v>
      </c>
      <c r="Y454" s="101">
        <f>IF(Y$1="",0,IF(AND(Y$1=0,$H454&lt;MONTH($J$13)),0,IF(((YEAR(Y$8)-1)*12+$H454)-((YEAR($J$13)-1)*12+MONTH($J$13))+1&gt;капитал!$J$105*12,0,IF(капитал!$J$105=0,0,капитал!$M$102/(капитал!$J$105*12)))))</f>
        <v>0</v>
      </c>
      <c r="Z454" s="101">
        <f>IF(Z$1="",0,IF(AND(Z$1=0,$H454&lt;MONTH($J$13)),0,IF(((YEAR(Z$8)-1)*12+$H454)-((YEAR($J$13)-1)*12+MONTH($J$13))+1&gt;капитал!$J$105*12,0,IF(капитал!$J$105=0,0,капитал!$M$102/(капитал!$J$105*12)))))</f>
        <v>0</v>
      </c>
      <c r="AA454" s="101">
        <f>IF(AA$1="",0,IF(AND(AA$1=0,$H454&lt;MONTH($J$13)),0,IF(((YEAR(AA$8)-1)*12+$H454)-((YEAR($J$13)-1)*12+MONTH($J$13))+1&gt;капитал!$J$105*12,0,IF(капитал!$J$105=0,0,капитал!$M$102/(капитал!$J$105*12)))))</f>
        <v>0</v>
      </c>
      <c r="AB454" s="22"/>
    </row>
    <row r="455" spans="1:28" s="23" customFormat="1" ht="10.199999999999999" x14ac:dyDescent="0.2">
      <c r="A455" s="22"/>
      <c r="B455" s="22"/>
      <c r="C455" s="22"/>
      <c r="D455" s="22"/>
      <c r="E455" s="22" t="str">
        <f>E449</f>
        <v>амортизация кап/затрат</v>
      </c>
      <c r="F455" s="22"/>
      <c r="G455" s="22" t="str">
        <f>IF($E455="","",INDEX(KPI!$G:$G,SUMIFS(KPI!$B:$B,KPI!$E:$E,$E455)))</f>
        <v>тыс.руб.</v>
      </c>
      <c r="H455" s="100">
        <f>структура!$V$17</f>
        <v>6</v>
      </c>
      <c r="I455" s="31"/>
      <c r="J455" s="98" t="str">
        <f>структура!$X$17</f>
        <v>июн</v>
      </c>
      <c r="K455" s="99"/>
      <c r="L455" s="22"/>
      <c r="M455" s="58"/>
      <c r="N455" s="22"/>
      <c r="O455" s="22"/>
      <c r="P455" s="101">
        <f>IF(P$1="",0,IF(AND(P$1=0,$H455&lt;MONTH($J$13)),0,IF(((YEAR(P$8)-1)*12+$H455)-((YEAR($J$13)-1)*12+MONTH($J$13))+1&gt;капитал!$J$105*12,0,IF(капитал!$J$105=0,0,капитал!$M$102/(капитал!$J$105*12)))))</f>
        <v>178.21874809523811</v>
      </c>
      <c r="Q455" s="101">
        <f>IF(Q$1="",0,IF(AND(Q$1=0,$H455&lt;MONTH($J$13)),0,IF(((YEAR(Q$8)-1)*12+$H455)-((YEAR($J$13)-1)*12+MONTH($J$13))+1&gt;капитал!$J$105*12,0,IF(капитал!$J$105=0,0,капитал!$M$102/(капитал!$J$105*12)))))</f>
        <v>178.21874809523811</v>
      </c>
      <c r="R455" s="101">
        <f>IF(R$1="",0,IF(AND(R$1=0,$H455&lt;MONTH($J$13)),0,IF(((YEAR(R$8)-1)*12+$H455)-((YEAR($J$13)-1)*12+MONTH($J$13))+1&gt;капитал!$J$105*12,0,IF(капитал!$J$105=0,0,капитал!$M$102/(капитал!$J$105*12)))))</f>
        <v>178.21874809523811</v>
      </c>
      <c r="S455" s="101">
        <f>IF(S$1="",0,IF(AND(S$1=0,$H455&lt;MONTH($J$13)),0,IF(((YEAR(S$8)-1)*12+$H455)-((YEAR($J$13)-1)*12+MONTH($J$13))+1&gt;капитал!$J$105*12,0,IF(капитал!$J$105=0,0,капитал!$M$102/(капитал!$J$105*12)))))</f>
        <v>178.21874809523811</v>
      </c>
      <c r="T455" s="101">
        <f>IF(T$1="",0,IF(AND(T$1=0,$H455&lt;MONTH($J$13)),0,IF(((YEAR(T$8)-1)*12+$H455)-((YEAR($J$13)-1)*12+MONTH($J$13))+1&gt;капитал!$J$105*12,0,IF(капитал!$J$105=0,0,капитал!$M$102/(капитал!$J$105*12)))))</f>
        <v>178.21874809523811</v>
      </c>
      <c r="U455" s="101">
        <f>IF(U$1="",0,IF(AND(U$1=0,$H455&lt;MONTH($J$13)),0,IF(((YEAR(U$8)-1)*12+$H455)-((YEAR($J$13)-1)*12+MONTH($J$13))+1&gt;капитал!$J$105*12,0,IF(капитал!$J$105=0,0,капитал!$M$102/(капитал!$J$105*12)))))</f>
        <v>178.21874809523811</v>
      </c>
      <c r="V455" s="101">
        <f>IF(V$1="",0,IF(AND(V$1=0,$H455&lt;MONTH($J$13)),0,IF(((YEAR(V$8)-1)*12+$H455)-((YEAR($J$13)-1)*12+MONTH($J$13))+1&gt;капитал!$J$105*12,0,IF(капитал!$J$105=0,0,капитал!$M$102/(капитал!$J$105*12)))))</f>
        <v>178.21874809523811</v>
      </c>
      <c r="W455" s="101">
        <f>IF(W$1="",0,IF(AND(W$1=0,$H455&lt;MONTH($J$13)),0,IF(((YEAR(W$8)-1)*12+$H455)-((YEAR($J$13)-1)*12+MONTH($J$13))+1&gt;капитал!$J$105*12,0,IF(капитал!$J$105=0,0,капитал!$M$102/(капитал!$J$105*12)))))</f>
        <v>0</v>
      </c>
      <c r="X455" s="101">
        <f>IF(X$1="",0,IF(AND(X$1=0,$H455&lt;MONTH($J$13)),0,IF(((YEAR(X$8)-1)*12+$H455)-((YEAR($J$13)-1)*12+MONTH($J$13))+1&gt;капитал!$J$105*12,0,IF(капитал!$J$105=0,0,капитал!$M$102/(капитал!$J$105*12)))))</f>
        <v>0</v>
      </c>
      <c r="Y455" s="101">
        <f>IF(Y$1="",0,IF(AND(Y$1=0,$H455&lt;MONTH($J$13)),0,IF(((YEAR(Y$8)-1)*12+$H455)-((YEAR($J$13)-1)*12+MONTH($J$13))+1&gt;капитал!$J$105*12,0,IF(капитал!$J$105=0,0,капитал!$M$102/(капитал!$J$105*12)))))</f>
        <v>0</v>
      </c>
      <c r="Z455" s="101">
        <f>IF(Z$1="",0,IF(AND(Z$1=0,$H455&lt;MONTH($J$13)),0,IF(((YEAR(Z$8)-1)*12+$H455)-((YEAR($J$13)-1)*12+MONTH($J$13))+1&gt;капитал!$J$105*12,0,IF(капитал!$J$105=0,0,капитал!$M$102/(капитал!$J$105*12)))))</f>
        <v>0</v>
      </c>
      <c r="AA455" s="101">
        <f>IF(AA$1="",0,IF(AND(AA$1=0,$H455&lt;MONTH($J$13)),0,IF(((YEAR(AA$8)-1)*12+$H455)-((YEAR($J$13)-1)*12+MONTH($J$13))+1&gt;капитал!$J$105*12,0,IF(капитал!$J$105=0,0,капитал!$M$102/(капитал!$J$105*12)))))</f>
        <v>0</v>
      </c>
      <c r="AB455" s="22"/>
    </row>
    <row r="456" spans="1:28" s="23" customFormat="1" ht="10.199999999999999" x14ac:dyDescent="0.2">
      <c r="A456" s="22"/>
      <c r="B456" s="22"/>
      <c r="C456" s="22"/>
      <c r="D456" s="22"/>
      <c r="E456" s="22" t="str">
        <f>E449</f>
        <v>амортизация кап/затрат</v>
      </c>
      <c r="F456" s="22"/>
      <c r="G456" s="22" t="str">
        <f>IF($E456="","",INDEX(KPI!$G:$G,SUMIFS(KPI!$B:$B,KPI!$E:$E,$E456)))</f>
        <v>тыс.руб.</v>
      </c>
      <c r="H456" s="100">
        <f>структура!$V$18</f>
        <v>7</v>
      </c>
      <c r="I456" s="31"/>
      <c r="J456" s="98" t="str">
        <f>структура!$X$18</f>
        <v>июл</v>
      </c>
      <c r="K456" s="99"/>
      <c r="L456" s="22"/>
      <c r="M456" s="58"/>
      <c r="N456" s="22"/>
      <c r="O456" s="22"/>
      <c r="P456" s="101">
        <f>IF(P$1="",0,IF(AND(P$1=0,$H456&lt;MONTH($J$13)),0,IF(((YEAR(P$8)-1)*12+$H456)-((YEAR($J$13)-1)*12+MONTH($J$13))+1&gt;капитал!$J$105*12,0,IF(капитал!$J$105=0,0,капитал!$M$102/(капитал!$J$105*12)))))</f>
        <v>178.21874809523811</v>
      </c>
      <c r="Q456" s="101">
        <f>IF(Q$1="",0,IF(AND(Q$1=0,$H456&lt;MONTH($J$13)),0,IF(((YEAR(Q$8)-1)*12+$H456)-((YEAR($J$13)-1)*12+MONTH($J$13))+1&gt;капитал!$J$105*12,0,IF(капитал!$J$105=0,0,капитал!$M$102/(капитал!$J$105*12)))))</f>
        <v>178.21874809523811</v>
      </c>
      <c r="R456" s="101">
        <f>IF(R$1="",0,IF(AND(R$1=0,$H456&lt;MONTH($J$13)),0,IF(((YEAR(R$8)-1)*12+$H456)-((YEAR($J$13)-1)*12+MONTH($J$13))+1&gt;капитал!$J$105*12,0,IF(капитал!$J$105=0,0,капитал!$M$102/(капитал!$J$105*12)))))</f>
        <v>178.21874809523811</v>
      </c>
      <c r="S456" s="101">
        <f>IF(S$1="",0,IF(AND(S$1=0,$H456&lt;MONTH($J$13)),0,IF(((YEAR(S$8)-1)*12+$H456)-((YEAR($J$13)-1)*12+MONTH($J$13))+1&gt;капитал!$J$105*12,0,IF(капитал!$J$105=0,0,капитал!$M$102/(капитал!$J$105*12)))))</f>
        <v>178.21874809523811</v>
      </c>
      <c r="T456" s="101">
        <f>IF(T$1="",0,IF(AND(T$1=0,$H456&lt;MONTH($J$13)),0,IF(((YEAR(T$8)-1)*12+$H456)-((YEAR($J$13)-1)*12+MONTH($J$13))+1&gt;капитал!$J$105*12,0,IF(капитал!$J$105=0,0,капитал!$M$102/(капитал!$J$105*12)))))</f>
        <v>178.21874809523811</v>
      </c>
      <c r="U456" s="101">
        <f>IF(U$1="",0,IF(AND(U$1=0,$H456&lt;MONTH($J$13)),0,IF(((YEAR(U$8)-1)*12+$H456)-((YEAR($J$13)-1)*12+MONTH($J$13))+1&gt;капитал!$J$105*12,0,IF(капитал!$J$105=0,0,капитал!$M$102/(капитал!$J$105*12)))))</f>
        <v>178.21874809523811</v>
      </c>
      <c r="V456" s="101">
        <f>IF(V$1="",0,IF(AND(V$1=0,$H456&lt;MONTH($J$13)),0,IF(((YEAR(V$8)-1)*12+$H456)-((YEAR($J$13)-1)*12+MONTH($J$13))+1&gt;капитал!$J$105*12,0,IF(капитал!$J$105=0,0,капитал!$M$102/(капитал!$J$105*12)))))</f>
        <v>178.21874809523811</v>
      </c>
      <c r="W456" s="101">
        <f>IF(W$1="",0,IF(AND(W$1=0,$H456&lt;MONTH($J$13)),0,IF(((YEAR(W$8)-1)*12+$H456)-((YEAR($J$13)-1)*12+MONTH($J$13))+1&gt;капитал!$J$105*12,0,IF(капитал!$J$105=0,0,капитал!$M$102/(капитал!$J$105*12)))))</f>
        <v>0</v>
      </c>
      <c r="X456" s="101">
        <f>IF(X$1="",0,IF(AND(X$1=0,$H456&lt;MONTH($J$13)),0,IF(((YEAR(X$8)-1)*12+$H456)-((YEAR($J$13)-1)*12+MONTH($J$13))+1&gt;капитал!$J$105*12,0,IF(капитал!$J$105=0,0,капитал!$M$102/(капитал!$J$105*12)))))</f>
        <v>0</v>
      </c>
      <c r="Y456" s="101">
        <f>IF(Y$1="",0,IF(AND(Y$1=0,$H456&lt;MONTH($J$13)),0,IF(((YEAR(Y$8)-1)*12+$H456)-((YEAR($J$13)-1)*12+MONTH($J$13))+1&gt;капитал!$J$105*12,0,IF(капитал!$J$105=0,0,капитал!$M$102/(капитал!$J$105*12)))))</f>
        <v>0</v>
      </c>
      <c r="Z456" s="101">
        <f>IF(Z$1="",0,IF(AND(Z$1=0,$H456&lt;MONTH($J$13)),0,IF(((YEAR(Z$8)-1)*12+$H456)-((YEAR($J$13)-1)*12+MONTH($J$13))+1&gt;капитал!$J$105*12,0,IF(капитал!$J$105=0,0,капитал!$M$102/(капитал!$J$105*12)))))</f>
        <v>0</v>
      </c>
      <c r="AA456" s="101">
        <f>IF(AA$1="",0,IF(AND(AA$1=0,$H456&lt;MONTH($J$13)),0,IF(((YEAR(AA$8)-1)*12+$H456)-((YEAR($J$13)-1)*12+MONTH($J$13))+1&gt;капитал!$J$105*12,0,IF(капитал!$J$105=0,0,капитал!$M$102/(капитал!$J$105*12)))))</f>
        <v>0</v>
      </c>
      <c r="AB456" s="22"/>
    </row>
    <row r="457" spans="1:28" s="23" customFormat="1" ht="10.199999999999999" x14ac:dyDescent="0.2">
      <c r="A457" s="22"/>
      <c r="B457" s="22"/>
      <c r="C457" s="22"/>
      <c r="D457" s="22"/>
      <c r="E457" s="22" t="str">
        <f>E449</f>
        <v>амортизация кап/затрат</v>
      </c>
      <c r="F457" s="22"/>
      <c r="G457" s="22" t="str">
        <f>IF($E457="","",INDEX(KPI!$G:$G,SUMIFS(KPI!$B:$B,KPI!$E:$E,$E457)))</f>
        <v>тыс.руб.</v>
      </c>
      <c r="H457" s="100">
        <f>структура!$V$19</f>
        <v>8</v>
      </c>
      <c r="I457" s="31"/>
      <c r="J457" s="98" t="str">
        <f>структура!$X$19</f>
        <v>авг</v>
      </c>
      <c r="K457" s="99"/>
      <c r="L457" s="22"/>
      <c r="M457" s="58"/>
      <c r="N457" s="22"/>
      <c r="O457" s="22"/>
      <c r="P457" s="101">
        <f>IF(P$1="",0,IF(AND(P$1=0,$H457&lt;MONTH($J$13)),0,IF(((YEAR(P$8)-1)*12+$H457)-((YEAR($J$13)-1)*12+MONTH($J$13))+1&gt;капитал!$J$105*12,0,IF(капитал!$J$105=0,0,капитал!$M$102/(капитал!$J$105*12)))))</f>
        <v>178.21874809523811</v>
      </c>
      <c r="Q457" s="101">
        <f>IF(Q$1="",0,IF(AND(Q$1=0,$H457&lt;MONTH($J$13)),0,IF(((YEAR(Q$8)-1)*12+$H457)-((YEAR($J$13)-1)*12+MONTH($J$13))+1&gt;капитал!$J$105*12,0,IF(капитал!$J$105=0,0,капитал!$M$102/(капитал!$J$105*12)))))</f>
        <v>178.21874809523811</v>
      </c>
      <c r="R457" s="101">
        <f>IF(R$1="",0,IF(AND(R$1=0,$H457&lt;MONTH($J$13)),0,IF(((YEAR(R$8)-1)*12+$H457)-((YEAR($J$13)-1)*12+MONTH($J$13))+1&gt;капитал!$J$105*12,0,IF(капитал!$J$105=0,0,капитал!$M$102/(капитал!$J$105*12)))))</f>
        <v>178.21874809523811</v>
      </c>
      <c r="S457" s="101">
        <f>IF(S$1="",0,IF(AND(S$1=0,$H457&lt;MONTH($J$13)),0,IF(((YEAR(S$8)-1)*12+$H457)-((YEAR($J$13)-1)*12+MONTH($J$13))+1&gt;капитал!$J$105*12,0,IF(капитал!$J$105=0,0,капитал!$M$102/(капитал!$J$105*12)))))</f>
        <v>178.21874809523811</v>
      </c>
      <c r="T457" s="101">
        <f>IF(T$1="",0,IF(AND(T$1=0,$H457&lt;MONTH($J$13)),0,IF(((YEAR(T$8)-1)*12+$H457)-((YEAR($J$13)-1)*12+MONTH($J$13))+1&gt;капитал!$J$105*12,0,IF(капитал!$J$105=0,0,капитал!$M$102/(капитал!$J$105*12)))))</f>
        <v>178.21874809523811</v>
      </c>
      <c r="U457" s="101">
        <f>IF(U$1="",0,IF(AND(U$1=0,$H457&lt;MONTH($J$13)),0,IF(((YEAR(U$8)-1)*12+$H457)-((YEAR($J$13)-1)*12+MONTH($J$13))+1&gt;капитал!$J$105*12,0,IF(капитал!$J$105=0,0,капитал!$M$102/(капитал!$J$105*12)))))</f>
        <v>178.21874809523811</v>
      </c>
      <c r="V457" s="101">
        <f>IF(V$1="",0,IF(AND(V$1=0,$H457&lt;MONTH($J$13)),0,IF(((YEAR(V$8)-1)*12+$H457)-((YEAR($J$13)-1)*12+MONTH($J$13))+1&gt;капитал!$J$105*12,0,IF(капитал!$J$105=0,0,капитал!$M$102/(капитал!$J$105*12)))))</f>
        <v>178.21874809523811</v>
      </c>
      <c r="W457" s="101">
        <f>IF(W$1="",0,IF(AND(W$1=0,$H457&lt;MONTH($J$13)),0,IF(((YEAR(W$8)-1)*12+$H457)-((YEAR($J$13)-1)*12+MONTH($J$13))+1&gt;капитал!$J$105*12,0,IF(капитал!$J$105=0,0,капитал!$M$102/(капитал!$J$105*12)))))</f>
        <v>0</v>
      </c>
      <c r="X457" s="101">
        <f>IF(X$1="",0,IF(AND(X$1=0,$H457&lt;MONTH($J$13)),0,IF(((YEAR(X$8)-1)*12+$H457)-((YEAR($J$13)-1)*12+MONTH($J$13))+1&gt;капитал!$J$105*12,0,IF(капитал!$J$105=0,0,капитал!$M$102/(капитал!$J$105*12)))))</f>
        <v>0</v>
      </c>
      <c r="Y457" s="101">
        <f>IF(Y$1="",0,IF(AND(Y$1=0,$H457&lt;MONTH($J$13)),0,IF(((YEAR(Y$8)-1)*12+$H457)-((YEAR($J$13)-1)*12+MONTH($J$13))+1&gt;капитал!$J$105*12,0,IF(капитал!$J$105=0,0,капитал!$M$102/(капитал!$J$105*12)))))</f>
        <v>0</v>
      </c>
      <c r="Z457" s="101">
        <f>IF(Z$1="",0,IF(AND(Z$1=0,$H457&lt;MONTH($J$13)),0,IF(((YEAR(Z$8)-1)*12+$H457)-((YEAR($J$13)-1)*12+MONTH($J$13))+1&gt;капитал!$J$105*12,0,IF(капитал!$J$105=0,0,капитал!$M$102/(капитал!$J$105*12)))))</f>
        <v>0</v>
      </c>
      <c r="AA457" s="101">
        <f>IF(AA$1="",0,IF(AND(AA$1=0,$H457&lt;MONTH($J$13)),0,IF(((YEAR(AA$8)-1)*12+$H457)-((YEAR($J$13)-1)*12+MONTH($J$13))+1&gt;капитал!$J$105*12,0,IF(капитал!$J$105=0,0,капитал!$M$102/(капитал!$J$105*12)))))</f>
        <v>0</v>
      </c>
      <c r="AB457" s="22"/>
    </row>
    <row r="458" spans="1:28" s="23" customFormat="1" ht="10.199999999999999" x14ac:dyDescent="0.2">
      <c r="A458" s="22"/>
      <c r="B458" s="22"/>
      <c r="C458" s="22"/>
      <c r="D458" s="22"/>
      <c r="E458" s="22" t="str">
        <f>E449</f>
        <v>амортизация кап/затрат</v>
      </c>
      <c r="F458" s="22"/>
      <c r="G458" s="22" t="str">
        <f>IF($E458="","",INDEX(KPI!$G:$G,SUMIFS(KPI!$B:$B,KPI!$E:$E,$E458)))</f>
        <v>тыс.руб.</v>
      </c>
      <c r="H458" s="100">
        <f>структура!$V$20</f>
        <v>9</v>
      </c>
      <c r="I458" s="31"/>
      <c r="J458" s="98" t="str">
        <f>структура!$X$20</f>
        <v>сен</v>
      </c>
      <c r="K458" s="99"/>
      <c r="L458" s="22"/>
      <c r="M458" s="58"/>
      <c r="N458" s="22"/>
      <c r="O458" s="22"/>
      <c r="P458" s="101">
        <f>IF(P$1="",0,IF(AND(P$1=0,$H458&lt;MONTH($J$13)),0,IF(((YEAR(P$8)-1)*12+$H458)-((YEAR($J$13)-1)*12+MONTH($J$13))+1&gt;капитал!$J$105*12,0,IF(капитал!$J$105=0,0,капитал!$M$102/(капитал!$J$105*12)))))</f>
        <v>178.21874809523811</v>
      </c>
      <c r="Q458" s="101">
        <f>IF(Q$1="",0,IF(AND(Q$1=0,$H458&lt;MONTH($J$13)),0,IF(((YEAR(Q$8)-1)*12+$H458)-((YEAR($J$13)-1)*12+MONTH($J$13))+1&gt;капитал!$J$105*12,0,IF(капитал!$J$105=0,0,капитал!$M$102/(капитал!$J$105*12)))))</f>
        <v>178.21874809523811</v>
      </c>
      <c r="R458" s="101">
        <f>IF(R$1="",0,IF(AND(R$1=0,$H458&lt;MONTH($J$13)),0,IF(((YEAR(R$8)-1)*12+$H458)-((YEAR($J$13)-1)*12+MONTH($J$13))+1&gt;капитал!$J$105*12,0,IF(капитал!$J$105=0,0,капитал!$M$102/(капитал!$J$105*12)))))</f>
        <v>178.21874809523811</v>
      </c>
      <c r="S458" s="101">
        <f>IF(S$1="",0,IF(AND(S$1=0,$H458&lt;MONTH($J$13)),0,IF(((YEAR(S$8)-1)*12+$H458)-((YEAR($J$13)-1)*12+MONTH($J$13))+1&gt;капитал!$J$105*12,0,IF(капитал!$J$105=0,0,капитал!$M$102/(капитал!$J$105*12)))))</f>
        <v>178.21874809523811</v>
      </c>
      <c r="T458" s="101">
        <f>IF(T$1="",0,IF(AND(T$1=0,$H458&lt;MONTH($J$13)),0,IF(((YEAR(T$8)-1)*12+$H458)-((YEAR($J$13)-1)*12+MONTH($J$13))+1&gt;капитал!$J$105*12,0,IF(капитал!$J$105=0,0,капитал!$M$102/(капитал!$J$105*12)))))</f>
        <v>178.21874809523811</v>
      </c>
      <c r="U458" s="101">
        <f>IF(U$1="",0,IF(AND(U$1=0,$H458&lt;MONTH($J$13)),0,IF(((YEAR(U$8)-1)*12+$H458)-((YEAR($J$13)-1)*12+MONTH($J$13))+1&gt;капитал!$J$105*12,0,IF(капитал!$J$105=0,0,капитал!$M$102/(капитал!$J$105*12)))))</f>
        <v>178.21874809523811</v>
      </c>
      <c r="V458" s="101">
        <f>IF(V$1="",0,IF(AND(V$1=0,$H458&lt;MONTH($J$13)),0,IF(((YEAR(V$8)-1)*12+$H458)-((YEAR($J$13)-1)*12+MONTH($J$13))+1&gt;капитал!$J$105*12,0,IF(капитал!$J$105=0,0,капитал!$M$102/(капитал!$J$105*12)))))</f>
        <v>178.21874809523811</v>
      </c>
      <c r="W458" s="101">
        <f>IF(W$1="",0,IF(AND(W$1=0,$H458&lt;MONTH($J$13)),0,IF(((YEAR(W$8)-1)*12+$H458)-((YEAR($J$13)-1)*12+MONTH($J$13))+1&gt;капитал!$J$105*12,0,IF(капитал!$J$105=0,0,капитал!$M$102/(капитал!$J$105*12)))))</f>
        <v>0</v>
      </c>
      <c r="X458" s="101">
        <f>IF(X$1="",0,IF(AND(X$1=0,$H458&lt;MONTH($J$13)),0,IF(((YEAR(X$8)-1)*12+$H458)-((YEAR($J$13)-1)*12+MONTH($J$13))+1&gt;капитал!$J$105*12,0,IF(капитал!$J$105=0,0,капитал!$M$102/(капитал!$J$105*12)))))</f>
        <v>0</v>
      </c>
      <c r="Y458" s="101">
        <f>IF(Y$1="",0,IF(AND(Y$1=0,$H458&lt;MONTH($J$13)),0,IF(((YEAR(Y$8)-1)*12+$H458)-((YEAR($J$13)-1)*12+MONTH($J$13))+1&gt;капитал!$J$105*12,0,IF(капитал!$J$105=0,0,капитал!$M$102/(капитал!$J$105*12)))))</f>
        <v>0</v>
      </c>
      <c r="Z458" s="101">
        <f>IF(Z$1="",0,IF(AND(Z$1=0,$H458&lt;MONTH($J$13)),0,IF(((YEAR(Z$8)-1)*12+$H458)-((YEAR($J$13)-1)*12+MONTH($J$13))+1&gt;капитал!$J$105*12,0,IF(капитал!$J$105=0,0,капитал!$M$102/(капитал!$J$105*12)))))</f>
        <v>0</v>
      </c>
      <c r="AA458" s="101">
        <f>IF(AA$1="",0,IF(AND(AA$1=0,$H458&lt;MONTH($J$13)),0,IF(((YEAR(AA$8)-1)*12+$H458)-((YEAR($J$13)-1)*12+MONTH($J$13))+1&gt;капитал!$J$105*12,0,IF(капитал!$J$105=0,0,капитал!$M$102/(капитал!$J$105*12)))))</f>
        <v>0</v>
      </c>
      <c r="AB458" s="22"/>
    </row>
    <row r="459" spans="1:28" s="23" customFormat="1" ht="10.199999999999999" x14ac:dyDescent="0.2">
      <c r="A459" s="22"/>
      <c r="B459" s="22"/>
      <c r="C459" s="22"/>
      <c r="D459" s="22"/>
      <c r="E459" s="22" t="str">
        <f>E449</f>
        <v>амортизация кап/затрат</v>
      </c>
      <c r="F459" s="22"/>
      <c r="G459" s="22" t="str">
        <f>IF($E459="","",INDEX(KPI!$G:$G,SUMIFS(KPI!$B:$B,KPI!$E:$E,$E459)))</f>
        <v>тыс.руб.</v>
      </c>
      <c r="H459" s="100">
        <f>структура!$V$21</f>
        <v>10</v>
      </c>
      <c r="I459" s="31"/>
      <c r="J459" s="98" t="str">
        <f>структура!$X$21</f>
        <v>окт</v>
      </c>
      <c r="K459" s="99"/>
      <c r="L459" s="22"/>
      <c r="M459" s="58"/>
      <c r="N459" s="22"/>
      <c r="O459" s="22"/>
      <c r="P459" s="101">
        <f>IF(P$1="",0,IF(AND(P$1=0,$H459&lt;MONTH($J$13)),0,IF(((YEAR(P$8)-1)*12+$H459)-((YEAR($J$13)-1)*12+MONTH($J$13))+1&gt;капитал!$J$105*12,0,IF(капитал!$J$105=0,0,капитал!$M$102/(капитал!$J$105*12)))))</f>
        <v>178.21874809523811</v>
      </c>
      <c r="Q459" s="101">
        <f>IF(Q$1="",0,IF(AND(Q$1=0,$H459&lt;MONTH($J$13)),0,IF(((YEAR(Q$8)-1)*12+$H459)-((YEAR($J$13)-1)*12+MONTH($J$13))+1&gt;капитал!$J$105*12,0,IF(капитал!$J$105=0,0,капитал!$M$102/(капитал!$J$105*12)))))</f>
        <v>178.21874809523811</v>
      </c>
      <c r="R459" s="101">
        <f>IF(R$1="",0,IF(AND(R$1=0,$H459&lt;MONTH($J$13)),0,IF(((YEAR(R$8)-1)*12+$H459)-((YEAR($J$13)-1)*12+MONTH($J$13))+1&gt;капитал!$J$105*12,0,IF(капитал!$J$105=0,0,капитал!$M$102/(капитал!$J$105*12)))))</f>
        <v>178.21874809523811</v>
      </c>
      <c r="S459" s="101">
        <f>IF(S$1="",0,IF(AND(S$1=0,$H459&lt;MONTH($J$13)),0,IF(((YEAR(S$8)-1)*12+$H459)-((YEAR($J$13)-1)*12+MONTH($J$13))+1&gt;капитал!$J$105*12,0,IF(капитал!$J$105=0,0,капитал!$M$102/(капитал!$J$105*12)))))</f>
        <v>178.21874809523811</v>
      </c>
      <c r="T459" s="101">
        <f>IF(T$1="",0,IF(AND(T$1=0,$H459&lt;MONTH($J$13)),0,IF(((YEAR(T$8)-1)*12+$H459)-((YEAR($J$13)-1)*12+MONTH($J$13))+1&gt;капитал!$J$105*12,0,IF(капитал!$J$105=0,0,капитал!$M$102/(капитал!$J$105*12)))))</f>
        <v>178.21874809523811</v>
      </c>
      <c r="U459" s="101">
        <f>IF(U$1="",0,IF(AND(U$1=0,$H459&lt;MONTH($J$13)),0,IF(((YEAR(U$8)-1)*12+$H459)-((YEAR($J$13)-1)*12+MONTH($J$13))+1&gt;капитал!$J$105*12,0,IF(капитал!$J$105=0,0,капитал!$M$102/(капитал!$J$105*12)))))</f>
        <v>178.21874809523811</v>
      </c>
      <c r="V459" s="101">
        <f>IF(V$1="",0,IF(AND(V$1=0,$H459&lt;MONTH($J$13)),0,IF(((YEAR(V$8)-1)*12+$H459)-((YEAR($J$13)-1)*12+MONTH($J$13))+1&gt;капитал!$J$105*12,0,IF(капитал!$J$105=0,0,капитал!$M$102/(капитал!$J$105*12)))))</f>
        <v>178.21874809523811</v>
      </c>
      <c r="W459" s="101">
        <f>IF(W$1="",0,IF(AND(W$1=0,$H459&lt;MONTH($J$13)),0,IF(((YEAR(W$8)-1)*12+$H459)-((YEAR($J$13)-1)*12+MONTH($J$13))+1&gt;капитал!$J$105*12,0,IF(капитал!$J$105=0,0,капитал!$M$102/(капитал!$J$105*12)))))</f>
        <v>0</v>
      </c>
      <c r="X459" s="101">
        <f>IF(X$1="",0,IF(AND(X$1=0,$H459&lt;MONTH($J$13)),0,IF(((YEAR(X$8)-1)*12+$H459)-((YEAR($J$13)-1)*12+MONTH($J$13))+1&gt;капитал!$J$105*12,0,IF(капитал!$J$105=0,0,капитал!$M$102/(капитал!$J$105*12)))))</f>
        <v>0</v>
      </c>
      <c r="Y459" s="101">
        <f>IF(Y$1="",0,IF(AND(Y$1=0,$H459&lt;MONTH($J$13)),0,IF(((YEAR(Y$8)-1)*12+$H459)-((YEAR($J$13)-1)*12+MONTH($J$13))+1&gt;капитал!$J$105*12,0,IF(капитал!$J$105=0,0,капитал!$M$102/(капитал!$J$105*12)))))</f>
        <v>0</v>
      </c>
      <c r="Z459" s="101">
        <f>IF(Z$1="",0,IF(AND(Z$1=0,$H459&lt;MONTH($J$13)),0,IF(((YEAR(Z$8)-1)*12+$H459)-((YEAR($J$13)-1)*12+MONTH($J$13))+1&gt;капитал!$J$105*12,0,IF(капитал!$J$105=0,0,капитал!$M$102/(капитал!$J$105*12)))))</f>
        <v>0</v>
      </c>
      <c r="AA459" s="101">
        <f>IF(AA$1="",0,IF(AND(AA$1=0,$H459&lt;MONTH($J$13)),0,IF(((YEAR(AA$8)-1)*12+$H459)-((YEAR($J$13)-1)*12+MONTH($J$13))+1&gt;капитал!$J$105*12,0,IF(капитал!$J$105=0,0,капитал!$M$102/(капитал!$J$105*12)))))</f>
        <v>0</v>
      </c>
      <c r="AB459" s="22"/>
    </row>
    <row r="460" spans="1:28" s="23" customFormat="1" ht="10.199999999999999" x14ac:dyDescent="0.2">
      <c r="A460" s="22"/>
      <c r="B460" s="22"/>
      <c r="C460" s="22"/>
      <c r="D460" s="22"/>
      <c r="E460" s="22" t="str">
        <f>E449</f>
        <v>амортизация кап/затрат</v>
      </c>
      <c r="F460" s="22"/>
      <c r="G460" s="22" t="str">
        <f>IF($E460="","",INDEX(KPI!$G:$G,SUMIFS(KPI!$B:$B,KPI!$E:$E,$E460)))</f>
        <v>тыс.руб.</v>
      </c>
      <c r="H460" s="100">
        <f>структура!$V$22</f>
        <v>11</v>
      </c>
      <c r="I460" s="31"/>
      <c r="J460" s="98" t="str">
        <f>структура!$X$22</f>
        <v>ноя</v>
      </c>
      <c r="K460" s="99"/>
      <c r="L460" s="22"/>
      <c r="M460" s="58"/>
      <c r="N460" s="22"/>
      <c r="O460" s="22"/>
      <c r="P460" s="101">
        <f>IF(P$1="",0,IF(AND(P$1=0,$H460&lt;MONTH($J$13)),0,IF(((YEAR(P$8)-1)*12+$H460)-((YEAR($J$13)-1)*12+MONTH($J$13))+1&gt;капитал!$J$105*12,0,IF(капитал!$J$105=0,0,капитал!$M$102/(капитал!$J$105*12)))))</f>
        <v>178.21874809523811</v>
      </c>
      <c r="Q460" s="101">
        <f>IF(Q$1="",0,IF(AND(Q$1=0,$H460&lt;MONTH($J$13)),0,IF(((YEAR(Q$8)-1)*12+$H460)-((YEAR($J$13)-1)*12+MONTH($J$13))+1&gt;капитал!$J$105*12,0,IF(капитал!$J$105=0,0,капитал!$M$102/(капитал!$J$105*12)))))</f>
        <v>178.21874809523811</v>
      </c>
      <c r="R460" s="101">
        <f>IF(R$1="",0,IF(AND(R$1=0,$H460&lt;MONTH($J$13)),0,IF(((YEAR(R$8)-1)*12+$H460)-((YEAR($J$13)-1)*12+MONTH($J$13))+1&gt;капитал!$J$105*12,0,IF(капитал!$J$105=0,0,капитал!$M$102/(капитал!$J$105*12)))))</f>
        <v>178.21874809523811</v>
      </c>
      <c r="S460" s="101">
        <f>IF(S$1="",0,IF(AND(S$1=0,$H460&lt;MONTH($J$13)),0,IF(((YEAR(S$8)-1)*12+$H460)-((YEAR($J$13)-1)*12+MONTH($J$13))+1&gt;капитал!$J$105*12,0,IF(капитал!$J$105=0,0,капитал!$M$102/(капитал!$J$105*12)))))</f>
        <v>178.21874809523811</v>
      </c>
      <c r="T460" s="101">
        <f>IF(T$1="",0,IF(AND(T$1=0,$H460&lt;MONTH($J$13)),0,IF(((YEAR(T$8)-1)*12+$H460)-((YEAR($J$13)-1)*12+MONTH($J$13))+1&gt;капитал!$J$105*12,0,IF(капитал!$J$105=0,0,капитал!$M$102/(капитал!$J$105*12)))))</f>
        <v>178.21874809523811</v>
      </c>
      <c r="U460" s="101">
        <f>IF(U$1="",0,IF(AND(U$1=0,$H460&lt;MONTH($J$13)),0,IF(((YEAR(U$8)-1)*12+$H460)-((YEAR($J$13)-1)*12+MONTH($J$13))+1&gt;капитал!$J$105*12,0,IF(капитал!$J$105=0,0,капитал!$M$102/(капитал!$J$105*12)))))</f>
        <v>178.21874809523811</v>
      </c>
      <c r="V460" s="101">
        <f>IF(V$1="",0,IF(AND(V$1=0,$H460&lt;MONTH($J$13)),0,IF(((YEAR(V$8)-1)*12+$H460)-((YEAR($J$13)-1)*12+MONTH($J$13))+1&gt;капитал!$J$105*12,0,IF(капитал!$J$105=0,0,капитал!$M$102/(капитал!$J$105*12)))))</f>
        <v>178.21874809523811</v>
      </c>
      <c r="W460" s="101">
        <f>IF(W$1="",0,IF(AND(W$1=0,$H460&lt;MONTH($J$13)),0,IF(((YEAR(W$8)-1)*12+$H460)-((YEAR($J$13)-1)*12+MONTH($J$13))+1&gt;капитал!$J$105*12,0,IF(капитал!$J$105=0,0,капитал!$M$102/(капитал!$J$105*12)))))</f>
        <v>0</v>
      </c>
      <c r="X460" s="101">
        <f>IF(X$1="",0,IF(AND(X$1=0,$H460&lt;MONTH($J$13)),0,IF(((YEAR(X$8)-1)*12+$H460)-((YEAR($J$13)-1)*12+MONTH($J$13))+1&gt;капитал!$J$105*12,0,IF(капитал!$J$105=0,0,капитал!$M$102/(капитал!$J$105*12)))))</f>
        <v>0</v>
      </c>
      <c r="Y460" s="101">
        <f>IF(Y$1="",0,IF(AND(Y$1=0,$H460&lt;MONTH($J$13)),0,IF(((YEAR(Y$8)-1)*12+$H460)-((YEAR($J$13)-1)*12+MONTH($J$13))+1&gt;капитал!$J$105*12,0,IF(капитал!$J$105=0,0,капитал!$M$102/(капитал!$J$105*12)))))</f>
        <v>0</v>
      </c>
      <c r="Z460" s="101">
        <f>IF(Z$1="",0,IF(AND(Z$1=0,$H460&lt;MONTH($J$13)),0,IF(((YEAR(Z$8)-1)*12+$H460)-((YEAR($J$13)-1)*12+MONTH($J$13))+1&gt;капитал!$J$105*12,0,IF(капитал!$J$105=0,0,капитал!$M$102/(капитал!$J$105*12)))))</f>
        <v>0</v>
      </c>
      <c r="AA460" s="101">
        <f>IF(AA$1="",0,IF(AND(AA$1=0,$H460&lt;MONTH($J$13)),0,IF(((YEAR(AA$8)-1)*12+$H460)-((YEAR($J$13)-1)*12+MONTH($J$13))+1&gt;капитал!$J$105*12,0,IF(капитал!$J$105=0,0,капитал!$M$102/(капитал!$J$105*12)))))</f>
        <v>0</v>
      </c>
      <c r="AB460" s="22"/>
    </row>
    <row r="461" spans="1:28" s="23" customFormat="1" ht="10.199999999999999" x14ac:dyDescent="0.2">
      <c r="A461" s="22"/>
      <c r="B461" s="22"/>
      <c r="C461" s="22"/>
      <c r="D461" s="22"/>
      <c r="E461" s="22" t="str">
        <f>E449</f>
        <v>амортизация кап/затрат</v>
      </c>
      <c r="F461" s="22"/>
      <c r="G461" s="22" t="str">
        <f>IF($E461="","",INDEX(KPI!$G:$G,SUMIFS(KPI!$B:$B,KPI!$E:$E,$E461)))</f>
        <v>тыс.руб.</v>
      </c>
      <c r="H461" s="100">
        <f>структура!$V$23</f>
        <v>12</v>
      </c>
      <c r="I461" s="31"/>
      <c r="J461" s="98" t="str">
        <f>структура!$X$23</f>
        <v>дек</v>
      </c>
      <c r="K461" s="99"/>
      <c r="L461" s="22"/>
      <c r="M461" s="58"/>
      <c r="N461" s="22"/>
      <c r="O461" s="22"/>
      <c r="P461" s="101">
        <f>IF(P$1="",0,IF(AND(P$1=0,$H461&lt;MONTH($J$13)),0,IF(((YEAR(P$8)-1)*12+$H461)-((YEAR($J$13)-1)*12+MONTH($J$13))+1&gt;капитал!$J$105*12,0,IF(капитал!$J$105=0,0,капитал!$M$102/(капитал!$J$105*12)))))</f>
        <v>178.21874809523811</v>
      </c>
      <c r="Q461" s="101">
        <f>IF(Q$1="",0,IF(AND(Q$1=0,$H461&lt;MONTH($J$13)),0,IF(((YEAR(Q$8)-1)*12+$H461)-((YEAR($J$13)-1)*12+MONTH($J$13))+1&gt;капитал!$J$105*12,0,IF(капитал!$J$105=0,0,капитал!$M$102/(капитал!$J$105*12)))))</f>
        <v>178.21874809523811</v>
      </c>
      <c r="R461" s="101">
        <f>IF(R$1="",0,IF(AND(R$1=0,$H461&lt;MONTH($J$13)),0,IF(((YEAR(R$8)-1)*12+$H461)-((YEAR($J$13)-1)*12+MONTH($J$13))+1&gt;капитал!$J$105*12,0,IF(капитал!$J$105=0,0,капитал!$M$102/(капитал!$J$105*12)))))</f>
        <v>178.21874809523811</v>
      </c>
      <c r="S461" s="101">
        <f>IF(S$1="",0,IF(AND(S$1=0,$H461&lt;MONTH($J$13)),0,IF(((YEAR(S$8)-1)*12+$H461)-((YEAR($J$13)-1)*12+MONTH($J$13))+1&gt;капитал!$J$105*12,0,IF(капитал!$J$105=0,0,капитал!$M$102/(капитал!$J$105*12)))))</f>
        <v>178.21874809523811</v>
      </c>
      <c r="T461" s="101">
        <f>IF(T$1="",0,IF(AND(T$1=0,$H461&lt;MONTH($J$13)),0,IF(((YEAR(T$8)-1)*12+$H461)-((YEAR($J$13)-1)*12+MONTH($J$13))+1&gt;капитал!$J$105*12,0,IF(капитал!$J$105=0,0,капитал!$M$102/(капитал!$J$105*12)))))</f>
        <v>178.21874809523811</v>
      </c>
      <c r="U461" s="101">
        <f>IF(U$1="",0,IF(AND(U$1=0,$H461&lt;MONTH($J$13)),0,IF(((YEAR(U$8)-1)*12+$H461)-((YEAR($J$13)-1)*12+MONTH($J$13))+1&gt;капитал!$J$105*12,0,IF(капитал!$J$105=0,0,капитал!$M$102/(капитал!$J$105*12)))))</f>
        <v>178.21874809523811</v>
      </c>
      <c r="V461" s="101">
        <f>IF(V$1="",0,IF(AND(V$1=0,$H461&lt;MONTH($J$13)),0,IF(((YEAR(V$8)-1)*12+$H461)-((YEAR($J$13)-1)*12+MONTH($J$13))+1&gt;капитал!$J$105*12,0,IF(капитал!$J$105=0,0,капитал!$M$102/(капитал!$J$105*12)))))</f>
        <v>178.21874809523811</v>
      </c>
      <c r="W461" s="101">
        <f>IF(W$1="",0,IF(AND(W$1=0,$H461&lt;MONTH($J$13)),0,IF(((YEAR(W$8)-1)*12+$H461)-((YEAR($J$13)-1)*12+MONTH($J$13))+1&gt;капитал!$J$105*12,0,IF(капитал!$J$105=0,0,капитал!$M$102/(капитал!$J$105*12)))))</f>
        <v>0</v>
      </c>
      <c r="X461" s="101">
        <f>IF(X$1="",0,IF(AND(X$1=0,$H461&lt;MONTH($J$13)),0,IF(((YEAR(X$8)-1)*12+$H461)-((YEAR($J$13)-1)*12+MONTH($J$13))+1&gt;капитал!$J$105*12,0,IF(капитал!$J$105=0,0,капитал!$M$102/(капитал!$J$105*12)))))</f>
        <v>0</v>
      </c>
      <c r="Y461" s="101">
        <f>IF(Y$1="",0,IF(AND(Y$1=0,$H461&lt;MONTH($J$13)),0,IF(((YEAR(Y$8)-1)*12+$H461)-((YEAR($J$13)-1)*12+MONTH($J$13))+1&gt;капитал!$J$105*12,0,IF(капитал!$J$105=0,0,капитал!$M$102/(капитал!$J$105*12)))))</f>
        <v>0</v>
      </c>
      <c r="Z461" s="101">
        <f>IF(Z$1="",0,IF(AND(Z$1=0,$H461&lt;MONTH($J$13)),0,IF(((YEAR(Z$8)-1)*12+$H461)-((YEAR($J$13)-1)*12+MONTH($J$13))+1&gt;капитал!$J$105*12,0,IF(капитал!$J$105=0,0,капитал!$M$102/(капитал!$J$105*12)))))</f>
        <v>0</v>
      </c>
      <c r="AA461" s="101">
        <f>IF(AA$1="",0,IF(AND(AA$1=0,$H461&lt;MONTH($J$13)),0,IF(((YEAR(AA$8)-1)*12+$H461)-((YEAR($J$13)-1)*12+MONTH($J$13))+1&gt;капитал!$J$105*12,0,IF(капитал!$J$105=0,0,капитал!$M$102/(капитал!$J$105*12)))))</f>
        <v>0</v>
      </c>
      <c r="AB461" s="22"/>
    </row>
    <row r="462" spans="1:28" ht="3.9" customHeight="1" x14ac:dyDescent="0.25">
      <c r="A462" s="2"/>
      <c r="B462" s="2"/>
      <c r="C462" s="2"/>
      <c r="D462" s="143"/>
      <c r="E462" s="143"/>
      <c r="F462" s="2"/>
      <c r="G462" s="143"/>
      <c r="H462" s="2"/>
      <c r="I462" s="28"/>
      <c r="J462" s="143"/>
      <c r="K462" s="28"/>
      <c r="L462" s="2"/>
      <c r="M462" s="52"/>
      <c r="N462" s="2"/>
      <c r="O462" s="2"/>
      <c r="P462" s="36"/>
      <c r="Q462" s="36"/>
      <c r="R462" s="36"/>
      <c r="S462" s="36"/>
      <c r="T462" s="36"/>
      <c r="U462" s="36"/>
      <c r="V462" s="36"/>
      <c r="W462" s="36"/>
      <c r="X462" s="36"/>
      <c r="Y462" s="36"/>
      <c r="Z462" s="36"/>
      <c r="AA462" s="36"/>
      <c r="AB462" s="2"/>
    </row>
    <row r="463" spans="1:28" ht="8.1" customHeight="1" x14ac:dyDescent="0.25">
      <c r="A463" s="2"/>
      <c r="B463" s="2"/>
      <c r="C463" s="2"/>
      <c r="D463" s="2"/>
      <c r="E463" s="2"/>
      <c r="F463" s="2"/>
      <c r="G463" s="2"/>
      <c r="H463" s="2"/>
      <c r="I463" s="28"/>
      <c r="J463" s="2"/>
      <c r="K463" s="28"/>
      <c r="L463" s="2"/>
      <c r="M463" s="52"/>
      <c r="N463" s="2"/>
      <c r="O463" s="2"/>
      <c r="P463" s="36"/>
      <c r="Q463" s="36"/>
      <c r="R463" s="36"/>
      <c r="S463" s="36"/>
      <c r="T463" s="36"/>
      <c r="U463" s="36"/>
      <c r="V463" s="36"/>
      <c r="W463" s="36"/>
      <c r="X463" s="36"/>
      <c r="Y463" s="36"/>
      <c r="Z463" s="36"/>
      <c r="AA463" s="36"/>
      <c r="AB463" s="2"/>
    </row>
    <row r="464" spans="1:28" s="5" customFormat="1" x14ac:dyDescent="0.25">
      <c r="A464" s="3"/>
      <c r="B464" s="3"/>
      <c r="C464" s="3"/>
      <c r="D464" s="148"/>
      <c r="E464" s="3" t="str">
        <f>KPI!$E$85</f>
        <v>амортизация прокатного инвентаря</v>
      </c>
      <c r="F464" s="3"/>
      <c r="G464" s="3" t="str">
        <f>IF($E464="","",INDEX(KPI!$G:$G,SUMIFS(KPI!$B:$B,KPI!$E:$E,$E464)))</f>
        <v>тыс.руб.</v>
      </c>
      <c r="H464" s="103"/>
      <c r="I464" s="28"/>
      <c r="J464" s="44"/>
      <c r="K464" s="28"/>
      <c r="L464" s="3"/>
      <c r="M464" s="55">
        <f>SUM($O464:$AB464)</f>
        <v>879.99999999999989</v>
      </c>
      <c r="N464" s="3"/>
      <c r="O464" s="3"/>
      <c r="P464" s="46">
        <f>IF(P$1="",0,IF(P$1=0,SUMIFS(P465:P476,H465:H476,"&gt;="&amp;MONTH($J$13)),SUM(P465:P476)))</f>
        <v>175.99999999999997</v>
      </c>
      <c r="Q464" s="46">
        <f t="shared" ref="Q464" si="199">IF(Q$1="",0,SUM(Q465:Q476))</f>
        <v>175.99999999999997</v>
      </c>
      <c r="R464" s="46">
        <f t="shared" ref="R464:AA464" si="200">IF(R$1="",0,SUM(R465:R476))</f>
        <v>175.99999999999997</v>
      </c>
      <c r="S464" s="46">
        <f t="shared" si="200"/>
        <v>175.99999999999997</v>
      </c>
      <c r="T464" s="46">
        <f t="shared" si="200"/>
        <v>175.99999999999997</v>
      </c>
      <c r="U464" s="46">
        <f t="shared" si="200"/>
        <v>0</v>
      </c>
      <c r="V464" s="46">
        <f t="shared" si="200"/>
        <v>0</v>
      </c>
      <c r="W464" s="46">
        <f t="shared" si="200"/>
        <v>0</v>
      </c>
      <c r="X464" s="46">
        <f t="shared" si="200"/>
        <v>0</v>
      </c>
      <c r="Y464" s="46">
        <f t="shared" si="200"/>
        <v>0</v>
      </c>
      <c r="Z464" s="46">
        <f t="shared" si="200"/>
        <v>0</v>
      </c>
      <c r="AA464" s="46">
        <f t="shared" si="200"/>
        <v>0</v>
      </c>
      <c r="AB464" s="3"/>
    </row>
    <row r="465" spans="1:28" s="23" customFormat="1" ht="10.199999999999999" x14ac:dyDescent="0.2">
      <c r="A465" s="22"/>
      <c r="B465" s="22"/>
      <c r="C465" s="22"/>
      <c r="D465" s="22"/>
      <c r="E465" s="22" t="str">
        <f>E464</f>
        <v>амортизация прокатного инвентаря</v>
      </c>
      <c r="F465" s="22"/>
      <c r="G465" s="22" t="str">
        <f>IF($E465="","",INDEX(KPI!$G:$G,SUMIFS(KPI!$B:$B,KPI!$E:$E,$E465)))</f>
        <v>тыс.руб.</v>
      </c>
      <c r="H465" s="100">
        <f>структура!$V$12</f>
        <v>1</v>
      </c>
      <c r="I465" s="31"/>
      <c r="J465" s="98" t="str">
        <f>структура!$X$12</f>
        <v>янв</v>
      </c>
      <c r="K465" s="99"/>
      <c r="L465" s="22"/>
      <c r="M465" s="58"/>
      <c r="N465" s="22"/>
      <c r="O465" s="22"/>
      <c r="P465" s="101">
        <f>IF(P$1="",0,IF(AND(P$1=0,$H465&lt;MONTH($J$13)),0,IF(((YEAR(P$8)-1)*12+$H465)-((YEAR($J$13)-1)*12+MONTH($J$13))+1&gt;капитал!$J$130*12,0,IF(капитал!$J$130=0,0,капитал!$M$109/(капитал!$J$130*12)))))</f>
        <v>14.666666666666666</v>
      </c>
      <c r="Q465" s="101">
        <f>IF(Q$1="",0,IF(AND(Q$1=0,$H465&lt;MONTH($J$13)),0,IF(((YEAR(Q$8)-1)*12+$H465)-((YEAR($J$13)-1)*12+MONTH($J$13))+1&gt;капитал!$J$130*12,0,IF(капитал!$J$130=0,0,капитал!$M$109/(капитал!$J$130*12)))))</f>
        <v>14.666666666666666</v>
      </c>
      <c r="R465" s="101">
        <f>IF(R$1="",0,IF(AND(R$1=0,$H465&lt;MONTH($J$13)),0,IF(((YEAR(R$8)-1)*12+$H465)-((YEAR($J$13)-1)*12+MONTH($J$13))+1&gt;капитал!$J$130*12,0,IF(капитал!$J$130=0,0,капитал!$M$109/(капитал!$J$130*12)))))</f>
        <v>14.666666666666666</v>
      </c>
      <c r="S465" s="101">
        <f>IF(S$1="",0,IF(AND(S$1=0,$H465&lt;MONTH($J$13)),0,IF(((YEAR(S$8)-1)*12+$H465)-((YEAR($J$13)-1)*12+MONTH($J$13))+1&gt;капитал!$J$130*12,0,IF(капитал!$J$130=0,0,капитал!$M$109/(капитал!$J$130*12)))))</f>
        <v>14.666666666666666</v>
      </c>
      <c r="T465" s="101">
        <f>IF(T$1="",0,IF(AND(T$1=0,$H465&lt;MONTH($J$13)),0,IF(((YEAR(T$8)-1)*12+$H465)-((YEAR($J$13)-1)*12+MONTH($J$13))+1&gt;капитал!$J$130*12,0,IF(капитал!$J$130=0,0,капитал!$M$109/(капитал!$J$130*12)))))</f>
        <v>14.666666666666666</v>
      </c>
      <c r="U465" s="101">
        <f>IF(U$1="",0,IF(AND(U$1=0,$H465&lt;MONTH($J$13)),0,IF(((YEAR(U$8)-1)*12+$H465)-((YEAR($J$13)-1)*12+MONTH($J$13))+1&gt;капитал!$J$130*12,0,IF(капитал!$J$130=0,0,капитал!$M$109/(капитал!$J$130*12)))))</f>
        <v>0</v>
      </c>
      <c r="V465" s="101">
        <f>IF(V$1="",0,IF(AND(V$1=0,$H465&lt;MONTH($J$13)),0,IF(((YEAR(V$8)-1)*12+$H465)-((YEAR($J$13)-1)*12+MONTH($J$13))+1&gt;капитал!$J$130*12,0,IF(капитал!$J$130=0,0,капитал!$M$109/(капитал!$J$130*12)))))</f>
        <v>0</v>
      </c>
      <c r="W465" s="101">
        <f>IF(W$1="",0,IF(AND(W$1=0,$H465&lt;MONTH($J$13)),0,IF(((YEAR(W$8)-1)*12+$H465)-((YEAR($J$13)-1)*12+MONTH($J$13))+1&gt;капитал!$J$130*12,0,IF(капитал!$J$130=0,0,капитал!$M$109/(капитал!$J$130*12)))))</f>
        <v>0</v>
      </c>
      <c r="X465" s="101">
        <f>IF(X$1="",0,IF(AND(X$1=0,$H465&lt;MONTH($J$13)),0,IF(((YEAR(X$8)-1)*12+$H465)-((YEAR($J$13)-1)*12+MONTH($J$13))+1&gt;капитал!$J$130*12,0,IF(капитал!$J$130=0,0,капитал!$M$109/(капитал!$J$130*12)))))</f>
        <v>0</v>
      </c>
      <c r="Y465" s="101">
        <f>IF(Y$1="",0,IF(AND(Y$1=0,$H465&lt;MONTH($J$13)),0,IF(((YEAR(Y$8)-1)*12+$H465)-((YEAR($J$13)-1)*12+MONTH($J$13))+1&gt;капитал!$J$130*12,0,IF(капитал!$J$130=0,0,капитал!$M$109/(капитал!$J$130*12)))))</f>
        <v>0</v>
      </c>
      <c r="Z465" s="101">
        <f>IF(Z$1="",0,IF(AND(Z$1=0,$H465&lt;MONTH($J$13)),0,IF(((YEAR(Z$8)-1)*12+$H465)-((YEAR($J$13)-1)*12+MONTH($J$13))+1&gt;капитал!$J$130*12,0,IF(капитал!$J$130=0,0,капитал!$M$109/(капитал!$J$130*12)))))</f>
        <v>0</v>
      </c>
      <c r="AA465" s="101">
        <f>IF(AA$1="",0,IF(AND(AA$1=0,$H465&lt;MONTH($J$13)),0,IF(((YEAR(AA$8)-1)*12+$H465)-((YEAR($J$13)-1)*12+MONTH($J$13))+1&gt;капитал!$J$130*12,0,IF(капитал!$J$130=0,0,капитал!$M$109/(капитал!$J$130*12)))))</f>
        <v>0</v>
      </c>
      <c r="AB465" s="22"/>
    </row>
    <row r="466" spans="1:28" s="23" customFormat="1" ht="10.199999999999999" x14ac:dyDescent="0.2">
      <c r="A466" s="22"/>
      <c r="B466" s="22"/>
      <c r="C466" s="22"/>
      <c r="D466" s="22"/>
      <c r="E466" s="22" t="str">
        <f>E464</f>
        <v>амортизация прокатного инвентаря</v>
      </c>
      <c r="F466" s="22"/>
      <c r="G466" s="22" t="str">
        <f>IF($E466="","",INDEX(KPI!$G:$G,SUMIFS(KPI!$B:$B,KPI!$E:$E,$E466)))</f>
        <v>тыс.руб.</v>
      </c>
      <c r="H466" s="100">
        <f>структура!$V$13</f>
        <v>2</v>
      </c>
      <c r="I466" s="31"/>
      <c r="J466" s="98" t="str">
        <f>структура!$X$13</f>
        <v>фев</v>
      </c>
      <c r="K466" s="99"/>
      <c r="L466" s="22"/>
      <c r="M466" s="58"/>
      <c r="N466" s="22"/>
      <c r="O466" s="22"/>
      <c r="P466" s="101">
        <f>IF(P$1="",0,IF(AND(P$1=0,$H466&lt;MONTH($J$13)),0,IF(((YEAR(P$8)-1)*12+$H466)-((YEAR($J$13)-1)*12+MONTH($J$13))+1&gt;капитал!$J$130*12,0,IF(капитал!$J$130=0,0,капитал!$M$109/(капитал!$J$130*12)))))</f>
        <v>14.666666666666666</v>
      </c>
      <c r="Q466" s="101">
        <f>IF(Q$1="",0,IF(AND(Q$1=0,$H466&lt;MONTH($J$13)),0,IF(((YEAR(Q$8)-1)*12+$H466)-((YEAR($J$13)-1)*12+MONTH($J$13))+1&gt;капитал!$J$130*12,0,IF(капитал!$J$130=0,0,капитал!$M$109/(капитал!$J$130*12)))))</f>
        <v>14.666666666666666</v>
      </c>
      <c r="R466" s="101">
        <f>IF(R$1="",0,IF(AND(R$1=0,$H466&lt;MONTH($J$13)),0,IF(((YEAR(R$8)-1)*12+$H466)-((YEAR($J$13)-1)*12+MONTH($J$13))+1&gt;капитал!$J$130*12,0,IF(капитал!$J$130=0,0,капитал!$M$109/(капитал!$J$130*12)))))</f>
        <v>14.666666666666666</v>
      </c>
      <c r="S466" s="101">
        <f>IF(S$1="",0,IF(AND(S$1=0,$H466&lt;MONTH($J$13)),0,IF(((YEAR(S$8)-1)*12+$H466)-((YEAR($J$13)-1)*12+MONTH($J$13))+1&gt;капитал!$J$130*12,0,IF(капитал!$J$130=0,0,капитал!$M$109/(капитал!$J$130*12)))))</f>
        <v>14.666666666666666</v>
      </c>
      <c r="T466" s="101">
        <f>IF(T$1="",0,IF(AND(T$1=0,$H466&lt;MONTH($J$13)),0,IF(((YEAR(T$8)-1)*12+$H466)-((YEAR($J$13)-1)*12+MONTH($J$13))+1&gt;капитал!$J$130*12,0,IF(капитал!$J$130=0,0,капитал!$M$109/(капитал!$J$130*12)))))</f>
        <v>14.666666666666666</v>
      </c>
      <c r="U466" s="101">
        <f>IF(U$1="",0,IF(AND(U$1=0,$H466&lt;MONTH($J$13)),0,IF(((YEAR(U$8)-1)*12+$H466)-((YEAR($J$13)-1)*12+MONTH($J$13))+1&gt;капитал!$J$130*12,0,IF(капитал!$J$130=0,0,капитал!$M$109/(капитал!$J$130*12)))))</f>
        <v>0</v>
      </c>
      <c r="V466" s="101">
        <f>IF(V$1="",0,IF(AND(V$1=0,$H466&lt;MONTH($J$13)),0,IF(((YEAR(V$8)-1)*12+$H466)-((YEAR($J$13)-1)*12+MONTH($J$13))+1&gt;капитал!$J$130*12,0,IF(капитал!$J$130=0,0,капитал!$M$109/(капитал!$J$130*12)))))</f>
        <v>0</v>
      </c>
      <c r="W466" s="101">
        <f>IF(W$1="",0,IF(AND(W$1=0,$H466&lt;MONTH($J$13)),0,IF(((YEAR(W$8)-1)*12+$H466)-((YEAR($J$13)-1)*12+MONTH($J$13))+1&gt;капитал!$J$130*12,0,IF(капитал!$J$130=0,0,капитал!$M$109/(капитал!$J$130*12)))))</f>
        <v>0</v>
      </c>
      <c r="X466" s="101">
        <f>IF(X$1="",0,IF(AND(X$1=0,$H466&lt;MONTH($J$13)),0,IF(((YEAR(X$8)-1)*12+$H466)-((YEAR($J$13)-1)*12+MONTH($J$13))+1&gt;капитал!$J$130*12,0,IF(капитал!$J$130=0,0,капитал!$M$109/(капитал!$J$130*12)))))</f>
        <v>0</v>
      </c>
      <c r="Y466" s="101">
        <f>IF(Y$1="",0,IF(AND(Y$1=0,$H466&lt;MONTH($J$13)),0,IF(((YEAR(Y$8)-1)*12+$H466)-((YEAR($J$13)-1)*12+MONTH($J$13))+1&gt;капитал!$J$130*12,0,IF(капитал!$J$130=0,0,капитал!$M$109/(капитал!$J$130*12)))))</f>
        <v>0</v>
      </c>
      <c r="Z466" s="101">
        <f>IF(Z$1="",0,IF(AND(Z$1=0,$H466&lt;MONTH($J$13)),0,IF(((YEAR(Z$8)-1)*12+$H466)-((YEAR($J$13)-1)*12+MONTH($J$13))+1&gt;капитал!$J$130*12,0,IF(капитал!$J$130=0,0,капитал!$M$109/(капитал!$J$130*12)))))</f>
        <v>0</v>
      </c>
      <c r="AA466" s="101">
        <f>IF(AA$1="",0,IF(AND(AA$1=0,$H466&lt;MONTH($J$13)),0,IF(((YEAR(AA$8)-1)*12+$H466)-((YEAR($J$13)-1)*12+MONTH($J$13))+1&gt;капитал!$J$130*12,0,IF(капитал!$J$130=0,0,капитал!$M$109/(капитал!$J$130*12)))))</f>
        <v>0</v>
      </c>
      <c r="AB466" s="22"/>
    </row>
    <row r="467" spans="1:28" s="23" customFormat="1" ht="10.199999999999999" x14ac:dyDescent="0.2">
      <c r="A467" s="22"/>
      <c r="B467" s="22"/>
      <c r="C467" s="22"/>
      <c r="D467" s="22"/>
      <c r="E467" s="22" t="str">
        <f>E464</f>
        <v>амортизация прокатного инвентаря</v>
      </c>
      <c r="F467" s="22"/>
      <c r="G467" s="22" t="str">
        <f>IF($E467="","",INDEX(KPI!$G:$G,SUMIFS(KPI!$B:$B,KPI!$E:$E,$E467)))</f>
        <v>тыс.руб.</v>
      </c>
      <c r="H467" s="100">
        <f>структура!$V$14</f>
        <v>3</v>
      </c>
      <c r="I467" s="31"/>
      <c r="J467" s="98" t="str">
        <f>структура!$X$14</f>
        <v>мар</v>
      </c>
      <c r="K467" s="99"/>
      <c r="L467" s="22"/>
      <c r="M467" s="58"/>
      <c r="N467" s="22"/>
      <c r="O467" s="22"/>
      <c r="P467" s="101">
        <f>IF(P$1="",0,IF(AND(P$1=0,$H467&lt;MONTH($J$13)),0,IF(((YEAR(P$8)-1)*12+$H467)-((YEAR($J$13)-1)*12+MONTH($J$13))+1&gt;капитал!$J$130*12,0,IF(капитал!$J$130=0,0,капитал!$M$109/(капитал!$J$130*12)))))</f>
        <v>14.666666666666666</v>
      </c>
      <c r="Q467" s="101">
        <f>IF(Q$1="",0,IF(AND(Q$1=0,$H467&lt;MONTH($J$13)),0,IF(((YEAR(Q$8)-1)*12+$H467)-((YEAR($J$13)-1)*12+MONTH($J$13))+1&gt;капитал!$J$130*12,0,IF(капитал!$J$130=0,0,капитал!$M$109/(капитал!$J$130*12)))))</f>
        <v>14.666666666666666</v>
      </c>
      <c r="R467" s="101">
        <f>IF(R$1="",0,IF(AND(R$1=0,$H467&lt;MONTH($J$13)),0,IF(((YEAR(R$8)-1)*12+$H467)-((YEAR($J$13)-1)*12+MONTH($J$13))+1&gt;капитал!$J$130*12,0,IF(капитал!$J$130=0,0,капитал!$M$109/(капитал!$J$130*12)))))</f>
        <v>14.666666666666666</v>
      </c>
      <c r="S467" s="101">
        <f>IF(S$1="",0,IF(AND(S$1=0,$H467&lt;MONTH($J$13)),0,IF(((YEAR(S$8)-1)*12+$H467)-((YEAR($J$13)-1)*12+MONTH($J$13))+1&gt;капитал!$J$130*12,0,IF(капитал!$J$130=0,0,капитал!$M$109/(капитал!$J$130*12)))))</f>
        <v>14.666666666666666</v>
      </c>
      <c r="T467" s="101">
        <f>IF(T$1="",0,IF(AND(T$1=0,$H467&lt;MONTH($J$13)),0,IF(((YEAR(T$8)-1)*12+$H467)-((YEAR($J$13)-1)*12+MONTH($J$13))+1&gt;капитал!$J$130*12,0,IF(капитал!$J$130=0,0,капитал!$M$109/(капитал!$J$130*12)))))</f>
        <v>14.666666666666666</v>
      </c>
      <c r="U467" s="101">
        <f>IF(U$1="",0,IF(AND(U$1=0,$H467&lt;MONTH($J$13)),0,IF(((YEAR(U$8)-1)*12+$H467)-((YEAR($J$13)-1)*12+MONTH($J$13))+1&gt;капитал!$J$130*12,0,IF(капитал!$J$130=0,0,капитал!$M$109/(капитал!$J$130*12)))))</f>
        <v>0</v>
      </c>
      <c r="V467" s="101">
        <f>IF(V$1="",0,IF(AND(V$1=0,$H467&lt;MONTH($J$13)),0,IF(((YEAR(V$8)-1)*12+$H467)-((YEAR($J$13)-1)*12+MONTH($J$13))+1&gt;капитал!$J$130*12,0,IF(капитал!$J$130=0,0,капитал!$M$109/(капитал!$J$130*12)))))</f>
        <v>0</v>
      </c>
      <c r="W467" s="101">
        <f>IF(W$1="",0,IF(AND(W$1=0,$H467&lt;MONTH($J$13)),0,IF(((YEAR(W$8)-1)*12+$H467)-((YEAR($J$13)-1)*12+MONTH($J$13))+1&gt;капитал!$J$130*12,0,IF(капитал!$J$130=0,0,капитал!$M$109/(капитал!$J$130*12)))))</f>
        <v>0</v>
      </c>
      <c r="X467" s="101">
        <f>IF(X$1="",0,IF(AND(X$1=0,$H467&lt;MONTH($J$13)),0,IF(((YEAR(X$8)-1)*12+$H467)-((YEAR($J$13)-1)*12+MONTH($J$13))+1&gt;капитал!$J$130*12,0,IF(капитал!$J$130=0,0,капитал!$M$109/(капитал!$J$130*12)))))</f>
        <v>0</v>
      </c>
      <c r="Y467" s="101">
        <f>IF(Y$1="",0,IF(AND(Y$1=0,$H467&lt;MONTH($J$13)),0,IF(((YEAR(Y$8)-1)*12+$H467)-((YEAR($J$13)-1)*12+MONTH($J$13))+1&gt;капитал!$J$130*12,0,IF(капитал!$J$130=0,0,капитал!$M$109/(капитал!$J$130*12)))))</f>
        <v>0</v>
      </c>
      <c r="Z467" s="101">
        <f>IF(Z$1="",0,IF(AND(Z$1=0,$H467&lt;MONTH($J$13)),0,IF(((YEAR(Z$8)-1)*12+$H467)-((YEAR($J$13)-1)*12+MONTH($J$13))+1&gt;капитал!$J$130*12,0,IF(капитал!$J$130=0,0,капитал!$M$109/(капитал!$J$130*12)))))</f>
        <v>0</v>
      </c>
      <c r="AA467" s="101">
        <f>IF(AA$1="",0,IF(AND(AA$1=0,$H467&lt;MONTH($J$13)),0,IF(((YEAR(AA$8)-1)*12+$H467)-((YEAR($J$13)-1)*12+MONTH($J$13))+1&gt;капитал!$J$130*12,0,IF(капитал!$J$130=0,0,капитал!$M$109/(капитал!$J$130*12)))))</f>
        <v>0</v>
      </c>
      <c r="AB467" s="22"/>
    </row>
    <row r="468" spans="1:28" s="23" customFormat="1" ht="10.199999999999999" x14ac:dyDescent="0.2">
      <c r="A468" s="22"/>
      <c r="B468" s="22"/>
      <c r="C468" s="22"/>
      <c r="D468" s="22"/>
      <c r="E468" s="22" t="str">
        <f>E464</f>
        <v>амортизация прокатного инвентаря</v>
      </c>
      <c r="F468" s="22"/>
      <c r="G468" s="22" t="str">
        <f>IF($E468="","",INDEX(KPI!$G:$G,SUMIFS(KPI!$B:$B,KPI!$E:$E,$E468)))</f>
        <v>тыс.руб.</v>
      </c>
      <c r="H468" s="100">
        <f>структура!$V$15</f>
        <v>4</v>
      </c>
      <c r="I468" s="31"/>
      <c r="J468" s="98" t="str">
        <f>структура!$X$15</f>
        <v>апр</v>
      </c>
      <c r="K468" s="99"/>
      <c r="L468" s="22"/>
      <c r="M468" s="58"/>
      <c r="N468" s="22"/>
      <c r="O468" s="22"/>
      <c r="P468" s="101">
        <f>IF(P$1="",0,IF(AND(P$1=0,$H468&lt;MONTH($J$13)),0,IF(((YEAR(P$8)-1)*12+$H468)-((YEAR($J$13)-1)*12+MONTH($J$13))+1&gt;капитал!$J$130*12,0,IF(капитал!$J$130=0,0,капитал!$M$109/(капитал!$J$130*12)))))</f>
        <v>14.666666666666666</v>
      </c>
      <c r="Q468" s="101">
        <f>IF(Q$1="",0,IF(AND(Q$1=0,$H468&lt;MONTH($J$13)),0,IF(((YEAR(Q$8)-1)*12+$H468)-((YEAR($J$13)-1)*12+MONTH($J$13))+1&gt;капитал!$J$130*12,0,IF(капитал!$J$130=0,0,капитал!$M$109/(капитал!$J$130*12)))))</f>
        <v>14.666666666666666</v>
      </c>
      <c r="R468" s="101">
        <f>IF(R$1="",0,IF(AND(R$1=0,$H468&lt;MONTH($J$13)),0,IF(((YEAR(R$8)-1)*12+$H468)-((YEAR($J$13)-1)*12+MONTH($J$13))+1&gt;капитал!$J$130*12,0,IF(капитал!$J$130=0,0,капитал!$M$109/(капитал!$J$130*12)))))</f>
        <v>14.666666666666666</v>
      </c>
      <c r="S468" s="101">
        <f>IF(S$1="",0,IF(AND(S$1=0,$H468&lt;MONTH($J$13)),0,IF(((YEAR(S$8)-1)*12+$H468)-((YEAR($J$13)-1)*12+MONTH($J$13))+1&gt;капитал!$J$130*12,0,IF(капитал!$J$130=0,0,капитал!$M$109/(капитал!$J$130*12)))))</f>
        <v>14.666666666666666</v>
      </c>
      <c r="T468" s="101">
        <f>IF(T$1="",0,IF(AND(T$1=0,$H468&lt;MONTH($J$13)),0,IF(((YEAR(T$8)-1)*12+$H468)-((YEAR($J$13)-1)*12+MONTH($J$13))+1&gt;капитал!$J$130*12,0,IF(капитал!$J$130=0,0,капитал!$M$109/(капитал!$J$130*12)))))</f>
        <v>14.666666666666666</v>
      </c>
      <c r="U468" s="101">
        <f>IF(U$1="",0,IF(AND(U$1=0,$H468&lt;MONTH($J$13)),0,IF(((YEAR(U$8)-1)*12+$H468)-((YEAR($J$13)-1)*12+MONTH($J$13))+1&gt;капитал!$J$130*12,0,IF(капитал!$J$130=0,0,капитал!$M$109/(капитал!$J$130*12)))))</f>
        <v>0</v>
      </c>
      <c r="V468" s="101">
        <f>IF(V$1="",0,IF(AND(V$1=0,$H468&lt;MONTH($J$13)),0,IF(((YEAR(V$8)-1)*12+$H468)-((YEAR($J$13)-1)*12+MONTH($J$13))+1&gt;капитал!$J$130*12,0,IF(капитал!$J$130=0,0,капитал!$M$109/(капитал!$J$130*12)))))</f>
        <v>0</v>
      </c>
      <c r="W468" s="101">
        <f>IF(W$1="",0,IF(AND(W$1=0,$H468&lt;MONTH($J$13)),0,IF(((YEAR(W$8)-1)*12+$H468)-((YEAR($J$13)-1)*12+MONTH($J$13))+1&gt;капитал!$J$130*12,0,IF(капитал!$J$130=0,0,капитал!$M$109/(капитал!$J$130*12)))))</f>
        <v>0</v>
      </c>
      <c r="X468" s="101">
        <f>IF(X$1="",0,IF(AND(X$1=0,$H468&lt;MONTH($J$13)),0,IF(((YEAR(X$8)-1)*12+$H468)-((YEAR($J$13)-1)*12+MONTH($J$13))+1&gt;капитал!$J$130*12,0,IF(капитал!$J$130=0,0,капитал!$M$109/(капитал!$J$130*12)))))</f>
        <v>0</v>
      </c>
      <c r="Y468" s="101">
        <f>IF(Y$1="",0,IF(AND(Y$1=0,$H468&lt;MONTH($J$13)),0,IF(((YEAR(Y$8)-1)*12+$H468)-((YEAR($J$13)-1)*12+MONTH($J$13))+1&gt;капитал!$J$130*12,0,IF(капитал!$J$130=0,0,капитал!$M$109/(капитал!$J$130*12)))))</f>
        <v>0</v>
      </c>
      <c r="Z468" s="101">
        <f>IF(Z$1="",0,IF(AND(Z$1=0,$H468&lt;MONTH($J$13)),0,IF(((YEAR(Z$8)-1)*12+$H468)-((YEAR($J$13)-1)*12+MONTH($J$13))+1&gt;капитал!$J$130*12,0,IF(капитал!$J$130=0,0,капитал!$M$109/(капитал!$J$130*12)))))</f>
        <v>0</v>
      </c>
      <c r="AA468" s="101">
        <f>IF(AA$1="",0,IF(AND(AA$1=0,$H468&lt;MONTH($J$13)),0,IF(((YEAR(AA$8)-1)*12+$H468)-((YEAR($J$13)-1)*12+MONTH($J$13))+1&gt;капитал!$J$130*12,0,IF(капитал!$J$130=0,0,капитал!$M$109/(капитал!$J$130*12)))))</f>
        <v>0</v>
      </c>
      <c r="AB468" s="22"/>
    </row>
    <row r="469" spans="1:28" s="23" customFormat="1" ht="10.199999999999999" x14ac:dyDescent="0.2">
      <c r="A469" s="22"/>
      <c r="B469" s="22"/>
      <c r="C469" s="22"/>
      <c r="D469" s="22"/>
      <c r="E469" s="22" t="str">
        <f>E464</f>
        <v>амортизация прокатного инвентаря</v>
      </c>
      <c r="F469" s="22"/>
      <c r="G469" s="22" t="str">
        <f>IF($E469="","",INDEX(KPI!$G:$G,SUMIFS(KPI!$B:$B,KPI!$E:$E,$E469)))</f>
        <v>тыс.руб.</v>
      </c>
      <c r="H469" s="100">
        <f>структура!$V$16</f>
        <v>5</v>
      </c>
      <c r="I469" s="31"/>
      <c r="J469" s="98" t="str">
        <f>структура!$X$16</f>
        <v>май</v>
      </c>
      <c r="K469" s="99"/>
      <c r="L469" s="22"/>
      <c r="M469" s="58"/>
      <c r="N469" s="22"/>
      <c r="O469" s="22"/>
      <c r="P469" s="101">
        <f>IF(P$1="",0,IF(AND(P$1=0,$H469&lt;MONTH($J$13)),0,IF(((YEAR(P$8)-1)*12+$H469)-((YEAR($J$13)-1)*12+MONTH($J$13))+1&gt;капитал!$J$130*12,0,IF(капитал!$J$130=0,0,капитал!$M$109/(капитал!$J$130*12)))))</f>
        <v>14.666666666666666</v>
      </c>
      <c r="Q469" s="101">
        <f>IF(Q$1="",0,IF(AND(Q$1=0,$H469&lt;MONTH($J$13)),0,IF(((YEAR(Q$8)-1)*12+$H469)-((YEAR($J$13)-1)*12+MONTH($J$13))+1&gt;капитал!$J$130*12,0,IF(капитал!$J$130=0,0,капитал!$M$109/(капитал!$J$130*12)))))</f>
        <v>14.666666666666666</v>
      </c>
      <c r="R469" s="101">
        <f>IF(R$1="",0,IF(AND(R$1=0,$H469&lt;MONTH($J$13)),0,IF(((YEAR(R$8)-1)*12+$H469)-((YEAR($J$13)-1)*12+MONTH($J$13))+1&gt;капитал!$J$130*12,0,IF(капитал!$J$130=0,0,капитал!$M$109/(капитал!$J$130*12)))))</f>
        <v>14.666666666666666</v>
      </c>
      <c r="S469" s="101">
        <f>IF(S$1="",0,IF(AND(S$1=0,$H469&lt;MONTH($J$13)),0,IF(((YEAR(S$8)-1)*12+$H469)-((YEAR($J$13)-1)*12+MONTH($J$13))+1&gt;капитал!$J$130*12,0,IF(капитал!$J$130=0,0,капитал!$M$109/(капитал!$J$130*12)))))</f>
        <v>14.666666666666666</v>
      </c>
      <c r="T469" s="101">
        <f>IF(T$1="",0,IF(AND(T$1=0,$H469&lt;MONTH($J$13)),0,IF(((YEAR(T$8)-1)*12+$H469)-((YEAR($J$13)-1)*12+MONTH($J$13))+1&gt;капитал!$J$130*12,0,IF(капитал!$J$130=0,0,капитал!$M$109/(капитал!$J$130*12)))))</f>
        <v>14.666666666666666</v>
      </c>
      <c r="U469" s="101">
        <f>IF(U$1="",0,IF(AND(U$1=0,$H469&lt;MONTH($J$13)),0,IF(((YEAR(U$8)-1)*12+$H469)-((YEAR($J$13)-1)*12+MONTH($J$13))+1&gt;капитал!$J$130*12,0,IF(капитал!$J$130=0,0,капитал!$M$109/(капитал!$J$130*12)))))</f>
        <v>0</v>
      </c>
      <c r="V469" s="101">
        <f>IF(V$1="",0,IF(AND(V$1=0,$H469&lt;MONTH($J$13)),0,IF(((YEAR(V$8)-1)*12+$H469)-((YEAR($J$13)-1)*12+MONTH($J$13))+1&gt;капитал!$J$130*12,0,IF(капитал!$J$130=0,0,капитал!$M$109/(капитал!$J$130*12)))))</f>
        <v>0</v>
      </c>
      <c r="W469" s="101">
        <f>IF(W$1="",0,IF(AND(W$1=0,$H469&lt;MONTH($J$13)),0,IF(((YEAR(W$8)-1)*12+$H469)-((YEAR($J$13)-1)*12+MONTH($J$13))+1&gt;капитал!$J$130*12,0,IF(капитал!$J$130=0,0,капитал!$M$109/(капитал!$J$130*12)))))</f>
        <v>0</v>
      </c>
      <c r="X469" s="101">
        <f>IF(X$1="",0,IF(AND(X$1=0,$H469&lt;MONTH($J$13)),0,IF(((YEAR(X$8)-1)*12+$H469)-((YEAR($J$13)-1)*12+MONTH($J$13))+1&gt;капитал!$J$130*12,0,IF(капитал!$J$130=0,0,капитал!$M$109/(капитал!$J$130*12)))))</f>
        <v>0</v>
      </c>
      <c r="Y469" s="101">
        <f>IF(Y$1="",0,IF(AND(Y$1=0,$H469&lt;MONTH($J$13)),0,IF(((YEAR(Y$8)-1)*12+$H469)-((YEAR($J$13)-1)*12+MONTH($J$13))+1&gt;капитал!$J$130*12,0,IF(капитал!$J$130=0,0,капитал!$M$109/(капитал!$J$130*12)))))</f>
        <v>0</v>
      </c>
      <c r="Z469" s="101">
        <f>IF(Z$1="",0,IF(AND(Z$1=0,$H469&lt;MONTH($J$13)),0,IF(((YEAR(Z$8)-1)*12+$H469)-((YEAR($J$13)-1)*12+MONTH($J$13))+1&gt;капитал!$J$130*12,0,IF(капитал!$J$130=0,0,капитал!$M$109/(капитал!$J$130*12)))))</f>
        <v>0</v>
      </c>
      <c r="AA469" s="101">
        <f>IF(AA$1="",0,IF(AND(AA$1=0,$H469&lt;MONTH($J$13)),0,IF(((YEAR(AA$8)-1)*12+$H469)-((YEAR($J$13)-1)*12+MONTH($J$13))+1&gt;капитал!$J$130*12,0,IF(капитал!$J$130=0,0,капитал!$M$109/(капитал!$J$130*12)))))</f>
        <v>0</v>
      </c>
      <c r="AB469" s="22"/>
    </row>
    <row r="470" spans="1:28" s="23" customFormat="1" ht="10.199999999999999" x14ac:dyDescent="0.2">
      <c r="A470" s="22"/>
      <c r="B470" s="22"/>
      <c r="C470" s="22"/>
      <c r="D470" s="22"/>
      <c r="E470" s="22" t="str">
        <f>E464</f>
        <v>амортизация прокатного инвентаря</v>
      </c>
      <c r="F470" s="22"/>
      <c r="G470" s="22" t="str">
        <f>IF($E470="","",INDEX(KPI!$G:$G,SUMIFS(KPI!$B:$B,KPI!$E:$E,$E470)))</f>
        <v>тыс.руб.</v>
      </c>
      <c r="H470" s="100">
        <f>структура!$V$17</f>
        <v>6</v>
      </c>
      <c r="I470" s="31"/>
      <c r="J470" s="98" t="str">
        <f>структура!$X$17</f>
        <v>июн</v>
      </c>
      <c r="K470" s="99"/>
      <c r="L470" s="22"/>
      <c r="M470" s="58"/>
      <c r="N470" s="22"/>
      <c r="O470" s="22"/>
      <c r="P470" s="101">
        <f>IF(P$1="",0,IF(AND(P$1=0,$H470&lt;MONTH($J$13)),0,IF(((YEAR(P$8)-1)*12+$H470)-((YEAR($J$13)-1)*12+MONTH($J$13))+1&gt;капитал!$J$130*12,0,IF(капитал!$J$130=0,0,капитал!$M$109/(капитал!$J$130*12)))))</f>
        <v>14.666666666666666</v>
      </c>
      <c r="Q470" s="101">
        <f>IF(Q$1="",0,IF(AND(Q$1=0,$H470&lt;MONTH($J$13)),0,IF(((YEAR(Q$8)-1)*12+$H470)-((YEAR($J$13)-1)*12+MONTH($J$13))+1&gt;капитал!$J$130*12,0,IF(капитал!$J$130=0,0,капитал!$M$109/(капитал!$J$130*12)))))</f>
        <v>14.666666666666666</v>
      </c>
      <c r="R470" s="101">
        <f>IF(R$1="",0,IF(AND(R$1=0,$H470&lt;MONTH($J$13)),0,IF(((YEAR(R$8)-1)*12+$H470)-((YEAR($J$13)-1)*12+MONTH($J$13))+1&gt;капитал!$J$130*12,0,IF(капитал!$J$130=0,0,капитал!$M$109/(капитал!$J$130*12)))))</f>
        <v>14.666666666666666</v>
      </c>
      <c r="S470" s="101">
        <f>IF(S$1="",0,IF(AND(S$1=0,$H470&lt;MONTH($J$13)),0,IF(((YEAR(S$8)-1)*12+$H470)-((YEAR($J$13)-1)*12+MONTH($J$13))+1&gt;капитал!$J$130*12,0,IF(капитал!$J$130=0,0,капитал!$M$109/(капитал!$J$130*12)))))</f>
        <v>14.666666666666666</v>
      </c>
      <c r="T470" s="101">
        <f>IF(T$1="",0,IF(AND(T$1=0,$H470&lt;MONTH($J$13)),0,IF(((YEAR(T$8)-1)*12+$H470)-((YEAR($J$13)-1)*12+MONTH($J$13))+1&gt;капитал!$J$130*12,0,IF(капитал!$J$130=0,0,капитал!$M$109/(капитал!$J$130*12)))))</f>
        <v>14.666666666666666</v>
      </c>
      <c r="U470" s="101">
        <f>IF(U$1="",0,IF(AND(U$1=0,$H470&lt;MONTH($J$13)),0,IF(((YEAR(U$8)-1)*12+$H470)-((YEAR($J$13)-1)*12+MONTH($J$13))+1&gt;капитал!$J$130*12,0,IF(капитал!$J$130=0,0,капитал!$M$109/(капитал!$J$130*12)))))</f>
        <v>0</v>
      </c>
      <c r="V470" s="101">
        <f>IF(V$1="",0,IF(AND(V$1=0,$H470&lt;MONTH($J$13)),0,IF(((YEAR(V$8)-1)*12+$H470)-((YEAR($J$13)-1)*12+MONTH($J$13))+1&gt;капитал!$J$130*12,0,IF(капитал!$J$130=0,0,капитал!$M$109/(капитал!$J$130*12)))))</f>
        <v>0</v>
      </c>
      <c r="W470" s="101">
        <f>IF(W$1="",0,IF(AND(W$1=0,$H470&lt;MONTH($J$13)),0,IF(((YEAR(W$8)-1)*12+$H470)-((YEAR($J$13)-1)*12+MONTH($J$13))+1&gt;капитал!$J$130*12,0,IF(капитал!$J$130=0,0,капитал!$M$109/(капитал!$J$130*12)))))</f>
        <v>0</v>
      </c>
      <c r="X470" s="101">
        <f>IF(X$1="",0,IF(AND(X$1=0,$H470&lt;MONTH($J$13)),0,IF(((YEAR(X$8)-1)*12+$H470)-((YEAR($J$13)-1)*12+MONTH($J$13))+1&gt;капитал!$J$130*12,0,IF(капитал!$J$130=0,0,капитал!$M$109/(капитал!$J$130*12)))))</f>
        <v>0</v>
      </c>
      <c r="Y470" s="101">
        <f>IF(Y$1="",0,IF(AND(Y$1=0,$H470&lt;MONTH($J$13)),0,IF(((YEAR(Y$8)-1)*12+$H470)-((YEAR($J$13)-1)*12+MONTH($J$13))+1&gt;капитал!$J$130*12,0,IF(капитал!$J$130=0,0,капитал!$M$109/(капитал!$J$130*12)))))</f>
        <v>0</v>
      </c>
      <c r="Z470" s="101">
        <f>IF(Z$1="",0,IF(AND(Z$1=0,$H470&lt;MONTH($J$13)),0,IF(((YEAR(Z$8)-1)*12+$H470)-((YEAR($J$13)-1)*12+MONTH($J$13))+1&gt;капитал!$J$130*12,0,IF(капитал!$J$130=0,0,капитал!$M$109/(капитал!$J$130*12)))))</f>
        <v>0</v>
      </c>
      <c r="AA470" s="101">
        <f>IF(AA$1="",0,IF(AND(AA$1=0,$H470&lt;MONTH($J$13)),0,IF(((YEAR(AA$8)-1)*12+$H470)-((YEAR($J$13)-1)*12+MONTH($J$13))+1&gt;капитал!$J$130*12,0,IF(капитал!$J$130=0,0,капитал!$M$109/(капитал!$J$130*12)))))</f>
        <v>0</v>
      </c>
      <c r="AB470" s="22"/>
    </row>
    <row r="471" spans="1:28" s="23" customFormat="1" ht="10.199999999999999" x14ac:dyDescent="0.2">
      <c r="A471" s="22"/>
      <c r="B471" s="22"/>
      <c r="C471" s="22"/>
      <c r="D471" s="22"/>
      <c r="E471" s="22" t="str">
        <f>E464</f>
        <v>амортизация прокатного инвентаря</v>
      </c>
      <c r="F471" s="22"/>
      <c r="G471" s="22" t="str">
        <f>IF($E471="","",INDEX(KPI!$G:$G,SUMIFS(KPI!$B:$B,KPI!$E:$E,$E471)))</f>
        <v>тыс.руб.</v>
      </c>
      <c r="H471" s="100">
        <f>структура!$V$18</f>
        <v>7</v>
      </c>
      <c r="I471" s="31"/>
      <c r="J471" s="98" t="str">
        <f>структура!$X$18</f>
        <v>июл</v>
      </c>
      <c r="K471" s="99"/>
      <c r="L471" s="22"/>
      <c r="M471" s="58"/>
      <c r="N471" s="22"/>
      <c r="O471" s="22"/>
      <c r="P471" s="101">
        <f>IF(P$1="",0,IF(AND(P$1=0,$H471&lt;MONTH($J$13)),0,IF(((YEAR(P$8)-1)*12+$H471)-((YEAR($J$13)-1)*12+MONTH($J$13))+1&gt;капитал!$J$130*12,0,IF(капитал!$J$130=0,0,капитал!$M$109/(капитал!$J$130*12)))))</f>
        <v>14.666666666666666</v>
      </c>
      <c r="Q471" s="101">
        <f>IF(Q$1="",0,IF(AND(Q$1=0,$H471&lt;MONTH($J$13)),0,IF(((YEAR(Q$8)-1)*12+$H471)-((YEAR($J$13)-1)*12+MONTH($J$13))+1&gt;капитал!$J$130*12,0,IF(капитал!$J$130=0,0,капитал!$M$109/(капитал!$J$130*12)))))</f>
        <v>14.666666666666666</v>
      </c>
      <c r="R471" s="101">
        <f>IF(R$1="",0,IF(AND(R$1=0,$H471&lt;MONTH($J$13)),0,IF(((YEAR(R$8)-1)*12+$H471)-((YEAR($J$13)-1)*12+MONTH($J$13))+1&gt;капитал!$J$130*12,0,IF(капитал!$J$130=0,0,капитал!$M$109/(капитал!$J$130*12)))))</f>
        <v>14.666666666666666</v>
      </c>
      <c r="S471" s="101">
        <f>IF(S$1="",0,IF(AND(S$1=0,$H471&lt;MONTH($J$13)),0,IF(((YEAR(S$8)-1)*12+$H471)-((YEAR($J$13)-1)*12+MONTH($J$13))+1&gt;капитал!$J$130*12,0,IF(капитал!$J$130=0,0,капитал!$M$109/(капитал!$J$130*12)))))</f>
        <v>14.666666666666666</v>
      </c>
      <c r="T471" s="101">
        <f>IF(T$1="",0,IF(AND(T$1=0,$H471&lt;MONTH($J$13)),0,IF(((YEAR(T$8)-1)*12+$H471)-((YEAR($J$13)-1)*12+MONTH($J$13))+1&gt;капитал!$J$130*12,0,IF(капитал!$J$130=0,0,капитал!$M$109/(капитал!$J$130*12)))))</f>
        <v>14.666666666666666</v>
      </c>
      <c r="U471" s="101">
        <f>IF(U$1="",0,IF(AND(U$1=0,$H471&lt;MONTH($J$13)),0,IF(((YEAR(U$8)-1)*12+$H471)-((YEAR($J$13)-1)*12+MONTH($J$13))+1&gt;капитал!$J$130*12,0,IF(капитал!$J$130=0,0,капитал!$M$109/(капитал!$J$130*12)))))</f>
        <v>0</v>
      </c>
      <c r="V471" s="101">
        <f>IF(V$1="",0,IF(AND(V$1=0,$H471&lt;MONTH($J$13)),0,IF(((YEAR(V$8)-1)*12+$H471)-((YEAR($J$13)-1)*12+MONTH($J$13))+1&gt;капитал!$J$130*12,0,IF(капитал!$J$130=0,0,капитал!$M$109/(капитал!$J$130*12)))))</f>
        <v>0</v>
      </c>
      <c r="W471" s="101">
        <f>IF(W$1="",0,IF(AND(W$1=0,$H471&lt;MONTH($J$13)),0,IF(((YEAR(W$8)-1)*12+$H471)-((YEAR($J$13)-1)*12+MONTH($J$13))+1&gt;капитал!$J$130*12,0,IF(капитал!$J$130=0,0,капитал!$M$109/(капитал!$J$130*12)))))</f>
        <v>0</v>
      </c>
      <c r="X471" s="101">
        <f>IF(X$1="",0,IF(AND(X$1=0,$H471&lt;MONTH($J$13)),0,IF(((YEAR(X$8)-1)*12+$H471)-((YEAR($J$13)-1)*12+MONTH($J$13))+1&gt;капитал!$J$130*12,0,IF(капитал!$J$130=0,0,капитал!$M$109/(капитал!$J$130*12)))))</f>
        <v>0</v>
      </c>
      <c r="Y471" s="101">
        <f>IF(Y$1="",0,IF(AND(Y$1=0,$H471&lt;MONTH($J$13)),0,IF(((YEAR(Y$8)-1)*12+$H471)-((YEAR($J$13)-1)*12+MONTH($J$13))+1&gt;капитал!$J$130*12,0,IF(капитал!$J$130=0,0,капитал!$M$109/(капитал!$J$130*12)))))</f>
        <v>0</v>
      </c>
      <c r="Z471" s="101">
        <f>IF(Z$1="",0,IF(AND(Z$1=0,$H471&lt;MONTH($J$13)),0,IF(((YEAR(Z$8)-1)*12+$H471)-((YEAR($J$13)-1)*12+MONTH($J$13))+1&gt;капитал!$J$130*12,0,IF(капитал!$J$130=0,0,капитал!$M$109/(капитал!$J$130*12)))))</f>
        <v>0</v>
      </c>
      <c r="AA471" s="101">
        <f>IF(AA$1="",0,IF(AND(AA$1=0,$H471&lt;MONTH($J$13)),0,IF(((YEAR(AA$8)-1)*12+$H471)-((YEAR($J$13)-1)*12+MONTH($J$13))+1&gt;капитал!$J$130*12,0,IF(капитал!$J$130=0,0,капитал!$M$109/(капитал!$J$130*12)))))</f>
        <v>0</v>
      </c>
      <c r="AB471" s="22"/>
    </row>
    <row r="472" spans="1:28" s="23" customFormat="1" ht="10.199999999999999" x14ac:dyDescent="0.2">
      <c r="A472" s="22"/>
      <c r="B472" s="22"/>
      <c r="C472" s="22"/>
      <c r="D472" s="22"/>
      <c r="E472" s="22" t="str">
        <f>E464</f>
        <v>амортизация прокатного инвентаря</v>
      </c>
      <c r="F472" s="22"/>
      <c r="G472" s="22" t="str">
        <f>IF($E472="","",INDEX(KPI!$G:$G,SUMIFS(KPI!$B:$B,KPI!$E:$E,$E472)))</f>
        <v>тыс.руб.</v>
      </c>
      <c r="H472" s="100">
        <f>структура!$V$19</f>
        <v>8</v>
      </c>
      <c r="I472" s="31"/>
      <c r="J472" s="98" t="str">
        <f>структура!$X$19</f>
        <v>авг</v>
      </c>
      <c r="K472" s="99"/>
      <c r="L472" s="22"/>
      <c r="M472" s="58"/>
      <c r="N472" s="22"/>
      <c r="O472" s="22"/>
      <c r="P472" s="101">
        <f>IF(P$1="",0,IF(AND(P$1=0,$H472&lt;MONTH($J$13)),0,IF(((YEAR(P$8)-1)*12+$H472)-((YEAR($J$13)-1)*12+MONTH($J$13))+1&gt;капитал!$J$130*12,0,IF(капитал!$J$130=0,0,капитал!$M$109/(капитал!$J$130*12)))))</f>
        <v>14.666666666666666</v>
      </c>
      <c r="Q472" s="101">
        <f>IF(Q$1="",0,IF(AND(Q$1=0,$H472&lt;MONTH($J$13)),0,IF(((YEAR(Q$8)-1)*12+$H472)-((YEAR($J$13)-1)*12+MONTH($J$13))+1&gt;капитал!$J$130*12,0,IF(капитал!$J$130=0,0,капитал!$M$109/(капитал!$J$130*12)))))</f>
        <v>14.666666666666666</v>
      </c>
      <c r="R472" s="101">
        <f>IF(R$1="",0,IF(AND(R$1=0,$H472&lt;MONTH($J$13)),0,IF(((YEAR(R$8)-1)*12+$H472)-((YEAR($J$13)-1)*12+MONTH($J$13))+1&gt;капитал!$J$130*12,0,IF(капитал!$J$130=0,0,капитал!$M$109/(капитал!$J$130*12)))))</f>
        <v>14.666666666666666</v>
      </c>
      <c r="S472" s="101">
        <f>IF(S$1="",0,IF(AND(S$1=0,$H472&lt;MONTH($J$13)),0,IF(((YEAR(S$8)-1)*12+$H472)-((YEAR($J$13)-1)*12+MONTH($J$13))+1&gt;капитал!$J$130*12,0,IF(капитал!$J$130=0,0,капитал!$M$109/(капитал!$J$130*12)))))</f>
        <v>14.666666666666666</v>
      </c>
      <c r="T472" s="101">
        <f>IF(T$1="",0,IF(AND(T$1=0,$H472&lt;MONTH($J$13)),0,IF(((YEAR(T$8)-1)*12+$H472)-((YEAR($J$13)-1)*12+MONTH($J$13))+1&gt;капитал!$J$130*12,0,IF(капитал!$J$130=0,0,капитал!$M$109/(капитал!$J$130*12)))))</f>
        <v>14.666666666666666</v>
      </c>
      <c r="U472" s="101">
        <f>IF(U$1="",0,IF(AND(U$1=0,$H472&lt;MONTH($J$13)),0,IF(((YEAR(U$8)-1)*12+$H472)-((YEAR($J$13)-1)*12+MONTH($J$13))+1&gt;капитал!$J$130*12,0,IF(капитал!$J$130=0,0,капитал!$M$109/(капитал!$J$130*12)))))</f>
        <v>0</v>
      </c>
      <c r="V472" s="101">
        <f>IF(V$1="",0,IF(AND(V$1=0,$H472&lt;MONTH($J$13)),0,IF(((YEAR(V$8)-1)*12+$H472)-((YEAR($J$13)-1)*12+MONTH($J$13))+1&gt;капитал!$J$130*12,0,IF(капитал!$J$130=0,0,капитал!$M$109/(капитал!$J$130*12)))))</f>
        <v>0</v>
      </c>
      <c r="W472" s="101">
        <f>IF(W$1="",0,IF(AND(W$1=0,$H472&lt;MONTH($J$13)),0,IF(((YEAR(W$8)-1)*12+$H472)-((YEAR($J$13)-1)*12+MONTH($J$13))+1&gt;капитал!$J$130*12,0,IF(капитал!$J$130=0,0,капитал!$M$109/(капитал!$J$130*12)))))</f>
        <v>0</v>
      </c>
      <c r="X472" s="101">
        <f>IF(X$1="",0,IF(AND(X$1=0,$H472&lt;MONTH($J$13)),0,IF(((YEAR(X$8)-1)*12+$H472)-((YEAR($J$13)-1)*12+MONTH($J$13))+1&gt;капитал!$J$130*12,0,IF(капитал!$J$130=0,0,капитал!$M$109/(капитал!$J$130*12)))))</f>
        <v>0</v>
      </c>
      <c r="Y472" s="101">
        <f>IF(Y$1="",0,IF(AND(Y$1=0,$H472&lt;MONTH($J$13)),0,IF(((YEAR(Y$8)-1)*12+$H472)-((YEAR($J$13)-1)*12+MONTH($J$13))+1&gt;капитал!$J$130*12,0,IF(капитал!$J$130=0,0,капитал!$M$109/(капитал!$J$130*12)))))</f>
        <v>0</v>
      </c>
      <c r="Z472" s="101">
        <f>IF(Z$1="",0,IF(AND(Z$1=0,$H472&lt;MONTH($J$13)),0,IF(((YEAR(Z$8)-1)*12+$H472)-((YEAR($J$13)-1)*12+MONTH($J$13))+1&gt;капитал!$J$130*12,0,IF(капитал!$J$130=0,0,капитал!$M$109/(капитал!$J$130*12)))))</f>
        <v>0</v>
      </c>
      <c r="AA472" s="101">
        <f>IF(AA$1="",0,IF(AND(AA$1=0,$H472&lt;MONTH($J$13)),0,IF(((YEAR(AA$8)-1)*12+$H472)-((YEAR($J$13)-1)*12+MONTH($J$13))+1&gt;капитал!$J$130*12,0,IF(капитал!$J$130=0,0,капитал!$M$109/(капитал!$J$130*12)))))</f>
        <v>0</v>
      </c>
      <c r="AB472" s="22"/>
    </row>
    <row r="473" spans="1:28" s="23" customFormat="1" ht="10.199999999999999" x14ac:dyDescent="0.2">
      <c r="A473" s="22"/>
      <c r="B473" s="22"/>
      <c r="C473" s="22"/>
      <c r="D473" s="22"/>
      <c r="E473" s="22" t="str">
        <f>E464</f>
        <v>амортизация прокатного инвентаря</v>
      </c>
      <c r="F473" s="22"/>
      <c r="G473" s="22" t="str">
        <f>IF($E473="","",INDEX(KPI!$G:$G,SUMIFS(KPI!$B:$B,KPI!$E:$E,$E473)))</f>
        <v>тыс.руб.</v>
      </c>
      <c r="H473" s="100">
        <f>структура!$V$20</f>
        <v>9</v>
      </c>
      <c r="I473" s="31"/>
      <c r="J473" s="98" t="str">
        <f>структура!$X$20</f>
        <v>сен</v>
      </c>
      <c r="K473" s="99"/>
      <c r="L473" s="22"/>
      <c r="M473" s="58"/>
      <c r="N473" s="22"/>
      <c r="O473" s="22"/>
      <c r="P473" s="101">
        <f>IF(P$1="",0,IF(AND(P$1=0,$H473&lt;MONTH($J$13)),0,IF(((YEAR(P$8)-1)*12+$H473)-((YEAR($J$13)-1)*12+MONTH($J$13))+1&gt;капитал!$J$130*12,0,IF(капитал!$J$130=0,0,капитал!$M$109/(капитал!$J$130*12)))))</f>
        <v>14.666666666666666</v>
      </c>
      <c r="Q473" s="101">
        <f>IF(Q$1="",0,IF(AND(Q$1=0,$H473&lt;MONTH($J$13)),0,IF(((YEAR(Q$8)-1)*12+$H473)-((YEAR($J$13)-1)*12+MONTH($J$13))+1&gt;капитал!$J$130*12,0,IF(капитал!$J$130=0,0,капитал!$M$109/(капитал!$J$130*12)))))</f>
        <v>14.666666666666666</v>
      </c>
      <c r="R473" s="101">
        <f>IF(R$1="",0,IF(AND(R$1=0,$H473&lt;MONTH($J$13)),0,IF(((YEAR(R$8)-1)*12+$H473)-((YEAR($J$13)-1)*12+MONTH($J$13))+1&gt;капитал!$J$130*12,0,IF(капитал!$J$130=0,0,капитал!$M$109/(капитал!$J$130*12)))))</f>
        <v>14.666666666666666</v>
      </c>
      <c r="S473" s="101">
        <f>IF(S$1="",0,IF(AND(S$1=0,$H473&lt;MONTH($J$13)),0,IF(((YEAR(S$8)-1)*12+$H473)-((YEAR($J$13)-1)*12+MONTH($J$13))+1&gt;капитал!$J$130*12,0,IF(капитал!$J$130=0,0,капитал!$M$109/(капитал!$J$130*12)))))</f>
        <v>14.666666666666666</v>
      </c>
      <c r="T473" s="101">
        <f>IF(T$1="",0,IF(AND(T$1=0,$H473&lt;MONTH($J$13)),0,IF(((YEAR(T$8)-1)*12+$H473)-((YEAR($J$13)-1)*12+MONTH($J$13))+1&gt;капитал!$J$130*12,0,IF(капитал!$J$130=0,0,капитал!$M$109/(капитал!$J$130*12)))))</f>
        <v>14.666666666666666</v>
      </c>
      <c r="U473" s="101">
        <f>IF(U$1="",0,IF(AND(U$1=0,$H473&lt;MONTH($J$13)),0,IF(((YEAR(U$8)-1)*12+$H473)-((YEAR($J$13)-1)*12+MONTH($J$13))+1&gt;капитал!$J$130*12,0,IF(капитал!$J$130=0,0,капитал!$M$109/(капитал!$J$130*12)))))</f>
        <v>0</v>
      </c>
      <c r="V473" s="101">
        <f>IF(V$1="",0,IF(AND(V$1=0,$H473&lt;MONTH($J$13)),0,IF(((YEAR(V$8)-1)*12+$H473)-((YEAR($J$13)-1)*12+MONTH($J$13))+1&gt;капитал!$J$130*12,0,IF(капитал!$J$130=0,0,капитал!$M$109/(капитал!$J$130*12)))))</f>
        <v>0</v>
      </c>
      <c r="W473" s="101">
        <f>IF(W$1="",0,IF(AND(W$1=0,$H473&lt;MONTH($J$13)),0,IF(((YEAR(W$8)-1)*12+$H473)-((YEAR($J$13)-1)*12+MONTH($J$13))+1&gt;капитал!$J$130*12,0,IF(капитал!$J$130=0,0,капитал!$M$109/(капитал!$J$130*12)))))</f>
        <v>0</v>
      </c>
      <c r="X473" s="101">
        <f>IF(X$1="",0,IF(AND(X$1=0,$H473&lt;MONTH($J$13)),0,IF(((YEAR(X$8)-1)*12+$H473)-((YEAR($J$13)-1)*12+MONTH($J$13))+1&gt;капитал!$J$130*12,0,IF(капитал!$J$130=0,0,капитал!$M$109/(капитал!$J$130*12)))))</f>
        <v>0</v>
      </c>
      <c r="Y473" s="101">
        <f>IF(Y$1="",0,IF(AND(Y$1=0,$H473&lt;MONTH($J$13)),0,IF(((YEAR(Y$8)-1)*12+$H473)-((YEAR($J$13)-1)*12+MONTH($J$13))+1&gt;капитал!$J$130*12,0,IF(капитал!$J$130=0,0,капитал!$M$109/(капитал!$J$130*12)))))</f>
        <v>0</v>
      </c>
      <c r="Z473" s="101">
        <f>IF(Z$1="",0,IF(AND(Z$1=0,$H473&lt;MONTH($J$13)),0,IF(((YEAR(Z$8)-1)*12+$H473)-((YEAR($J$13)-1)*12+MONTH($J$13))+1&gt;капитал!$J$130*12,0,IF(капитал!$J$130=0,0,капитал!$M$109/(капитал!$J$130*12)))))</f>
        <v>0</v>
      </c>
      <c r="AA473" s="101">
        <f>IF(AA$1="",0,IF(AND(AA$1=0,$H473&lt;MONTH($J$13)),0,IF(((YEAR(AA$8)-1)*12+$H473)-((YEAR($J$13)-1)*12+MONTH($J$13))+1&gt;капитал!$J$130*12,0,IF(капитал!$J$130=0,0,капитал!$M$109/(капитал!$J$130*12)))))</f>
        <v>0</v>
      </c>
      <c r="AB473" s="22"/>
    </row>
    <row r="474" spans="1:28" s="23" customFormat="1" ht="10.199999999999999" x14ac:dyDescent="0.2">
      <c r="A474" s="22"/>
      <c r="B474" s="22"/>
      <c r="C474" s="22"/>
      <c r="D474" s="22"/>
      <c r="E474" s="22" t="str">
        <f>E464</f>
        <v>амортизация прокатного инвентаря</v>
      </c>
      <c r="F474" s="22"/>
      <c r="G474" s="22" t="str">
        <f>IF($E474="","",INDEX(KPI!$G:$G,SUMIFS(KPI!$B:$B,KPI!$E:$E,$E474)))</f>
        <v>тыс.руб.</v>
      </c>
      <c r="H474" s="100">
        <f>структура!$V$21</f>
        <v>10</v>
      </c>
      <c r="I474" s="31"/>
      <c r="J474" s="98" t="str">
        <f>структура!$X$21</f>
        <v>окт</v>
      </c>
      <c r="K474" s="99"/>
      <c r="L474" s="22"/>
      <c r="M474" s="58"/>
      <c r="N474" s="22"/>
      <c r="O474" s="22"/>
      <c r="P474" s="101">
        <f>IF(P$1="",0,IF(AND(P$1=0,$H474&lt;MONTH($J$13)),0,IF(((YEAR(P$8)-1)*12+$H474)-((YEAR($J$13)-1)*12+MONTH($J$13))+1&gt;капитал!$J$130*12,0,IF(капитал!$J$130=0,0,капитал!$M$109/(капитал!$J$130*12)))))</f>
        <v>14.666666666666666</v>
      </c>
      <c r="Q474" s="101">
        <f>IF(Q$1="",0,IF(AND(Q$1=0,$H474&lt;MONTH($J$13)),0,IF(((YEAR(Q$8)-1)*12+$H474)-((YEAR($J$13)-1)*12+MONTH($J$13))+1&gt;капитал!$J$130*12,0,IF(капитал!$J$130=0,0,капитал!$M$109/(капитал!$J$130*12)))))</f>
        <v>14.666666666666666</v>
      </c>
      <c r="R474" s="101">
        <f>IF(R$1="",0,IF(AND(R$1=0,$H474&lt;MONTH($J$13)),0,IF(((YEAR(R$8)-1)*12+$H474)-((YEAR($J$13)-1)*12+MONTH($J$13))+1&gt;капитал!$J$130*12,0,IF(капитал!$J$130=0,0,капитал!$M$109/(капитал!$J$130*12)))))</f>
        <v>14.666666666666666</v>
      </c>
      <c r="S474" s="101">
        <f>IF(S$1="",0,IF(AND(S$1=0,$H474&lt;MONTH($J$13)),0,IF(((YEAR(S$8)-1)*12+$H474)-((YEAR($J$13)-1)*12+MONTH($J$13))+1&gt;капитал!$J$130*12,0,IF(капитал!$J$130=0,0,капитал!$M$109/(капитал!$J$130*12)))))</f>
        <v>14.666666666666666</v>
      </c>
      <c r="T474" s="101">
        <f>IF(T$1="",0,IF(AND(T$1=0,$H474&lt;MONTH($J$13)),0,IF(((YEAR(T$8)-1)*12+$H474)-((YEAR($J$13)-1)*12+MONTH($J$13))+1&gt;капитал!$J$130*12,0,IF(капитал!$J$130=0,0,капитал!$M$109/(капитал!$J$130*12)))))</f>
        <v>14.666666666666666</v>
      </c>
      <c r="U474" s="101">
        <f>IF(U$1="",0,IF(AND(U$1=0,$H474&lt;MONTH($J$13)),0,IF(((YEAR(U$8)-1)*12+$H474)-((YEAR($J$13)-1)*12+MONTH($J$13))+1&gt;капитал!$J$130*12,0,IF(капитал!$J$130=0,0,капитал!$M$109/(капитал!$J$130*12)))))</f>
        <v>0</v>
      </c>
      <c r="V474" s="101">
        <f>IF(V$1="",0,IF(AND(V$1=0,$H474&lt;MONTH($J$13)),0,IF(((YEAR(V$8)-1)*12+$H474)-((YEAR($J$13)-1)*12+MONTH($J$13))+1&gt;капитал!$J$130*12,0,IF(капитал!$J$130=0,0,капитал!$M$109/(капитал!$J$130*12)))))</f>
        <v>0</v>
      </c>
      <c r="W474" s="101">
        <f>IF(W$1="",0,IF(AND(W$1=0,$H474&lt;MONTH($J$13)),0,IF(((YEAR(W$8)-1)*12+$H474)-((YEAR($J$13)-1)*12+MONTH($J$13))+1&gt;капитал!$J$130*12,0,IF(капитал!$J$130=0,0,капитал!$M$109/(капитал!$J$130*12)))))</f>
        <v>0</v>
      </c>
      <c r="X474" s="101">
        <f>IF(X$1="",0,IF(AND(X$1=0,$H474&lt;MONTH($J$13)),0,IF(((YEAR(X$8)-1)*12+$H474)-((YEAR($J$13)-1)*12+MONTH($J$13))+1&gt;капитал!$J$130*12,0,IF(капитал!$J$130=0,0,капитал!$M$109/(капитал!$J$130*12)))))</f>
        <v>0</v>
      </c>
      <c r="Y474" s="101">
        <f>IF(Y$1="",0,IF(AND(Y$1=0,$H474&lt;MONTH($J$13)),0,IF(((YEAR(Y$8)-1)*12+$H474)-((YEAR($J$13)-1)*12+MONTH($J$13))+1&gt;капитал!$J$130*12,0,IF(капитал!$J$130=0,0,капитал!$M$109/(капитал!$J$130*12)))))</f>
        <v>0</v>
      </c>
      <c r="Z474" s="101">
        <f>IF(Z$1="",0,IF(AND(Z$1=0,$H474&lt;MONTH($J$13)),0,IF(((YEAR(Z$8)-1)*12+$H474)-((YEAR($J$13)-1)*12+MONTH($J$13))+1&gt;капитал!$J$130*12,0,IF(капитал!$J$130=0,0,капитал!$M$109/(капитал!$J$130*12)))))</f>
        <v>0</v>
      </c>
      <c r="AA474" s="101">
        <f>IF(AA$1="",0,IF(AND(AA$1=0,$H474&lt;MONTH($J$13)),0,IF(((YEAR(AA$8)-1)*12+$H474)-((YEAR($J$13)-1)*12+MONTH($J$13))+1&gt;капитал!$J$130*12,0,IF(капитал!$J$130=0,0,капитал!$M$109/(капитал!$J$130*12)))))</f>
        <v>0</v>
      </c>
      <c r="AB474" s="22"/>
    </row>
    <row r="475" spans="1:28" s="23" customFormat="1" ht="10.199999999999999" x14ac:dyDescent="0.2">
      <c r="A475" s="22"/>
      <c r="B475" s="22"/>
      <c r="C475" s="22"/>
      <c r="D475" s="22"/>
      <c r="E475" s="22" t="str">
        <f>E464</f>
        <v>амортизация прокатного инвентаря</v>
      </c>
      <c r="F475" s="22"/>
      <c r="G475" s="22" t="str">
        <f>IF($E475="","",INDEX(KPI!$G:$G,SUMIFS(KPI!$B:$B,KPI!$E:$E,$E475)))</f>
        <v>тыс.руб.</v>
      </c>
      <c r="H475" s="100">
        <f>структура!$V$22</f>
        <v>11</v>
      </c>
      <c r="I475" s="31"/>
      <c r="J475" s="98" t="str">
        <f>структура!$X$22</f>
        <v>ноя</v>
      </c>
      <c r="K475" s="99"/>
      <c r="L475" s="22"/>
      <c r="M475" s="58"/>
      <c r="N475" s="22"/>
      <c r="O475" s="22"/>
      <c r="P475" s="101">
        <f>IF(P$1="",0,IF(AND(P$1=0,$H475&lt;MONTH($J$13)),0,IF(((YEAR(P$8)-1)*12+$H475)-((YEAR($J$13)-1)*12+MONTH($J$13))+1&gt;капитал!$J$130*12,0,IF(капитал!$J$130=0,0,капитал!$M$109/(капитал!$J$130*12)))))</f>
        <v>14.666666666666666</v>
      </c>
      <c r="Q475" s="101">
        <f>IF(Q$1="",0,IF(AND(Q$1=0,$H475&lt;MONTH($J$13)),0,IF(((YEAR(Q$8)-1)*12+$H475)-((YEAR($J$13)-1)*12+MONTH($J$13))+1&gt;капитал!$J$130*12,0,IF(капитал!$J$130=0,0,капитал!$M$109/(капитал!$J$130*12)))))</f>
        <v>14.666666666666666</v>
      </c>
      <c r="R475" s="101">
        <f>IF(R$1="",0,IF(AND(R$1=0,$H475&lt;MONTH($J$13)),0,IF(((YEAR(R$8)-1)*12+$H475)-((YEAR($J$13)-1)*12+MONTH($J$13))+1&gt;капитал!$J$130*12,0,IF(капитал!$J$130=0,0,капитал!$M$109/(капитал!$J$130*12)))))</f>
        <v>14.666666666666666</v>
      </c>
      <c r="S475" s="101">
        <f>IF(S$1="",0,IF(AND(S$1=0,$H475&lt;MONTH($J$13)),0,IF(((YEAR(S$8)-1)*12+$H475)-((YEAR($J$13)-1)*12+MONTH($J$13))+1&gt;капитал!$J$130*12,0,IF(капитал!$J$130=0,0,капитал!$M$109/(капитал!$J$130*12)))))</f>
        <v>14.666666666666666</v>
      </c>
      <c r="T475" s="101">
        <f>IF(T$1="",0,IF(AND(T$1=0,$H475&lt;MONTH($J$13)),0,IF(((YEAR(T$8)-1)*12+$H475)-((YEAR($J$13)-1)*12+MONTH($J$13))+1&gt;капитал!$J$130*12,0,IF(капитал!$J$130=0,0,капитал!$M$109/(капитал!$J$130*12)))))</f>
        <v>14.666666666666666</v>
      </c>
      <c r="U475" s="101">
        <f>IF(U$1="",0,IF(AND(U$1=0,$H475&lt;MONTH($J$13)),0,IF(((YEAR(U$8)-1)*12+$H475)-((YEAR($J$13)-1)*12+MONTH($J$13))+1&gt;капитал!$J$130*12,0,IF(капитал!$J$130=0,0,капитал!$M$109/(капитал!$J$130*12)))))</f>
        <v>0</v>
      </c>
      <c r="V475" s="101">
        <f>IF(V$1="",0,IF(AND(V$1=0,$H475&lt;MONTH($J$13)),0,IF(((YEAR(V$8)-1)*12+$H475)-((YEAR($J$13)-1)*12+MONTH($J$13))+1&gt;капитал!$J$130*12,0,IF(капитал!$J$130=0,0,капитал!$M$109/(капитал!$J$130*12)))))</f>
        <v>0</v>
      </c>
      <c r="W475" s="101">
        <f>IF(W$1="",0,IF(AND(W$1=0,$H475&lt;MONTH($J$13)),0,IF(((YEAR(W$8)-1)*12+$H475)-((YEAR($J$13)-1)*12+MONTH($J$13))+1&gt;капитал!$J$130*12,0,IF(капитал!$J$130=0,0,капитал!$M$109/(капитал!$J$130*12)))))</f>
        <v>0</v>
      </c>
      <c r="X475" s="101">
        <f>IF(X$1="",0,IF(AND(X$1=0,$H475&lt;MONTH($J$13)),0,IF(((YEAR(X$8)-1)*12+$H475)-((YEAR($J$13)-1)*12+MONTH($J$13))+1&gt;капитал!$J$130*12,0,IF(капитал!$J$130=0,0,капитал!$M$109/(капитал!$J$130*12)))))</f>
        <v>0</v>
      </c>
      <c r="Y475" s="101">
        <f>IF(Y$1="",0,IF(AND(Y$1=0,$H475&lt;MONTH($J$13)),0,IF(((YEAR(Y$8)-1)*12+$H475)-((YEAR($J$13)-1)*12+MONTH($J$13))+1&gt;капитал!$J$130*12,0,IF(капитал!$J$130=0,0,капитал!$M$109/(капитал!$J$130*12)))))</f>
        <v>0</v>
      </c>
      <c r="Z475" s="101">
        <f>IF(Z$1="",0,IF(AND(Z$1=0,$H475&lt;MONTH($J$13)),0,IF(((YEAR(Z$8)-1)*12+$H475)-((YEAR($J$13)-1)*12+MONTH($J$13))+1&gt;капитал!$J$130*12,0,IF(капитал!$J$130=0,0,капитал!$M$109/(капитал!$J$130*12)))))</f>
        <v>0</v>
      </c>
      <c r="AA475" s="101">
        <f>IF(AA$1="",0,IF(AND(AA$1=0,$H475&lt;MONTH($J$13)),0,IF(((YEAR(AA$8)-1)*12+$H475)-((YEAR($J$13)-1)*12+MONTH($J$13))+1&gt;капитал!$J$130*12,0,IF(капитал!$J$130=0,0,капитал!$M$109/(капитал!$J$130*12)))))</f>
        <v>0</v>
      </c>
      <c r="AB475" s="22"/>
    </row>
    <row r="476" spans="1:28" s="23" customFormat="1" ht="10.199999999999999" x14ac:dyDescent="0.2">
      <c r="A476" s="22"/>
      <c r="B476" s="22"/>
      <c r="C476" s="22"/>
      <c r="D476" s="22"/>
      <c r="E476" s="22" t="str">
        <f>E464</f>
        <v>амортизация прокатного инвентаря</v>
      </c>
      <c r="F476" s="22"/>
      <c r="G476" s="22" t="str">
        <f>IF($E476="","",INDEX(KPI!$G:$G,SUMIFS(KPI!$B:$B,KPI!$E:$E,$E476)))</f>
        <v>тыс.руб.</v>
      </c>
      <c r="H476" s="100">
        <f>структура!$V$23</f>
        <v>12</v>
      </c>
      <c r="I476" s="31"/>
      <c r="J476" s="98" t="str">
        <f>структура!$X$23</f>
        <v>дек</v>
      </c>
      <c r="K476" s="99"/>
      <c r="L476" s="22"/>
      <c r="M476" s="58"/>
      <c r="N476" s="22"/>
      <c r="O476" s="22"/>
      <c r="P476" s="101">
        <f>IF(P$1="",0,IF(AND(P$1=0,$H476&lt;MONTH($J$13)),0,IF(((YEAR(P$8)-1)*12+$H476)-((YEAR($J$13)-1)*12+MONTH($J$13))+1&gt;капитал!$J$130*12,0,IF(капитал!$J$130=0,0,капитал!$M$109/(капитал!$J$130*12)))))</f>
        <v>14.666666666666666</v>
      </c>
      <c r="Q476" s="101">
        <f>IF(Q$1="",0,IF(AND(Q$1=0,$H476&lt;MONTH($J$13)),0,IF(((YEAR(Q$8)-1)*12+$H476)-((YEAR($J$13)-1)*12+MONTH($J$13))+1&gt;капитал!$J$130*12,0,IF(капитал!$J$130=0,0,капитал!$M$109/(капитал!$J$130*12)))))</f>
        <v>14.666666666666666</v>
      </c>
      <c r="R476" s="101">
        <f>IF(R$1="",0,IF(AND(R$1=0,$H476&lt;MONTH($J$13)),0,IF(((YEAR(R$8)-1)*12+$H476)-((YEAR($J$13)-1)*12+MONTH($J$13))+1&gt;капитал!$J$130*12,0,IF(капитал!$J$130=0,0,капитал!$M$109/(капитал!$J$130*12)))))</f>
        <v>14.666666666666666</v>
      </c>
      <c r="S476" s="101">
        <f>IF(S$1="",0,IF(AND(S$1=0,$H476&lt;MONTH($J$13)),0,IF(((YEAR(S$8)-1)*12+$H476)-((YEAR($J$13)-1)*12+MONTH($J$13))+1&gt;капитал!$J$130*12,0,IF(капитал!$J$130=0,0,капитал!$M$109/(капитал!$J$130*12)))))</f>
        <v>14.666666666666666</v>
      </c>
      <c r="T476" s="101">
        <f>IF(T$1="",0,IF(AND(T$1=0,$H476&lt;MONTH($J$13)),0,IF(((YEAR(T$8)-1)*12+$H476)-((YEAR($J$13)-1)*12+MONTH($J$13))+1&gt;капитал!$J$130*12,0,IF(капитал!$J$130=0,0,капитал!$M$109/(капитал!$J$130*12)))))</f>
        <v>14.666666666666666</v>
      </c>
      <c r="U476" s="101">
        <f>IF(U$1="",0,IF(AND(U$1=0,$H476&lt;MONTH($J$13)),0,IF(((YEAR(U$8)-1)*12+$H476)-((YEAR($J$13)-1)*12+MONTH($J$13))+1&gt;капитал!$J$130*12,0,IF(капитал!$J$130=0,0,капитал!$M$109/(капитал!$J$130*12)))))</f>
        <v>0</v>
      </c>
      <c r="V476" s="101">
        <f>IF(V$1="",0,IF(AND(V$1=0,$H476&lt;MONTH($J$13)),0,IF(((YEAR(V$8)-1)*12+$H476)-((YEAR($J$13)-1)*12+MONTH($J$13))+1&gt;капитал!$J$130*12,0,IF(капитал!$J$130=0,0,капитал!$M$109/(капитал!$J$130*12)))))</f>
        <v>0</v>
      </c>
      <c r="W476" s="101">
        <f>IF(W$1="",0,IF(AND(W$1=0,$H476&lt;MONTH($J$13)),0,IF(((YEAR(W$8)-1)*12+$H476)-((YEAR($J$13)-1)*12+MONTH($J$13))+1&gt;капитал!$J$130*12,0,IF(капитал!$J$130=0,0,капитал!$M$109/(капитал!$J$130*12)))))</f>
        <v>0</v>
      </c>
      <c r="X476" s="101">
        <f>IF(X$1="",0,IF(AND(X$1=0,$H476&lt;MONTH($J$13)),0,IF(((YEAR(X$8)-1)*12+$H476)-((YEAR($J$13)-1)*12+MONTH($J$13))+1&gt;капитал!$J$130*12,0,IF(капитал!$J$130=0,0,капитал!$M$109/(капитал!$J$130*12)))))</f>
        <v>0</v>
      </c>
      <c r="Y476" s="101">
        <f>IF(Y$1="",0,IF(AND(Y$1=0,$H476&lt;MONTH($J$13)),0,IF(((YEAR(Y$8)-1)*12+$H476)-((YEAR($J$13)-1)*12+MONTH($J$13))+1&gt;капитал!$J$130*12,0,IF(капитал!$J$130=0,0,капитал!$M$109/(капитал!$J$130*12)))))</f>
        <v>0</v>
      </c>
      <c r="Z476" s="101">
        <f>IF(Z$1="",0,IF(AND(Z$1=0,$H476&lt;MONTH($J$13)),0,IF(((YEAR(Z$8)-1)*12+$H476)-((YEAR($J$13)-1)*12+MONTH($J$13))+1&gt;капитал!$J$130*12,0,IF(капитал!$J$130=0,0,капитал!$M$109/(капитал!$J$130*12)))))</f>
        <v>0</v>
      </c>
      <c r="AA476" s="101">
        <f>IF(AA$1="",0,IF(AND(AA$1=0,$H476&lt;MONTH($J$13)),0,IF(((YEAR(AA$8)-1)*12+$H476)-((YEAR($J$13)-1)*12+MONTH($J$13))+1&gt;капитал!$J$130*12,0,IF(капитал!$J$130=0,0,капитал!$M$109/(капитал!$J$130*12)))))</f>
        <v>0</v>
      </c>
      <c r="AB476" s="22"/>
    </row>
    <row r="477" spans="1:28" ht="3.9" customHeight="1" x14ac:dyDescent="0.25">
      <c r="A477" s="2"/>
      <c r="B477" s="2"/>
      <c r="C477" s="2"/>
      <c r="D477" s="143"/>
      <c r="E477" s="143"/>
      <c r="F477" s="2"/>
      <c r="G477" s="143"/>
      <c r="H477" s="2"/>
      <c r="I477" s="28"/>
      <c r="J477" s="143"/>
      <c r="K477" s="28"/>
      <c r="L477" s="2"/>
      <c r="M477" s="52"/>
      <c r="N477" s="2"/>
      <c r="O477" s="2"/>
      <c r="P477" s="36"/>
      <c r="Q477" s="36"/>
      <c r="R477" s="36"/>
      <c r="S477" s="36"/>
      <c r="T477" s="36"/>
      <c r="U477" s="36"/>
      <c r="V477" s="36"/>
      <c r="W477" s="36"/>
      <c r="X477" s="36"/>
      <c r="Y477" s="36"/>
      <c r="Z477" s="36"/>
      <c r="AA477" s="36"/>
      <c r="AB477" s="2"/>
    </row>
    <row r="478" spans="1:28" x14ac:dyDescent="0.25">
      <c r="A478" s="2"/>
      <c r="B478" s="2"/>
      <c r="C478" s="2"/>
      <c r="D478" s="2"/>
      <c r="E478" s="2"/>
      <c r="F478" s="2"/>
      <c r="G478" s="2"/>
      <c r="H478" s="2"/>
      <c r="I478" s="28"/>
      <c r="J478" s="2"/>
      <c r="K478" s="28"/>
      <c r="L478" s="2"/>
      <c r="M478" s="52"/>
      <c r="N478" s="2"/>
      <c r="O478" s="2"/>
      <c r="P478" s="36"/>
      <c r="Q478" s="36"/>
      <c r="R478" s="36"/>
      <c r="S478" s="36"/>
      <c r="T478" s="36"/>
      <c r="U478" s="36"/>
      <c r="V478" s="36"/>
      <c r="W478" s="36"/>
      <c r="X478" s="36"/>
      <c r="Y478" s="36"/>
      <c r="Z478" s="36"/>
      <c r="AA478" s="36"/>
      <c r="AB478" s="2"/>
    </row>
    <row r="479" spans="1:28" x14ac:dyDescent="0.25">
      <c r="A479" s="2"/>
      <c r="B479" s="2"/>
      <c r="C479" s="2"/>
      <c r="D479" s="2"/>
      <c r="E479" s="2"/>
      <c r="F479" s="2"/>
      <c r="G479" s="2"/>
      <c r="H479" s="2"/>
      <c r="I479" s="28"/>
      <c r="J479" s="2"/>
      <c r="K479" s="28"/>
      <c r="L479" s="2"/>
      <c r="M479" s="52"/>
      <c r="N479" s="2"/>
      <c r="O479" s="2"/>
      <c r="P479" s="36"/>
      <c r="Q479" s="36"/>
      <c r="R479" s="36"/>
      <c r="S479" s="36"/>
      <c r="T479" s="36"/>
      <c r="U479" s="36"/>
      <c r="V479" s="36"/>
      <c r="W479" s="36"/>
      <c r="X479" s="36"/>
      <c r="Y479" s="36"/>
      <c r="Z479" s="36"/>
      <c r="AA479" s="36"/>
      <c r="AB479" s="2"/>
    </row>
    <row r="480" spans="1:28" x14ac:dyDescent="0.25">
      <c r="A480" s="2"/>
      <c r="B480" s="2"/>
      <c r="C480" s="2"/>
      <c r="D480" s="2"/>
      <c r="E480" s="2"/>
      <c r="F480" s="2"/>
      <c r="G480" s="2"/>
      <c r="H480" s="2"/>
      <c r="I480" s="28"/>
      <c r="J480" s="2"/>
      <c r="K480" s="28"/>
      <c r="L480" s="2"/>
      <c r="M480" s="52"/>
      <c r="N480" s="2"/>
      <c r="O480" s="2"/>
      <c r="P480" s="36"/>
      <c r="Q480" s="36"/>
      <c r="R480" s="36"/>
      <c r="S480" s="36"/>
      <c r="T480" s="36"/>
      <c r="U480" s="36"/>
      <c r="V480" s="36"/>
      <c r="W480" s="36"/>
      <c r="X480" s="36"/>
      <c r="Y480" s="36"/>
      <c r="Z480" s="36"/>
      <c r="AA480" s="36"/>
      <c r="AB480" s="2"/>
    </row>
    <row r="481" spans="1:28" x14ac:dyDescent="0.25">
      <c r="A481" s="2"/>
      <c r="B481" s="2"/>
      <c r="C481" s="2"/>
      <c r="D481" s="2"/>
      <c r="E481" s="2"/>
      <c r="F481" s="2"/>
      <c r="G481" s="2"/>
      <c r="H481" s="2"/>
      <c r="I481" s="28"/>
      <c r="J481" s="2"/>
      <c r="K481" s="28"/>
      <c r="L481" s="2"/>
      <c r="M481" s="52"/>
      <c r="N481" s="2"/>
      <c r="O481" s="2"/>
      <c r="P481" s="36"/>
      <c r="Q481" s="36"/>
      <c r="R481" s="36"/>
      <c r="S481" s="36"/>
      <c r="T481" s="36"/>
      <c r="U481" s="36"/>
      <c r="V481" s="36"/>
      <c r="W481" s="36"/>
      <c r="X481" s="36"/>
      <c r="Y481" s="36"/>
      <c r="Z481" s="36"/>
      <c r="AA481" s="36"/>
      <c r="AB481" s="2"/>
    </row>
    <row r="482" spans="1:28" x14ac:dyDescent="0.25">
      <c r="A482" s="2"/>
      <c r="B482" s="2"/>
      <c r="C482" s="2"/>
      <c r="D482" s="2"/>
      <c r="E482" s="2"/>
      <c r="F482" s="2"/>
      <c r="G482" s="2"/>
      <c r="H482" s="2"/>
      <c r="I482" s="28"/>
      <c r="J482" s="2"/>
      <c r="K482" s="28"/>
      <c r="L482" s="2"/>
      <c r="M482" s="52"/>
      <c r="N482" s="2"/>
      <c r="O482" s="2"/>
      <c r="P482" s="36"/>
      <c r="Q482" s="36"/>
      <c r="R482" s="36"/>
      <c r="S482" s="36"/>
      <c r="T482" s="36"/>
      <c r="U482" s="36"/>
      <c r="V482" s="36"/>
      <c r="W482" s="36"/>
      <c r="X482" s="36"/>
      <c r="Y482" s="36"/>
      <c r="Z482" s="36"/>
      <c r="AA482" s="36"/>
      <c r="AB482" s="2"/>
    </row>
    <row r="483" spans="1:28" x14ac:dyDescent="0.25">
      <c r="A483" s="2"/>
      <c r="B483" s="2"/>
      <c r="C483" s="2"/>
      <c r="D483" s="2"/>
      <c r="E483" s="2"/>
      <c r="F483" s="2"/>
      <c r="G483" s="2"/>
      <c r="H483" s="2"/>
      <c r="I483" s="28"/>
      <c r="J483" s="2"/>
      <c r="K483" s="28"/>
      <c r="L483" s="2"/>
      <c r="M483" s="52"/>
      <c r="N483" s="2"/>
      <c r="O483" s="2"/>
      <c r="P483" s="36"/>
      <c r="Q483" s="36"/>
      <c r="R483" s="36"/>
      <c r="S483" s="36"/>
      <c r="T483" s="36"/>
      <c r="U483" s="36"/>
      <c r="V483" s="36"/>
      <c r="W483" s="36"/>
      <c r="X483" s="36"/>
      <c r="Y483" s="36"/>
      <c r="Z483" s="36"/>
      <c r="AA483" s="36"/>
      <c r="AB483" s="2"/>
    </row>
    <row r="484" spans="1:28" x14ac:dyDescent="0.25">
      <c r="P484" s="57"/>
      <c r="Q484" s="57"/>
      <c r="R484" s="57"/>
      <c r="S484" s="57"/>
      <c r="T484" s="57"/>
      <c r="U484" s="57"/>
      <c r="V484" s="57"/>
      <c r="W484" s="57"/>
      <c r="X484" s="57"/>
      <c r="Y484" s="57"/>
      <c r="Z484" s="57"/>
      <c r="AA484" s="57"/>
    </row>
    <row r="485" spans="1:28" x14ac:dyDescent="0.25">
      <c r="P485" s="57"/>
      <c r="Q485" s="57"/>
      <c r="R485" s="57"/>
      <c r="S485" s="57"/>
      <c r="T485" s="57"/>
      <c r="U485" s="57"/>
      <c r="V485" s="57"/>
      <c r="W485" s="57"/>
      <c r="X485" s="57"/>
      <c r="Y485" s="57"/>
      <c r="Z485" s="57"/>
      <c r="AA485" s="57"/>
    </row>
    <row r="486" spans="1:28" x14ac:dyDescent="0.25">
      <c r="P486" s="57"/>
      <c r="Q486" s="57"/>
      <c r="R486" s="57"/>
      <c r="S486" s="57"/>
      <c r="T486" s="57"/>
      <c r="U486" s="57"/>
      <c r="V486" s="57"/>
      <c r="W486" s="57"/>
      <c r="X486" s="57"/>
      <c r="Y486" s="57"/>
      <c r="Z486" s="57"/>
      <c r="AA486" s="57"/>
    </row>
    <row r="487" spans="1:28" x14ac:dyDescent="0.25">
      <c r="P487" s="57"/>
      <c r="Q487" s="57"/>
      <c r="R487" s="57"/>
      <c r="S487" s="57"/>
      <c r="T487" s="57"/>
      <c r="U487" s="57"/>
      <c r="V487" s="57"/>
      <c r="W487" s="57"/>
      <c r="X487" s="57"/>
      <c r="Y487" s="57"/>
      <c r="Z487" s="57"/>
      <c r="AA487" s="57"/>
    </row>
    <row r="488" spans="1:28" x14ac:dyDescent="0.25">
      <c r="P488" s="57"/>
      <c r="Q488" s="57"/>
      <c r="R488" s="57"/>
      <c r="S488" s="57"/>
      <c r="T488" s="57"/>
      <c r="U488" s="57"/>
      <c r="V488" s="57"/>
      <c r="W488" s="57"/>
      <c r="X488" s="57"/>
      <c r="Y488" s="57"/>
      <c r="Z488" s="57"/>
      <c r="AA488" s="57"/>
    </row>
    <row r="489" spans="1:28" x14ac:dyDescent="0.25">
      <c r="P489" s="57"/>
      <c r="Q489" s="57"/>
      <c r="R489" s="57"/>
      <c r="S489" s="57"/>
      <c r="T489" s="57"/>
      <c r="U489" s="57"/>
      <c r="V489" s="57"/>
      <c r="W489" s="57"/>
      <c r="X489" s="57"/>
      <c r="Y489" s="57"/>
      <c r="Z489" s="57"/>
      <c r="AA489" s="57"/>
    </row>
    <row r="490" spans="1:28" x14ac:dyDescent="0.25">
      <c r="P490" s="57"/>
      <c r="Q490" s="57"/>
      <c r="R490" s="57"/>
      <c r="S490" s="57"/>
      <c r="T490" s="57"/>
      <c r="U490" s="57"/>
      <c r="V490" s="57"/>
      <c r="W490" s="57"/>
      <c r="X490" s="57"/>
      <c r="Y490" s="57"/>
      <c r="Z490" s="57"/>
      <c r="AA490" s="57"/>
    </row>
    <row r="491" spans="1:28" x14ac:dyDescent="0.25">
      <c r="P491" s="57"/>
      <c r="Q491" s="57"/>
      <c r="R491" s="57"/>
      <c r="S491" s="57"/>
      <c r="T491" s="57"/>
      <c r="U491" s="57"/>
      <c r="V491" s="57"/>
      <c r="W491" s="57"/>
      <c r="X491" s="57"/>
      <c r="Y491" s="57"/>
      <c r="Z491" s="57"/>
      <c r="AA491" s="57"/>
    </row>
    <row r="492" spans="1:28" x14ac:dyDescent="0.25">
      <c r="P492" s="57"/>
      <c r="Q492" s="57"/>
      <c r="R492" s="57"/>
      <c r="S492" s="57"/>
      <c r="T492" s="57"/>
      <c r="U492" s="57"/>
      <c r="V492" s="57"/>
      <c r="W492" s="57"/>
      <c r="X492" s="57"/>
      <c r="Y492" s="57"/>
      <c r="Z492" s="57"/>
      <c r="AA492" s="57"/>
    </row>
    <row r="493" spans="1:28" x14ac:dyDescent="0.25">
      <c r="P493" s="57"/>
      <c r="Q493" s="57"/>
      <c r="R493" s="57"/>
      <c r="S493" s="57"/>
      <c r="T493" s="57"/>
      <c r="U493" s="57"/>
      <c r="V493" s="57"/>
      <c r="W493" s="57"/>
      <c r="X493" s="57"/>
      <c r="Y493" s="57"/>
      <c r="Z493" s="57"/>
      <c r="AA493" s="57"/>
    </row>
  </sheetData>
  <conditionalFormatting sqref="J37:J38">
    <cfRule type="containsBlanks" dxfId="10964" priority="227">
      <formula>LEN(TRIM(J37))=0</formula>
    </cfRule>
  </conditionalFormatting>
  <conditionalFormatting sqref="J36">
    <cfRule type="containsBlanks" dxfId="10963" priority="228">
      <formula>LEN(TRIM(J36))=0</formula>
    </cfRule>
  </conditionalFormatting>
  <conditionalFormatting sqref="A16:H16 L16:XFD16 A2:XFD2 AB229:XFD229 A229:N229 A230:XFD245 A349:XFD349 A423:XFD423 A418:XFD420 A447:XFD447 A478:XFD1048576 A7:XFD15 A3:B6 F3:XFD6 E1:XFD1 A17:XFD228">
    <cfRule type="cellIs" dxfId="10962" priority="218" operator="equal">
      <formula>0</formula>
    </cfRule>
  </conditionalFormatting>
  <conditionalFormatting sqref="P41:AA71">
    <cfRule type="expression" dxfId="10961" priority="209">
      <formula>P$1=""</formula>
    </cfRule>
  </conditionalFormatting>
  <conditionalFormatting sqref="I16:K16">
    <cfRule type="cellIs" dxfId="10960" priority="203" operator="equal">
      <formula>0</formula>
    </cfRule>
  </conditionalFormatting>
  <conditionalFormatting sqref="J16">
    <cfRule type="containsBlanks" dxfId="10959" priority="204">
      <formula>LEN(TRIM(J16))=0</formula>
    </cfRule>
  </conditionalFormatting>
  <conditionalFormatting sqref="P20:P31 P44:P55 P59:P70 P233:P244 P251:P262 P266:P277 P301:P312 P316:P327 P354:P365 P387:P398 P369:P380 P405:P416 P336:AA347">
    <cfRule type="expression" dxfId="10958" priority="202">
      <formula>AND($P$1=0,$H20&lt;MONTH($J$13))</formula>
    </cfRule>
  </conditionalFormatting>
  <conditionalFormatting sqref="Q20:AA31">
    <cfRule type="expression" dxfId="10957" priority="201">
      <formula>Q$1=""</formula>
    </cfRule>
  </conditionalFormatting>
  <conditionalFormatting sqref="Q44:AA55">
    <cfRule type="expression" dxfId="10956" priority="199">
      <formula>Q$1=""</formula>
    </cfRule>
  </conditionalFormatting>
  <conditionalFormatting sqref="Q59:AA70">
    <cfRule type="expression" dxfId="10955" priority="197">
      <formula>Q$1=""</formula>
    </cfRule>
  </conditionalFormatting>
  <conditionalFormatting sqref="J76:J77">
    <cfRule type="containsBlanks" dxfId="10954" priority="195">
      <formula>LEN(TRIM(J76))=0</formula>
    </cfRule>
  </conditionalFormatting>
  <conditionalFormatting sqref="J75">
    <cfRule type="containsBlanks" dxfId="10953" priority="196">
      <formula>LEN(TRIM(J75))=0</formula>
    </cfRule>
  </conditionalFormatting>
  <conditionalFormatting sqref="P87:AA151">
    <cfRule type="expression" dxfId="10952" priority="192">
      <formula>P$1=""</formula>
    </cfRule>
  </conditionalFormatting>
  <conditionalFormatting sqref="P88:AA151">
    <cfRule type="expression" dxfId="10951" priority="191">
      <formula>P$1=""</formula>
    </cfRule>
  </conditionalFormatting>
  <conditionalFormatting sqref="P90:P101">
    <cfRule type="expression" dxfId="10950" priority="190">
      <formula>AND($P$1=0,$H90&lt;MONTH($J$13))</formula>
    </cfRule>
  </conditionalFormatting>
  <conditionalFormatting sqref="Q90:AA101">
    <cfRule type="expression" dxfId="10949" priority="189">
      <formula>Q$1=""</formula>
    </cfRule>
  </conditionalFormatting>
  <conditionalFormatting sqref="P165:AA226">
    <cfRule type="expression" dxfId="10948" priority="188">
      <formula>P$1=""</formula>
    </cfRule>
  </conditionalFormatting>
  <conditionalFormatting sqref="P165:AA226">
    <cfRule type="expression" dxfId="10947" priority="187">
      <formula>P$1=""</formula>
    </cfRule>
  </conditionalFormatting>
  <conditionalFormatting sqref="M153:M164">
    <cfRule type="containsBlanks" dxfId="10946" priority="186">
      <formula>LEN(TRIM(M153))=0</formula>
    </cfRule>
  </conditionalFormatting>
  <conditionalFormatting sqref="P168:P179">
    <cfRule type="expression" dxfId="10945" priority="185">
      <formula>AND($P$1=0,$H168&lt;MONTH($J$13))</formula>
    </cfRule>
  </conditionalFormatting>
  <conditionalFormatting sqref="Q168:AA179">
    <cfRule type="expression" dxfId="10944" priority="184">
      <formula>Q$1=""</formula>
    </cfRule>
  </conditionalFormatting>
  <conditionalFormatting sqref="P181:AA225">
    <cfRule type="expression" dxfId="10943" priority="183">
      <formula>P$1=""</formula>
    </cfRule>
  </conditionalFormatting>
  <conditionalFormatting sqref="P181:AA225">
    <cfRule type="expression" dxfId="10942" priority="182">
      <formula>P$1=""</formula>
    </cfRule>
  </conditionalFormatting>
  <conditionalFormatting sqref="P183:AA194">
    <cfRule type="expression" dxfId="10941" priority="181">
      <formula>AND($P$1=0,$H183&lt;MONTH($J$13))</formula>
    </cfRule>
  </conditionalFormatting>
  <conditionalFormatting sqref="Q183:AA194">
    <cfRule type="expression" dxfId="10940" priority="180">
      <formula>Q$1=""</formula>
    </cfRule>
  </conditionalFormatting>
  <conditionalFormatting sqref="P230:AA245 P349:AA349 P418:AA418">
    <cfRule type="expression" dxfId="10939" priority="178">
      <formula>P$1=""</formula>
    </cfRule>
  </conditionalFormatting>
  <conditionalFormatting sqref="P230:AA245 P349:AA349 P418:AA418">
    <cfRule type="expression" dxfId="10938" priority="177">
      <formula>P$1=""</formula>
    </cfRule>
  </conditionalFormatting>
  <conditionalFormatting sqref="O229:AA229">
    <cfRule type="cellIs" dxfId="10937" priority="174" operator="equal">
      <formula>0</formula>
    </cfRule>
  </conditionalFormatting>
  <conditionalFormatting sqref="P229:AA229">
    <cfRule type="containsBlanks" dxfId="10936" priority="173">
      <formula>LEN(TRIM(P229))=0</formula>
    </cfRule>
  </conditionalFormatting>
  <conditionalFormatting sqref="P229:AA229">
    <cfRule type="expression" dxfId="10935" priority="172">
      <formula>P$1=""</formula>
    </cfRule>
  </conditionalFormatting>
  <conditionalFormatting sqref="P231:AA245 P349:AA349">
    <cfRule type="expression" dxfId="10934" priority="171">
      <formula>P$1=""</formula>
    </cfRule>
  </conditionalFormatting>
  <conditionalFormatting sqref="P231:AA245 P349:AA349">
    <cfRule type="expression" dxfId="10933" priority="170">
      <formula>P$1=""</formula>
    </cfRule>
  </conditionalFormatting>
  <conditionalFormatting sqref="Q233:AA244">
    <cfRule type="expression" dxfId="10932" priority="168">
      <formula>Q$1=""</formula>
    </cfRule>
  </conditionalFormatting>
  <conditionalFormatting sqref="A247:H247 A246:XFD246 K247:N247 A248:N248 O247:XFD248 A249:XFD278">
    <cfRule type="cellIs" dxfId="10931" priority="167" operator="equal">
      <formula>0</formula>
    </cfRule>
  </conditionalFormatting>
  <conditionalFormatting sqref="Q251:AA262">
    <cfRule type="expression" dxfId="10930" priority="158">
      <formula>Q$1=""</formula>
    </cfRule>
  </conditionalFormatting>
  <conditionalFormatting sqref="I247:J247">
    <cfRule type="cellIs" dxfId="10929" priority="157" operator="equal">
      <formula>0</formula>
    </cfRule>
  </conditionalFormatting>
  <conditionalFormatting sqref="J247">
    <cfRule type="containsBlanks" dxfId="10928" priority="156">
      <formula>LEN(TRIM(J247))=0</formula>
    </cfRule>
  </conditionalFormatting>
  <conditionalFormatting sqref="Q266:AA277">
    <cfRule type="expression" dxfId="10927" priority="154">
      <formula>Q$1=""</formula>
    </cfRule>
  </conditionalFormatting>
  <conditionalFormatting sqref="A280:H280 A279:XFD279 K280:XFD280 A283:XFD283 A299:XFD314 A316:XFD328 A315:G315 I315:XFD315">
    <cfRule type="cellIs" dxfId="10926" priority="153" operator="equal">
      <formula>0</formula>
    </cfRule>
  </conditionalFormatting>
  <conditionalFormatting sqref="Q301:AA312">
    <cfRule type="expression" dxfId="10925" priority="151">
      <formula>Q$1=""</formula>
    </cfRule>
  </conditionalFormatting>
  <conditionalFormatting sqref="I280:J280">
    <cfRule type="cellIs" dxfId="10924" priority="150" operator="equal">
      <formula>0</formula>
    </cfRule>
  </conditionalFormatting>
  <conditionalFormatting sqref="J280">
    <cfRule type="containsBlanks" dxfId="10923" priority="149">
      <formula>LEN(TRIM(J280))=0</formula>
    </cfRule>
  </conditionalFormatting>
  <conditionalFormatting sqref="Q316:AA327">
    <cfRule type="expression" dxfId="10922" priority="147">
      <formula>Q$1=""</formula>
    </cfRule>
  </conditionalFormatting>
  <conditionalFormatting sqref="A281:H281 K281:XFD281">
    <cfRule type="cellIs" dxfId="10921" priority="146" operator="equal">
      <formula>0</formula>
    </cfRule>
  </conditionalFormatting>
  <conditionalFormatting sqref="I281:J281">
    <cfRule type="cellIs" dxfId="10920" priority="145" operator="equal">
      <formula>0</formula>
    </cfRule>
  </conditionalFormatting>
  <conditionalFormatting sqref="J281">
    <cfRule type="containsBlanks" dxfId="10919" priority="144">
      <formula>LEN(TRIM(J281))=0</formula>
    </cfRule>
  </conditionalFormatting>
  <conditionalFormatting sqref="A282:H282 K282:XFD282">
    <cfRule type="cellIs" dxfId="10918" priority="143" operator="equal">
      <formula>0</formula>
    </cfRule>
  </conditionalFormatting>
  <conditionalFormatting sqref="I282:J282">
    <cfRule type="cellIs" dxfId="10917" priority="142" operator="equal">
      <formula>0</formula>
    </cfRule>
  </conditionalFormatting>
  <conditionalFormatting sqref="A284:XFD298">
    <cfRule type="cellIs" dxfId="10916" priority="140" operator="equal">
      <formula>0</formula>
    </cfRule>
  </conditionalFormatting>
  <conditionalFormatting sqref="P284:AA284">
    <cfRule type="expression" dxfId="10915" priority="139">
      <formula>P$1=""</formula>
    </cfRule>
  </conditionalFormatting>
  <conditionalFormatting sqref="P284:AA284">
    <cfRule type="expression" dxfId="10914" priority="138">
      <formula>P$1=""</formula>
    </cfRule>
  </conditionalFormatting>
  <conditionalFormatting sqref="P298:AA298">
    <cfRule type="expression" dxfId="10913" priority="137">
      <formula>P$1=""</formula>
    </cfRule>
  </conditionalFormatting>
  <conditionalFormatting sqref="P298:AA298">
    <cfRule type="expression" dxfId="10912" priority="136">
      <formula>P$1=""</formula>
    </cfRule>
  </conditionalFormatting>
  <conditionalFormatting sqref="M286:M297">
    <cfRule type="containsBlanks" dxfId="10911" priority="135">
      <formula>LEN(TRIM(M286))=0</formula>
    </cfRule>
  </conditionalFormatting>
  <conditionalFormatting sqref="A330:H330 A329:XFD329 K330:O330 A334:XFD348 A333:H333 K333:XFD333 I330:J333 AB330:XFD330">
    <cfRule type="cellIs" dxfId="10910" priority="134" operator="equal">
      <formula>0</formula>
    </cfRule>
  </conditionalFormatting>
  <conditionalFormatting sqref="Q336:AA347">
    <cfRule type="expression" dxfId="10909" priority="132">
      <formula>Q$1=""</formula>
    </cfRule>
  </conditionalFormatting>
  <conditionalFormatting sqref="A331:H331 K331:O331 AB331:XFD331">
    <cfRule type="cellIs" dxfId="10908" priority="127" operator="equal">
      <formula>0</formula>
    </cfRule>
  </conditionalFormatting>
  <conditionalFormatting sqref="A332:H332 K332:O332 AB332:XFD332">
    <cfRule type="cellIs" dxfId="10907" priority="124" operator="equal">
      <formula>0</formula>
    </cfRule>
  </conditionalFormatting>
  <conditionalFormatting sqref="A351:XFD367 A381:XFD381 A368:G368 I368:XFD368 A369:O380 AB369:XFD380">
    <cfRule type="cellIs" dxfId="10906" priority="114" operator="equal">
      <formula>0</formula>
    </cfRule>
  </conditionalFormatting>
  <conditionalFormatting sqref="Q354:AA365">
    <cfRule type="expression" dxfId="10905" priority="113">
      <formula>Q$1=""</formula>
    </cfRule>
  </conditionalFormatting>
  <conditionalFormatting sqref="A350:H350 K350:XFD350">
    <cfRule type="cellIs" dxfId="10904" priority="112" operator="equal">
      <formula>0</formula>
    </cfRule>
  </conditionalFormatting>
  <conditionalFormatting sqref="I350:J350">
    <cfRule type="cellIs" dxfId="10903" priority="111" operator="equal">
      <formula>0</formula>
    </cfRule>
  </conditionalFormatting>
  <conditionalFormatting sqref="J350">
    <cfRule type="containsBlanks" dxfId="10902" priority="110">
      <formula>LEN(TRIM(J350))=0</formula>
    </cfRule>
  </conditionalFormatting>
  <conditionalFormatting sqref="Q387:AA398">
    <cfRule type="expression" dxfId="10901" priority="100">
      <formula>Q$1=""</formula>
    </cfRule>
  </conditionalFormatting>
  <conditionalFormatting sqref="H315">
    <cfRule type="cellIs" dxfId="10900" priority="107" operator="equal">
      <formula>0</formula>
    </cfRule>
  </conditionalFormatting>
  <conditionalFormatting sqref="H368">
    <cfRule type="cellIs" dxfId="10899" priority="106" operator="equal">
      <formula>0</formula>
    </cfRule>
  </conditionalFormatting>
  <conditionalFormatting sqref="P369:AA380">
    <cfRule type="cellIs" dxfId="10898" priority="105" operator="equal">
      <formula>0</formula>
    </cfRule>
  </conditionalFormatting>
  <conditionalFormatting sqref="Q369:AA380">
    <cfRule type="expression" dxfId="10897" priority="103">
      <formula>Q$1=""</formula>
    </cfRule>
  </conditionalFormatting>
  <conditionalFormatting sqref="A383:H383 A382:XFD382 K383:N383 A384:N384 O383:XFD384 A385:XFD399">
    <cfRule type="cellIs" dxfId="10896" priority="102" operator="equal">
      <formula>0</formula>
    </cfRule>
  </conditionalFormatting>
  <conditionalFormatting sqref="Q405:AA416">
    <cfRule type="expression" dxfId="10895" priority="95">
      <formula>Q$1=""</formula>
    </cfRule>
  </conditionalFormatting>
  <conditionalFormatting sqref="I383:J383">
    <cfRule type="cellIs" dxfId="10894" priority="99" operator="equal">
      <formula>0</formula>
    </cfRule>
  </conditionalFormatting>
  <conditionalFormatting sqref="J383">
    <cfRule type="containsBlanks" dxfId="10893" priority="98">
      <formula>LEN(TRIM(J383))=0</formula>
    </cfRule>
  </conditionalFormatting>
  <conditionalFormatting sqref="A401:H401 A400:XFD400 K401:N401 A402:N402 O401:XFD402 A403:XFD417">
    <cfRule type="cellIs" dxfId="10892" priority="97" operator="equal">
      <formula>0</formula>
    </cfRule>
  </conditionalFormatting>
  <conditionalFormatting sqref="I401:J401">
    <cfRule type="cellIs" dxfId="10891" priority="94" operator="equal">
      <formula>0</formula>
    </cfRule>
  </conditionalFormatting>
  <conditionalFormatting sqref="J401">
    <cfRule type="containsBlanks" dxfId="10890" priority="93">
      <formula>LEN(TRIM(J401))=0</formula>
    </cfRule>
  </conditionalFormatting>
  <conditionalFormatting sqref="AB421:XFD421 A421:N421 A422:XFD422">
    <cfRule type="cellIs" dxfId="10889" priority="92" operator="equal">
      <formula>0</formula>
    </cfRule>
  </conditionalFormatting>
  <conditionalFormatting sqref="P422:AA422">
    <cfRule type="expression" dxfId="10888" priority="91">
      <formula>P$1=""</formula>
    </cfRule>
  </conditionalFormatting>
  <conditionalFormatting sqref="P422:AA422">
    <cfRule type="expression" dxfId="10887" priority="90">
      <formula>P$1=""</formula>
    </cfRule>
  </conditionalFormatting>
  <conditionalFormatting sqref="O421:AA421">
    <cfRule type="cellIs" dxfId="10886" priority="89" operator="equal">
      <formula>0</formula>
    </cfRule>
  </conditionalFormatting>
  <conditionalFormatting sqref="P421:AA421">
    <cfRule type="containsBlanks" dxfId="10885" priority="88">
      <formula>LEN(TRIM(P421))=0</formula>
    </cfRule>
  </conditionalFormatting>
  <conditionalFormatting sqref="P421:AA421">
    <cfRule type="expression" dxfId="10884" priority="87">
      <formula>P$1=""</formula>
    </cfRule>
  </conditionalFormatting>
  <conditionalFormatting sqref="P420:AA420">
    <cfRule type="expression" dxfId="10883" priority="86">
      <formula>P$1=""</formula>
    </cfRule>
  </conditionalFormatting>
  <conditionalFormatting sqref="P420:AA420">
    <cfRule type="expression" dxfId="10882" priority="85">
      <formula>P$1=""</formula>
    </cfRule>
  </conditionalFormatting>
  <conditionalFormatting sqref="P228:AA228">
    <cfRule type="expression" dxfId="10881" priority="84">
      <formula>P$1=""</formula>
    </cfRule>
  </conditionalFormatting>
  <conditionalFormatting sqref="P228:AA228">
    <cfRule type="expression" dxfId="10880" priority="83">
      <formula>P$1=""</formula>
    </cfRule>
  </conditionalFormatting>
  <conditionalFormatting sqref="A426:XFD426">
    <cfRule type="cellIs" dxfId="10879" priority="75" operator="equal">
      <formula>0</formula>
    </cfRule>
  </conditionalFormatting>
  <conditionalFormatting sqref="AB424:XFD424 A424:N424 A425:XFD425">
    <cfRule type="cellIs" dxfId="10878" priority="81" operator="equal">
      <formula>0</formula>
    </cfRule>
  </conditionalFormatting>
  <conditionalFormatting sqref="P425:AA425">
    <cfRule type="expression" dxfId="10877" priority="80">
      <formula>P$1=""</formula>
    </cfRule>
  </conditionalFormatting>
  <conditionalFormatting sqref="P425:AA425">
    <cfRule type="expression" dxfId="10876" priority="79">
      <formula>P$1=""</formula>
    </cfRule>
  </conditionalFormatting>
  <conditionalFormatting sqref="O424:AA424">
    <cfRule type="cellIs" dxfId="10875" priority="78" operator="equal">
      <formula>0</formula>
    </cfRule>
  </conditionalFormatting>
  <conditionalFormatting sqref="P424:AA424">
    <cfRule type="containsBlanks" dxfId="10874" priority="77">
      <formula>LEN(TRIM(P424))=0</formula>
    </cfRule>
  </conditionalFormatting>
  <conditionalFormatting sqref="P424:AA424">
    <cfRule type="expression" dxfId="10873" priority="76">
      <formula>P$1=""</formula>
    </cfRule>
  </conditionalFormatting>
  <conditionalFormatting sqref="A429:XFD429">
    <cfRule type="cellIs" dxfId="10872" priority="68" operator="equal">
      <formula>0</formula>
    </cfRule>
  </conditionalFormatting>
  <conditionalFormatting sqref="AB427:XFD427 A427:N427 A428:XFD428">
    <cfRule type="cellIs" dxfId="10871" priority="74" operator="equal">
      <formula>0</formula>
    </cfRule>
  </conditionalFormatting>
  <conditionalFormatting sqref="P428:AA428">
    <cfRule type="expression" dxfId="10870" priority="73">
      <formula>P$1=""</formula>
    </cfRule>
  </conditionalFormatting>
  <conditionalFormatting sqref="P428:AA428">
    <cfRule type="expression" dxfId="10869" priority="72">
      <formula>P$1=""</formula>
    </cfRule>
  </conditionalFormatting>
  <conditionalFormatting sqref="O427:AA427">
    <cfRule type="cellIs" dxfId="10868" priority="71" operator="equal">
      <formula>0</formula>
    </cfRule>
  </conditionalFormatting>
  <conditionalFormatting sqref="P427:AA427">
    <cfRule type="containsBlanks" dxfId="10867" priority="70">
      <formula>LEN(TRIM(P427))=0</formula>
    </cfRule>
  </conditionalFormatting>
  <conditionalFormatting sqref="P427:AA427">
    <cfRule type="expression" dxfId="10866" priority="69">
      <formula>P$1=""</formula>
    </cfRule>
  </conditionalFormatting>
  <conditionalFormatting sqref="A432:XFD432">
    <cfRule type="cellIs" dxfId="10865" priority="61" operator="equal">
      <formula>0</formula>
    </cfRule>
  </conditionalFormatting>
  <conditionalFormatting sqref="AB430:XFD430 A430:N430 A431:XFD431">
    <cfRule type="cellIs" dxfId="10864" priority="67" operator="equal">
      <formula>0</formula>
    </cfRule>
  </conditionalFormatting>
  <conditionalFormatting sqref="P431:AA431">
    <cfRule type="expression" dxfId="10863" priority="66">
      <formula>P$1=""</formula>
    </cfRule>
  </conditionalFormatting>
  <conditionalFormatting sqref="P431:AA431">
    <cfRule type="expression" dxfId="10862" priority="65">
      <formula>P$1=""</formula>
    </cfRule>
  </conditionalFormatting>
  <conditionalFormatting sqref="O430:AA430">
    <cfRule type="cellIs" dxfId="10861" priority="64" operator="equal">
      <formula>0</formula>
    </cfRule>
  </conditionalFormatting>
  <conditionalFormatting sqref="P430:AA430">
    <cfRule type="containsBlanks" dxfId="10860" priority="63">
      <formula>LEN(TRIM(P430))=0</formula>
    </cfRule>
  </conditionalFormatting>
  <conditionalFormatting sqref="P430:AA430">
    <cfRule type="expression" dxfId="10859" priority="62">
      <formula>P$1=""</formula>
    </cfRule>
  </conditionalFormatting>
  <conditionalFormatting sqref="A435:XFD435">
    <cfRule type="cellIs" dxfId="10858" priority="54" operator="equal">
      <formula>0</formula>
    </cfRule>
  </conditionalFormatting>
  <conditionalFormatting sqref="AB433:XFD433 A433:N433 A434:XFD434">
    <cfRule type="cellIs" dxfId="10857" priority="60" operator="equal">
      <formula>0</formula>
    </cfRule>
  </conditionalFormatting>
  <conditionalFormatting sqref="P434:AA434">
    <cfRule type="expression" dxfId="10856" priority="59">
      <formula>P$1=""</formula>
    </cfRule>
  </conditionalFormatting>
  <conditionalFormatting sqref="P434:AA434">
    <cfRule type="expression" dxfId="10855" priority="58">
      <formula>P$1=""</formula>
    </cfRule>
  </conditionalFormatting>
  <conditionalFormatting sqref="O433:AA433">
    <cfRule type="cellIs" dxfId="10854" priority="57" operator="equal">
      <formula>0</formula>
    </cfRule>
  </conditionalFormatting>
  <conditionalFormatting sqref="P433:AA433">
    <cfRule type="containsBlanks" dxfId="10853" priority="56">
      <formula>LEN(TRIM(P433))=0</formula>
    </cfRule>
  </conditionalFormatting>
  <conditionalFormatting sqref="P433:AA433">
    <cfRule type="expression" dxfId="10852" priority="55">
      <formula>P$1=""</formula>
    </cfRule>
  </conditionalFormatting>
  <conditionalFormatting sqref="A438:XFD438">
    <cfRule type="cellIs" dxfId="10851" priority="47" operator="equal">
      <formula>0</formula>
    </cfRule>
  </conditionalFormatting>
  <conditionalFormatting sqref="AB436:XFD436 A436:N436 A437:XFD437">
    <cfRule type="cellIs" dxfId="10850" priority="53" operator="equal">
      <formula>0</formula>
    </cfRule>
  </conditionalFormatting>
  <conditionalFormatting sqref="P437:AA437">
    <cfRule type="expression" dxfId="10849" priority="52">
      <formula>P$1=""</formula>
    </cfRule>
  </conditionalFormatting>
  <conditionalFormatting sqref="P437:AA437">
    <cfRule type="expression" dxfId="10848" priority="51">
      <formula>P$1=""</formula>
    </cfRule>
  </conditionalFormatting>
  <conditionalFormatting sqref="O436:AA436">
    <cfRule type="cellIs" dxfId="10847" priority="50" operator="equal">
      <formula>0</formula>
    </cfRule>
  </conditionalFormatting>
  <conditionalFormatting sqref="P436:AA436">
    <cfRule type="containsBlanks" dxfId="10846" priority="49">
      <formula>LEN(TRIM(P436))=0</formula>
    </cfRule>
  </conditionalFormatting>
  <conditionalFormatting sqref="P436:AA436">
    <cfRule type="expression" dxfId="10845" priority="48">
      <formula>P$1=""</formula>
    </cfRule>
  </conditionalFormatting>
  <conditionalFormatting sqref="A441:XFD441">
    <cfRule type="cellIs" dxfId="10844" priority="40" operator="equal">
      <formula>0</formula>
    </cfRule>
  </conditionalFormatting>
  <conditionalFormatting sqref="AB439:XFD439 A439:N439 A440:XFD440">
    <cfRule type="cellIs" dxfId="10843" priority="46" operator="equal">
      <formula>0</formula>
    </cfRule>
  </conditionalFormatting>
  <conditionalFormatting sqref="P440:AA440">
    <cfRule type="expression" dxfId="10842" priority="45">
      <formula>P$1=""</formula>
    </cfRule>
  </conditionalFormatting>
  <conditionalFormatting sqref="P440:AA440">
    <cfRule type="expression" dxfId="10841" priority="44">
      <formula>P$1=""</formula>
    </cfRule>
  </conditionalFormatting>
  <conditionalFormatting sqref="O439:AA439">
    <cfRule type="cellIs" dxfId="10840" priority="43" operator="equal">
      <formula>0</formula>
    </cfRule>
  </conditionalFormatting>
  <conditionalFormatting sqref="P439:AA439">
    <cfRule type="containsBlanks" dxfId="10839" priority="42">
      <formula>LEN(TRIM(P439))=0</formula>
    </cfRule>
  </conditionalFormatting>
  <conditionalFormatting sqref="P439:AA439">
    <cfRule type="expression" dxfId="10838" priority="41">
      <formula>P$1=""</formula>
    </cfRule>
  </conditionalFormatting>
  <conditionalFormatting sqref="AB442:XFD442 A442:N442 A443:XFD443">
    <cfRule type="cellIs" dxfId="10837" priority="39" operator="equal">
      <formula>0</formula>
    </cfRule>
  </conditionalFormatting>
  <conditionalFormatting sqref="P443:AA443">
    <cfRule type="expression" dxfId="10836" priority="38">
      <formula>P$1=""</formula>
    </cfRule>
  </conditionalFormatting>
  <conditionalFormatting sqref="P443:AA443">
    <cfRule type="expression" dxfId="10835" priority="37">
      <formula>P$1=""</formula>
    </cfRule>
  </conditionalFormatting>
  <conditionalFormatting sqref="O442:AA442">
    <cfRule type="cellIs" dxfId="10834" priority="36" operator="equal">
      <formula>0</formula>
    </cfRule>
  </conditionalFormatting>
  <conditionalFormatting sqref="P442:AA442">
    <cfRule type="containsBlanks" dxfId="10833" priority="35">
      <formula>LEN(TRIM(P442))=0</formula>
    </cfRule>
  </conditionalFormatting>
  <conditionalFormatting sqref="P442:AA442">
    <cfRule type="expression" dxfId="10832" priority="34">
      <formula>P$1=""</formula>
    </cfRule>
  </conditionalFormatting>
  <conditionalFormatting sqref="A444:XFD444">
    <cfRule type="cellIs" dxfId="10831" priority="33" operator="equal">
      <formula>0</formula>
    </cfRule>
  </conditionalFormatting>
  <conditionalFormatting sqref="AB445:XFD445 A445:N445 A446:XFD446">
    <cfRule type="cellIs" dxfId="10830" priority="32" operator="equal">
      <formula>0</formula>
    </cfRule>
  </conditionalFormatting>
  <conditionalFormatting sqref="P446:AA446">
    <cfRule type="expression" dxfId="10829" priority="31">
      <formula>P$1=""</formula>
    </cfRule>
  </conditionalFormatting>
  <conditionalFormatting sqref="P446:AA446">
    <cfRule type="expression" dxfId="10828" priority="30">
      <formula>P$1=""</formula>
    </cfRule>
  </conditionalFormatting>
  <conditionalFormatting sqref="O445:AA445">
    <cfRule type="cellIs" dxfId="10827" priority="29" operator="equal">
      <formula>0</formula>
    </cfRule>
  </conditionalFormatting>
  <conditionalFormatting sqref="P445:AA445">
    <cfRule type="containsBlanks" dxfId="10826" priority="28">
      <formula>LEN(TRIM(P445))=0</formula>
    </cfRule>
  </conditionalFormatting>
  <conditionalFormatting sqref="P445:AA445">
    <cfRule type="expression" dxfId="10825" priority="27">
      <formula>P$1=""</formula>
    </cfRule>
  </conditionalFormatting>
  <conditionalFormatting sqref="P450:P461">
    <cfRule type="expression" dxfId="10824" priority="26">
      <formula>AND($P$1=0,$H450&lt;MONTH($J$13))</formula>
    </cfRule>
  </conditionalFormatting>
  <conditionalFormatting sqref="Q450:AA461">
    <cfRule type="expression" dxfId="10823" priority="24">
      <formula>Q$1=""</formula>
    </cfRule>
  </conditionalFormatting>
  <conditionalFormatting sqref="A448:XFD477">
    <cfRule type="cellIs" dxfId="10822" priority="25" operator="equal">
      <formula>0</formula>
    </cfRule>
  </conditionalFormatting>
  <conditionalFormatting sqref="P465:P476">
    <cfRule type="expression" dxfId="10821" priority="23">
      <formula>AND($P$1=0,$H465&lt;MONTH($J$13))</formula>
    </cfRule>
  </conditionalFormatting>
  <conditionalFormatting sqref="Q465:AA476">
    <cfRule type="expression" dxfId="10820" priority="22">
      <formula>Q$1=""</formula>
    </cfRule>
  </conditionalFormatting>
  <conditionalFormatting sqref="P168">
    <cfRule type="expression" dxfId="10819" priority="21">
      <formula>AND($P$1=0,$H168&lt;MONTH($J$13))</formula>
    </cfRule>
  </conditionalFormatting>
  <conditionalFormatting sqref="C3:E6">
    <cfRule type="cellIs" dxfId="10818" priority="20" operator="equal">
      <formula>0</formula>
    </cfRule>
  </conditionalFormatting>
  <conditionalFormatting sqref="A1:D1">
    <cfRule type="cellIs" dxfId="10817" priority="19" operator="equal">
      <formula>0</formula>
    </cfRule>
  </conditionalFormatting>
  <conditionalFormatting sqref="P135:AA150">
    <cfRule type="expression" dxfId="10816" priority="18">
      <formula>P$1=""</formula>
    </cfRule>
  </conditionalFormatting>
  <conditionalFormatting sqref="P135:AA150">
    <cfRule type="expression" dxfId="10815" priority="17">
      <formula>P$1=""</formula>
    </cfRule>
  </conditionalFormatting>
  <conditionalFormatting sqref="M123:M134">
    <cfRule type="containsBlanks" dxfId="10814" priority="16">
      <formula>LEN(TRIM(M123))=0</formula>
    </cfRule>
  </conditionalFormatting>
  <conditionalFormatting sqref="P120:AA120">
    <cfRule type="expression" dxfId="10813" priority="15">
      <formula>P$1=""</formula>
    </cfRule>
  </conditionalFormatting>
  <conditionalFormatting sqref="P120:AA120">
    <cfRule type="expression" dxfId="10812" priority="14">
      <formula>P$1=""</formula>
    </cfRule>
  </conditionalFormatting>
  <conditionalFormatting sqref="M108:M119">
    <cfRule type="containsBlanks" dxfId="10811" priority="13">
      <formula>LEN(TRIM(M108))=0</formula>
    </cfRule>
  </conditionalFormatting>
  <conditionalFormatting sqref="M138:M149">
    <cfRule type="containsBlanks" dxfId="10810" priority="12">
      <formula>LEN(TRIM(M138))=0</formula>
    </cfRule>
  </conditionalFormatting>
  <conditionalFormatting sqref="P198:AA209">
    <cfRule type="expression" dxfId="10809" priority="11">
      <formula>AND($P$1=0,$H198&lt;MONTH($J$13))</formula>
    </cfRule>
  </conditionalFormatting>
  <conditionalFormatting sqref="Q198:AA209">
    <cfRule type="expression" dxfId="10808" priority="10">
      <formula>Q$1=""</formula>
    </cfRule>
  </conditionalFormatting>
  <conditionalFormatting sqref="P213:AA224">
    <cfRule type="expression" dxfId="10807" priority="9">
      <formula>AND($P$1=0,$H213&lt;MONTH($J$13))</formula>
    </cfRule>
  </conditionalFormatting>
  <conditionalFormatting sqref="Q213:AA224">
    <cfRule type="expression" dxfId="10806" priority="8">
      <formula>Q$1=""</formula>
    </cfRule>
  </conditionalFormatting>
  <conditionalFormatting sqref="P136:AA136">
    <cfRule type="containsBlanks" dxfId="10805" priority="7">
      <formula>LEN(TRIM(P136))=0</formula>
    </cfRule>
  </conditionalFormatting>
  <conditionalFormatting sqref="M153:M164">
    <cfRule type="containsBlanks" dxfId="10804" priority="6">
      <formula>LEN(TRIM(M153))=0</formula>
    </cfRule>
  </conditionalFormatting>
  <conditionalFormatting sqref="P331:AA332 Q330:AA331">
    <cfRule type="expression" dxfId="10803" priority="5">
      <formula>AND($P$1=0,$H330&lt;MONTH($J$13))</formula>
    </cfRule>
  </conditionalFormatting>
  <conditionalFormatting sqref="P331:AA332 Q330:AA331">
    <cfRule type="cellIs" dxfId="10802" priority="4" operator="equal">
      <formula>0</formula>
    </cfRule>
  </conditionalFormatting>
  <conditionalFormatting sqref="Q330:AA332">
    <cfRule type="expression" dxfId="10801" priority="3">
      <formula>Q$1=""</formula>
    </cfRule>
  </conditionalFormatting>
  <conditionalFormatting sqref="P330">
    <cfRule type="expression" dxfId="10800" priority="2">
      <formula>AND($P$1=0,$H330&lt;MONTH($J$13))</formula>
    </cfRule>
  </conditionalFormatting>
  <conditionalFormatting sqref="P330">
    <cfRule type="cellIs" dxfId="10799" priority="1" operator="equal">
      <formula>0</formula>
    </cfRule>
  </conditionalFormatting>
  <hyperlinks>
    <hyperlink ref="A1:D1" location="оглавление!A1" tooltip="оглавление" display="оглавление"/>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структура!$S$12:$S$22</xm:f>
          </x14:formula1>
          <xm:sqref>J16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B371"/>
  <sheetViews>
    <sheetView showGridLines="0" workbookViewId="0">
      <pane xSplit="14" ySplit="10" topLeftCell="O11" activePane="bottomRight" state="frozen"/>
      <selection pane="topRight" activeCell="O1" sqref="O1"/>
      <selection pane="bottomLeft" activeCell="A11" sqref="A11"/>
      <selection pane="bottomRight" activeCell="A2" sqref="A2"/>
    </sheetView>
  </sheetViews>
  <sheetFormatPr defaultColWidth="9.109375" defaultRowHeight="12" x14ac:dyDescent="0.25"/>
  <cols>
    <col min="1" max="1" width="2.6640625" style="151" customWidth="1"/>
    <col min="2" max="2" width="2.6640625" style="133" customWidth="1"/>
    <col min="3" max="3" width="2.6640625" style="1" customWidth="1"/>
    <col min="4" max="4" width="4"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tr">
        <f>операции!$M$1</f>
        <v>№года</v>
      </c>
      <c r="N1" s="42"/>
      <c r="O1" s="42"/>
      <c r="P1" s="43">
        <f>операции!P1</f>
        <v>1</v>
      </c>
      <c r="Q1" s="43">
        <f>операции!Q1</f>
        <v>2</v>
      </c>
      <c r="R1" s="43">
        <f>операции!R1</f>
        <v>3</v>
      </c>
      <c r="S1" s="43">
        <f>операции!S1</f>
        <v>4</v>
      </c>
      <c r="T1" s="43">
        <f>операции!T1</f>
        <v>5</v>
      </c>
      <c r="U1" s="43">
        <f>операции!U1</f>
        <v>6</v>
      </c>
      <c r="V1" s="43">
        <f>операции!V1</f>
        <v>7</v>
      </c>
      <c r="W1" s="43" t="str">
        <f>операции!W1</f>
        <v/>
      </c>
      <c r="X1" s="43" t="str">
        <f>операции!X1</f>
        <v/>
      </c>
      <c r="Y1" s="43" t="str">
        <f>операции!Y1</f>
        <v/>
      </c>
      <c r="Z1" s="43" t="str">
        <f>операции!Z1</f>
        <v/>
      </c>
      <c r="AA1" s="43" t="str">
        <f>операции!AA1</f>
        <v/>
      </c>
      <c r="AB1" s="2"/>
    </row>
    <row r="2" spans="1:28" x14ac:dyDescent="0.25">
      <c r="A2" s="149"/>
      <c r="B2" s="131"/>
      <c r="C2" s="2"/>
      <c r="D2" s="2"/>
      <c r="E2" s="2"/>
      <c r="F2" s="2"/>
      <c r="G2" s="2"/>
      <c r="H2" s="2"/>
      <c r="I2" s="28"/>
      <c r="J2" s="2"/>
      <c r="K2" s="28"/>
      <c r="L2" s="2"/>
      <c r="M2" s="52"/>
      <c r="N2" s="2"/>
      <c r="O2" s="2"/>
      <c r="P2" s="194">
        <v>1</v>
      </c>
      <c r="Q2" s="195">
        <f>P2+1</f>
        <v>2</v>
      </c>
      <c r="R2" s="195">
        <f t="shared" ref="R2:AA2" si="0">Q2+1</f>
        <v>3</v>
      </c>
      <c r="S2" s="195">
        <f t="shared" si="0"/>
        <v>4</v>
      </c>
      <c r="T2" s="195">
        <f t="shared" si="0"/>
        <v>5</v>
      </c>
      <c r="U2" s="195">
        <f t="shared" si="0"/>
        <v>6</v>
      </c>
      <c r="V2" s="195">
        <f t="shared" si="0"/>
        <v>7</v>
      </c>
      <c r="W2" s="195">
        <f t="shared" si="0"/>
        <v>8</v>
      </c>
      <c r="X2" s="195">
        <f t="shared" si="0"/>
        <v>9</v>
      </c>
      <c r="Y2" s="195">
        <f t="shared" si="0"/>
        <v>10</v>
      </c>
      <c r="Z2" s="195">
        <f t="shared" si="0"/>
        <v>11</v>
      </c>
      <c r="AA2" s="195">
        <f t="shared" si="0"/>
        <v>12</v>
      </c>
      <c r="AB2" s="2"/>
    </row>
    <row r="3" spans="1:28" x14ac:dyDescent="0.25">
      <c r="A3" s="149"/>
      <c r="B3" s="131"/>
      <c r="C3" s="89" t="str">
        <f>методология!$E$4</f>
        <v>Инвестмодель базы отдыха - Беседки &amp; Веревочный парк</v>
      </c>
      <c r="D3" s="20"/>
      <c r="E3" s="20"/>
      <c r="F3" s="2"/>
      <c r="G3" s="2"/>
      <c r="H3" s="2"/>
      <c r="I3" s="28"/>
      <c r="J3" s="2"/>
      <c r="K3" s="28"/>
      <c r="L3" s="2"/>
      <c r="M3" s="52"/>
      <c r="N3" s="2"/>
      <c r="O3" s="2"/>
      <c r="P3" s="2"/>
      <c r="Q3" s="2"/>
      <c r="R3" s="2"/>
      <c r="S3" s="2"/>
      <c r="T3" s="2"/>
      <c r="U3" s="2"/>
      <c r="V3" s="2"/>
      <c r="W3" s="2"/>
      <c r="X3" s="2"/>
      <c r="Y3" s="2"/>
      <c r="Z3" s="2"/>
      <c r="AA3" s="2"/>
      <c r="AB3" s="2"/>
    </row>
    <row r="4" spans="1:28" x14ac:dyDescent="0.25">
      <c r="A4" s="149"/>
      <c r="B4" s="131"/>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149"/>
      <c r="B5" s="131"/>
      <c r="C5" s="2"/>
      <c r="D5" s="2"/>
      <c r="E5" s="2"/>
      <c r="F5" s="2"/>
      <c r="G5" s="154" t="s">
        <v>309</v>
      </c>
      <c r="H5" s="2"/>
      <c r="I5" s="28"/>
      <c r="J5" s="2"/>
      <c r="K5" s="28"/>
      <c r="L5" s="2"/>
      <c r="M5" s="52"/>
      <c r="N5" s="2"/>
      <c r="O5" s="2"/>
      <c r="P5" s="2"/>
      <c r="Q5" s="2"/>
      <c r="R5" s="2"/>
      <c r="S5" s="2"/>
      <c r="T5" s="2"/>
      <c r="U5" s="2"/>
      <c r="V5" s="2"/>
      <c r="W5" s="2"/>
      <c r="X5" s="2"/>
      <c r="Y5" s="2"/>
      <c r="Z5" s="2"/>
      <c r="AA5" s="2"/>
      <c r="AB5" s="2"/>
    </row>
    <row r="6" spans="1:28" x14ac:dyDescent="0.25">
      <c r="A6" s="149"/>
      <c r="B6" s="131"/>
      <c r="C6" s="225" t="s">
        <v>332</v>
      </c>
      <c r="D6" s="210"/>
      <c r="E6" s="226"/>
      <c r="F6" s="2"/>
      <c r="G6" s="104" t="str">
        <f>сценарии!$J$7</f>
        <v>сценарий-1</v>
      </c>
      <c r="H6" s="2"/>
      <c r="I6" s="28"/>
      <c r="J6" s="2"/>
      <c r="K6" s="28"/>
      <c r="L6" s="2"/>
      <c r="M6" s="52"/>
      <c r="N6" s="2"/>
      <c r="O6" s="2"/>
      <c r="P6" s="96" t="str">
        <f>операции!P6</f>
        <v>2022г.</v>
      </c>
      <c r="Q6" s="96" t="str">
        <f>операции!Q6</f>
        <v>2023г.</v>
      </c>
      <c r="R6" s="96" t="str">
        <f>операции!R6</f>
        <v>2024г.</v>
      </c>
      <c r="S6" s="96" t="str">
        <f>операции!S6</f>
        <v>2025г.</v>
      </c>
      <c r="T6" s="96" t="str">
        <f>операции!T6</f>
        <v>2026г.</v>
      </c>
      <c r="U6" s="96" t="str">
        <f>операции!U6</f>
        <v>2027г.</v>
      </c>
      <c r="V6" s="96" t="str">
        <f>операции!V6</f>
        <v>2028г.</v>
      </c>
      <c r="W6" s="96" t="str">
        <f>операции!W6</f>
        <v/>
      </c>
      <c r="X6" s="96" t="str">
        <f>операции!X6</f>
        <v/>
      </c>
      <c r="Y6" s="96" t="str">
        <f>операции!Y6</f>
        <v/>
      </c>
      <c r="Z6" s="96" t="str">
        <f>операции!Z6</f>
        <v/>
      </c>
      <c r="AA6" s="96" t="str">
        <f>операции!AA6</f>
        <v/>
      </c>
      <c r="AB6" s="2"/>
    </row>
    <row r="7" spans="1:28" ht="12.6" thickBot="1" x14ac:dyDescent="0.3">
      <c r="A7" s="149"/>
      <c r="B7" s="182" t="s">
        <v>285</v>
      </c>
      <c r="C7" s="2"/>
      <c r="D7" s="2"/>
      <c r="E7" s="2"/>
      <c r="F7" s="2"/>
      <c r="G7" s="2"/>
      <c r="H7" s="2"/>
      <c r="I7" s="28"/>
      <c r="J7" s="2"/>
      <c r="K7" s="28"/>
      <c r="L7" s="2"/>
      <c r="M7" s="52"/>
      <c r="N7" s="2"/>
      <c r="O7" s="2"/>
      <c r="P7" s="94">
        <f>операции!P7</f>
        <v>44562</v>
      </c>
      <c r="Q7" s="94">
        <f>операции!Q7</f>
        <v>44927</v>
      </c>
      <c r="R7" s="94">
        <f>операции!R7</f>
        <v>45292</v>
      </c>
      <c r="S7" s="94">
        <f>операции!S7</f>
        <v>45658</v>
      </c>
      <c r="T7" s="94">
        <f>операции!T7</f>
        <v>46023</v>
      </c>
      <c r="U7" s="94">
        <f>операции!U7</f>
        <v>46388</v>
      </c>
      <c r="V7" s="94">
        <f>операции!V7</f>
        <v>46753</v>
      </c>
      <c r="W7" s="94" t="str">
        <f>операции!W7</f>
        <v/>
      </c>
      <c r="X7" s="94" t="str">
        <f>операции!X7</f>
        <v/>
      </c>
      <c r="Y7" s="94" t="str">
        <f>операции!Y7</f>
        <v/>
      </c>
      <c r="Z7" s="94" t="str">
        <f>операции!Z7</f>
        <v/>
      </c>
      <c r="AA7" s="94" t="str">
        <f>операции!AA7</f>
        <v/>
      </c>
      <c r="AB7" s="2"/>
    </row>
    <row r="8" spans="1:28" s="5" customFormat="1" ht="12.6" thickBot="1" x14ac:dyDescent="0.3">
      <c r="A8" s="150">
        <f>1</f>
        <v>1</v>
      </c>
      <c r="B8" s="152"/>
      <c r="C8" s="3"/>
      <c r="D8" s="3"/>
      <c r="E8" s="3" t="str">
        <f>KPI!$E$8</f>
        <v>KPI</v>
      </c>
      <c r="F8" s="3"/>
      <c r="G8" s="28" t="str">
        <f>KPI!$G$8</f>
        <v>ед.изм.</v>
      </c>
      <c r="H8" s="3"/>
      <c r="I8" s="28"/>
      <c r="J8" s="3"/>
      <c r="K8" s="28"/>
      <c r="L8" s="3"/>
      <c r="M8" s="53" t="str">
        <f>операции!M8</f>
        <v>итого</v>
      </c>
      <c r="N8" s="3"/>
      <c r="O8" s="3"/>
      <c r="P8" s="95">
        <f>операции!P8</f>
        <v>44926</v>
      </c>
      <c r="Q8" s="95">
        <f>операции!Q8</f>
        <v>45291</v>
      </c>
      <c r="R8" s="95">
        <f>операции!R8</f>
        <v>45657</v>
      </c>
      <c r="S8" s="95">
        <f>операции!S8</f>
        <v>46022</v>
      </c>
      <c r="T8" s="95">
        <f>операции!T8</f>
        <v>46387</v>
      </c>
      <c r="U8" s="95">
        <f>операции!U8</f>
        <v>46752</v>
      </c>
      <c r="V8" s="95">
        <f>операции!V8</f>
        <v>47118</v>
      </c>
      <c r="W8" s="95" t="str">
        <f>операции!W8</f>
        <v/>
      </c>
      <c r="X8" s="95" t="str">
        <f>операции!X8</f>
        <v/>
      </c>
      <c r="Y8" s="95" t="str">
        <f>операции!Y8</f>
        <v/>
      </c>
      <c r="Z8" s="95" t="str">
        <f>операции!Z8</f>
        <v/>
      </c>
      <c r="AA8" s="95" t="str">
        <f>операции!AA8</f>
        <v/>
      </c>
      <c r="AB8" s="3"/>
    </row>
    <row r="9" spans="1:28" ht="3.9" customHeight="1" x14ac:dyDescent="0.25">
      <c r="A9" s="149">
        <f>1</f>
        <v>1</v>
      </c>
      <c r="B9" s="131"/>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customHeight="1" x14ac:dyDescent="0.25">
      <c r="A10" s="149">
        <f>1</f>
        <v>1</v>
      </c>
      <c r="B10" s="131"/>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x14ac:dyDescent="0.25">
      <c r="A11" s="150">
        <f>1</f>
        <v>1</v>
      </c>
      <c r="B11" s="131"/>
      <c r="C11" s="3"/>
      <c r="D11" s="3"/>
      <c r="E11" s="3"/>
      <c r="F11" s="3"/>
      <c r="G11" s="3"/>
      <c r="H11" s="3"/>
      <c r="I11" s="28"/>
      <c r="J11" s="3"/>
      <c r="K11" s="28"/>
      <c r="L11" s="3"/>
      <c r="M11" s="55"/>
      <c r="N11" s="3"/>
      <c r="O11" s="3"/>
      <c r="P11" s="46"/>
      <c r="Q11" s="46"/>
      <c r="R11" s="46"/>
      <c r="S11" s="46"/>
      <c r="T11" s="46"/>
      <c r="U11" s="46"/>
      <c r="V11" s="46"/>
      <c r="W11" s="46"/>
      <c r="X11" s="46"/>
      <c r="Y11" s="46"/>
      <c r="Z11" s="46"/>
      <c r="AA11" s="46"/>
      <c r="AB11" s="3"/>
    </row>
    <row r="12" spans="1:28" ht="3.9" customHeight="1" x14ac:dyDescent="0.25">
      <c r="A12" s="149">
        <f>1</f>
        <v>1</v>
      </c>
      <c r="B12" s="131"/>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x14ac:dyDescent="0.25">
      <c r="A13" s="150">
        <f>1</f>
        <v>1</v>
      </c>
      <c r="B13" s="131"/>
      <c r="C13" s="3"/>
      <c r="D13" s="3"/>
      <c r="E13" s="181" t="s">
        <v>274</v>
      </c>
      <c r="F13" s="3"/>
      <c r="G13" s="3"/>
      <c r="H13" s="3"/>
      <c r="I13" s="28"/>
      <c r="J13" s="3"/>
      <c r="K13" s="28"/>
      <c r="L13" s="3"/>
      <c r="M13" s="55"/>
      <c r="N13" s="3"/>
      <c r="O13" s="3"/>
      <c r="P13" s="46"/>
      <c r="Q13" s="46"/>
      <c r="R13" s="46"/>
      <c r="S13" s="46"/>
      <c r="T13" s="46"/>
      <c r="U13" s="46"/>
      <c r="V13" s="46"/>
      <c r="W13" s="46"/>
      <c r="X13" s="46"/>
      <c r="Y13" s="46"/>
      <c r="Z13" s="46"/>
      <c r="AA13" s="46"/>
      <c r="AB13" s="3"/>
    </row>
    <row r="14" spans="1:28" ht="8.1" customHeight="1" x14ac:dyDescent="0.25">
      <c r="A14" s="149">
        <f>1</f>
        <v>1</v>
      </c>
      <c r="B14" s="131"/>
      <c r="C14" s="2"/>
      <c r="D14" s="2"/>
      <c r="E14" s="2"/>
      <c r="F14" s="2"/>
      <c r="G14" s="2"/>
      <c r="H14" s="2"/>
      <c r="I14" s="28"/>
      <c r="J14" s="2"/>
      <c r="K14" s="28"/>
      <c r="L14" s="2"/>
      <c r="M14" s="52"/>
      <c r="N14" s="2"/>
      <c r="O14" s="2"/>
      <c r="P14" s="36"/>
      <c r="Q14" s="36"/>
      <c r="R14" s="36"/>
      <c r="S14" s="36"/>
      <c r="T14" s="36"/>
      <c r="U14" s="36"/>
      <c r="V14" s="36"/>
      <c r="W14" s="36"/>
      <c r="X14" s="36"/>
      <c r="Y14" s="36"/>
      <c r="Z14" s="36"/>
      <c r="AA14" s="36"/>
      <c r="AB14" s="2"/>
    </row>
    <row r="15" spans="1:28" ht="3.9" customHeight="1" x14ac:dyDescent="0.25">
      <c r="A15" s="149">
        <f>1</f>
        <v>1</v>
      </c>
      <c r="B15" s="131"/>
      <c r="C15" s="2"/>
      <c r="D15" s="2"/>
      <c r="E15" s="2"/>
      <c r="F15" s="2"/>
      <c r="G15" s="2"/>
      <c r="H15" s="2"/>
      <c r="I15" s="28"/>
      <c r="J15" s="2"/>
      <c r="K15" s="28"/>
      <c r="L15" s="2"/>
      <c r="M15" s="52"/>
      <c r="N15" s="2"/>
      <c r="O15" s="2"/>
      <c r="P15" s="36"/>
      <c r="Q15" s="36"/>
      <c r="R15" s="36"/>
      <c r="S15" s="36"/>
      <c r="T15" s="36"/>
      <c r="U15" s="36"/>
      <c r="V15" s="36"/>
      <c r="W15" s="36"/>
      <c r="X15" s="36"/>
      <c r="Y15" s="36"/>
      <c r="Z15" s="36"/>
      <c r="AA15" s="36"/>
      <c r="AB15" s="2"/>
    </row>
    <row r="16" spans="1:28" s="5" customFormat="1" x14ac:dyDescent="0.25">
      <c r="A16" s="150">
        <f>1</f>
        <v>1</v>
      </c>
      <c r="B16" s="132" t="str">
        <f>структура!$J$12</f>
        <v>ОСНО</v>
      </c>
      <c r="C16" s="3"/>
      <c r="D16" s="3"/>
      <c r="E16" s="89" t="str">
        <f>KPI!$E$74</f>
        <v>ВЫРУЧКА</v>
      </c>
      <c r="F16" s="89"/>
      <c r="G16" s="89" t="str">
        <f>IF($E16="","",INDEX(KPI!$G:$G,SUMIFS(KPI!$B:$B,KPI!$E:$E,$E16)))</f>
        <v>тыс.руб.</v>
      </c>
      <c r="H16" s="89"/>
      <c r="I16" s="90"/>
      <c r="J16" s="130" t="str">
        <f>структура!$AL$21</f>
        <v>Без НДС</v>
      </c>
      <c r="K16" s="90"/>
      <c r="L16" s="89"/>
      <c r="M16" s="92">
        <f>SUM($O16:$AB16)</f>
        <v>98640.375</v>
      </c>
      <c r="N16" s="3"/>
      <c r="O16" s="3"/>
      <c r="P16" s="93">
        <f>IF(P$1="",0,IF(1+операции!P$421=0,0,(операции!P$58+операции!P$182)/(1+операции!P$421)))</f>
        <v>11787.000961538461</v>
      </c>
      <c r="Q16" s="93">
        <f>IF(Q$1="",0,IF(1+операции!Q$421=0,0,(операции!Q$58+операции!Q$182)/(1+операции!Q$421)))</f>
        <v>12314.875961538462</v>
      </c>
      <c r="R16" s="93">
        <f>IF(R$1="",0,IF(1+операции!R$421=0,0,(операции!R$58+операции!R$182)/(1+операции!R$421)))</f>
        <v>13122.278846153848</v>
      </c>
      <c r="S16" s="93">
        <f>IF(S$1="",0,IF(1+операции!S$421=0,0,(операции!S$58+операции!S$182)/(1+операции!S$421)))</f>
        <v>13634.563461538462</v>
      </c>
      <c r="T16" s="93">
        <f>IF(T$1="",0,IF(1+операции!T$421=0,0,(операции!T$58+операции!T$182)/(1+операции!T$421)))</f>
        <v>14426.375961538464</v>
      </c>
      <c r="U16" s="93">
        <f>IF(U$1="",0,IF(1+операции!U$421=0,0,(операции!U$58+операции!U$182)/(1+операции!U$421)))</f>
        <v>15746.063461538464</v>
      </c>
      <c r="V16" s="93">
        <f>IF(V$1="",0,IF(1+операции!V$421=0,0,(операции!V$58+операции!V$182)/(1+операции!V$421)))</f>
        <v>17609.216346153844</v>
      </c>
      <c r="W16" s="93">
        <f>IF(W$1="",0,IF(1+операции!W$421=0,0,(операции!W$58+операции!W$182)/(1+операции!W$421)))</f>
        <v>0</v>
      </c>
      <c r="X16" s="93">
        <f>IF(X$1="",0,IF(1+операции!X$421=0,0,(операции!X$58+операции!X$182)/(1+операции!X$421)))</f>
        <v>0</v>
      </c>
      <c r="Y16" s="93">
        <f>IF(Y$1="",0,IF(1+операции!Y$421=0,0,(операции!Y$58+операции!Y$182)/(1+операции!Y$421)))</f>
        <v>0</v>
      </c>
      <c r="Z16" s="93">
        <f>IF(Z$1="",0,IF(1+операции!Z$421=0,0,(операции!Z$58+операции!Z$182)/(1+операции!Z$421)))</f>
        <v>0</v>
      </c>
      <c r="AA16" s="93">
        <f>IF(AA$1="",0,IF(1+операции!AA$421=0,0,(операции!AA$58+операции!AA$182)/(1+операции!AA$421)))</f>
        <v>0</v>
      </c>
      <c r="AB16" s="3"/>
    </row>
    <row r="17" spans="1:28" ht="3.9" customHeight="1" x14ac:dyDescent="0.25">
      <c r="A17" s="149">
        <f>1</f>
        <v>1</v>
      </c>
      <c r="B17" s="131"/>
      <c r="C17" s="2"/>
      <c r="D17" s="2"/>
      <c r="E17" s="2"/>
      <c r="F17" s="2"/>
      <c r="G17" s="2"/>
      <c r="H17" s="2"/>
      <c r="I17" s="28"/>
      <c r="J17" s="2"/>
      <c r="K17" s="28"/>
      <c r="L17" s="2"/>
      <c r="M17" s="52"/>
      <c r="N17" s="2"/>
      <c r="O17" s="2"/>
      <c r="P17" s="36"/>
      <c r="Q17" s="36"/>
      <c r="R17" s="36"/>
      <c r="S17" s="36"/>
      <c r="T17" s="36"/>
      <c r="U17" s="36"/>
      <c r="V17" s="36"/>
      <c r="W17" s="36"/>
      <c r="X17" s="36"/>
      <c r="Y17" s="36"/>
      <c r="Z17" s="36"/>
      <c r="AA17" s="36"/>
      <c r="AB17" s="2"/>
    </row>
    <row r="18" spans="1:28" s="5" customFormat="1" x14ac:dyDescent="0.25">
      <c r="A18" s="150">
        <f>1</f>
        <v>1</v>
      </c>
      <c r="B18" s="132" t="str">
        <f>структура!$J$13</f>
        <v>УСН(6%)</v>
      </c>
      <c r="C18" s="3"/>
      <c r="D18" s="3"/>
      <c r="E18" s="89" t="str">
        <f>E16</f>
        <v>ВЫРУЧКА</v>
      </c>
      <c r="F18" s="89"/>
      <c r="G18" s="89" t="str">
        <f>IF($E18="","",INDEX(KPI!$G:$G,SUMIFS(KPI!$B:$B,KPI!$E:$E,$E18)))</f>
        <v>тыс.руб.</v>
      </c>
      <c r="H18" s="89"/>
      <c r="I18" s="90"/>
      <c r="J18" s="130"/>
      <c r="K18" s="90"/>
      <c r="L18" s="89"/>
      <c r="M18" s="92">
        <f>SUM($O18:$AB18)</f>
        <v>118368.45000000001</v>
      </c>
      <c r="N18" s="3"/>
      <c r="O18" s="3"/>
      <c r="P18" s="93">
        <f>IF(P$1="",0,операции!P$58+операции!P$182)</f>
        <v>14144.401153846153</v>
      </c>
      <c r="Q18" s="93">
        <f>IF(Q$1="",0,операции!Q$58+операции!Q$182)</f>
        <v>14777.851153846153</v>
      </c>
      <c r="R18" s="93">
        <f>IF(R$1="",0,операции!R$58+операции!R$182)</f>
        <v>15746.734615384616</v>
      </c>
      <c r="S18" s="93">
        <f>IF(S$1="",0,операции!S$58+операции!S$182)</f>
        <v>16361.476153846153</v>
      </c>
      <c r="T18" s="93">
        <f>IF(T$1="",0,операции!T$58+операции!T$182)</f>
        <v>17311.651153846156</v>
      </c>
      <c r="U18" s="93">
        <f>IF(U$1="",0,операции!U$58+операции!U$182)</f>
        <v>18895.276153846156</v>
      </c>
      <c r="V18" s="93">
        <f>IF(V$1="",0,операции!V$58+операции!V$182)</f>
        <v>21131.059615384613</v>
      </c>
      <c r="W18" s="93">
        <f>IF(W$1="",0,операции!W$58+операции!W$182)</f>
        <v>0</v>
      </c>
      <c r="X18" s="93">
        <f>IF(X$1="",0,операции!X$58+операции!X$182)</f>
        <v>0</v>
      </c>
      <c r="Y18" s="93">
        <f>IF(Y$1="",0,операции!Y$58+операции!Y$182)</f>
        <v>0</v>
      </c>
      <c r="Z18" s="93">
        <f>IF(Z$1="",0,операции!Z$58+операции!Z$182)</f>
        <v>0</v>
      </c>
      <c r="AA18" s="93">
        <f>IF(AA$1="",0,операции!AA$58+операции!AA$182)</f>
        <v>0</v>
      </c>
      <c r="AB18" s="3"/>
    </row>
    <row r="19" spans="1:28" ht="3.9" customHeight="1" x14ac:dyDescent="0.25">
      <c r="A19" s="149">
        <f>1</f>
        <v>1</v>
      </c>
      <c r="B19" s="131"/>
      <c r="C19" s="2"/>
      <c r="D19" s="2"/>
      <c r="E19" s="2"/>
      <c r="F19" s="2"/>
      <c r="G19" s="2"/>
      <c r="H19" s="2"/>
      <c r="I19" s="28"/>
      <c r="J19" s="2"/>
      <c r="K19" s="28"/>
      <c r="L19" s="2"/>
      <c r="M19" s="52"/>
      <c r="N19" s="2"/>
      <c r="O19" s="2"/>
      <c r="P19" s="36"/>
      <c r="Q19" s="36"/>
      <c r="R19" s="36"/>
      <c r="S19" s="36"/>
      <c r="T19" s="36"/>
      <c r="U19" s="36"/>
      <c r="V19" s="36"/>
      <c r="W19" s="36"/>
      <c r="X19" s="36"/>
      <c r="Y19" s="36"/>
      <c r="Z19" s="36"/>
      <c r="AA19" s="36"/>
      <c r="AB19" s="2"/>
    </row>
    <row r="20" spans="1:28" s="5" customFormat="1" x14ac:dyDescent="0.25">
      <c r="A20" s="150">
        <f>1</f>
        <v>1</v>
      </c>
      <c r="B20" s="132" t="str">
        <f>структура!$J$14</f>
        <v>УСН(15%)</v>
      </c>
      <c r="C20" s="3"/>
      <c r="D20" s="3"/>
      <c r="E20" s="89" t="str">
        <f>E16</f>
        <v>ВЫРУЧКА</v>
      </c>
      <c r="F20" s="89"/>
      <c r="G20" s="89" t="str">
        <f>IF($E20="","",INDEX(KPI!$G:$G,SUMIFS(KPI!$B:$B,KPI!$E:$E,$E20)))</f>
        <v>тыс.руб.</v>
      </c>
      <c r="H20" s="89"/>
      <c r="I20" s="90"/>
      <c r="J20" s="130"/>
      <c r="K20" s="90"/>
      <c r="L20" s="89"/>
      <c r="M20" s="92">
        <f>SUM($O20:$AB20)</f>
        <v>118368.45000000001</v>
      </c>
      <c r="N20" s="3"/>
      <c r="O20" s="3"/>
      <c r="P20" s="93">
        <f>IF(P$1="",0,операции!P$58+операции!P$182)</f>
        <v>14144.401153846153</v>
      </c>
      <c r="Q20" s="93">
        <f>IF(Q$1="",0,операции!Q$58+операции!Q$182)</f>
        <v>14777.851153846153</v>
      </c>
      <c r="R20" s="93">
        <f>IF(R$1="",0,операции!R$58+операции!R$182)</f>
        <v>15746.734615384616</v>
      </c>
      <c r="S20" s="93">
        <f>IF(S$1="",0,операции!S$58+операции!S$182)</f>
        <v>16361.476153846153</v>
      </c>
      <c r="T20" s="93">
        <f>IF(T$1="",0,операции!T$58+операции!T$182)</f>
        <v>17311.651153846156</v>
      </c>
      <c r="U20" s="93">
        <f>IF(U$1="",0,операции!U$58+операции!U$182)</f>
        <v>18895.276153846156</v>
      </c>
      <c r="V20" s="93">
        <f>IF(V$1="",0,операции!V$58+операции!V$182)</f>
        <v>21131.059615384613</v>
      </c>
      <c r="W20" s="93">
        <f>IF(W$1="",0,операции!W$58+операции!W$182)</f>
        <v>0</v>
      </c>
      <c r="X20" s="93">
        <f>IF(X$1="",0,операции!X$58+операции!X$182)</f>
        <v>0</v>
      </c>
      <c r="Y20" s="93">
        <f>IF(Y$1="",0,операции!Y$58+операции!Y$182)</f>
        <v>0</v>
      </c>
      <c r="Z20" s="93">
        <f>IF(Z$1="",0,операции!Z$58+операции!Z$182)</f>
        <v>0</v>
      </c>
      <c r="AA20" s="93">
        <f>IF(AA$1="",0,операции!AA$58+операции!AA$182)</f>
        <v>0</v>
      </c>
      <c r="AB20" s="3"/>
    </row>
    <row r="21" spans="1:28" ht="3.9" customHeight="1" x14ac:dyDescent="0.25">
      <c r="A21" s="149">
        <f>1</f>
        <v>1</v>
      </c>
      <c r="B21" s="131"/>
      <c r="C21" s="2"/>
      <c r="D21" s="2"/>
      <c r="E21" s="2"/>
      <c r="F21" s="2"/>
      <c r="G21" s="2"/>
      <c r="H21" s="2"/>
      <c r="I21" s="28"/>
      <c r="J21" s="2"/>
      <c r="K21" s="28"/>
      <c r="L21" s="2"/>
      <c r="M21" s="52"/>
      <c r="N21" s="2"/>
      <c r="O21" s="2"/>
      <c r="P21" s="36"/>
      <c r="Q21" s="36"/>
      <c r="R21" s="36"/>
      <c r="S21" s="36"/>
      <c r="T21" s="36"/>
      <c r="U21" s="36"/>
      <c r="V21" s="36"/>
      <c r="W21" s="36"/>
      <c r="X21" s="36"/>
      <c r="Y21" s="36"/>
      <c r="Z21" s="36"/>
      <c r="AA21" s="36"/>
      <c r="AB21" s="2"/>
    </row>
    <row r="22" spans="1:28" s="5" customFormat="1" x14ac:dyDescent="0.25">
      <c r="A22" s="150">
        <f>1</f>
        <v>1</v>
      </c>
      <c r="B22" s="132" t="str">
        <f>структура!$J$15</f>
        <v>УСН(6%)-ИП</v>
      </c>
      <c r="C22" s="3"/>
      <c r="D22" s="3"/>
      <c r="E22" s="89" t="str">
        <f>E16</f>
        <v>ВЫРУЧКА</v>
      </c>
      <c r="F22" s="89"/>
      <c r="G22" s="89" t="str">
        <f>IF($E22="","",INDEX(KPI!$G:$G,SUMIFS(KPI!$B:$B,KPI!$E:$E,$E22)))</f>
        <v>тыс.руб.</v>
      </c>
      <c r="H22" s="89"/>
      <c r="I22" s="90"/>
      <c r="J22" s="130"/>
      <c r="K22" s="90"/>
      <c r="L22" s="89"/>
      <c r="M22" s="92">
        <f>SUM($O22:$AB22)</f>
        <v>118368.45000000001</v>
      </c>
      <c r="N22" s="3"/>
      <c r="O22" s="3"/>
      <c r="P22" s="93">
        <f>IF(P$1="",0,операции!P$58+операции!P$182)</f>
        <v>14144.401153846153</v>
      </c>
      <c r="Q22" s="93">
        <f>IF(Q$1="",0,операции!Q$58+операции!Q$182)</f>
        <v>14777.851153846153</v>
      </c>
      <c r="R22" s="93">
        <f>IF(R$1="",0,операции!R$58+операции!R$182)</f>
        <v>15746.734615384616</v>
      </c>
      <c r="S22" s="93">
        <f>IF(S$1="",0,операции!S$58+операции!S$182)</f>
        <v>16361.476153846153</v>
      </c>
      <c r="T22" s="93">
        <f>IF(T$1="",0,операции!T$58+операции!T$182)</f>
        <v>17311.651153846156</v>
      </c>
      <c r="U22" s="93">
        <f>IF(U$1="",0,операции!U$58+операции!U$182)</f>
        <v>18895.276153846156</v>
      </c>
      <c r="V22" s="93">
        <f>IF(V$1="",0,операции!V$58+операции!V$182)</f>
        <v>21131.059615384613</v>
      </c>
      <c r="W22" s="93">
        <f>IF(W$1="",0,операции!W$58+операции!W$182)</f>
        <v>0</v>
      </c>
      <c r="X22" s="93">
        <f>IF(X$1="",0,операции!X$58+операции!X$182)</f>
        <v>0</v>
      </c>
      <c r="Y22" s="93">
        <f>IF(Y$1="",0,операции!Y$58+операции!Y$182)</f>
        <v>0</v>
      </c>
      <c r="Z22" s="93">
        <f>IF(Z$1="",0,операции!Z$58+операции!Z$182)</f>
        <v>0</v>
      </c>
      <c r="AA22" s="93">
        <f>IF(AA$1="",0,операции!AA$58+операции!AA$182)</f>
        <v>0</v>
      </c>
      <c r="AB22" s="3"/>
    </row>
    <row r="23" spans="1:28" ht="3.9" customHeight="1" x14ac:dyDescent="0.25">
      <c r="A23" s="149">
        <f>1</f>
        <v>1</v>
      </c>
      <c r="B23" s="131"/>
      <c r="C23" s="2"/>
      <c r="D23" s="2"/>
      <c r="E23" s="117"/>
      <c r="F23" s="2"/>
      <c r="G23" s="117"/>
      <c r="H23" s="2"/>
      <c r="I23" s="28"/>
      <c r="J23" s="2"/>
      <c r="K23" s="28"/>
      <c r="L23" s="2"/>
      <c r="M23" s="138"/>
      <c r="N23" s="2"/>
      <c r="O23" s="2"/>
      <c r="P23" s="36"/>
      <c r="Q23" s="36"/>
      <c r="R23" s="36"/>
      <c r="S23" s="36"/>
      <c r="T23" s="36"/>
      <c r="U23" s="36"/>
      <c r="V23" s="36"/>
      <c r="W23" s="36"/>
      <c r="X23" s="36"/>
      <c r="Y23" s="36"/>
      <c r="Z23" s="36"/>
      <c r="AA23" s="36"/>
      <c r="AB23" s="2"/>
    </row>
    <row r="24" spans="1:28" ht="8.1" customHeight="1" x14ac:dyDescent="0.25">
      <c r="A24" s="149">
        <f>1</f>
        <v>1</v>
      </c>
      <c r="B24" s="131"/>
      <c r="C24" s="2"/>
      <c r="D24" s="2"/>
      <c r="E24" s="2"/>
      <c r="F24" s="2"/>
      <c r="G24" s="2"/>
      <c r="H24" s="2"/>
      <c r="I24" s="28"/>
      <c r="J24" s="2"/>
      <c r="K24" s="28"/>
      <c r="L24" s="2"/>
      <c r="M24" s="52"/>
      <c r="N24" s="2"/>
      <c r="O24" s="2"/>
      <c r="P24" s="36"/>
      <c r="Q24" s="36"/>
      <c r="R24" s="36"/>
      <c r="S24" s="36"/>
      <c r="T24" s="36"/>
      <c r="U24" s="36"/>
      <c r="V24" s="36"/>
      <c r="W24" s="36"/>
      <c r="X24" s="36"/>
      <c r="Y24" s="36"/>
      <c r="Z24" s="36"/>
      <c r="AA24" s="36"/>
      <c r="AB24" s="2"/>
    </row>
    <row r="25" spans="1:28" ht="3.9" customHeight="1" x14ac:dyDescent="0.25">
      <c r="A25" s="149">
        <f>1</f>
        <v>1</v>
      </c>
      <c r="B25" s="131"/>
      <c r="C25" s="2"/>
      <c r="D25" s="2"/>
      <c r="E25" s="2"/>
      <c r="F25" s="2"/>
      <c r="G25" s="2"/>
      <c r="H25" s="2"/>
      <c r="I25" s="28"/>
      <c r="J25" s="2"/>
      <c r="K25" s="28"/>
      <c r="L25" s="2"/>
      <c r="M25" s="52"/>
      <c r="N25" s="2"/>
      <c r="O25" s="2"/>
      <c r="P25" s="36"/>
      <c r="Q25" s="36"/>
      <c r="R25" s="36"/>
      <c r="S25" s="36"/>
      <c r="T25" s="36"/>
      <c r="U25" s="36"/>
      <c r="V25" s="36"/>
      <c r="W25" s="36"/>
      <c r="X25" s="36"/>
      <c r="Y25" s="36"/>
      <c r="Z25" s="36"/>
      <c r="AA25" s="36"/>
      <c r="AB25" s="2"/>
    </row>
    <row r="26" spans="1:28" s="5" customFormat="1" x14ac:dyDescent="0.25">
      <c r="A26" s="150">
        <f>1</f>
        <v>1</v>
      </c>
      <c r="B26" s="132" t="str">
        <f>структура!$J$12</f>
        <v>ОСНО</v>
      </c>
      <c r="C26" s="3"/>
      <c r="D26" s="3"/>
      <c r="E26" s="89" t="str">
        <f>KPI!$E$75</f>
        <v>ОПЕРАЦИОННЫЕ РАСХОДЫ</v>
      </c>
      <c r="F26" s="89"/>
      <c r="G26" s="89" t="str">
        <f>IF($E26="","",INDEX(KPI!$G:$G,SUMIFS(KPI!$B:$B,KPI!$E:$E,$E26)))</f>
        <v>тыс.руб.</v>
      </c>
      <c r="H26" s="89"/>
      <c r="I26" s="90"/>
      <c r="J26" s="130" t="str">
        <f>структура!$AL$21</f>
        <v>Без НДС</v>
      </c>
      <c r="K26" s="90"/>
      <c r="L26" s="89"/>
      <c r="M26" s="92">
        <f>SUM($O26:$AB26)</f>
        <v>53346.861878190633</v>
      </c>
      <c r="N26" s="3"/>
      <c r="O26" s="3"/>
      <c r="P26" s="93">
        <f>IF(P$1="",0,SUMIFS(P33:P$113,$B33:$B$113,$B26))</f>
        <v>7488.6486404283332</v>
      </c>
      <c r="Q26" s="93">
        <f>IF(Q$1="",0,SUMIFS(Q33:Q$113,$B33:$B$113,$B26))</f>
        <v>7567.8298904283329</v>
      </c>
      <c r="R26" s="93">
        <f>IF(R$1="",0,SUMIFS(R33:R$113,$B33:$B$113,$B26))</f>
        <v>7558.4413346591027</v>
      </c>
      <c r="S26" s="93">
        <f>IF(S$1="",0,SUMIFS(S33:S$113,$B33:$B$113,$B26))</f>
        <v>7493.0917461975641</v>
      </c>
      <c r="T26" s="93">
        <f>IF(T$1="",0,SUMIFS(T33:T$113,$B33:$B$113,$B26))</f>
        <v>7596.0273711975642</v>
      </c>
      <c r="U26" s="93">
        <f>IF(U$1="",0,SUMIFS(U33:U$113,$B33:$B$113,$B26))</f>
        <v>7720.3485558129496</v>
      </c>
      <c r="V26" s="93">
        <f>IF(V$1="",0,SUMIFS(V33:V$113,$B33:$B$113,$B26))</f>
        <v>7922.4743394667939</v>
      </c>
      <c r="W26" s="93">
        <f>IF(W$1="",0,SUMIFS(W33:W$113,$B33:$B$113,$B26))</f>
        <v>0</v>
      </c>
      <c r="X26" s="93">
        <f>IF(X$1="",0,SUMIFS(X33:X$113,$B33:$B$113,$B26))</f>
        <v>0</v>
      </c>
      <c r="Y26" s="93">
        <f>IF(Y$1="",0,SUMIFS(Y33:Y$113,$B33:$B$113,$B26))</f>
        <v>0</v>
      </c>
      <c r="Z26" s="93">
        <f>IF(Z$1="",0,SUMIFS(Z33:Z$113,$B33:$B$113,$B26))</f>
        <v>0</v>
      </c>
      <c r="AA26" s="93">
        <f>IF(AA$1="",0,SUMIFS(AA33:AA$113,$B33:$B$113,$B26))</f>
        <v>0</v>
      </c>
      <c r="AB26" s="3"/>
    </row>
    <row r="27" spans="1:28" ht="3.9" customHeight="1" x14ac:dyDescent="0.25">
      <c r="A27" s="149">
        <f>1</f>
        <v>1</v>
      </c>
      <c r="B27" s="131"/>
      <c r="C27" s="2"/>
      <c r="D27" s="2"/>
      <c r="E27" s="2"/>
      <c r="F27" s="2"/>
      <c r="G27" s="2"/>
      <c r="H27" s="2"/>
      <c r="I27" s="28"/>
      <c r="J27" s="2"/>
      <c r="K27" s="28"/>
      <c r="L27" s="2"/>
      <c r="M27" s="52"/>
      <c r="N27" s="2"/>
      <c r="O27" s="2"/>
      <c r="P27" s="36"/>
      <c r="Q27" s="36"/>
      <c r="R27" s="36"/>
      <c r="S27" s="36"/>
      <c r="T27" s="36"/>
      <c r="U27" s="36"/>
      <c r="V27" s="36"/>
      <c r="W27" s="36"/>
      <c r="X27" s="36"/>
      <c r="Y27" s="36"/>
      <c r="Z27" s="36"/>
      <c r="AA27" s="36"/>
      <c r="AB27" s="2"/>
    </row>
    <row r="28" spans="1:28" s="5" customFormat="1" x14ac:dyDescent="0.25">
      <c r="A28" s="150">
        <f>1</f>
        <v>1</v>
      </c>
      <c r="B28" s="132" t="str">
        <f>структура!$J$13</f>
        <v>УСН(6%)</v>
      </c>
      <c r="C28" s="3"/>
      <c r="D28" s="3"/>
      <c r="E28" s="89" t="str">
        <f>E26</f>
        <v>ОПЕРАЦИОННЫЕ РАСХОДЫ</v>
      </c>
      <c r="F28" s="89"/>
      <c r="G28" s="89" t="str">
        <f>IF($E28="","",INDEX(KPI!$G:$G,SUMIFS(KPI!$B:$B,KPI!$E:$E,$E28)))</f>
        <v>тыс.руб.</v>
      </c>
      <c r="H28" s="89"/>
      <c r="I28" s="90"/>
      <c r="J28" s="130" t="str">
        <f>структура!$AL$21</f>
        <v>Без НДС</v>
      </c>
      <c r="K28" s="90"/>
      <c r="L28" s="89"/>
      <c r="M28" s="92">
        <f>SUM($O28:$AB28)</f>
        <v>56317.508469152177</v>
      </c>
      <c r="N28" s="3"/>
      <c r="O28" s="3"/>
      <c r="P28" s="93">
        <f>IF(P$1="",0,SUMIFS(P35:P$113,$B35:$B$113,$B28))</f>
        <v>7886.5603992744873</v>
      </c>
      <c r="Q28" s="93">
        <f>IF(Q$1="",0,SUMIFS(Q35:Q$113,$B35:$B$113,$B28))</f>
        <v>7981.5778992744872</v>
      </c>
      <c r="R28" s="93">
        <f>IF(R$1="",0,SUMIFS(R35:R$113,$B35:$B$113,$B28))</f>
        <v>7970.3116323514105</v>
      </c>
      <c r="S28" s="93">
        <f>IF(S$1="",0,SUMIFS(S35:S$113,$B35:$B$113,$B28))</f>
        <v>7891.8921261975638</v>
      </c>
      <c r="T28" s="93">
        <f>IF(T$1="",0,SUMIFS(T35:T$113,$B35:$B$113,$B28))</f>
        <v>8015.4148761975639</v>
      </c>
      <c r="U28" s="93">
        <f>IF(U$1="",0,SUMIFS(U35:U$113,$B35:$B$113,$B28))</f>
        <v>8164.6002977360267</v>
      </c>
      <c r="V28" s="93">
        <f>IF(V$1="",0,SUMIFS(V35:V$113,$B35:$B$113,$B28))</f>
        <v>8407.1512381206394</v>
      </c>
      <c r="W28" s="93">
        <f>IF(W$1="",0,SUMIFS(W35:W$113,$B35:$B$113,$B28))</f>
        <v>0</v>
      </c>
      <c r="X28" s="93">
        <f>IF(X$1="",0,SUMIFS(X35:X$113,$B35:$B$113,$B28))</f>
        <v>0</v>
      </c>
      <c r="Y28" s="93">
        <f>IF(Y$1="",0,SUMIFS(Y35:Y$113,$B35:$B$113,$B28))</f>
        <v>0</v>
      </c>
      <c r="Z28" s="93">
        <f>IF(Z$1="",0,SUMIFS(Z35:Z$113,$B35:$B$113,$B28))</f>
        <v>0</v>
      </c>
      <c r="AA28" s="93">
        <f>IF(AA$1="",0,SUMIFS(AA35:AA$113,$B35:$B$113,$B28))</f>
        <v>0</v>
      </c>
      <c r="AB28" s="3"/>
    </row>
    <row r="29" spans="1:28" ht="3.9" customHeight="1" x14ac:dyDescent="0.25">
      <c r="A29" s="149">
        <f>1</f>
        <v>1</v>
      </c>
      <c r="B29" s="131"/>
      <c r="C29" s="2"/>
      <c r="D29" s="2"/>
      <c r="E29" s="2"/>
      <c r="F29" s="2"/>
      <c r="G29" s="2"/>
      <c r="H29" s="2"/>
      <c r="I29" s="28"/>
      <c r="J29" s="2"/>
      <c r="K29" s="28"/>
      <c r="L29" s="2"/>
      <c r="M29" s="52"/>
      <c r="N29" s="2"/>
      <c r="O29" s="2"/>
      <c r="P29" s="36"/>
      <c r="Q29" s="36"/>
      <c r="R29" s="36"/>
      <c r="S29" s="36"/>
      <c r="T29" s="36"/>
      <c r="U29" s="36"/>
      <c r="V29" s="36"/>
      <c r="W29" s="36"/>
      <c r="X29" s="36"/>
      <c r="Y29" s="36"/>
      <c r="Z29" s="36"/>
      <c r="AA29" s="36"/>
      <c r="AB29" s="2"/>
    </row>
    <row r="30" spans="1:28" s="5" customFormat="1" x14ac:dyDescent="0.25">
      <c r="A30" s="150">
        <f>1</f>
        <v>1</v>
      </c>
      <c r="B30" s="132" t="str">
        <f>структура!$J$14</f>
        <v>УСН(15%)</v>
      </c>
      <c r="C30" s="3"/>
      <c r="D30" s="3"/>
      <c r="E30" s="89" t="str">
        <f>E26</f>
        <v>ОПЕРАЦИОННЫЕ РАСХОДЫ</v>
      </c>
      <c r="F30" s="89"/>
      <c r="G30" s="89" t="str">
        <f>IF($E30="","",INDEX(KPI!$G:$G,SUMIFS(KPI!$B:$B,KPI!$E:$E,$E30)))</f>
        <v>тыс.руб.</v>
      </c>
      <c r="H30" s="89"/>
      <c r="I30" s="90"/>
      <c r="J30" s="130" t="str">
        <f>структура!$AL$21</f>
        <v>Без НДС</v>
      </c>
      <c r="K30" s="90"/>
      <c r="L30" s="89"/>
      <c r="M30" s="92">
        <f>SUM($O30:$AB30)</f>
        <v>56317.508469152177</v>
      </c>
      <c r="N30" s="3"/>
      <c r="O30" s="3"/>
      <c r="P30" s="93">
        <f>IF(P$1="",0,SUMIFS(P37:P$113,$B37:$B$113,$B30))</f>
        <v>7886.5603992744873</v>
      </c>
      <c r="Q30" s="93">
        <f>IF(Q$1="",0,SUMIFS(Q37:Q$113,$B37:$B$113,$B30))</f>
        <v>7981.5778992744872</v>
      </c>
      <c r="R30" s="93">
        <f>IF(R$1="",0,SUMIFS(R37:R$113,$B37:$B$113,$B30))</f>
        <v>7970.3116323514105</v>
      </c>
      <c r="S30" s="93">
        <f>IF(S$1="",0,SUMIFS(S37:S$113,$B37:$B$113,$B30))</f>
        <v>7891.8921261975638</v>
      </c>
      <c r="T30" s="93">
        <f>IF(T$1="",0,SUMIFS(T37:T$113,$B37:$B$113,$B30))</f>
        <v>8015.4148761975639</v>
      </c>
      <c r="U30" s="93">
        <f>IF(U$1="",0,SUMIFS(U37:U$113,$B37:$B$113,$B30))</f>
        <v>8164.6002977360267</v>
      </c>
      <c r="V30" s="93">
        <f>IF(V$1="",0,SUMIFS(V37:V$113,$B37:$B$113,$B30))</f>
        <v>8407.1512381206394</v>
      </c>
      <c r="W30" s="93">
        <f>IF(W$1="",0,SUMIFS(W37:W$113,$B37:$B$113,$B30))</f>
        <v>0</v>
      </c>
      <c r="X30" s="93">
        <f>IF(X$1="",0,SUMIFS(X37:X$113,$B37:$B$113,$B30))</f>
        <v>0</v>
      </c>
      <c r="Y30" s="93">
        <f>IF(Y$1="",0,SUMIFS(Y37:Y$113,$B37:$B$113,$B30))</f>
        <v>0</v>
      </c>
      <c r="Z30" s="93">
        <f>IF(Z$1="",0,SUMIFS(Z37:Z$113,$B37:$B$113,$B30))</f>
        <v>0</v>
      </c>
      <c r="AA30" s="93">
        <f>IF(AA$1="",0,SUMIFS(AA37:AA$113,$B37:$B$113,$B30))</f>
        <v>0</v>
      </c>
      <c r="AB30" s="3"/>
    </row>
    <row r="31" spans="1:28" ht="3.9" customHeight="1" x14ac:dyDescent="0.25">
      <c r="A31" s="149">
        <f>1</f>
        <v>1</v>
      </c>
      <c r="B31" s="131"/>
      <c r="C31" s="2"/>
      <c r="D31" s="2"/>
      <c r="E31" s="2"/>
      <c r="F31" s="2"/>
      <c r="G31" s="2"/>
      <c r="H31" s="2"/>
      <c r="I31" s="28"/>
      <c r="J31" s="2"/>
      <c r="K31" s="28"/>
      <c r="L31" s="2"/>
      <c r="M31" s="52"/>
      <c r="N31" s="2"/>
      <c r="O31" s="2"/>
      <c r="P31" s="36"/>
      <c r="Q31" s="36"/>
      <c r="R31" s="36"/>
      <c r="S31" s="36"/>
      <c r="T31" s="36"/>
      <c r="U31" s="36"/>
      <c r="V31" s="36"/>
      <c r="W31" s="36"/>
      <c r="X31" s="36"/>
      <c r="Y31" s="36"/>
      <c r="Z31" s="36"/>
      <c r="AA31" s="36"/>
      <c r="AB31" s="2"/>
    </row>
    <row r="32" spans="1:28" s="5" customFormat="1" x14ac:dyDescent="0.25">
      <c r="A32" s="150">
        <f>1</f>
        <v>1</v>
      </c>
      <c r="B32" s="132" t="str">
        <f>структура!$J$15</f>
        <v>УСН(6%)-ИП</v>
      </c>
      <c r="C32" s="3"/>
      <c r="D32" s="3"/>
      <c r="E32" s="89" t="str">
        <f>E26</f>
        <v>ОПЕРАЦИОННЫЕ РАСХОДЫ</v>
      </c>
      <c r="F32" s="89"/>
      <c r="G32" s="89" t="str">
        <f>IF($E32="","",INDEX(KPI!$G:$G,SUMIFS(KPI!$B:$B,KPI!$E:$E,$E32)))</f>
        <v>тыс.руб.</v>
      </c>
      <c r="H32" s="89"/>
      <c r="I32" s="90"/>
      <c r="J32" s="130" t="str">
        <f>структура!$AL$21</f>
        <v>Без НДС</v>
      </c>
      <c r="K32" s="90"/>
      <c r="L32" s="89"/>
      <c r="M32" s="92">
        <f>SUM($O32:$AB32)</f>
        <v>56317.508469152177</v>
      </c>
      <c r="N32" s="3"/>
      <c r="O32" s="3"/>
      <c r="P32" s="93">
        <f>IF(P$1="",0,SUMIFS(P39:P$113,$B39:$B$113,$B32))</f>
        <v>7886.5603992744873</v>
      </c>
      <c r="Q32" s="93">
        <f>IF(Q$1="",0,SUMIFS(Q39:Q$113,$B39:$B$113,$B32))</f>
        <v>7981.5778992744872</v>
      </c>
      <c r="R32" s="93">
        <f>IF(R$1="",0,SUMIFS(R39:R$113,$B39:$B$113,$B32))</f>
        <v>7970.3116323514105</v>
      </c>
      <c r="S32" s="93">
        <f>IF(S$1="",0,SUMIFS(S39:S$113,$B39:$B$113,$B32))</f>
        <v>7891.8921261975638</v>
      </c>
      <c r="T32" s="93">
        <f>IF(T$1="",0,SUMIFS(T39:T$113,$B39:$B$113,$B32))</f>
        <v>8015.4148761975639</v>
      </c>
      <c r="U32" s="93">
        <f>IF(U$1="",0,SUMIFS(U39:U$113,$B39:$B$113,$B32))</f>
        <v>8164.6002977360267</v>
      </c>
      <c r="V32" s="93">
        <f>IF(V$1="",0,SUMIFS(V39:V$113,$B39:$B$113,$B32))</f>
        <v>8407.1512381206394</v>
      </c>
      <c r="W32" s="93">
        <f>IF(W$1="",0,SUMIFS(W39:W$113,$B39:$B$113,$B32))</f>
        <v>0</v>
      </c>
      <c r="X32" s="93">
        <f>IF(X$1="",0,SUMIFS(X39:X$113,$B39:$B$113,$B32))</f>
        <v>0</v>
      </c>
      <c r="Y32" s="93">
        <f>IF(Y$1="",0,SUMIFS(Y39:Y$113,$B39:$B$113,$B32))</f>
        <v>0</v>
      </c>
      <c r="Z32" s="93">
        <f>IF(Z$1="",0,SUMIFS(Z39:Z$113,$B39:$B$113,$B32))</f>
        <v>0</v>
      </c>
      <c r="AA32" s="93">
        <f>IF(AA$1="",0,SUMIFS(AA39:AA$113,$B39:$B$113,$B32))</f>
        <v>0</v>
      </c>
      <c r="AB32" s="3"/>
    </row>
    <row r="33" spans="1:28" ht="3.9" customHeight="1" x14ac:dyDescent="0.25">
      <c r="A33" s="149">
        <f>1</f>
        <v>1</v>
      </c>
      <c r="B33" s="131"/>
      <c r="C33" s="2"/>
      <c r="D33" s="2"/>
      <c r="E33" s="2"/>
      <c r="F33" s="2"/>
      <c r="G33" s="2"/>
      <c r="H33" s="2"/>
      <c r="I33" s="28"/>
      <c r="J33" s="2"/>
      <c r="K33" s="28"/>
      <c r="L33" s="2"/>
      <c r="M33" s="52"/>
      <c r="N33" s="2"/>
      <c r="O33" s="2"/>
      <c r="P33" s="36"/>
      <c r="Q33" s="36"/>
      <c r="R33" s="36"/>
      <c r="S33" s="36"/>
      <c r="T33" s="36"/>
      <c r="U33" s="36"/>
      <c r="V33" s="36"/>
      <c r="W33" s="36"/>
      <c r="X33" s="36"/>
      <c r="Y33" s="36"/>
      <c r="Z33" s="36"/>
      <c r="AA33" s="36"/>
      <c r="AB33" s="2"/>
    </row>
    <row r="34" spans="1:28" ht="8.1" customHeight="1" x14ac:dyDescent="0.25">
      <c r="A34" s="149">
        <f>1</f>
        <v>1</v>
      </c>
      <c r="B34" s="131"/>
      <c r="C34" s="2"/>
      <c r="D34" s="2"/>
      <c r="E34" s="2"/>
      <c r="F34" s="2"/>
      <c r="G34" s="2"/>
      <c r="H34" s="2"/>
      <c r="I34" s="28"/>
      <c r="J34" s="2"/>
      <c r="K34" s="28"/>
      <c r="L34" s="2"/>
      <c r="M34" s="52"/>
      <c r="N34" s="2"/>
      <c r="O34" s="2"/>
      <c r="P34" s="36"/>
      <c r="Q34" s="36"/>
      <c r="R34" s="36"/>
      <c r="S34" s="36"/>
      <c r="T34" s="36"/>
      <c r="U34" s="36"/>
      <c r="V34" s="36"/>
      <c r="W34" s="36"/>
      <c r="X34" s="36"/>
      <c r="Y34" s="36"/>
      <c r="Z34" s="36"/>
      <c r="AA34" s="36"/>
      <c r="AB34" s="2"/>
    </row>
    <row r="35" spans="1:28" ht="3.9" customHeight="1" x14ac:dyDescent="0.25">
      <c r="A35" s="149">
        <f>1</f>
        <v>1</v>
      </c>
      <c r="B35" s="131"/>
      <c r="C35" s="2"/>
      <c r="D35" s="2"/>
      <c r="E35" s="2"/>
      <c r="F35" s="2"/>
      <c r="G35" s="2"/>
      <c r="H35" s="2"/>
      <c r="I35" s="28"/>
      <c r="J35" s="2"/>
      <c r="K35" s="28"/>
      <c r="L35" s="2"/>
      <c r="M35" s="52"/>
      <c r="N35" s="2"/>
      <c r="O35" s="2"/>
      <c r="P35" s="36"/>
      <c r="Q35" s="36"/>
      <c r="R35" s="36"/>
      <c r="S35" s="36"/>
      <c r="T35" s="36"/>
      <c r="U35" s="36"/>
      <c r="V35" s="36"/>
      <c r="W35" s="36"/>
      <c r="X35" s="36"/>
      <c r="Y35" s="36"/>
      <c r="Z35" s="36"/>
      <c r="AA35" s="36"/>
      <c r="AB35" s="2"/>
    </row>
    <row r="36" spans="1:28" s="126" customFormat="1" x14ac:dyDescent="0.25">
      <c r="A36" s="149">
        <f>1</f>
        <v>1</v>
      </c>
      <c r="B36" s="132" t="str">
        <f>структура!$J$12</f>
        <v>ОСНО</v>
      </c>
      <c r="C36" s="123"/>
      <c r="D36" s="123"/>
      <c r="E36" s="130" t="str">
        <f>KPI!$E$76</f>
        <v>маркетинговые расходы</v>
      </c>
      <c r="F36" s="130"/>
      <c r="G36" s="130" t="str">
        <f>IF($E36="","",INDEX(KPI!$G:$G,SUMIFS(KPI!$B:$B,KPI!$E:$E,$E36)))</f>
        <v>тыс.руб.</v>
      </c>
      <c r="H36" s="130"/>
      <c r="I36" s="134"/>
      <c r="J36" s="130" t="str">
        <f>структура!$AL$21</f>
        <v>Без НДС</v>
      </c>
      <c r="K36" s="134"/>
      <c r="L36" s="130"/>
      <c r="M36" s="135">
        <f>SUM($O36:$AB36)</f>
        <v>3437.1873048076927</v>
      </c>
      <c r="N36" s="123"/>
      <c r="O36" s="123"/>
      <c r="P36" s="136">
        <f>IF(P$1="",0,IF(1+операции!P$421=0,0,(операции!P$232)/(1+операции!P$421)))</f>
        <v>589.35004807692314</v>
      </c>
      <c r="Q36" s="136">
        <f>IF(Q$1="",0,IF(1+операции!Q$421=0,0,(операции!Q$232)/(1+операции!Q$421)))</f>
        <v>615.7437980769231</v>
      </c>
      <c r="R36" s="136">
        <f>IF(R$1="",0,IF(1+операции!R$421=0,0,(операции!R$232)/(1+операции!R$421)))</f>
        <v>524.89115384615388</v>
      </c>
      <c r="S36" s="136">
        <f>IF(S$1="",0,IF(1+операции!S$421=0,0,(операции!S$232)/(1+операции!S$421)))</f>
        <v>409.03690384615385</v>
      </c>
      <c r="T36" s="136">
        <f>IF(T$1="",0,IF(1+операции!T$421=0,0,(операции!T$232)/(1+операции!T$421)))</f>
        <v>432.79127884615389</v>
      </c>
      <c r="U36" s="136">
        <f>IF(U$1="",0,IF(1+операции!U$421=0,0,(операции!U$232)/(1+операции!U$421)))</f>
        <v>425.14371346153843</v>
      </c>
      <c r="V36" s="136">
        <f>IF(V$1="",0,IF(1+операции!V$421=0,0,(операции!V$232)/(1+операции!V$421)))</f>
        <v>440.2304086538461</v>
      </c>
      <c r="W36" s="136">
        <f>IF(W$1="",0,IF(1+операции!W$421=0,0,(операции!W$232)/(1+операции!W$421)))</f>
        <v>0</v>
      </c>
      <c r="X36" s="136">
        <f>IF(X$1="",0,IF(1+операции!X$421=0,0,(операции!X$232)/(1+операции!X$421)))</f>
        <v>0</v>
      </c>
      <c r="Y36" s="136">
        <f>IF(Y$1="",0,IF(1+операции!Y$421=0,0,(операции!Y$232)/(1+операции!Y$421)))</f>
        <v>0</v>
      </c>
      <c r="Z36" s="136">
        <f>IF(Z$1="",0,IF(1+операции!Z$421=0,0,(операции!Z$232)/(1+операции!Z$421)))</f>
        <v>0</v>
      </c>
      <c r="AA36" s="136">
        <f>IF(AA$1="",0,IF(1+операции!AA$421=0,0,(операции!AA$232)/(1+операции!AA$421)))</f>
        <v>0</v>
      </c>
      <c r="AB36" s="123"/>
    </row>
    <row r="37" spans="1:28" s="126" customFormat="1" ht="3.9" customHeight="1" x14ac:dyDescent="0.25">
      <c r="A37" s="149">
        <f>1</f>
        <v>1</v>
      </c>
      <c r="B37" s="131"/>
      <c r="C37" s="123"/>
      <c r="D37" s="123"/>
      <c r="E37" s="123"/>
      <c r="F37" s="123"/>
      <c r="G37" s="123"/>
      <c r="H37" s="123"/>
      <c r="I37" s="124"/>
      <c r="J37" s="123"/>
      <c r="K37" s="124"/>
      <c r="L37" s="123"/>
      <c r="M37" s="125"/>
      <c r="N37" s="123"/>
      <c r="O37" s="123"/>
      <c r="P37" s="137"/>
      <c r="Q37" s="137"/>
      <c r="R37" s="137"/>
      <c r="S37" s="137"/>
      <c r="T37" s="137"/>
      <c r="U37" s="137"/>
      <c r="V37" s="137"/>
      <c r="W37" s="137"/>
      <c r="X37" s="137"/>
      <c r="Y37" s="137"/>
      <c r="Z37" s="137"/>
      <c r="AA37" s="137"/>
      <c r="AB37" s="123"/>
    </row>
    <row r="38" spans="1:28" s="126" customFormat="1" x14ac:dyDescent="0.25">
      <c r="A38" s="149">
        <f>1</f>
        <v>1</v>
      </c>
      <c r="B38" s="132" t="str">
        <f>структура!$J$13</f>
        <v>УСН(6%)</v>
      </c>
      <c r="C38" s="123"/>
      <c r="D38" s="123"/>
      <c r="E38" s="130" t="str">
        <f>E36</f>
        <v>маркетинговые расходы</v>
      </c>
      <c r="F38" s="130"/>
      <c r="G38" s="130" t="str">
        <f>IF($E38="","",INDEX(KPI!$G:$G,SUMIFS(KPI!$B:$B,KPI!$E:$E,$E38)))</f>
        <v>тыс.руб.</v>
      </c>
      <c r="H38" s="130"/>
      <c r="I38" s="134"/>
      <c r="J38" s="130" t="str">
        <f>структура!$AL$21</f>
        <v>Без НДС</v>
      </c>
      <c r="K38" s="134"/>
      <c r="L38" s="130"/>
      <c r="M38" s="135">
        <f>SUM($O38:$AB38)</f>
        <v>3437.1873048076927</v>
      </c>
      <c r="N38" s="123"/>
      <c r="O38" s="123"/>
      <c r="P38" s="136">
        <f>IF(P$1="",0,IF(1+операции!P$421=0,0,(операции!P$232)/(1+операции!P$421)))</f>
        <v>589.35004807692314</v>
      </c>
      <c r="Q38" s="136">
        <f>IF(Q$1="",0,IF(1+операции!Q$421=0,0,(операции!Q$232)/(1+операции!Q$421)))</f>
        <v>615.7437980769231</v>
      </c>
      <c r="R38" s="136">
        <f>IF(R$1="",0,IF(1+операции!R$421=0,0,(операции!R$232)/(1+операции!R$421)))</f>
        <v>524.89115384615388</v>
      </c>
      <c r="S38" s="136">
        <f>IF(S$1="",0,IF(1+операции!S$421=0,0,(операции!S$232)/(1+операции!S$421)))</f>
        <v>409.03690384615385</v>
      </c>
      <c r="T38" s="136">
        <f>IF(T$1="",0,IF(1+операции!T$421=0,0,(операции!T$232)/(1+операции!T$421)))</f>
        <v>432.79127884615389</v>
      </c>
      <c r="U38" s="136">
        <f>IF(U$1="",0,IF(1+операции!U$421=0,0,(операции!U$232)/(1+операции!U$421)))</f>
        <v>425.14371346153843</v>
      </c>
      <c r="V38" s="136">
        <f>IF(V$1="",0,IF(1+операции!V$421=0,0,(операции!V$232)/(1+операции!V$421)))</f>
        <v>440.2304086538461</v>
      </c>
      <c r="W38" s="136">
        <f>IF(W$1="",0,IF(1+операции!W$421=0,0,(операции!W$232)/(1+операции!W$421)))</f>
        <v>0</v>
      </c>
      <c r="X38" s="136">
        <f>IF(X$1="",0,IF(1+операции!X$421=0,0,(операции!X$232)/(1+операции!X$421)))</f>
        <v>0</v>
      </c>
      <c r="Y38" s="136">
        <f>IF(Y$1="",0,IF(1+операции!Y$421=0,0,(операции!Y$232)/(1+операции!Y$421)))</f>
        <v>0</v>
      </c>
      <c r="Z38" s="136">
        <f>IF(Z$1="",0,IF(1+операции!Z$421=0,0,(операции!Z$232)/(1+операции!Z$421)))</f>
        <v>0</v>
      </c>
      <c r="AA38" s="136">
        <f>IF(AA$1="",0,IF(1+операции!AA$421=0,0,(операции!AA$232)/(1+операции!AA$421)))</f>
        <v>0</v>
      </c>
      <c r="AB38" s="123"/>
    </row>
    <row r="39" spans="1:28" s="126" customFormat="1" ht="3.9" customHeight="1" x14ac:dyDescent="0.25">
      <c r="A39" s="149">
        <f>1</f>
        <v>1</v>
      </c>
      <c r="B39" s="131"/>
      <c r="C39" s="123"/>
      <c r="D39" s="123"/>
      <c r="E39" s="123"/>
      <c r="F39" s="123"/>
      <c r="G39" s="123"/>
      <c r="H39" s="123"/>
      <c r="I39" s="124"/>
      <c r="J39" s="123"/>
      <c r="K39" s="124"/>
      <c r="L39" s="123"/>
      <c r="M39" s="125"/>
      <c r="N39" s="123"/>
      <c r="O39" s="123"/>
      <c r="P39" s="137"/>
      <c r="Q39" s="137"/>
      <c r="R39" s="137"/>
      <c r="S39" s="137"/>
      <c r="T39" s="137"/>
      <c r="U39" s="137"/>
      <c r="V39" s="137"/>
      <c r="W39" s="137"/>
      <c r="X39" s="137"/>
      <c r="Y39" s="137"/>
      <c r="Z39" s="137"/>
      <c r="AA39" s="137"/>
      <c r="AB39" s="123"/>
    </row>
    <row r="40" spans="1:28" s="126" customFormat="1" x14ac:dyDescent="0.25">
      <c r="A40" s="149">
        <f>1</f>
        <v>1</v>
      </c>
      <c r="B40" s="132" t="str">
        <f>структура!$J$14</f>
        <v>УСН(15%)</v>
      </c>
      <c r="C40" s="123"/>
      <c r="D40" s="123"/>
      <c r="E40" s="130" t="str">
        <f>E36</f>
        <v>маркетинговые расходы</v>
      </c>
      <c r="F40" s="130"/>
      <c r="G40" s="130" t="str">
        <f>IF($E40="","",INDEX(KPI!$G:$G,SUMIFS(KPI!$B:$B,KPI!$E:$E,$E40)))</f>
        <v>тыс.руб.</v>
      </c>
      <c r="H40" s="130"/>
      <c r="I40" s="134"/>
      <c r="J40" s="130" t="str">
        <f>структура!$AL$21</f>
        <v>Без НДС</v>
      </c>
      <c r="K40" s="134"/>
      <c r="L40" s="130"/>
      <c r="M40" s="135">
        <f>SUM($O40:$AB40)</f>
        <v>3437.1873048076927</v>
      </c>
      <c r="N40" s="123"/>
      <c r="O40" s="123"/>
      <c r="P40" s="136">
        <f>IF(P$1="",0,IF(1+операции!P$421=0,0,(операции!P$232)/(1+операции!P$421)))</f>
        <v>589.35004807692314</v>
      </c>
      <c r="Q40" s="136">
        <f>IF(Q$1="",0,IF(1+операции!Q$421=0,0,(операции!Q$232)/(1+операции!Q$421)))</f>
        <v>615.7437980769231</v>
      </c>
      <c r="R40" s="136">
        <f>IF(R$1="",0,IF(1+операции!R$421=0,0,(операции!R$232)/(1+операции!R$421)))</f>
        <v>524.89115384615388</v>
      </c>
      <c r="S40" s="136">
        <f>IF(S$1="",0,IF(1+операции!S$421=0,0,(операции!S$232)/(1+операции!S$421)))</f>
        <v>409.03690384615385</v>
      </c>
      <c r="T40" s="136">
        <f>IF(T$1="",0,IF(1+операции!T$421=0,0,(операции!T$232)/(1+операции!T$421)))</f>
        <v>432.79127884615389</v>
      </c>
      <c r="U40" s="136">
        <f>IF(U$1="",0,IF(1+операции!U$421=0,0,(операции!U$232)/(1+операции!U$421)))</f>
        <v>425.14371346153843</v>
      </c>
      <c r="V40" s="136">
        <f>IF(V$1="",0,IF(1+операции!V$421=0,0,(операции!V$232)/(1+операции!V$421)))</f>
        <v>440.2304086538461</v>
      </c>
      <c r="W40" s="136">
        <f>IF(W$1="",0,IF(1+операции!W$421=0,0,(операции!W$232)/(1+операции!W$421)))</f>
        <v>0</v>
      </c>
      <c r="X40" s="136">
        <f>IF(X$1="",0,IF(1+операции!X$421=0,0,(операции!X$232)/(1+операции!X$421)))</f>
        <v>0</v>
      </c>
      <c r="Y40" s="136">
        <f>IF(Y$1="",0,IF(1+операции!Y$421=0,0,(операции!Y$232)/(1+операции!Y$421)))</f>
        <v>0</v>
      </c>
      <c r="Z40" s="136">
        <f>IF(Z$1="",0,IF(1+операции!Z$421=0,0,(операции!Z$232)/(1+операции!Z$421)))</f>
        <v>0</v>
      </c>
      <c r="AA40" s="136">
        <f>IF(AA$1="",0,IF(1+операции!AA$421=0,0,(операции!AA$232)/(1+операции!AA$421)))</f>
        <v>0</v>
      </c>
      <c r="AB40" s="123"/>
    </row>
    <row r="41" spans="1:28" s="126" customFormat="1" ht="3.9" customHeight="1" x14ac:dyDescent="0.25">
      <c r="A41" s="149">
        <f>1</f>
        <v>1</v>
      </c>
      <c r="B41" s="131"/>
      <c r="C41" s="123"/>
      <c r="D41" s="123"/>
      <c r="E41" s="123"/>
      <c r="F41" s="123"/>
      <c r="G41" s="123"/>
      <c r="H41" s="123"/>
      <c r="I41" s="124"/>
      <c r="J41" s="123"/>
      <c r="K41" s="124"/>
      <c r="L41" s="123"/>
      <c r="M41" s="125"/>
      <c r="N41" s="123"/>
      <c r="O41" s="123"/>
      <c r="P41" s="137"/>
      <c r="Q41" s="137"/>
      <c r="R41" s="137"/>
      <c r="S41" s="137"/>
      <c r="T41" s="137"/>
      <c r="U41" s="137"/>
      <c r="V41" s="137"/>
      <c r="W41" s="137"/>
      <c r="X41" s="137"/>
      <c r="Y41" s="137"/>
      <c r="Z41" s="137"/>
      <c r="AA41" s="137"/>
      <c r="AB41" s="123"/>
    </row>
    <row r="42" spans="1:28" s="126" customFormat="1" x14ac:dyDescent="0.25">
      <c r="A42" s="149">
        <f>1</f>
        <v>1</v>
      </c>
      <c r="B42" s="132" t="str">
        <f>структура!$J$15</f>
        <v>УСН(6%)-ИП</v>
      </c>
      <c r="C42" s="123"/>
      <c r="D42" s="123"/>
      <c r="E42" s="130" t="str">
        <f>E36</f>
        <v>маркетинговые расходы</v>
      </c>
      <c r="F42" s="130"/>
      <c r="G42" s="130" t="str">
        <f>IF($E42="","",INDEX(KPI!$G:$G,SUMIFS(KPI!$B:$B,KPI!$E:$E,$E42)))</f>
        <v>тыс.руб.</v>
      </c>
      <c r="H42" s="130"/>
      <c r="I42" s="134"/>
      <c r="J42" s="130" t="str">
        <f>структура!$AL$21</f>
        <v>Без НДС</v>
      </c>
      <c r="K42" s="134"/>
      <c r="L42" s="130"/>
      <c r="M42" s="135">
        <f>SUM($O42:$AB42)</f>
        <v>3437.1873048076927</v>
      </c>
      <c r="N42" s="123"/>
      <c r="O42" s="123"/>
      <c r="P42" s="136">
        <f>IF(P$1="",0,IF(1+операции!P$421=0,0,(операции!P$232)/(1+операции!P$421)))</f>
        <v>589.35004807692314</v>
      </c>
      <c r="Q42" s="136">
        <f>IF(Q$1="",0,IF(1+операции!Q$421=0,0,(операции!Q$232)/(1+операции!Q$421)))</f>
        <v>615.7437980769231</v>
      </c>
      <c r="R42" s="136">
        <f>IF(R$1="",0,IF(1+операции!R$421=0,0,(операции!R$232)/(1+операции!R$421)))</f>
        <v>524.89115384615388</v>
      </c>
      <c r="S42" s="136">
        <f>IF(S$1="",0,IF(1+операции!S$421=0,0,(операции!S$232)/(1+операции!S$421)))</f>
        <v>409.03690384615385</v>
      </c>
      <c r="T42" s="136">
        <f>IF(T$1="",0,IF(1+операции!T$421=0,0,(операции!T$232)/(1+операции!T$421)))</f>
        <v>432.79127884615389</v>
      </c>
      <c r="U42" s="136">
        <f>IF(U$1="",0,IF(1+операции!U$421=0,0,(операции!U$232)/(1+операции!U$421)))</f>
        <v>425.14371346153843</v>
      </c>
      <c r="V42" s="136">
        <f>IF(V$1="",0,IF(1+операции!V$421=0,0,(операции!V$232)/(1+операции!V$421)))</f>
        <v>440.2304086538461</v>
      </c>
      <c r="W42" s="136">
        <f>IF(W$1="",0,IF(1+операции!W$421=0,0,(операции!W$232)/(1+операции!W$421)))</f>
        <v>0</v>
      </c>
      <c r="X42" s="136">
        <f>IF(X$1="",0,IF(1+операции!X$421=0,0,(операции!X$232)/(1+операции!X$421)))</f>
        <v>0</v>
      </c>
      <c r="Y42" s="136">
        <f>IF(Y$1="",0,IF(1+операции!Y$421=0,0,(операции!Y$232)/(1+операции!Y$421)))</f>
        <v>0</v>
      </c>
      <c r="Z42" s="136">
        <f>IF(Z$1="",0,IF(1+операции!Z$421=0,0,(операции!Z$232)/(1+операции!Z$421)))</f>
        <v>0</v>
      </c>
      <c r="AA42" s="136">
        <f>IF(AA$1="",0,IF(1+операции!AA$421=0,0,(операции!AA$232)/(1+операции!AA$421)))</f>
        <v>0</v>
      </c>
      <c r="AB42" s="123"/>
    </row>
    <row r="43" spans="1:28" ht="3.9" customHeight="1" x14ac:dyDescent="0.25">
      <c r="A43" s="149">
        <f>1</f>
        <v>1</v>
      </c>
      <c r="B43" s="131"/>
      <c r="C43" s="2"/>
      <c r="D43" s="2"/>
      <c r="E43" s="2"/>
      <c r="F43" s="2"/>
      <c r="G43" s="2"/>
      <c r="H43" s="2"/>
      <c r="I43" s="28"/>
      <c r="J43" s="2"/>
      <c r="K43" s="28"/>
      <c r="L43" s="2"/>
      <c r="M43" s="52"/>
      <c r="N43" s="2"/>
      <c r="O43" s="2"/>
      <c r="P43" s="36"/>
      <c r="Q43" s="36"/>
      <c r="R43" s="36"/>
      <c r="S43" s="36"/>
      <c r="T43" s="36"/>
      <c r="U43" s="36"/>
      <c r="V43" s="36"/>
      <c r="W43" s="36"/>
      <c r="X43" s="36"/>
      <c r="Y43" s="36"/>
      <c r="Z43" s="36"/>
      <c r="AA43" s="36"/>
      <c r="AB43" s="2"/>
    </row>
    <row r="44" spans="1:28" ht="8.1" customHeight="1" x14ac:dyDescent="0.25">
      <c r="A44" s="149">
        <f>1</f>
        <v>1</v>
      </c>
      <c r="B44" s="131"/>
      <c r="C44" s="2"/>
      <c r="D44" s="2"/>
      <c r="E44" s="2"/>
      <c r="F44" s="2"/>
      <c r="G44" s="2"/>
      <c r="H44" s="2"/>
      <c r="I44" s="28"/>
      <c r="J44" s="2"/>
      <c r="K44" s="28"/>
      <c r="L44" s="2"/>
      <c r="M44" s="52"/>
      <c r="N44" s="2"/>
      <c r="O44" s="2"/>
      <c r="P44" s="36"/>
      <c r="Q44" s="36"/>
      <c r="R44" s="36"/>
      <c r="S44" s="36"/>
      <c r="T44" s="36"/>
      <c r="U44" s="36"/>
      <c r="V44" s="36"/>
      <c r="W44" s="36"/>
      <c r="X44" s="36"/>
      <c r="Y44" s="36"/>
      <c r="Z44" s="36"/>
      <c r="AA44" s="36"/>
      <c r="AB44" s="2"/>
    </row>
    <row r="45" spans="1:28" ht="3.9" customHeight="1" x14ac:dyDescent="0.25">
      <c r="A45" s="149">
        <f>1</f>
        <v>1</v>
      </c>
      <c r="B45" s="131"/>
      <c r="C45" s="2"/>
      <c r="D45" s="2"/>
      <c r="E45" s="2"/>
      <c r="F45" s="2"/>
      <c r="G45" s="2"/>
      <c r="H45" s="2"/>
      <c r="I45" s="28"/>
      <c r="J45" s="2"/>
      <c r="K45" s="28"/>
      <c r="L45" s="2"/>
      <c r="M45" s="52"/>
      <c r="N45" s="2"/>
      <c r="O45" s="2"/>
      <c r="P45" s="36"/>
      <c r="Q45" s="36"/>
      <c r="R45" s="36"/>
      <c r="S45" s="36"/>
      <c r="T45" s="36"/>
      <c r="U45" s="36"/>
      <c r="V45" s="36"/>
      <c r="W45" s="36"/>
      <c r="X45" s="36"/>
      <c r="Y45" s="36"/>
      <c r="Z45" s="36"/>
      <c r="AA45" s="36"/>
      <c r="AB45" s="2"/>
    </row>
    <row r="46" spans="1:28" s="126" customFormat="1" x14ac:dyDescent="0.25">
      <c r="A46" s="149">
        <f>1</f>
        <v>1</v>
      </c>
      <c r="B46" s="132" t="str">
        <f>структура!$J$12</f>
        <v>ОСНО</v>
      </c>
      <c r="C46" s="123"/>
      <c r="D46" s="123"/>
      <c r="E46" s="130" t="str">
        <f>KPI!$E$77</f>
        <v>расходы на аренду земли</v>
      </c>
      <c r="F46" s="130"/>
      <c r="G46" s="130" t="str">
        <f>IF($E46="","",INDEX(KPI!$G:$G,SUMIFS(KPI!$B:$B,KPI!$E:$E,$E46)))</f>
        <v>тыс.руб.</v>
      </c>
      <c r="H46" s="130"/>
      <c r="I46" s="134"/>
      <c r="J46" s="130"/>
      <c r="K46" s="134"/>
      <c r="L46" s="130"/>
      <c r="M46" s="135">
        <f>SUM($O46:$AB46)</f>
        <v>18260.548923382947</v>
      </c>
      <c r="N46" s="123"/>
      <c r="O46" s="123"/>
      <c r="P46" s="136">
        <f>IF(P$1="",0,операции!P$250)</f>
        <v>2608.6498461975639</v>
      </c>
      <c r="Q46" s="136">
        <f>IF(Q$1="",0,операции!Q$250)</f>
        <v>2608.6498461975639</v>
      </c>
      <c r="R46" s="136">
        <f>IF(R$1="",0,операции!R$250)</f>
        <v>2608.6498461975639</v>
      </c>
      <c r="S46" s="136">
        <f>IF(S$1="",0,операции!S$250)</f>
        <v>2608.6498461975639</v>
      </c>
      <c r="T46" s="136">
        <f>IF(T$1="",0,операции!T$250)</f>
        <v>2608.6498461975639</v>
      </c>
      <c r="U46" s="136">
        <f>IF(U$1="",0,операции!U$250)</f>
        <v>2608.6498461975639</v>
      </c>
      <c r="V46" s="136">
        <f>IF(V$1="",0,операции!V$250)</f>
        <v>2608.6498461975639</v>
      </c>
      <c r="W46" s="136">
        <f>IF(W$1="",0,операции!W$250)</f>
        <v>0</v>
      </c>
      <c r="X46" s="136">
        <f>IF(X$1="",0,операции!X$250)</f>
        <v>0</v>
      </c>
      <c r="Y46" s="136">
        <f>IF(Y$1="",0,операции!Y$250)</f>
        <v>0</v>
      </c>
      <c r="Z46" s="136">
        <f>IF(Z$1="",0,операции!Z$250)</f>
        <v>0</v>
      </c>
      <c r="AA46" s="136">
        <f>IF(AA$1="",0,операции!AA$250)</f>
        <v>0</v>
      </c>
      <c r="AB46" s="123"/>
    </row>
    <row r="47" spans="1:28" s="126" customFormat="1" ht="3.9" customHeight="1" x14ac:dyDescent="0.25">
      <c r="A47" s="149">
        <f>1</f>
        <v>1</v>
      </c>
      <c r="B47" s="131"/>
      <c r="C47" s="123"/>
      <c r="D47" s="123"/>
      <c r="E47" s="123"/>
      <c r="F47" s="123"/>
      <c r="G47" s="123"/>
      <c r="H47" s="123"/>
      <c r="I47" s="124"/>
      <c r="J47" s="123"/>
      <c r="K47" s="124"/>
      <c r="L47" s="123"/>
      <c r="M47" s="125"/>
      <c r="N47" s="123"/>
      <c r="O47" s="123"/>
      <c r="P47" s="137"/>
      <c r="Q47" s="137"/>
      <c r="R47" s="137"/>
      <c r="S47" s="137"/>
      <c r="T47" s="137"/>
      <c r="U47" s="137"/>
      <c r="V47" s="137"/>
      <c r="W47" s="137"/>
      <c r="X47" s="137"/>
      <c r="Y47" s="137"/>
      <c r="Z47" s="137"/>
      <c r="AA47" s="137"/>
      <c r="AB47" s="123"/>
    </row>
    <row r="48" spans="1:28" s="126" customFormat="1" x14ac:dyDescent="0.25">
      <c r="A48" s="149">
        <f>1</f>
        <v>1</v>
      </c>
      <c r="B48" s="132" t="str">
        <f>структура!$J$13</f>
        <v>УСН(6%)</v>
      </c>
      <c r="C48" s="123"/>
      <c r="D48" s="123"/>
      <c r="E48" s="130" t="str">
        <f>E46</f>
        <v>расходы на аренду земли</v>
      </c>
      <c r="F48" s="130"/>
      <c r="G48" s="130" t="str">
        <f>IF($E48="","",INDEX(KPI!$G:$G,SUMIFS(KPI!$B:$B,KPI!$E:$E,$E48)))</f>
        <v>тыс.руб.</v>
      </c>
      <c r="H48" s="130"/>
      <c r="I48" s="134"/>
      <c r="J48" s="130"/>
      <c r="K48" s="134"/>
      <c r="L48" s="130"/>
      <c r="M48" s="135">
        <f>SUM($O48:$AB48)</f>
        <v>18260.548923382947</v>
      </c>
      <c r="N48" s="123"/>
      <c r="O48" s="123"/>
      <c r="P48" s="136">
        <f>IF(P$1="",0,операции!P$250)</f>
        <v>2608.6498461975639</v>
      </c>
      <c r="Q48" s="136">
        <f>IF(Q$1="",0,операции!Q$250)</f>
        <v>2608.6498461975639</v>
      </c>
      <c r="R48" s="136">
        <f>IF(R$1="",0,операции!R$250)</f>
        <v>2608.6498461975639</v>
      </c>
      <c r="S48" s="136">
        <f>IF(S$1="",0,операции!S$250)</f>
        <v>2608.6498461975639</v>
      </c>
      <c r="T48" s="136">
        <f>IF(T$1="",0,операции!T$250)</f>
        <v>2608.6498461975639</v>
      </c>
      <c r="U48" s="136">
        <f>IF(U$1="",0,операции!U$250)</f>
        <v>2608.6498461975639</v>
      </c>
      <c r="V48" s="136">
        <f>IF(V$1="",0,операции!V$250)</f>
        <v>2608.6498461975639</v>
      </c>
      <c r="W48" s="136">
        <f>IF(W$1="",0,операции!W$250)</f>
        <v>0</v>
      </c>
      <c r="X48" s="136">
        <f>IF(X$1="",0,операции!X$250)</f>
        <v>0</v>
      </c>
      <c r="Y48" s="136">
        <f>IF(Y$1="",0,операции!Y$250)</f>
        <v>0</v>
      </c>
      <c r="Z48" s="136">
        <f>IF(Z$1="",0,операции!Z$250)</f>
        <v>0</v>
      </c>
      <c r="AA48" s="136">
        <f>IF(AA$1="",0,операции!AA$250)</f>
        <v>0</v>
      </c>
      <c r="AB48" s="123"/>
    </row>
    <row r="49" spans="1:28" s="126" customFormat="1" ht="3.9" customHeight="1" x14ac:dyDescent="0.25">
      <c r="A49" s="149">
        <f>1</f>
        <v>1</v>
      </c>
      <c r="B49" s="131"/>
      <c r="C49" s="123"/>
      <c r="D49" s="123"/>
      <c r="E49" s="123"/>
      <c r="F49" s="123"/>
      <c r="G49" s="123"/>
      <c r="H49" s="123"/>
      <c r="I49" s="124"/>
      <c r="J49" s="123"/>
      <c r="K49" s="124"/>
      <c r="L49" s="123"/>
      <c r="M49" s="125"/>
      <c r="N49" s="123"/>
      <c r="O49" s="123"/>
      <c r="P49" s="137"/>
      <c r="Q49" s="137"/>
      <c r="R49" s="137"/>
      <c r="S49" s="137"/>
      <c r="T49" s="137"/>
      <c r="U49" s="137"/>
      <c r="V49" s="137"/>
      <c r="W49" s="137"/>
      <c r="X49" s="137"/>
      <c r="Y49" s="137"/>
      <c r="Z49" s="137"/>
      <c r="AA49" s="137"/>
      <c r="AB49" s="123"/>
    </row>
    <row r="50" spans="1:28" s="126" customFormat="1" x14ac:dyDescent="0.25">
      <c r="A50" s="149">
        <f>1</f>
        <v>1</v>
      </c>
      <c r="B50" s="132" t="str">
        <f>структура!$J$14</f>
        <v>УСН(15%)</v>
      </c>
      <c r="C50" s="123"/>
      <c r="D50" s="123"/>
      <c r="E50" s="130" t="str">
        <f>E46</f>
        <v>расходы на аренду земли</v>
      </c>
      <c r="F50" s="130"/>
      <c r="G50" s="130" t="str">
        <f>IF($E50="","",INDEX(KPI!$G:$G,SUMIFS(KPI!$B:$B,KPI!$E:$E,$E50)))</f>
        <v>тыс.руб.</v>
      </c>
      <c r="H50" s="130"/>
      <c r="I50" s="134"/>
      <c r="J50" s="130"/>
      <c r="K50" s="134"/>
      <c r="L50" s="130"/>
      <c r="M50" s="135">
        <f>SUM($O50:$AB50)</f>
        <v>18260.548923382947</v>
      </c>
      <c r="N50" s="123"/>
      <c r="O50" s="123"/>
      <c r="P50" s="136">
        <f>IF(P$1="",0,операции!P$250)</f>
        <v>2608.6498461975639</v>
      </c>
      <c r="Q50" s="136">
        <f>IF(Q$1="",0,операции!Q$250)</f>
        <v>2608.6498461975639</v>
      </c>
      <c r="R50" s="136">
        <f>IF(R$1="",0,операции!R$250)</f>
        <v>2608.6498461975639</v>
      </c>
      <c r="S50" s="136">
        <f>IF(S$1="",0,операции!S$250)</f>
        <v>2608.6498461975639</v>
      </c>
      <c r="T50" s="136">
        <f>IF(T$1="",0,операции!T$250)</f>
        <v>2608.6498461975639</v>
      </c>
      <c r="U50" s="136">
        <f>IF(U$1="",0,операции!U$250)</f>
        <v>2608.6498461975639</v>
      </c>
      <c r="V50" s="136">
        <f>IF(V$1="",0,операции!V$250)</f>
        <v>2608.6498461975639</v>
      </c>
      <c r="W50" s="136">
        <f>IF(W$1="",0,операции!W$250)</f>
        <v>0</v>
      </c>
      <c r="X50" s="136">
        <f>IF(X$1="",0,операции!X$250)</f>
        <v>0</v>
      </c>
      <c r="Y50" s="136">
        <f>IF(Y$1="",0,операции!Y$250)</f>
        <v>0</v>
      </c>
      <c r="Z50" s="136">
        <f>IF(Z$1="",0,операции!Z$250)</f>
        <v>0</v>
      </c>
      <c r="AA50" s="136">
        <f>IF(AA$1="",0,операции!AA$250)</f>
        <v>0</v>
      </c>
      <c r="AB50" s="123"/>
    </row>
    <row r="51" spans="1:28" s="126" customFormat="1" ht="3.9" customHeight="1" x14ac:dyDescent="0.25">
      <c r="A51" s="149">
        <f>1</f>
        <v>1</v>
      </c>
      <c r="B51" s="131"/>
      <c r="C51" s="123"/>
      <c r="D51" s="123"/>
      <c r="E51" s="123"/>
      <c r="F51" s="123"/>
      <c r="G51" s="123"/>
      <c r="H51" s="123"/>
      <c r="I51" s="124"/>
      <c r="J51" s="123"/>
      <c r="K51" s="124"/>
      <c r="L51" s="123"/>
      <c r="M51" s="125"/>
      <c r="N51" s="123"/>
      <c r="O51" s="123"/>
      <c r="P51" s="137"/>
      <c r="Q51" s="137"/>
      <c r="R51" s="137"/>
      <c r="S51" s="137"/>
      <c r="T51" s="137"/>
      <c r="U51" s="137"/>
      <c r="V51" s="137"/>
      <c r="W51" s="137"/>
      <c r="X51" s="137"/>
      <c r="Y51" s="137"/>
      <c r="Z51" s="137"/>
      <c r="AA51" s="137"/>
      <c r="AB51" s="123"/>
    </row>
    <row r="52" spans="1:28" s="126" customFormat="1" x14ac:dyDescent="0.25">
      <c r="A52" s="149">
        <f>1</f>
        <v>1</v>
      </c>
      <c r="B52" s="132" t="str">
        <f>структура!$J$15</f>
        <v>УСН(6%)-ИП</v>
      </c>
      <c r="C52" s="123"/>
      <c r="D52" s="123"/>
      <c r="E52" s="130" t="str">
        <f>E46</f>
        <v>расходы на аренду земли</v>
      </c>
      <c r="F52" s="130"/>
      <c r="G52" s="130" t="str">
        <f>IF($E52="","",INDEX(KPI!$G:$G,SUMIFS(KPI!$B:$B,KPI!$E:$E,$E52)))</f>
        <v>тыс.руб.</v>
      </c>
      <c r="H52" s="130"/>
      <c r="I52" s="134"/>
      <c r="J52" s="130"/>
      <c r="K52" s="134"/>
      <c r="L52" s="130"/>
      <c r="M52" s="135">
        <f>SUM($O52:$AB52)</f>
        <v>18260.548923382947</v>
      </c>
      <c r="N52" s="123"/>
      <c r="O52" s="123"/>
      <c r="P52" s="136">
        <f>IF(P$1="",0,операции!P$250)</f>
        <v>2608.6498461975639</v>
      </c>
      <c r="Q52" s="136">
        <f>IF(Q$1="",0,операции!Q$250)</f>
        <v>2608.6498461975639</v>
      </c>
      <c r="R52" s="136">
        <f>IF(R$1="",0,операции!R$250)</f>
        <v>2608.6498461975639</v>
      </c>
      <c r="S52" s="136">
        <f>IF(S$1="",0,операции!S$250)</f>
        <v>2608.6498461975639</v>
      </c>
      <c r="T52" s="136">
        <f>IF(T$1="",0,операции!T$250)</f>
        <v>2608.6498461975639</v>
      </c>
      <c r="U52" s="136">
        <f>IF(U$1="",0,операции!U$250)</f>
        <v>2608.6498461975639</v>
      </c>
      <c r="V52" s="136">
        <f>IF(V$1="",0,операции!V$250)</f>
        <v>2608.6498461975639</v>
      </c>
      <c r="W52" s="136">
        <f>IF(W$1="",0,операции!W$250)</f>
        <v>0</v>
      </c>
      <c r="X52" s="136">
        <f>IF(X$1="",0,операции!X$250)</f>
        <v>0</v>
      </c>
      <c r="Y52" s="136">
        <f>IF(Y$1="",0,операции!Y$250)</f>
        <v>0</v>
      </c>
      <c r="Z52" s="136">
        <f>IF(Z$1="",0,операции!Z$250)</f>
        <v>0</v>
      </c>
      <c r="AA52" s="136">
        <f>IF(AA$1="",0,операции!AA$250)</f>
        <v>0</v>
      </c>
      <c r="AB52" s="123"/>
    </row>
    <row r="53" spans="1:28" ht="3.9" customHeight="1" x14ac:dyDescent="0.25">
      <c r="A53" s="149">
        <f>1</f>
        <v>1</v>
      </c>
      <c r="B53" s="131"/>
      <c r="C53" s="2"/>
      <c r="D53" s="2"/>
      <c r="E53" s="2"/>
      <c r="F53" s="2"/>
      <c r="G53" s="2"/>
      <c r="H53" s="2"/>
      <c r="I53" s="28"/>
      <c r="J53" s="2"/>
      <c r="K53" s="28"/>
      <c r="L53" s="2"/>
      <c r="M53" s="52"/>
      <c r="N53" s="2"/>
      <c r="O53" s="2"/>
      <c r="P53" s="36"/>
      <c r="Q53" s="36"/>
      <c r="R53" s="36"/>
      <c r="S53" s="36"/>
      <c r="T53" s="36"/>
      <c r="U53" s="36"/>
      <c r="V53" s="36"/>
      <c r="W53" s="36"/>
      <c r="X53" s="36"/>
      <c r="Y53" s="36"/>
      <c r="Z53" s="36"/>
      <c r="AA53" s="36"/>
      <c r="AB53" s="2"/>
    </row>
    <row r="54" spans="1:28" ht="8.1" customHeight="1" x14ac:dyDescent="0.25">
      <c r="A54" s="149">
        <f>1</f>
        <v>1</v>
      </c>
      <c r="B54" s="131"/>
      <c r="C54" s="2"/>
      <c r="D54" s="2"/>
      <c r="E54" s="2"/>
      <c r="F54" s="2"/>
      <c r="G54" s="2"/>
      <c r="H54" s="2"/>
      <c r="I54" s="28"/>
      <c r="J54" s="2"/>
      <c r="K54" s="28"/>
      <c r="L54" s="2"/>
      <c r="M54" s="52"/>
      <c r="N54" s="2"/>
      <c r="O54" s="2"/>
      <c r="P54" s="36"/>
      <c r="Q54" s="36"/>
      <c r="R54" s="36"/>
      <c r="S54" s="36"/>
      <c r="T54" s="36"/>
      <c r="U54" s="36"/>
      <c r="V54" s="36"/>
      <c r="W54" s="36"/>
      <c r="X54" s="36"/>
      <c r="Y54" s="36"/>
      <c r="Z54" s="36"/>
      <c r="AA54" s="36"/>
      <c r="AB54" s="2"/>
    </row>
    <row r="55" spans="1:28" ht="3.9" customHeight="1" x14ac:dyDescent="0.25">
      <c r="A55" s="149">
        <f>1</f>
        <v>1</v>
      </c>
      <c r="B55" s="131"/>
      <c r="C55" s="2"/>
      <c r="D55" s="2"/>
      <c r="E55" s="2"/>
      <c r="F55" s="2"/>
      <c r="G55" s="2"/>
      <c r="H55" s="2"/>
      <c r="I55" s="28"/>
      <c r="J55" s="2"/>
      <c r="K55" s="28"/>
      <c r="L55" s="2"/>
      <c r="M55" s="52"/>
      <c r="N55" s="2"/>
      <c r="O55" s="2"/>
      <c r="P55" s="36"/>
      <c r="Q55" s="36"/>
      <c r="R55" s="36"/>
      <c r="S55" s="36"/>
      <c r="T55" s="36"/>
      <c r="U55" s="36"/>
      <c r="V55" s="36"/>
      <c r="W55" s="36"/>
      <c r="X55" s="36"/>
      <c r="Y55" s="36"/>
      <c r="Z55" s="36"/>
      <c r="AA55" s="36"/>
      <c r="AB55" s="2"/>
    </row>
    <row r="56" spans="1:28" s="126" customFormat="1" x14ac:dyDescent="0.25">
      <c r="A56" s="149">
        <f>1</f>
        <v>1</v>
      </c>
      <c r="B56" s="132" t="str">
        <f>структура!$J$12</f>
        <v>ОСНО</v>
      </c>
      <c r="C56" s="123"/>
      <c r="D56" s="123"/>
      <c r="E56" s="130" t="str">
        <f>KPI!$E$78</f>
        <v>коммунальные расходы</v>
      </c>
      <c r="F56" s="130"/>
      <c r="G56" s="130" t="str">
        <f>IF($E56="","",INDEX(KPI!$G:$G,SUMIFS(KPI!$B:$B,KPI!$E:$E,$E56)))</f>
        <v>тыс.руб.</v>
      </c>
      <c r="H56" s="130"/>
      <c r="I56" s="134"/>
      <c r="J56" s="130" t="str">
        <f>структура!$AL$21</f>
        <v>Без НДС</v>
      </c>
      <c r="K56" s="134"/>
      <c r="L56" s="130"/>
      <c r="M56" s="135">
        <f>SUM($O56:$AB56)</f>
        <v>1552.0081500000003</v>
      </c>
      <c r="N56" s="123"/>
      <c r="O56" s="123"/>
      <c r="P56" s="136">
        <f>IF(P$1="",0,IF(1+операции!P$421=0,0,(операции!P$300)/(1+операции!P$421)))</f>
        <v>221.50865000000007</v>
      </c>
      <c r="Q56" s="136">
        <f>IF(Q$1="",0,IF(1+операции!Q$421=0,0,(операции!Q$300)/(1+операции!Q$421)))</f>
        <v>221.50865000000007</v>
      </c>
      <c r="R56" s="136">
        <f>IF(R$1="",0,IF(1+операции!R$421=0,0,(операции!R$300)/(1+операции!R$421)))</f>
        <v>222.23245000000006</v>
      </c>
      <c r="S56" s="136">
        <f>IF(S$1="",0,IF(1+операции!S$421=0,0,(операции!S$300)/(1+операции!S$421)))</f>
        <v>221.50865000000007</v>
      </c>
      <c r="T56" s="136">
        <f>IF(T$1="",0,IF(1+операции!T$421=0,0,(операции!T$300)/(1+операции!T$421)))</f>
        <v>221.50865000000007</v>
      </c>
      <c r="U56" s="136">
        <f>IF(U$1="",0,IF(1+операции!U$421=0,0,(операции!U$300)/(1+операции!U$421)))</f>
        <v>221.50865000000007</v>
      </c>
      <c r="V56" s="136">
        <f>IF(V$1="",0,IF(1+операции!V$421=0,0,(операции!V$300)/(1+операции!V$421)))</f>
        <v>222.23245000000006</v>
      </c>
      <c r="W56" s="136">
        <f>IF(W$1="",0,IF(1+операции!W$421=0,0,(операции!W$300)/(1+операции!W$421)))</f>
        <v>0</v>
      </c>
      <c r="X56" s="136">
        <f>IF(X$1="",0,IF(1+операции!X$421=0,0,(операции!X$300)/(1+операции!X$421)))</f>
        <v>0</v>
      </c>
      <c r="Y56" s="136">
        <f>IF(Y$1="",0,IF(1+операции!Y$421=0,0,(операции!Y$300)/(1+операции!Y$421)))</f>
        <v>0</v>
      </c>
      <c r="Z56" s="136">
        <f>IF(Z$1="",0,IF(1+операции!Z$421=0,0,(операции!Z$300)/(1+операции!Z$421)))</f>
        <v>0</v>
      </c>
      <c r="AA56" s="136">
        <f>IF(AA$1="",0,IF(1+операции!AA$421=0,0,(операции!AA$300)/(1+операции!AA$421)))</f>
        <v>0</v>
      </c>
      <c r="AB56" s="123"/>
    </row>
    <row r="57" spans="1:28" s="126" customFormat="1" ht="3.9" customHeight="1" x14ac:dyDescent="0.25">
      <c r="A57" s="149">
        <f>1</f>
        <v>1</v>
      </c>
      <c r="B57" s="131"/>
      <c r="C57" s="123"/>
      <c r="D57" s="123"/>
      <c r="E57" s="123"/>
      <c r="F57" s="123"/>
      <c r="G57" s="123"/>
      <c r="H57" s="123"/>
      <c r="I57" s="124"/>
      <c r="J57" s="123"/>
      <c r="K57" s="124"/>
      <c r="L57" s="123"/>
      <c r="M57" s="125"/>
      <c r="N57" s="123"/>
      <c r="O57" s="123"/>
      <c r="P57" s="137"/>
      <c r="Q57" s="137"/>
      <c r="R57" s="137"/>
      <c r="S57" s="137"/>
      <c r="T57" s="137"/>
      <c r="U57" s="137"/>
      <c r="V57" s="137"/>
      <c r="W57" s="137"/>
      <c r="X57" s="137"/>
      <c r="Y57" s="137"/>
      <c r="Z57" s="137"/>
      <c r="AA57" s="137"/>
      <c r="AB57" s="123"/>
    </row>
    <row r="58" spans="1:28" s="126" customFormat="1" x14ac:dyDescent="0.25">
      <c r="A58" s="149">
        <f>1</f>
        <v>1</v>
      </c>
      <c r="B58" s="132" t="str">
        <f>структура!$J$13</f>
        <v>УСН(6%)</v>
      </c>
      <c r="C58" s="123"/>
      <c r="D58" s="123"/>
      <c r="E58" s="130" t="str">
        <f>E56</f>
        <v>коммунальные расходы</v>
      </c>
      <c r="F58" s="130"/>
      <c r="G58" s="130" t="str">
        <f>IF($E58="","",INDEX(KPI!$G:$G,SUMIFS(KPI!$B:$B,KPI!$E:$E,$E58)))</f>
        <v>тыс.руб.</v>
      </c>
      <c r="H58" s="130"/>
      <c r="I58" s="134"/>
      <c r="J58" s="130" t="str">
        <f>структура!$AL$21</f>
        <v>Без НДС</v>
      </c>
      <c r="K58" s="134"/>
      <c r="L58" s="130"/>
      <c r="M58" s="135">
        <f>SUM($O58:$AB58)</f>
        <v>1552.0081500000003</v>
      </c>
      <c r="N58" s="123"/>
      <c r="O58" s="123"/>
      <c r="P58" s="136">
        <f>IF(P$1="",0,IF(1+операции!P$421=0,0,(операции!P$300)/(1+операции!P$421)))</f>
        <v>221.50865000000007</v>
      </c>
      <c r="Q58" s="136">
        <f>IF(Q$1="",0,IF(1+операции!Q$421=0,0,(операции!Q$300)/(1+операции!Q$421)))</f>
        <v>221.50865000000007</v>
      </c>
      <c r="R58" s="136">
        <f>IF(R$1="",0,IF(1+операции!R$421=0,0,(операции!R$300)/(1+операции!R$421)))</f>
        <v>222.23245000000006</v>
      </c>
      <c r="S58" s="136">
        <f>IF(S$1="",0,IF(1+операции!S$421=0,0,(операции!S$300)/(1+операции!S$421)))</f>
        <v>221.50865000000007</v>
      </c>
      <c r="T58" s="136">
        <f>IF(T$1="",0,IF(1+операции!T$421=0,0,(операции!T$300)/(1+операции!T$421)))</f>
        <v>221.50865000000007</v>
      </c>
      <c r="U58" s="136">
        <f>IF(U$1="",0,IF(1+операции!U$421=0,0,(операции!U$300)/(1+операции!U$421)))</f>
        <v>221.50865000000007</v>
      </c>
      <c r="V58" s="136">
        <f>IF(V$1="",0,IF(1+операции!V$421=0,0,(операции!V$300)/(1+операции!V$421)))</f>
        <v>222.23245000000006</v>
      </c>
      <c r="W58" s="136">
        <f>IF(W$1="",0,IF(1+операции!W$421=0,0,(операции!W$300)/(1+операции!W$421)))</f>
        <v>0</v>
      </c>
      <c r="X58" s="136">
        <f>IF(X$1="",0,IF(1+операции!X$421=0,0,(операции!X$300)/(1+операции!X$421)))</f>
        <v>0</v>
      </c>
      <c r="Y58" s="136">
        <f>IF(Y$1="",0,IF(1+операции!Y$421=0,0,(операции!Y$300)/(1+операции!Y$421)))</f>
        <v>0</v>
      </c>
      <c r="Z58" s="136">
        <f>IF(Z$1="",0,IF(1+операции!Z$421=0,0,(операции!Z$300)/(1+операции!Z$421)))</f>
        <v>0</v>
      </c>
      <c r="AA58" s="136">
        <f>IF(AA$1="",0,IF(1+операции!AA$421=0,0,(операции!AA$300)/(1+операции!AA$421)))</f>
        <v>0</v>
      </c>
      <c r="AB58" s="123"/>
    </row>
    <row r="59" spans="1:28" s="126" customFormat="1" ht="3.9" customHeight="1" x14ac:dyDescent="0.25">
      <c r="A59" s="149">
        <f>1</f>
        <v>1</v>
      </c>
      <c r="B59" s="131"/>
      <c r="C59" s="123"/>
      <c r="D59" s="123"/>
      <c r="E59" s="123"/>
      <c r="F59" s="123"/>
      <c r="G59" s="123"/>
      <c r="H59" s="123"/>
      <c r="I59" s="124"/>
      <c r="J59" s="123"/>
      <c r="K59" s="124"/>
      <c r="L59" s="123"/>
      <c r="M59" s="125"/>
      <c r="N59" s="123"/>
      <c r="O59" s="123"/>
      <c r="P59" s="137"/>
      <c r="Q59" s="137"/>
      <c r="R59" s="137"/>
      <c r="S59" s="137"/>
      <c r="T59" s="137"/>
      <c r="U59" s="137"/>
      <c r="V59" s="137"/>
      <c r="W59" s="137"/>
      <c r="X59" s="137"/>
      <c r="Y59" s="137"/>
      <c r="Z59" s="137"/>
      <c r="AA59" s="137"/>
      <c r="AB59" s="123"/>
    </row>
    <row r="60" spans="1:28" s="126" customFormat="1" x14ac:dyDescent="0.25">
      <c r="A60" s="149">
        <f>1</f>
        <v>1</v>
      </c>
      <c r="B60" s="132" t="str">
        <f>структура!$J$14</f>
        <v>УСН(15%)</v>
      </c>
      <c r="C60" s="123"/>
      <c r="D60" s="123"/>
      <c r="E60" s="130" t="str">
        <f>E56</f>
        <v>коммунальные расходы</v>
      </c>
      <c r="F60" s="130"/>
      <c r="G60" s="130" t="str">
        <f>IF($E60="","",INDEX(KPI!$G:$G,SUMIFS(KPI!$B:$B,KPI!$E:$E,$E60)))</f>
        <v>тыс.руб.</v>
      </c>
      <c r="H60" s="130"/>
      <c r="I60" s="134"/>
      <c r="J60" s="130" t="str">
        <f>структура!$AL$21</f>
        <v>Без НДС</v>
      </c>
      <c r="K60" s="134"/>
      <c r="L60" s="130"/>
      <c r="M60" s="135">
        <f>SUM($O60:$AB60)</f>
        <v>1552.0081500000003</v>
      </c>
      <c r="N60" s="123"/>
      <c r="O60" s="123"/>
      <c r="P60" s="136">
        <f>IF(P$1="",0,IF(1+операции!P$421=0,0,(операции!P$300)/(1+операции!P$421)))</f>
        <v>221.50865000000007</v>
      </c>
      <c r="Q60" s="136">
        <f>IF(Q$1="",0,IF(1+операции!Q$421=0,0,(операции!Q$300)/(1+операции!Q$421)))</f>
        <v>221.50865000000007</v>
      </c>
      <c r="R60" s="136">
        <f>IF(R$1="",0,IF(1+операции!R$421=0,0,(операции!R$300)/(1+операции!R$421)))</f>
        <v>222.23245000000006</v>
      </c>
      <c r="S60" s="136">
        <f>IF(S$1="",0,IF(1+операции!S$421=0,0,(операции!S$300)/(1+операции!S$421)))</f>
        <v>221.50865000000007</v>
      </c>
      <c r="T60" s="136">
        <f>IF(T$1="",0,IF(1+операции!T$421=0,0,(операции!T$300)/(1+операции!T$421)))</f>
        <v>221.50865000000007</v>
      </c>
      <c r="U60" s="136">
        <f>IF(U$1="",0,IF(1+операции!U$421=0,0,(операции!U$300)/(1+операции!U$421)))</f>
        <v>221.50865000000007</v>
      </c>
      <c r="V60" s="136">
        <f>IF(V$1="",0,IF(1+операции!V$421=0,0,(операции!V$300)/(1+операции!V$421)))</f>
        <v>222.23245000000006</v>
      </c>
      <c r="W60" s="136">
        <f>IF(W$1="",0,IF(1+операции!W$421=0,0,(операции!W$300)/(1+операции!W$421)))</f>
        <v>0</v>
      </c>
      <c r="X60" s="136">
        <f>IF(X$1="",0,IF(1+операции!X$421=0,0,(операции!X$300)/(1+операции!X$421)))</f>
        <v>0</v>
      </c>
      <c r="Y60" s="136">
        <f>IF(Y$1="",0,IF(1+операции!Y$421=0,0,(операции!Y$300)/(1+операции!Y$421)))</f>
        <v>0</v>
      </c>
      <c r="Z60" s="136">
        <f>IF(Z$1="",0,IF(1+операции!Z$421=0,0,(операции!Z$300)/(1+операции!Z$421)))</f>
        <v>0</v>
      </c>
      <c r="AA60" s="136">
        <f>IF(AA$1="",0,IF(1+операции!AA$421=0,0,(операции!AA$300)/(1+операции!AA$421)))</f>
        <v>0</v>
      </c>
      <c r="AB60" s="123"/>
    </row>
    <row r="61" spans="1:28" s="126" customFormat="1" ht="3.9" customHeight="1" x14ac:dyDescent="0.25">
      <c r="A61" s="149">
        <f>1</f>
        <v>1</v>
      </c>
      <c r="B61" s="131"/>
      <c r="C61" s="123"/>
      <c r="D61" s="123"/>
      <c r="E61" s="123"/>
      <c r="F61" s="123"/>
      <c r="G61" s="123"/>
      <c r="H61" s="123"/>
      <c r="I61" s="124"/>
      <c r="J61" s="123"/>
      <c r="K61" s="124"/>
      <c r="L61" s="123"/>
      <c r="M61" s="125"/>
      <c r="N61" s="123"/>
      <c r="O61" s="123"/>
      <c r="P61" s="137"/>
      <c r="Q61" s="137"/>
      <c r="R61" s="137"/>
      <c r="S61" s="137"/>
      <c r="T61" s="137"/>
      <c r="U61" s="137"/>
      <c r="V61" s="137"/>
      <c r="W61" s="137"/>
      <c r="X61" s="137"/>
      <c r="Y61" s="137"/>
      <c r="Z61" s="137"/>
      <c r="AA61" s="137"/>
      <c r="AB61" s="123"/>
    </row>
    <row r="62" spans="1:28" s="126" customFormat="1" x14ac:dyDescent="0.25">
      <c r="A62" s="149">
        <f>1</f>
        <v>1</v>
      </c>
      <c r="B62" s="132" t="str">
        <f>структура!$J$15</f>
        <v>УСН(6%)-ИП</v>
      </c>
      <c r="C62" s="123"/>
      <c r="D62" s="123"/>
      <c r="E62" s="130" t="str">
        <f>E56</f>
        <v>коммунальные расходы</v>
      </c>
      <c r="F62" s="130"/>
      <c r="G62" s="130" t="str">
        <f>IF($E62="","",INDEX(KPI!$G:$G,SUMIFS(KPI!$B:$B,KPI!$E:$E,$E62)))</f>
        <v>тыс.руб.</v>
      </c>
      <c r="H62" s="130"/>
      <c r="I62" s="134"/>
      <c r="J62" s="130" t="str">
        <f>структура!$AL$21</f>
        <v>Без НДС</v>
      </c>
      <c r="K62" s="134"/>
      <c r="L62" s="130"/>
      <c r="M62" s="135">
        <f>SUM($O62:$AB62)</f>
        <v>1552.0081500000003</v>
      </c>
      <c r="N62" s="123"/>
      <c r="O62" s="123"/>
      <c r="P62" s="136">
        <f>IF(P$1="",0,IF(1+операции!P$421=0,0,(операции!P$300)/(1+операции!P$421)))</f>
        <v>221.50865000000007</v>
      </c>
      <c r="Q62" s="136">
        <f>IF(Q$1="",0,IF(1+операции!Q$421=0,0,(операции!Q$300)/(1+операции!Q$421)))</f>
        <v>221.50865000000007</v>
      </c>
      <c r="R62" s="136">
        <f>IF(R$1="",0,IF(1+операции!R$421=0,0,(операции!R$300)/(1+операции!R$421)))</f>
        <v>222.23245000000006</v>
      </c>
      <c r="S62" s="136">
        <f>IF(S$1="",0,IF(1+операции!S$421=0,0,(операции!S$300)/(1+операции!S$421)))</f>
        <v>221.50865000000007</v>
      </c>
      <c r="T62" s="136">
        <f>IF(T$1="",0,IF(1+операции!T$421=0,0,(операции!T$300)/(1+операции!T$421)))</f>
        <v>221.50865000000007</v>
      </c>
      <c r="U62" s="136">
        <f>IF(U$1="",0,IF(1+операции!U$421=0,0,(операции!U$300)/(1+операции!U$421)))</f>
        <v>221.50865000000007</v>
      </c>
      <c r="V62" s="136">
        <f>IF(V$1="",0,IF(1+операции!V$421=0,0,(операции!V$300)/(1+операции!V$421)))</f>
        <v>222.23245000000006</v>
      </c>
      <c r="W62" s="136">
        <f>IF(W$1="",0,IF(1+операции!W$421=0,0,(операции!W$300)/(1+операции!W$421)))</f>
        <v>0</v>
      </c>
      <c r="X62" s="136">
        <f>IF(X$1="",0,IF(1+операции!X$421=0,0,(операции!X$300)/(1+операции!X$421)))</f>
        <v>0</v>
      </c>
      <c r="Y62" s="136">
        <f>IF(Y$1="",0,IF(1+операции!Y$421=0,0,(операции!Y$300)/(1+операции!Y$421)))</f>
        <v>0</v>
      </c>
      <c r="Z62" s="136">
        <f>IF(Z$1="",0,IF(1+операции!Z$421=0,0,(операции!Z$300)/(1+операции!Z$421)))</f>
        <v>0</v>
      </c>
      <c r="AA62" s="136">
        <f>IF(AA$1="",0,IF(1+операции!AA$421=0,0,(операции!AA$300)/(1+операции!AA$421)))</f>
        <v>0</v>
      </c>
      <c r="AB62" s="123"/>
    </row>
    <row r="63" spans="1:28" ht="3.9" customHeight="1" x14ac:dyDescent="0.25">
      <c r="A63" s="149">
        <f>1</f>
        <v>1</v>
      </c>
      <c r="B63" s="131"/>
      <c r="C63" s="2"/>
      <c r="D63" s="2"/>
      <c r="E63" s="2"/>
      <c r="F63" s="2"/>
      <c r="G63" s="2"/>
      <c r="H63" s="2"/>
      <c r="I63" s="28"/>
      <c r="J63" s="2"/>
      <c r="K63" s="28"/>
      <c r="L63" s="2"/>
      <c r="M63" s="52"/>
      <c r="N63" s="2"/>
      <c r="O63" s="2"/>
      <c r="P63" s="36"/>
      <c r="Q63" s="36"/>
      <c r="R63" s="36"/>
      <c r="S63" s="36"/>
      <c r="T63" s="36"/>
      <c r="U63" s="36"/>
      <c r="V63" s="36"/>
      <c r="W63" s="36"/>
      <c r="X63" s="36"/>
      <c r="Y63" s="36"/>
      <c r="Z63" s="36"/>
      <c r="AA63" s="36"/>
      <c r="AB63" s="2"/>
    </row>
    <row r="64" spans="1:28" ht="8.1" customHeight="1" x14ac:dyDescent="0.25">
      <c r="A64" s="149">
        <f>1</f>
        <v>1</v>
      </c>
      <c r="B64" s="131"/>
      <c r="C64" s="2"/>
      <c r="D64" s="2"/>
      <c r="E64" s="2"/>
      <c r="F64" s="2"/>
      <c r="G64" s="2"/>
      <c r="H64" s="2"/>
      <c r="I64" s="28"/>
      <c r="J64" s="2"/>
      <c r="K64" s="28"/>
      <c r="L64" s="2"/>
      <c r="M64" s="52"/>
      <c r="N64" s="2"/>
      <c r="O64" s="2"/>
      <c r="P64" s="36"/>
      <c r="Q64" s="36"/>
      <c r="R64" s="36"/>
      <c r="S64" s="36"/>
      <c r="T64" s="36"/>
      <c r="U64" s="36"/>
      <c r="V64" s="36"/>
      <c r="W64" s="36"/>
      <c r="X64" s="36"/>
      <c r="Y64" s="36"/>
      <c r="Z64" s="36"/>
      <c r="AA64" s="36"/>
      <c r="AB64" s="2"/>
    </row>
    <row r="65" spans="1:28" ht="3.9" customHeight="1" x14ac:dyDescent="0.25">
      <c r="A65" s="149">
        <f>1</f>
        <v>1</v>
      </c>
      <c r="B65" s="131"/>
      <c r="C65" s="2"/>
      <c r="D65" s="2"/>
      <c r="E65" s="2"/>
      <c r="F65" s="2"/>
      <c r="G65" s="2"/>
      <c r="H65" s="2"/>
      <c r="I65" s="28"/>
      <c r="J65" s="2"/>
      <c r="K65" s="28"/>
      <c r="L65" s="2"/>
      <c r="M65" s="52"/>
      <c r="N65" s="2"/>
      <c r="O65" s="2"/>
      <c r="P65" s="36"/>
      <c r="Q65" s="36"/>
      <c r="R65" s="36"/>
      <c r="S65" s="36"/>
      <c r="T65" s="36"/>
      <c r="U65" s="36"/>
      <c r="V65" s="36"/>
      <c r="W65" s="36"/>
      <c r="X65" s="36"/>
      <c r="Y65" s="36"/>
      <c r="Z65" s="36"/>
      <c r="AA65" s="36"/>
      <c r="AB65" s="2"/>
    </row>
    <row r="66" spans="1:28" s="126" customFormat="1" x14ac:dyDescent="0.25">
      <c r="A66" s="149">
        <f>1</f>
        <v>1</v>
      </c>
      <c r="B66" s="132" t="str">
        <f>структура!$J$12</f>
        <v>ОСНО</v>
      </c>
      <c r="C66" s="123"/>
      <c r="D66" s="123"/>
      <c r="E66" s="130" t="str">
        <f>KPI!$E$79</f>
        <v>начисление ФОТ</v>
      </c>
      <c r="F66" s="130"/>
      <c r="G66" s="130" t="str">
        <f>IF($E66="","",INDEX(KPI!$G:$G,SUMIFS(KPI!$B:$B,KPI!$E:$E,$E66)))</f>
        <v>тыс.руб.</v>
      </c>
      <c r="H66" s="130"/>
      <c r="I66" s="134"/>
      <c r="J66" s="130"/>
      <c r="K66" s="134"/>
      <c r="L66" s="130"/>
      <c r="M66" s="135">
        <f>SUM($O66:$AB66)</f>
        <v>15540</v>
      </c>
      <c r="N66" s="123"/>
      <c r="O66" s="123"/>
      <c r="P66" s="136">
        <f>IF(P$1="",0,операции!P$335)</f>
        <v>2220</v>
      </c>
      <c r="Q66" s="136">
        <f>IF(Q$1="",0,операции!Q$335)</f>
        <v>2220</v>
      </c>
      <c r="R66" s="136">
        <f>IF(R$1="",0,операции!R$335)</f>
        <v>2220</v>
      </c>
      <c r="S66" s="136">
        <f>IF(S$1="",0,операции!S$335)</f>
        <v>2220</v>
      </c>
      <c r="T66" s="136">
        <f>IF(T$1="",0,операции!T$335)</f>
        <v>2220</v>
      </c>
      <c r="U66" s="136">
        <f>IF(U$1="",0,операции!U$335)</f>
        <v>2220</v>
      </c>
      <c r="V66" s="136">
        <f>IF(V$1="",0,операции!V$335)</f>
        <v>2220</v>
      </c>
      <c r="W66" s="136">
        <f>IF(W$1="",0,операции!W$335)</f>
        <v>0</v>
      </c>
      <c r="X66" s="136">
        <f>IF(X$1="",0,операции!X$335)</f>
        <v>0</v>
      </c>
      <c r="Y66" s="136">
        <f>IF(Y$1="",0,операции!Y$335)</f>
        <v>0</v>
      </c>
      <c r="Z66" s="136">
        <f>IF(Z$1="",0,операции!Z$335)</f>
        <v>0</v>
      </c>
      <c r="AA66" s="136">
        <f>IF(AA$1="",0,операции!AA$335)</f>
        <v>0</v>
      </c>
      <c r="AB66" s="123"/>
    </row>
    <row r="67" spans="1:28" s="126" customFormat="1" ht="3.9" customHeight="1" x14ac:dyDescent="0.25">
      <c r="A67" s="149">
        <f>1</f>
        <v>1</v>
      </c>
      <c r="B67" s="131"/>
      <c r="C67" s="123"/>
      <c r="D67" s="123"/>
      <c r="E67" s="123"/>
      <c r="F67" s="123"/>
      <c r="G67" s="123"/>
      <c r="H67" s="123"/>
      <c r="I67" s="124"/>
      <c r="J67" s="123"/>
      <c r="K67" s="124"/>
      <c r="L67" s="123"/>
      <c r="M67" s="125"/>
      <c r="N67" s="123"/>
      <c r="O67" s="123"/>
      <c r="P67" s="137"/>
      <c r="Q67" s="137"/>
      <c r="R67" s="137"/>
      <c r="S67" s="137"/>
      <c r="T67" s="137"/>
      <c r="U67" s="137"/>
      <c r="V67" s="137"/>
      <c r="W67" s="137"/>
      <c r="X67" s="137"/>
      <c r="Y67" s="137"/>
      <c r="Z67" s="137"/>
      <c r="AA67" s="137"/>
      <c r="AB67" s="123"/>
    </row>
    <row r="68" spans="1:28" s="126" customFormat="1" x14ac:dyDescent="0.25">
      <c r="A68" s="149">
        <f>1</f>
        <v>1</v>
      </c>
      <c r="B68" s="132" t="str">
        <f>структура!$J$13</f>
        <v>УСН(6%)</v>
      </c>
      <c r="C68" s="123"/>
      <c r="D68" s="123"/>
      <c r="E68" s="130" t="str">
        <f>E66</f>
        <v>начисление ФОТ</v>
      </c>
      <c r="F68" s="130"/>
      <c r="G68" s="130" t="str">
        <f>IF($E68="","",INDEX(KPI!$G:$G,SUMIFS(KPI!$B:$B,KPI!$E:$E,$E68)))</f>
        <v>тыс.руб.</v>
      </c>
      <c r="H68" s="130"/>
      <c r="I68" s="134"/>
      <c r="J68" s="130"/>
      <c r="K68" s="134"/>
      <c r="L68" s="130"/>
      <c r="M68" s="135">
        <f>SUM($O68:$AB68)</f>
        <v>15540</v>
      </c>
      <c r="N68" s="123"/>
      <c r="O68" s="123"/>
      <c r="P68" s="136">
        <f>IF(P$1="",0,операции!P$335)</f>
        <v>2220</v>
      </c>
      <c r="Q68" s="136">
        <f>IF(Q$1="",0,операции!Q$335)</f>
        <v>2220</v>
      </c>
      <c r="R68" s="136">
        <f>IF(R$1="",0,операции!R$335)</f>
        <v>2220</v>
      </c>
      <c r="S68" s="136">
        <f>IF(S$1="",0,операции!S$335)</f>
        <v>2220</v>
      </c>
      <c r="T68" s="136">
        <f>IF(T$1="",0,операции!T$335)</f>
        <v>2220</v>
      </c>
      <c r="U68" s="136">
        <f>IF(U$1="",0,операции!U$335)</f>
        <v>2220</v>
      </c>
      <c r="V68" s="136">
        <f>IF(V$1="",0,операции!V$335)</f>
        <v>2220</v>
      </c>
      <c r="W68" s="136">
        <f>IF(W$1="",0,операции!W$335)</f>
        <v>0</v>
      </c>
      <c r="X68" s="136">
        <f>IF(X$1="",0,операции!X$335)</f>
        <v>0</v>
      </c>
      <c r="Y68" s="136">
        <f>IF(Y$1="",0,операции!Y$335)</f>
        <v>0</v>
      </c>
      <c r="Z68" s="136">
        <f>IF(Z$1="",0,операции!Z$335)</f>
        <v>0</v>
      </c>
      <c r="AA68" s="136">
        <f>IF(AA$1="",0,операции!AA$335)</f>
        <v>0</v>
      </c>
      <c r="AB68" s="123"/>
    </row>
    <row r="69" spans="1:28" s="126" customFormat="1" ht="3.9" customHeight="1" x14ac:dyDescent="0.25">
      <c r="A69" s="149">
        <f>1</f>
        <v>1</v>
      </c>
      <c r="B69" s="131"/>
      <c r="C69" s="123"/>
      <c r="D69" s="123"/>
      <c r="E69" s="123"/>
      <c r="F69" s="123"/>
      <c r="G69" s="123"/>
      <c r="H69" s="123"/>
      <c r="I69" s="124"/>
      <c r="J69" s="123"/>
      <c r="K69" s="124"/>
      <c r="L69" s="123"/>
      <c r="M69" s="125"/>
      <c r="N69" s="123"/>
      <c r="O69" s="123"/>
      <c r="P69" s="137"/>
      <c r="Q69" s="137"/>
      <c r="R69" s="137"/>
      <c r="S69" s="137"/>
      <c r="T69" s="137"/>
      <c r="U69" s="137"/>
      <c r="V69" s="137"/>
      <c r="W69" s="137"/>
      <c r="X69" s="137"/>
      <c r="Y69" s="137"/>
      <c r="Z69" s="137"/>
      <c r="AA69" s="137"/>
      <c r="AB69" s="123"/>
    </row>
    <row r="70" spans="1:28" s="126" customFormat="1" x14ac:dyDescent="0.25">
      <c r="A70" s="149">
        <f>1</f>
        <v>1</v>
      </c>
      <c r="B70" s="132" t="str">
        <f>структура!$J$14</f>
        <v>УСН(15%)</v>
      </c>
      <c r="C70" s="123"/>
      <c r="D70" s="123"/>
      <c r="E70" s="130" t="str">
        <f>E66</f>
        <v>начисление ФОТ</v>
      </c>
      <c r="F70" s="130"/>
      <c r="G70" s="130" t="str">
        <f>IF($E70="","",INDEX(KPI!$G:$G,SUMIFS(KPI!$B:$B,KPI!$E:$E,$E70)))</f>
        <v>тыс.руб.</v>
      </c>
      <c r="H70" s="130"/>
      <c r="I70" s="134"/>
      <c r="J70" s="130"/>
      <c r="K70" s="134"/>
      <c r="L70" s="130"/>
      <c r="M70" s="135">
        <f>SUM($O70:$AB70)</f>
        <v>15540</v>
      </c>
      <c r="N70" s="123"/>
      <c r="O70" s="123"/>
      <c r="P70" s="136">
        <f>IF(P$1="",0,операции!P$335)</f>
        <v>2220</v>
      </c>
      <c r="Q70" s="136">
        <f>IF(Q$1="",0,операции!Q$335)</f>
        <v>2220</v>
      </c>
      <c r="R70" s="136">
        <f>IF(R$1="",0,операции!R$335)</f>
        <v>2220</v>
      </c>
      <c r="S70" s="136">
        <f>IF(S$1="",0,операции!S$335)</f>
        <v>2220</v>
      </c>
      <c r="T70" s="136">
        <f>IF(T$1="",0,операции!T$335)</f>
        <v>2220</v>
      </c>
      <c r="U70" s="136">
        <f>IF(U$1="",0,операции!U$335)</f>
        <v>2220</v>
      </c>
      <c r="V70" s="136">
        <f>IF(V$1="",0,операции!V$335)</f>
        <v>2220</v>
      </c>
      <c r="W70" s="136">
        <f>IF(W$1="",0,операции!W$335)</f>
        <v>0</v>
      </c>
      <c r="X70" s="136">
        <f>IF(X$1="",0,операции!X$335)</f>
        <v>0</v>
      </c>
      <c r="Y70" s="136">
        <f>IF(Y$1="",0,операции!Y$335)</f>
        <v>0</v>
      </c>
      <c r="Z70" s="136">
        <f>IF(Z$1="",0,операции!Z$335)</f>
        <v>0</v>
      </c>
      <c r="AA70" s="136">
        <f>IF(AA$1="",0,операции!AA$335)</f>
        <v>0</v>
      </c>
      <c r="AB70" s="123"/>
    </row>
    <row r="71" spans="1:28" s="126" customFormat="1" ht="3.9" customHeight="1" x14ac:dyDescent="0.25">
      <c r="A71" s="149">
        <f>1</f>
        <v>1</v>
      </c>
      <c r="B71" s="131"/>
      <c r="C71" s="123"/>
      <c r="D71" s="123"/>
      <c r="E71" s="123"/>
      <c r="F71" s="123"/>
      <c r="G71" s="123"/>
      <c r="H71" s="123"/>
      <c r="I71" s="124"/>
      <c r="J71" s="123"/>
      <c r="K71" s="124"/>
      <c r="L71" s="123"/>
      <c r="M71" s="125"/>
      <c r="N71" s="123"/>
      <c r="O71" s="123"/>
      <c r="P71" s="137"/>
      <c r="Q71" s="137"/>
      <c r="R71" s="137"/>
      <c r="S71" s="137"/>
      <c r="T71" s="137"/>
      <c r="U71" s="137"/>
      <c r="V71" s="137"/>
      <c r="W71" s="137"/>
      <c r="X71" s="137"/>
      <c r="Y71" s="137"/>
      <c r="Z71" s="137"/>
      <c r="AA71" s="137"/>
      <c r="AB71" s="123"/>
    </row>
    <row r="72" spans="1:28" s="126" customFormat="1" x14ac:dyDescent="0.25">
      <c r="A72" s="149">
        <f>1</f>
        <v>1</v>
      </c>
      <c r="B72" s="132" t="str">
        <f>структура!$J$15</f>
        <v>УСН(6%)-ИП</v>
      </c>
      <c r="C72" s="123"/>
      <c r="D72" s="123"/>
      <c r="E72" s="130" t="str">
        <f>E66</f>
        <v>начисление ФОТ</v>
      </c>
      <c r="F72" s="130"/>
      <c r="G72" s="130" t="str">
        <f>IF($E72="","",INDEX(KPI!$G:$G,SUMIFS(KPI!$B:$B,KPI!$E:$E,$E72)))</f>
        <v>тыс.руб.</v>
      </c>
      <c r="H72" s="130"/>
      <c r="I72" s="134"/>
      <c r="J72" s="130"/>
      <c r="K72" s="134"/>
      <c r="L72" s="130"/>
      <c r="M72" s="135">
        <f>SUM($O72:$AB72)</f>
        <v>15540</v>
      </c>
      <c r="N72" s="123"/>
      <c r="O72" s="123"/>
      <c r="P72" s="136">
        <f>IF(P$1="",0,операции!P$335)</f>
        <v>2220</v>
      </c>
      <c r="Q72" s="136">
        <f>IF(Q$1="",0,операции!Q$335)</f>
        <v>2220</v>
      </c>
      <c r="R72" s="136">
        <f>IF(R$1="",0,операции!R$335)</f>
        <v>2220</v>
      </c>
      <c r="S72" s="136">
        <f>IF(S$1="",0,операции!S$335)</f>
        <v>2220</v>
      </c>
      <c r="T72" s="136">
        <f>IF(T$1="",0,операции!T$335)</f>
        <v>2220</v>
      </c>
      <c r="U72" s="136">
        <f>IF(U$1="",0,операции!U$335)</f>
        <v>2220</v>
      </c>
      <c r="V72" s="136">
        <f>IF(V$1="",0,операции!V$335)</f>
        <v>2220</v>
      </c>
      <c r="W72" s="136">
        <f>IF(W$1="",0,операции!W$335)</f>
        <v>0</v>
      </c>
      <c r="X72" s="136">
        <f>IF(X$1="",0,операции!X$335)</f>
        <v>0</v>
      </c>
      <c r="Y72" s="136">
        <f>IF(Y$1="",0,операции!Y$335)</f>
        <v>0</v>
      </c>
      <c r="Z72" s="136">
        <f>IF(Z$1="",0,операции!Z$335)</f>
        <v>0</v>
      </c>
      <c r="AA72" s="136">
        <f>IF(AA$1="",0,операции!AA$335)</f>
        <v>0</v>
      </c>
      <c r="AB72" s="123"/>
    </row>
    <row r="73" spans="1:28" ht="3.9" customHeight="1" x14ac:dyDescent="0.25">
      <c r="A73" s="149">
        <f>1</f>
        <v>1</v>
      </c>
      <c r="B73" s="131"/>
      <c r="C73" s="2"/>
      <c r="D73" s="2"/>
      <c r="E73" s="2"/>
      <c r="F73" s="2"/>
      <c r="G73" s="2"/>
      <c r="H73" s="2"/>
      <c r="I73" s="28"/>
      <c r="J73" s="2"/>
      <c r="K73" s="28"/>
      <c r="L73" s="2"/>
      <c r="M73" s="52"/>
      <c r="N73" s="2"/>
      <c r="O73" s="2"/>
      <c r="P73" s="36"/>
      <c r="Q73" s="36"/>
      <c r="R73" s="36"/>
      <c r="S73" s="36"/>
      <c r="T73" s="36"/>
      <c r="U73" s="36"/>
      <c r="V73" s="36"/>
      <c r="W73" s="36"/>
      <c r="X73" s="36"/>
      <c r="Y73" s="36"/>
      <c r="Z73" s="36"/>
      <c r="AA73" s="36"/>
      <c r="AB73" s="2"/>
    </row>
    <row r="74" spans="1:28" ht="8.1" customHeight="1" x14ac:dyDescent="0.25">
      <c r="A74" s="149">
        <f>1</f>
        <v>1</v>
      </c>
      <c r="B74" s="131"/>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ht="3.9" customHeight="1" x14ac:dyDescent="0.25">
      <c r="A75" s="149">
        <f>1</f>
        <v>1</v>
      </c>
      <c r="B75" s="131"/>
      <c r="C75" s="2"/>
      <c r="D75" s="2"/>
      <c r="E75" s="2"/>
      <c r="F75" s="2"/>
      <c r="G75" s="2"/>
      <c r="H75" s="2"/>
      <c r="I75" s="28"/>
      <c r="J75" s="2"/>
      <c r="K75" s="28"/>
      <c r="L75" s="2"/>
      <c r="M75" s="52"/>
      <c r="N75" s="2"/>
      <c r="O75" s="2"/>
      <c r="P75" s="36"/>
      <c r="Q75" s="36"/>
      <c r="R75" s="36"/>
      <c r="S75" s="36"/>
      <c r="T75" s="36"/>
      <c r="U75" s="36"/>
      <c r="V75" s="36"/>
      <c r="W75" s="36"/>
      <c r="X75" s="36"/>
      <c r="Y75" s="36"/>
      <c r="Z75" s="36"/>
      <c r="AA75" s="36"/>
      <c r="AB75" s="2"/>
    </row>
    <row r="76" spans="1:28" s="126" customFormat="1" x14ac:dyDescent="0.25">
      <c r="A76" s="149">
        <f>1</f>
        <v>1</v>
      </c>
      <c r="B76" s="132" t="str">
        <f>структура!$J$12</f>
        <v>ОСНО</v>
      </c>
      <c r="C76" s="123"/>
      <c r="D76" s="123"/>
      <c r="E76" s="130" t="str">
        <f>KPI!$E$80</f>
        <v>начисления в соцфонды и НС</v>
      </c>
      <c r="F76" s="130"/>
      <c r="G76" s="130" t="str">
        <f>IF($E76="","",INDEX(KPI!$G:$G,SUMIFS(KPI!$B:$B,KPI!$E:$E,$E76)))</f>
        <v>тыс.руб.</v>
      </c>
      <c r="H76" s="130"/>
      <c r="I76" s="134"/>
      <c r="J76" s="130"/>
      <c r="K76" s="134"/>
      <c r="L76" s="130"/>
      <c r="M76" s="135">
        <f>SUM($O76:$AB76)</f>
        <v>4693.08</v>
      </c>
      <c r="N76" s="123"/>
      <c r="O76" s="123"/>
      <c r="P76" s="136">
        <f>IF(P$1="",0,операции!P$353)</f>
        <v>670.43999999999994</v>
      </c>
      <c r="Q76" s="136">
        <f>IF(Q$1="",0,операции!Q$353)</f>
        <v>670.43999999999994</v>
      </c>
      <c r="R76" s="136">
        <f>IF(R$1="",0,операции!R$353)</f>
        <v>670.43999999999994</v>
      </c>
      <c r="S76" s="136">
        <f>IF(S$1="",0,операции!S$353)</f>
        <v>670.43999999999994</v>
      </c>
      <c r="T76" s="136">
        <f>IF(T$1="",0,операции!T$353)</f>
        <v>670.43999999999994</v>
      </c>
      <c r="U76" s="136">
        <f>IF(U$1="",0,операции!U$353)</f>
        <v>670.43999999999994</v>
      </c>
      <c r="V76" s="136">
        <f>IF(V$1="",0,операции!V$353)</f>
        <v>670.43999999999994</v>
      </c>
      <c r="W76" s="136">
        <f>IF(W$1="",0,операции!W$353)</f>
        <v>0</v>
      </c>
      <c r="X76" s="136">
        <f>IF(X$1="",0,операции!X$353)</f>
        <v>0</v>
      </c>
      <c r="Y76" s="136">
        <f>IF(Y$1="",0,операции!Y$353)</f>
        <v>0</v>
      </c>
      <c r="Z76" s="136">
        <f>IF(Z$1="",0,операции!Z$353)</f>
        <v>0</v>
      </c>
      <c r="AA76" s="136">
        <f>IF(AA$1="",0,операции!AA$353)</f>
        <v>0</v>
      </c>
      <c r="AB76" s="123"/>
    </row>
    <row r="77" spans="1:28" s="126" customFormat="1" ht="3.9" customHeight="1" x14ac:dyDescent="0.25">
      <c r="A77" s="149">
        <f>1</f>
        <v>1</v>
      </c>
      <c r="B77" s="131"/>
      <c r="C77" s="123"/>
      <c r="D77" s="123"/>
      <c r="E77" s="123"/>
      <c r="F77" s="123"/>
      <c r="G77" s="123"/>
      <c r="H77" s="123"/>
      <c r="I77" s="124"/>
      <c r="J77" s="123"/>
      <c r="K77" s="124"/>
      <c r="L77" s="123"/>
      <c r="M77" s="125"/>
      <c r="N77" s="123"/>
      <c r="O77" s="123"/>
      <c r="P77" s="137"/>
      <c r="Q77" s="137"/>
      <c r="R77" s="137"/>
      <c r="S77" s="137"/>
      <c r="T77" s="137"/>
      <c r="U77" s="137"/>
      <c r="V77" s="137"/>
      <c r="W77" s="137"/>
      <c r="X77" s="137"/>
      <c r="Y77" s="137"/>
      <c r="Z77" s="137"/>
      <c r="AA77" s="137"/>
      <c r="AB77" s="123"/>
    </row>
    <row r="78" spans="1:28" s="126" customFormat="1" x14ac:dyDescent="0.25">
      <c r="A78" s="149">
        <f>1</f>
        <v>1</v>
      </c>
      <c r="B78" s="132" t="str">
        <f>структура!$J$13</f>
        <v>УСН(6%)</v>
      </c>
      <c r="C78" s="123"/>
      <c r="D78" s="123"/>
      <c r="E78" s="130" t="str">
        <f>E76</f>
        <v>начисления в соцфонды и НС</v>
      </c>
      <c r="F78" s="130"/>
      <c r="G78" s="130" t="str">
        <f>IF($E78="","",INDEX(KPI!$G:$G,SUMIFS(KPI!$B:$B,KPI!$E:$E,$E78)))</f>
        <v>тыс.руб.</v>
      </c>
      <c r="H78" s="130"/>
      <c r="I78" s="134"/>
      <c r="J78" s="130"/>
      <c r="K78" s="134"/>
      <c r="L78" s="130"/>
      <c r="M78" s="135">
        <f>SUM($O78:$AB78)</f>
        <v>4693.08</v>
      </c>
      <c r="N78" s="123"/>
      <c r="O78" s="123"/>
      <c r="P78" s="136">
        <f>IF(P$1="",0,операции!P$353)</f>
        <v>670.43999999999994</v>
      </c>
      <c r="Q78" s="136">
        <f>IF(Q$1="",0,операции!Q$353)</f>
        <v>670.43999999999994</v>
      </c>
      <c r="R78" s="136">
        <f>IF(R$1="",0,операции!R$353)</f>
        <v>670.43999999999994</v>
      </c>
      <c r="S78" s="136">
        <f>IF(S$1="",0,операции!S$353)</f>
        <v>670.43999999999994</v>
      </c>
      <c r="T78" s="136">
        <f>IF(T$1="",0,операции!T$353)</f>
        <v>670.43999999999994</v>
      </c>
      <c r="U78" s="136">
        <f>IF(U$1="",0,операции!U$353)</f>
        <v>670.43999999999994</v>
      </c>
      <c r="V78" s="136">
        <f>IF(V$1="",0,операции!V$353)</f>
        <v>670.43999999999994</v>
      </c>
      <c r="W78" s="136">
        <f>IF(W$1="",0,операции!W$353)</f>
        <v>0</v>
      </c>
      <c r="X78" s="136">
        <f>IF(X$1="",0,операции!X$353)</f>
        <v>0</v>
      </c>
      <c r="Y78" s="136">
        <f>IF(Y$1="",0,операции!Y$353)</f>
        <v>0</v>
      </c>
      <c r="Z78" s="136">
        <f>IF(Z$1="",0,операции!Z$353)</f>
        <v>0</v>
      </c>
      <c r="AA78" s="136">
        <f>IF(AA$1="",0,операции!AA$353)</f>
        <v>0</v>
      </c>
      <c r="AB78" s="123"/>
    </row>
    <row r="79" spans="1:28" s="126" customFormat="1" ht="3.9" customHeight="1" x14ac:dyDescent="0.25">
      <c r="A79" s="149">
        <f>1</f>
        <v>1</v>
      </c>
      <c r="B79" s="131"/>
      <c r="C79" s="123"/>
      <c r="D79" s="123"/>
      <c r="E79" s="123"/>
      <c r="F79" s="123"/>
      <c r="G79" s="123"/>
      <c r="H79" s="123"/>
      <c r="I79" s="124"/>
      <c r="J79" s="123"/>
      <c r="K79" s="124"/>
      <c r="L79" s="123"/>
      <c r="M79" s="125"/>
      <c r="N79" s="123"/>
      <c r="O79" s="123"/>
      <c r="P79" s="137"/>
      <c r="Q79" s="137"/>
      <c r="R79" s="137"/>
      <c r="S79" s="137"/>
      <c r="T79" s="137"/>
      <c r="U79" s="137"/>
      <c r="V79" s="137"/>
      <c r="W79" s="137"/>
      <c r="X79" s="137"/>
      <c r="Y79" s="137"/>
      <c r="Z79" s="137"/>
      <c r="AA79" s="137"/>
      <c r="AB79" s="123"/>
    </row>
    <row r="80" spans="1:28" s="126" customFormat="1" x14ac:dyDescent="0.25">
      <c r="A80" s="149">
        <f>1</f>
        <v>1</v>
      </c>
      <c r="B80" s="132" t="str">
        <f>структура!$J$14</f>
        <v>УСН(15%)</v>
      </c>
      <c r="C80" s="123"/>
      <c r="D80" s="123"/>
      <c r="E80" s="130" t="str">
        <f>E76</f>
        <v>начисления в соцфонды и НС</v>
      </c>
      <c r="F80" s="130"/>
      <c r="G80" s="130" t="str">
        <f>IF($E80="","",INDEX(KPI!$G:$G,SUMIFS(KPI!$B:$B,KPI!$E:$E,$E80)))</f>
        <v>тыс.руб.</v>
      </c>
      <c r="H80" s="130"/>
      <c r="I80" s="134"/>
      <c r="J80" s="130"/>
      <c r="K80" s="134"/>
      <c r="L80" s="130"/>
      <c r="M80" s="135">
        <f>SUM($O80:$AB80)</f>
        <v>4693.08</v>
      </c>
      <c r="N80" s="123"/>
      <c r="O80" s="123"/>
      <c r="P80" s="136">
        <f>IF(P$1="",0,операции!P$353)</f>
        <v>670.43999999999994</v>
      </c>
      <c r="Q80" s="136">
        <f>IF(Q$1="",0,операции!Q$353)</f>
        <v>670.43999999999994</v>
      </c>
      <c r="R80" s="136">
        <f>IF(R$1="",0,операции!R$353)</f>
        <v>670.43999999999994</v>
      </c>
      <c r="S80" s="136">
        <f>IF(S$1="",0,операции!S$353)</f>
        <v>670.43999999999994</v>
      </c>
      <c r="T80" s="136">
        <f>IF(T$1="",0,операции!T$353)</f>
        <v>670.43999999999994</v>
      </c>
      <c r="U80" s="136">
        <f>IF(U$1="",0,операции!U$353)</f>
        <v>670.43999999999994</v>
      </c>
      <c r="V80" s="136">
        <f>IF(V$1="",0,операции!V$353)</f>
        <v>670.43999999999994</v>
      </c>
      <c r="W80" s="136">
        <f>IF(W$1="",0,операции!W$353)</f>
        <v>0</v>
      </c>
      <c r="X80" s="136">
        <f>IF(X$1="",0,операции!X$353)</f>
        <v>0</v>
      </c>
      <c r="Y80" s="136">
        <f>IF(Y$1="",0,операции!Y$353)</f>
        <v>0</v>
      </c>
      <c r="Z80" s="136">
        <f>IF(Z$1="",0,операции!Z$353)</f>
        <v>0</v>
      </c>
      <c r="AA80" s="136">
        <f>IF(AA$1="",0,операции!AA$353)</f>
        <v>0</v>
      </c>
      <c r="AB80" s="123"/>
    </row>
    <row r="81" spans="1:28" s="126" customFormat="1" ht="3.9" customHeight="1" x14ac:dyDescent="0.25">
      <c r="A81" s="149">
        <f>1</f>
        <v>1</v>
      </c>
      <c r="B81" s="131"/>
      <c r="C81" s="123"/>
      <c r="D81" s="123"/>
      <c r="E81" s="123"/>
      <c r="F81" s="123"/>
      <c r="G81" s="123"/>
      <c r="H81" s="123"/>
      <c r="I81" s="124"/>
      <c r="J81" s="123"/>
      <c r="K81" s="124"/>
      <c r="L81" s="123"/>
      <c r="M81" s="125"/>
      <c r="N81" s="123"/>
      <c r="O81" s="123"/>
      <c r="P81" s="137"/>
      <c r="Q81" s="137"/>
      <c r="R81" s="137"/>
      <c r="S81" s="137"/>
      <c r="T81" s="137"/>
      <c r="U81" s="137"/>
      <c r="V81" s="137"/>
      <c r="W81" s="137"/>
      <c r="X81" s="137"/>
      <c r="Y81" s="137"/>
      <c r="Z81" s="137"/>
      <c r="AA81" s="137"/>
      <c r="AB81" s="123"/>
    </row>
    <row r="82" spans="1:28" s="126" customFormat="1" x14ac:dyDescent="0.25">
      <c r="A82" s="149">
        <f>1</f>
        <v>1</v>
      </c>
      <c r="B82" s="132" t="str">
        <f>структура!$J$15</f>
        <v>УСН(6%)-ИП</v>
      </c>
      <c r="C82" s="123"/>
      <c r="D82" s="123"/>
      <c r="E82" s="130" t="str">
        <f>E76</f>
        <v>начисления в соцфонды и НС</v>
      </c>
      <c r="F82" s="130"/>
      <c r="G82" s="130" t="str">
        <f>IF($E82="","",INDEX(KPI!$G:$G,SUMIFS(KPI!$B:$B,KPI!$E:$E,$E82)))</f>
        <v>тыс.руб.</v>
      </c>
      <c r="H82" s="130"/>
      <c r="I82" s="134"/>
      <c r="J82" s="130"/>
      <c r="K82" s="134"/>
      <c r="L82" s="130"/>
      <c r="M82" s="135">
        <f>SUM($O82:$AB82)</f>
        <v>4693.08</v>
      </c>
      <c r="N82" s="123"/>
      <c r="O82" s="123"/>
      <c r="P82" s="136">
        <f>IF(P$1="",0,операции!P$353)</f>
        <v>670.43999999999994</v>
      </c>
      <c r="Q82" s="136">
        <f>IF(Q$1="",0,операции!Q$353)</f>
        <v>670.43999999999994</v>
      </c>
      <c r="R82" s="136">
        <f>IF(R$1="",0,операции!R$353)</f>
        <v>670.43999999999994</v>
      </c>
      <c r="S82" s="136">
        <f>IF(S$1="",0,операции!S$353)</f>
        <v>670.43999999999994</v>
      </c>
      <c r="T82" s="136">
        <f>IF(T$1="",0,операции!T$353)</f>
        <v>670.43999999999994</v>
      </c>
      <c r="U82" s="136">
        <f>IF(U$1="",0,операции!U$353)</f>
        <v>670.43999999999994</v>
      </c>
      <c r="V82" s="136">
        <f>IF(V$1="",0,операции!V$353)</f>
        <v>670.43999999999994</v>
      </c>
      <c r="W82" s="136">
        <f>IF(W$1="",0,операции!W$353)</f>
        <v>0</v>
      </c>
      <c r="X82" s="136">
        <f>IF(X$1="",0,операции!X$353)</f>
        <v>0</v>
      </c>
      <c r="Y82" s="136">
        <f>IF(Y$1="",0,операции!Y$353)</f>
        <v>0</v>
      </c>
      <c r="Z82" s="136">
        <f>IF(Z$1="",0,операции!Z$353)</f>
        <v>0</v>
      </c>
      <c r="AA82" s="136">
        <f>IF(AA$1="",0,операции!AA$353)</f>
        <v>0</v>
      </c>
      <c r="AB82" s="123"/>
    </row>
    <row r="83" spans="1:28" ht="3.9" customHeight="1" x14ac:dyDescent="0.25">
      <c r="A83" s="149">
        <f>1</f>
        <v>1</v>
      </c>
      <c r="B83" s="131"/>
      <c r="C83" s="2"/>
      <c r="D83" s="2"/>
      <c r="E83" s="2"/>
      <c r="F83" s="2"/>
      <c r="G83" s="2"/>
      <c r="H83" s="2"/>
      <c r="I83" s="28"/>
      <c r="J83" s="2"/>
      <c r="K83" s="28"/>
      <c r="L83" s="2"/>
      <c r="M83" s="52"/>
      <c r="N83" s="2"/>
      <c r="O83" s="2"/>
      <c r="P83" s="36"/>
      <c r="Q83" s="36"/>
      <c r="R83" s="36"/>
      <c r="S83" s="36"/>
      <c r="T83" s="36"/>
      <c r="U83" s="36"/>
      <c r="V83" s="36"/>
      <c r="W83" s="36"/>
      <c r="X83" s="36"/>
      <c r="Y83" s="36"/>
      <c r="Z83" s="36"/>
      <c r="AA83" s="36"/>
      <c r="AB83" s="2"/>
    </row>
    <row r="84" spans="1:28" ht="8.1" customHeight="1" x14ac:dyDescent="0.25">
      <c r="A84" s="149">
        <f>1</f>
        <v>1</v>
      </c>
      <c r="B84" s="131"/>
      <c r="C84" s="2"/>
      <c r="D84" s="2"/>
      <c r="E84" s="2"/>
      <c r="F84" s="2"/>
      <c r="G84" s="2"/>
      <c r="H84" s="2"/>
      <c r="I84" s="28"/>
      <c r="J84" s="2"/>
      <c r="K84" s="28"/>
      <c r="L84" s="2"/>
      <c r="M84" s="52"/>
      <c r="N84" s="2"/>
      <c r="O84" s="2"/>
      <c r="P84" s="36"/>
      <c r="Q84" s="36"/>
      <c r="R84" s="36"/>
      <c r="S84" s="36"/>
      <c r="T84" s="36"/>
      <c r="U84" s="36"/>
      <c r="V84" s="36"/>
      <c r="W84" s="36"/>
      <c r="X84" s="36"/>
      <c r="Y84" s="36"/>
      <c r="Z84" s="36"/>
      <c r="AA84" s="36"/>
      <c r="AB84" s="2"/>
    </row>
    <row r="85" spans="1:28" s="126" customFormat="1" x14ac:dyDescent="0.25">
      <c r="A85" s="149">
        <f>1</f>
        <v>1</v>
      </c>
      <c r="B85" s="132" t="str">
        <f>структура!$J$12</f>
        <v>ОСНО</v>
      </c>
      <c r="C85" s="123"/>
      <c r="D85" s="123"/>
      <c r="E85" s="130" t="str">
        <f>KPI!$E$81</f>
        <v>общехозяйственные расходы</v>
      </c>
      <c r="F85" s="130"/>
      <c r="G85" s="130" t="str">
        <f>IF($E85="","",INDEX(KPI!$G:$G,SUMIFS(KPI!$B:$B,KPI!$E:$E,$E85)))</f>
        <v>тыс.руб.</v>
      </c>
      <c r="H85" s="130"/>
      <c r="I85" s="134"/>
      <c r="J85" s="130" t="str">
        <f>структура!$AL$21</f>
        <v>Без НДС</v>
      </c>
      <c r="K85" s="134"/>
      <c r="L85" s="130"/>
      <c r="M85" s="135">
        <f>SUM($O85:$AB85)</f>
        <v>6904.8262500000019</v>
      </c>
      <c r="N85" s="123"/>
      <c r="O85" s="123"/>
      <c r="P85" s="136">
        <f>IF(P$1="",0,IF(1+операции!P$421=0,0,(операции!P$386)/(1+операции!P$421)))</f>
        <v>825.09006730769238</v>
      </c>
      <c r="Q85" s="136">
        <f>IF(Q$1="",0,IF(1+операции!Q$421=0,0,(операции!Q$386)/(1+операции!Q$421)))</f>
        <v>862.04131730769234</v>
      </c>
      <c r="R85" s="136">
        <f>IF(R$1="",0,IF(1+операции!R$421=0,0,(операции!R$386)/(1+операции!R$421)))</f>
        <v>918.55951923076952</v>
      </c>
      <c r="S85" s="136">
        <f>IF(S$1="",0,IF(1+операции!S$421=0,0,(операции!S$386)/(1+операции!S$421)))</f>
        <v>954.41944230769241</v>
      </c>
      <c r="T85" s="136">
        <f>IF(T$1="",0,IF(1+операции!T$421=0,0,(операции!T$386)/(1+операции!T$421)))</f>
        <v>1009.8463173076922</v>
      </c>
      <c r="U85" s="136">
        <f>IF(U$1="",0,IF(1+операции!U$421=0,0,(операции!U$386)/(1+операции!U$421)))</f>
        <v>1102.2244423076925</v>
      </c>
      <c r="V85" s="136">
        <f>IF(V$1="",0,IF(1+операции!V$421=0,0,(операции!V$386)/(1+операции!V$421)))</f>
        <v>1232.6451442307693</v>
      </c>
      <c r="W85" s="136">
        <f>IF(W$1="",0,IF(1+операции!W$421=0,0,(операции!W$386)/(1+операции!W$421)))</f>
        <v>0</v>
      </c>
      <c r="X85" s="136">
        <f>IF(X$1="",0,IF(1+операции!X$421=0,0,(операции!X$386)/(1+операции!X$421)))</f>
        <v>0</v>
      </c>
      <c r="Y85" s="136">
        <f>IF(Y$1="",0,IF(1+операции!Y$421=0,0,(операции!Y$386)/(1+операции!Y$421)))</f>
        <v>0</v>
      </c>
      <c r="Z85" s="136">
        <f>IF(Z$1="",0,IF(1+операции!Z$421=0,0,(операции!Z$386)/(1+операции!Z$421)))</f>
        <v>0</v>
      </c>
      <c r="AA85" s="136">
        <f>IF(AA$1="",0,IF(1+операции!AA$421=0,0,(операции!AA$386)/(1+операции!AA$421)))</f>
        <v>0</v>
      </c>
      <c r="AB85" s="123"/>
    </row>
    <row r="86" spans="1:28" s="126" customFormat="1" ht="3.9" customHeight="1" x14ac:dyDescent="0.25">
      <c r="A86" s="149">
        <f>1</f>
        <v>1</v>
      </c>
      <c r="B86" s="131"/>
      <c r="C86" s="123"/>
      <c r="D86" s="123"/>
      <c r="E86" s="123"/>
      <c r="F86" s="123"/>
      <c r="G86" s="123"/>
      <c r="H86" s="123"/>
      <c r="I86" s="124"/>
      <c r="J86" s="123"/>
      <c r="K86" s="124"/>
      <c r="L86" s="123"/>
      <c r="M86" s="125"/>
      <c r="N86" s="123"/>
      <c r="O86" s="123"/>
      <c r="P86" s="137"/>
      <c r="Q86" s="137"/>
      <c r="R86" s="137"/>
      <c r="S86" s="137"/>
      <c r="T86" s="137"/>
      <c r="U86" s="137"/>
      <c r="V86" s="137"/>
      <c r="W86" s="137"/>
      <c r="X86" s="137"/>
      <c r="Y86" s="137"/>
      <c r="Z86" s="137"/>
      <c r="AA86" s="137"/>
      <c r="AB86" s="123"/>
    </row>
    <row r="87" spans="1:28" s="126" customFormat="1" x14ac:dyDescent="0.25">
      <c r="A87" s="149">
        <f>1</f>
        <v>1</v>
      </c>
      <c r="B87" s="132" t="str">
        <f>структура!$J$13</f>
        <v>УСН(6%)</v>
      </c>
      <c r="C87" s="123"/>
      <c r="D87" s="123"/>
      <c r="E87" s="130" t="str">
        <f>E85</f>
        <v>общехозяйственные расходы</v>
      </c>
      <c r="F87" s="130"/>
      <c r="G87" s="130" t="str">
        <f>IF($E87="","",INDEX(KPI!$G:$G,SUMIFS(KPI!$B:$B,KPI!$E:$E,$E87)))</f>
        <v>тыс.руб.</v>
      </c>
      <c r="H87" s="130"/>
      <c r="I87" s="134"/>
      <c r="J87" s="130" t="str">
        <f>структура!$AL$21</f>
        <v>Без НДС</v>
      </c>
      <c r="K87" s="134"/>
      <c r="L87" s="130"/>
      <c r="M87" s="135">
        <f>SUM($O87:$AB87)</f>
        <v>6904.8262500000019</v>
      </c>
      <c r="N87" s="123"/>
      <c r="O87" s="123"/>
      <c r="P87" s="136">
        <f>IF(P$1="",0,IF(1+операции!P$421=0,0,(операции!P$386)/(1+операции!P$421)))</f>
        <v>825.09006730769238</v>
      </c>
      <c r="Q87" s="136">
        <f>IF(Q$1="",0,IF(1+операции!Q$421=0,0,(операции!Q$386)/(1+операции!Q$421)))</f>
        <v>862.04131730769234</v>
      </c>
      <c r="R87" s="136">
        <f>IF(R$1="",0,IF(1+операции!R$421=0,0,(операции!R$386)/(1+операции!R$421)))</f>
        <v>918.55951923076952</v>
      </c>
      <c r="S87" s="136">
        <f>IF(S$1="",0,IF(1+операции!S$421=0,0,(операции!S$386)/(1+операции!S$421)))</f>
        <v>954.41944230769241</v>
      </c>
      <c r="T87" s="136">
        <f>IF(T$1="",0,IF(1+операции!T$421=0,0,(операции!T$386)/(1+операции!T$421)))</f>
        <v>1009.8463173076922</v>
      </c>
      <c r="U87" s="136">
        <f>IF(U$1="",0,IF(1+операции!U$421=0,0,(операции!U$386)/(1+операции!U$421)))</f>
        <v>1102.2244423076925</v>
      </c>
      <c r="V87" s="136">
        <f>IF(V$1="",0,IF(1+операции!V$421=0,0,(операции!V$386)/(1+операции!V$421)))</f>
        <v>1232.6451442307693</v>
      </c>
      <c r="W87" s="136">
        <f>IF(W$1="",0,IF(1+операции!W$421=0,0,(операции!W$386)/(1+операции!W$421)))</f>
        <v>0</v>
      </c>
      <c r="X87" s="136">
        <f>IF(X$1="",0,IF(1+операции!X$421=0,0,(операции!X$386)/(1+операции!X$421)))</f>
        <v>0</v>
      </c>
      <c r="Y87" s="136">
        <f>IF(Y$1="",0,IF(1+операции!Y$421=0,0,(операции!Y$386)/(1+операции!Y$421)))</f>
        <v>0</v>
      </c>
      <c r="Z87" s="136">
        <f>IF(Z$1="",0,IF(1+операции!Z$421=0,0,(операции!Z$386)/(1+операции!Z$421)))</f>
        <v>0</v>
      </c>
      <c r="AA87" s="136">
        <f>IF(AA$1="",0,IF(1+операции!AA$421=0,0,(операции!AA$386)/(1+операции!AA$421)))</f>
        <v>0</v>
      </c>
      <c r="AB87" s="123"/>
    </row>
    <row r="88" spans="1:28" s="126" customFormat="1" ht="3.9" customHeight="1" x14ac:dyDescent="0.25">
      <c r="A88" s="149">
        <f>1</f>
        <v>1</v>
      </c>
      <c r="B88" s="131"/>
      <c r="C88" s="123"/>
      <c r="D88" s="123"/>
      <c r="E88" s="123"/>
      <c r="F88" s="123"/>
      <c r="G88" s="123"/>
      <c r="H88" s="123"/>
      <c r="I88" s="124"/>
      <c r="J88" s="123"/>
      <c r="K88" s="124"/>
      <c r="L88" s="123"/>
      <c r="M88" s="125"/>
      <c r="N88" s="123"/>
      <c r="O88" s="123"/>
      <c r="P88" s="137"/>
      <c r="Q88" s="137"/>
      <c r="R88" s="137"/>
      <c r="S88" s="137"/>
      <c r="T88" s="137"/>
      <c r="U88" s="137"/>
      <c r="V88" s="137"/>
      <c r="W88" s="137"/>
      <c r="X88" s="137"/>
      <c r="Y88" s="137"/>
      <c r="Z88" s="137"/>
      <c r="AA88" s="137"/>
      <c r="AB88" s="123"/>
    </row>
    <row r="89" spans="1:28" s="126" customFormat="1" x14ac:dyDescent="0.25">
      <c r="A89" s="149">
        <f>1</f>
        <v>1</v>
      </c>
      <c r="B89" s="132" t="str">
        <f>структура!$J$14</f>
        <v>УСН(15%)</v>
      </c>
      <c r="C89" s="123"/>
      <c r="D89" s="123"/>
      <c r="E89" s="130" t="str">
        <f>E85</f>
        <v>общехозяйственные расходы</v>
      </c>
      <c r="F89" s="130"/>
      <c r="G89" s="130" t="str">
        <f>IF($E89="","",INDEX(KPI!$G:$G,SUMIFS(KPI!$B:$B,KPI!$E:$E,$E89)))</f>
        <v>тыс.руб.</v>
      </c>
      <c r="H89" s="130"/>
      <c r="I89" s="134"/>
      <c r="J89" s="130" t="str">
        <f>структура!$AL$21</f>
        <v>Без НДС</v>
      </c>
      <c r="K89" s="134"/>
      <c r="L89" s="130"/>
      <c r="M89" s="135">
        <f>SUM($O89:$AB89)</f>
        <v>6904.8262500000019</v>
      </c>
      <c r="N89" s="123"/>
      <c r="O89" s="123"/>
      <c r="P89" s="136">
        <f>IF(P$1="",0,IF(1+операции!P$421=0,0,(операции!P$386)/(1+операции!P$421)))</f>
        <v>825.09006730769238</v>
      </c>
      <c r="Q89" s="136">
        <f>IF(Q$1="",0,IF(1+операции!Q$421=0,0,(операции!Q$386)/(1+операции!Q$421)))</f>
        <v>862.04131730769234</v>
      </c>
      <c r="R89" s="136">
        <f>IF(R$1="",0,IF(1+операции!R$421=0,0,(операции!R$386)/(1+операции!R$421)))</f>
        <v>918.55951923076952</v>
      </c>
      <c r="S89" s="136">
        <f>IF(S$1="",0,IF(1+операции!S$421=0,0,(операции!S$386)/(1+операции!S$421)))</f>
        <v>954.41944230769241</v>
      </c>
      <c r="T89" s="136">
        <f>IF(T$1="",0,IF(1+операции!T$421=0,0,(операции!T$386)/(1+операции!T$421)))</f>
        <v>1009.8463173076922</v>
      </c>
      <c r="U89" s="136">
        <f>IF(U$1="",0,IF(1+операции!U$421=0,0,(операции!U$386)/(1+операции!U$421)))</f>
        <v>1102.2244423076925</v>
      </c>
      <c r="V89" s="136">
        <f>IF(V$1="",0,IF(1+операции!V$421=0,0,(операции!V$386)/(1+операции!V$421)))</f>
        <v>1232.6451442307693</v>
      </c>
      <c r="W89" s="136">
        <f>IF(W$1="",0,IF(1+операции!W$421=0,0,(операции!W$386)/(1+операции!W$421)))</f>
        <v>0</v>
      </c>
      <c r="X89" s="136">
        <f>IF(X$1="",0,IF(1+операции!X$421=0,0,(операции!X$386)/(1+операции!X$421)))</f>
        <v>0</v>
      </c>
      <c r="Y89" s="136">
        <f>IF(Y$1="",0,IF(1+операции!Y$421=0,0,(операции!Y$386)/(1+операции!Y$421)))</f>
        <v>0</v>
      </c>
      <c r="Z89" s="136">
        <f>IF(Z$1="",0,IF(1+операции!Z$421=0,0,(операции!Z$386)/(1+операции!Z$421)))</f>
        <v>0</v>
      </c>
      <c r="AA89" s="136">
        <f>IF(AA$1="",0,IF(1+операции!AA$421=0,0,(операции!AA$386)/(1+операции!AA$421)))</f>
        <v>0</v>
      </c>
      <c r="AB89" s="123"/>
    </row>
    <row r="90" spans="1:28" s="126" customFormat="1" ht="3.9" customHeight="1" x14ac:dyDescent="0.25">
      <c r="A90" s="149">
        <f>1</f>
        <v>1</v>
      </c>
      <c r="B90" s="131"/>
      <c r="C90" s="123"/>
      <c r="D90" s="123"/>
      <c r="E90" s="123"/>
      <c r="F90" s="123"/>
      <c r="G90" s="123"/>
      <c r="H90" s="123"/>
      <c r="I90" s="124"/>
      <c r="J90" s="123"/>
      <c r="K90" s="124"/>
      <c r="L90" s="123"/>
      <c r="M90" s="125"/>
      <c r="N90" s="123"/>
      <c r="O90" s="123"/>
      <c r="P90" s="137"/>
      <c r="Q90" s="137"/>
      <c r="R90" s="137"/>
      <c r="S90" s="137"/>
      <c r="T90" s="137"/>
      <c r="U90" s="137"/>
      <c r="V90" s="137"/>
      <c r="W90" s="137"/>
      <c r="X90" s="137"/>
      <c r="Y90" s="137"/>
      <c r="Z90" s="137"/>
      <c r="AA90" s="137"/>
      <c r="AB90" s="123"/>
    </row>
    <row r="91" spans="1:28" s="126" customFormat="1" x14ac:dyDescent="0.25">
      <c r="A91" s="149">
        <f>1</f>
        <v>1</v>
      </c>
      <c r="B91" s="132" t="str">
        <f>структура!$J$15</f>
        <v>УСН(6%)-ИП</v>
      </c>
      <c r="C91" s="123"/>
      <c r="D91" s="123"/>
      <c r="E91" s="130" t="str">
        <f>E85</f>
        <v>общехозяйственные расходы</v>
      </c>
      <c r="F91" s="130"/>
      <c r="G91" s="130" t="str">
        <f>IF($E91="","",INDEX(KPI!$G:$G,SUMIFS(KPI!$B:$B,KPI!$E:$E,$E91)))</f>
        <v>тыс.руб.</v>
      </c>
      <c r="H91" s="130"/>
      <c r="I91" s="134"/>
      <c r="J91" s="130" t="str">
        <f>структура!$AL$21</f>
        <v>Без НДС</v>
      </c>
      <c r="K91" s="134"/>
      <c r="L91" s="130"/>
      <c r="M91" s="135">
        <f>SUM($O91:$AB91)</f>
        <v>6904.8262500000019</v>
      </c>
      <c r="N91" s="123"/>
      <c r="O91" s="123"/>
      <c r="P91" s="136">
        <f>IF(P$1="",0,IF(1+операции!P$421=0,0,(операции!P$386)/(1+операции!P$421)))</f>
        <v>825.09006730769238</v>
      </c>
      <c r="Q91" s="136">
        <f>IF(Q$1="",0,IF(1+операции!Q$421=0,0,(операции!Q$386)/(1+операции!Q$421)))</f>
        <v>862.04131730769234</v>
      </c>
      <c r="R91" s="136">
        <f>IF(R$1="",0,IF(1+операции!R$421=0,0,(операции!R$386)/(1+операции!R$421)))</f>
        <v>918.55951923076952</v>
      </c>
      <c r="S91" s="136">
        <f>IF(S$1="",0,IF(1+операции!S$421=0,0,(операции!S$386)/(1+операции!S$421)))</f>
        <v>954.41944230769241</v>
      </c>
      <c r="T91" s="136">
        <f>IF(T$1="",0,IF(1+операции!T$421=0,0,(операции!T$386)/(1+операции!T$421)))</f>
        <v>1009.8463173076922</v>
      </c>
      <c r="U91" s="136">
        <f>IF(U$1="",0,IF(1+операции!U$421=0,0,(операции!U$386)/(1+операции!U$421)))</f>
        <v>1102.2244423076925</v>
      </c>
      <c r="V91" s="136">
        <f>IF(V$1="",0,IF(1+операции!V$421=0,0,(операции!V$386)/(1+операции!V$421)))</f>
        <v>1232.6451442307693</v>
      </c>
      <c r="W91" s="136">
        <f>IF(W$1="",0,IF(1+операции!W$421=0,0,(операции!W$386)/(1+операции!W$421)))</f>
        <v>0</v>
      </c>
      <c r="X91" s="136">
        <f>IF(X$1="",0,IF(1+операции!X$421=0,0,(операции!X$386)/(1+операции!X$421)))</f>
        <v>0</v>
      </c>
      <c r="Y91" s="136">
        <f>IF(Y$1="",0,IF(1+операции!Y$421=0,0,(операции!Y$386)/(1+операции!Y$421)))</f>
        <v>0</v>
      </c>
      <c r="Z91" s="136">
        <f>IF(Z$1="",0,IF(1+операции!Z$421=0,0,(операции!Z$386)/(1+операции!Z$421)))</f>
        <v>0</v>
      </c>
      <c r="AA91" s="136">
        <f>IF(AA$1="",0,IF(1+операции!AA$421=0,0,(операции!AA$386)/(1+операции!AA$421)))</f>
        <v>0</v>
      </c>
      <c r="AB91" s="123"/>
    </row>
    <row r="92" spans="1:28" ht="3.9" customHeight="1" x14ac:dyDescent="0.25">
      <c r="A92" s="149">
        <f>1</f>
        <v>1</v>
      </c>
      <c r="B92" s="131"/>
      <c r="C92" s="2"/>
      <c r="D92" s="2"/>
      <c r="E92" s="2"/>
      <c r="F92" s="2"/>
      <c r="G92" s="2"/>
      <c r="H92" s="2"/>
      <c r="I92" s="28"/>
      <c r="J92" s="2"/>
      <c r="K92" s="28"/>
      <c r="L92" s="2"/>
      <c r="M92" s="52"/>
      <c r="N92" s="2"/>
      <c r="O92" s="2"/>
      <c r="P92" s="36"/>
      <c r="Q92" s="36"/>
      <c r="R92" s="36"/>
      <c r="S92" s="36"/>
      <c r="T92" s="36"/>
      <c r="U92" s="36"/>
      <c r="V92" s="36"/>
      <c r="W92" s="36"/>
      <c r="X92" s="36"/>
      <c r="Y92" s="36"/>
      <c r="Z92" s="36"/>
      <c r="AA92" s="36"/>
      <c r="AB92" s="2"/>
    </row>
    <row r="93" spans="1:28" ht="8.1" customHeight="1" x14ac:dyDescent="0.25">
      <c r="A93" s="149">
        <f>1</f>
        <v>1</v>
      </c>
      <c r="B93" s="131"/>
      <c r="C93" s="2"/>
      <c r="D93" s="2"/>
      <c r="E93" s="2"/>
      <c r="F93" s="2"/>
      <c r="G93" s="2"/>
      <c r="H93" s="2"/>
      <c r="I93" s="28"/>
      <c r="J93" s="2"/>
      <c r="K93" s="28"/>
      <c r="L93" s="2"/>
      <c r="M93" s="52"/>
      <c r="N93" s="2"/>
      <c r="O93" s="2"/>
      <c r="P93" s="36"/>
      <c r="Q93" s="36"/>
      <c r="R93" s="36"/>
      <c r="S93" s="36"/>
      <c r="T93" s="36"/>
      <c r="U93" s="36"/>
      <c r="V93" s="36"/>
      <c r="W93" s="36"/>
      <c r="X93" s="36"/>
      <c r="Y93" s="36"/>
      <c r="Z93" s="36"/>
      <c r="AA93" s="36"/>
      <c r="AB93" s="2"/>
    </row>
    <row r="94" spans="1:28" ht="3.9" customHeight="1" x14ac:dyDescent="0.25">
      <c r="A94" s="149">
        <f>1</f>
        <v>1</v>
      </c>
      <c r="B94" s="131"/>
      <c r="C94" s="2"/>
      <c r="D94" s="2"/>
      <c r="E94" s="2"/>
      <c r="F94" s="2"/>
      <c r="G94" s="2"/>
      <c r="H94" s="2"/>
      <c r="I94" s="28"/>
      <c r="J94" s="2"/>
      <c r="K94" s="28"/>
      <c r="L94" s="2"/>
      <c r="M94" s="52"/>
      <c r="N94" s="2"/>
      <c r="O94" s="2"/>
      <c r="P94" s="36"/>
      <c r="Q94" s="36"/>
      <c r="R94" s="36"/>
      <c r="S94" s="36"/>
      <c r="T94" s="36"/>
      <c r="U94" s="36"/>
      <c r="V94" s="36"/>
      <c r="W94" s="36"/>
      <c r="X94" s="36"/>
      <c r="Y94" s="36"/>
      <c r="Z94" s="36"/>
      <c r="AA94" s="36"/>
      <c r="AB94" s="2"/>
    </row>
    <row r="95" spans="1:28" s="126" customFormat="1" x14ac:dyDescent="0.25">
      <c r="A95" s="149">
        <f>1</f>
        <v>1</v>
      </c>
      <c r="B95" s="132" t="str">
        <f>структура!$J$12</f>
        <v>ОСНО</v>
      </c>
      <c r="C95" s="123"/>
      <c r="D95" s="123"/>
      <c r="E95" s="130" t="str">
        <f>KPI!$E$82</f>
        <v>непредвиденные расходы</v>
      </c>
      <c r="F95" s="130"/>
      <c r="G95" s="130" t="str">
        <f>IF($E95="","",INDEX(KPI!$G:$G,SUMIFS(KPI!$B:$B,KPI!$E:$E,$E95)))</f>
        <v>тыс.руб.</v>
      </c>
      <c r="H95" s="130"/>
      <c r="I95" s="134"/>
      <c r="J95" s="130" t="str">
        <f>структура!$AL$21</f>
        <v>Без НДС</v>
      </c>
      <c r="K95" s="134"/>
      <c r="L95" s="130"/>
      <c r="M95" s="135">
        <f>SUM($O95:$AB95)</f>
        <v>2959.2112499999998</v>
      </c>
      <c r="N95" s="123"/>
      <c r="O95" s="123"/>
      <c r="P95" s="136">
        <f>IF(P$1="",0,IF(1+операции!P$421=0,0,(операции!P$404)/(1+операции!P$421)))</f>
        <v>353.61002884615385</v>
      </c>
      <c r="Q95" s="136">
        <f>IF(Q$1="",0,IF(1+операции!Q$421=0,0,(операции!Q$404)/(1+операции!Q$421)))</f>
        <v>369.4462788461538</v>
      </c>
      <c r="R95" s="136">
        <f>IF(R$1="",0,IF(1+операции!R$421=0,0,(операции!R$404)/(1+операции!R$421)))</f>
        <v>393.66836538461536</v>
      </c>
      <c r="S95" s="136">
        <f>IF(S$1="",0,IF(1+операции!S$421=0,0,(операции!S$404)/(1+операции!S$421)))</f>
        <v>409.03690384615385</v>
      </c>
      <c r="T95" s="136">
        <f>IF(T$1="",0,IF(1+операции!T$421=0,0,(операции!T$404)/(1+операции!T$421)))</f>
        <v>432.79127884615377</v>
      </c>
      <c r="U95" s="136">
        <f>IF(U$1="",0,IF(1+операции!U$421=0,0,(операции!U$404)/(1+операции!U$421)))</f>
        <v>472.38190384615388</v>
      </c>
      <c r="V95" s="136">
        <f>IF(V$1="",0,IF(1+операции!V$421=0,0,(операции!V$404)/(1+операции!V$421)))</f>
        <v>528.27649038461539</v>
      </c>
      <c r="W95" s="136">
        <f>IF(W$1="",0,IF(1+операции!W$421=0,0,(операции!W$404)/(1+операции!W$421)))</f>
        <v>0</v>
      </c>
      <c r="X95" s="136">
        <f>IF(X$1="",0,IF(1+операции!X$421=0,0,(операции!X$404)/(1+операции!X$421)))</f>
        <v>0</v>
      </c>
      <c r="Y95" s="136">
        <f>IF(Y$1="",0,IF(1+операции!Y$421=0,0,(операции!Y$404)/(1+операции!Y$421)))</f>
        <v>0</v>
      </c>
      <c r="Z95" s="136">
        <f>IF(Z$1="",0,IF(1+операции!Z$421=0,0,(операции!Z$404)/(1+операции!Z$421)))</f>
        <v>0</v>
      </c>
      <c r="AA95" s="136">
        <f>IF(AA$1="",0,IF(1+операции!AA$421=0,0,(операции!AA$404)/(1+операции!AA$421)))</f>
        <v>0</v>
      </c>
      <c r="AB95" s="123"/>
    </row>
    <row r="96" spans="1:28" s="126" customFormat="1" ht="3.9" customHeight="1" x14ac:dyDescent="0.25">
      <c r="A96" s="149">
        <f>1</f>
        <v>1</v>
      </c>
      <c r="B96" s="131"/>
      <c r="C96" s="123"/>
      <c r="D96" s="123"/>
      <c r="E96" s="123"/>
      <c r="F96" s="123"/>
      <c r="G96" s="123"/>
      <c r="H96" s="123"/>
      <c r="I96" s="124"/>
      <c r="J96" s="123"/>
      <c r="K96" s="124"/>
      <c r="L96" s="123"/>
      <c r="M96" s="125"/>
      <c r="N96" s="123"/>
      <c r="O96" s="123"/>
      <c r="P96" s="137"/>
      <c r="Q96" s="137"/>
      <c r="R96" s="137"/>
      <c r="S96" s="137"/>
      <c r="T96" s="137"/>
      <c r="U96" s="137"/>
      <c r="V96" s="137"/>
      <c r="W96" s="137"/>
      <c r="X96" s="137"/>
      <c r="Y96" s="137"/>
      <c r="Z96" s="137"/>
      <c r="AA96" s="137"/>
      <c r="AB96" s="123"/>
    </row>
    <row r="97" spans="1:28" s="126" customFormat="1" x14ac:dyDescent="0.25">
      <c r="A97" s="149">
        <f>1</f>
        <v>1</v>
      </c>
      <c r="B97" s="132" t="str">
        <f>структура!$J$13</f>
        <v>УСН(6%)</v>
      </c>
      <c r="C97" s="123"/>
      <c r="D97" s="123"/>
      <c r="E97" s="130" t="str">
        <f>E95</f>
        <v>непредвиденные расходы</v>
      </c>
      <c r="F97" s="130"/>
      <c r="G97" s="130" t="str">
        <f>IF($E97="","",INDEX(KPI!$G:$G,SUMIFS(KPI!$B:$B,KPI!$E:$E,$E97)))</f>
        <v>тыс.руб.</v>
      </c>
      <c r="H97" s="130"/>
      <c r="I97" s="134"/>
      <c r="J97" s="130" t="str">
        <f>структура!$AL$21</f>
        <v>Без НДС</v>
      </c>
      <c r="K97" s="134"/>
      <c r="L97" s="130"/>
      <c r="M97" s="135">
        <f>SUM($O97:$AB97)</f>
        <v>2959.2112499999998</v>
      </c>
      <c r="N97" s="123"/>
      <c r="O97" s="123"/>
      <c r="P97" s="136">
        <f>IF(P$1="",0,IF(1+операции!P$421=0,0,(операции!P$404)/(1+операции!P$421)))</f>
        <v>353.61002884615385</v>
      </c>
      <c r="Q97" s="136">
        <f>IF(Q$1="",0,IF(1+операции!Q$421=0,0,(операции!Q$404)/(1+операции!Q$421)))</f>
        <v>369.4462788461538</v>
      </c>
      <c r="R97" s="136">
        <f>IF(R$1="",0,IF(1+операции!R$421=0,0,(операции!R$404)/(1+операции!R$421)))</f>
        <v>393.66836538461536</v>
      </c>
      <c r="S97" s="136">
        <f>IF(S$1="",0,IF(1+операции!S$421=0,0,(операции!S$404)/(1+операции!S$421)))</f>
        <v>409.03690384615385</v>
      </c>
      <c r="T97" s="136">
        <f>IF(T$1="",0,IF(1+операции!T$421=0,0,(операции!T$404)/(1+операции!T$421)))</f>
        <v>432.79127884615377</v>
      </c>
      <c r="U97" s="136">
        <f>IF(U$1="",0,IF(1+операции!U$421=0,0,(операции!U$404)/(1+операции!U$421)))</f>
        <v>472.38190384615388</v>
      </c>
      <c r="V97" s="136">
        <f>IF(V$1="",0,IF(1+операции!V$421=0,0,(операции!V$404)/(1+операции!V$421)))</f>
        <v>528.27649038461539</v>
      </c>
      <c r="W97" s="136">
        <f>IF(W$1="",0,IF(1+операции!W$421=0,0,(операции!W$404)/(1+операции!W$421)))</f>
        <v>0</v>
      </c>
      <c r="X97" s="136">
        <f>IF(X$1="",0,IF(1+операции!X$421=0,0,(операции!X$404)/(1+операции!X$421)))</f>
        <v>0</v>
      </c>
      <c r="Y97" s="136">
        <f>IF(Y$1="",0,IF(1+операции!Y$421=0,0,(операции!Y$404)/(1+операции!Y$421)))</f>
        <v>0</v>
      </c>
      <c r="Z97" s="136">
        <f>IF(Z$1="",0,IF(1+операции!Z$421=0,0,(операции!Z$404)/(1+операции!Z$421)))</f>
        <v>0</v>
      </c>
      <c r="AA97" s="136">
        <f>IF(AA$1="",0,IF(1+операции!AA$421=0,0,(операции!AA$404)/(1+операции!AA$421)))</f>
        <v>0</v>
      </c>
      <c r="AB97" s="123"/>
    </row>
    <row r="98" spans="1:28" s="126" customFormat="1" ht="3.9" customHeight="1" x14ac:dyDescent="0.25">
      <c r="A98" s="149">
        <f>1</f>
        <v>1</v>
      </c>
      <c r="B98" s="131"/>
      <c r="C98" s="123"/>
      <c r="D98" s="123"/>
      <c r="E98" s="123"/>
      <c r="F98" s="123"/>
      <c r="G98" s="123"/>
      <c r="H98" s="123"/>
      <c r="I98" s="124"/>
      <c r="J98" s="123"/>
      <c r="K98" s="124"/>
      <c r="L98" s="123"/>
      <c r="M98" s="125"/>
      <c r="N98" s="123"/>
      <c r="O98" s="123"/>
      <c r="P98" s="137"/>
      <c r="Q98" s="137"/>
      <c r="R98" s="137"/>
      <c r="S98" s="137"/>
      <c r="T98" s="137"/>
      <c r="U98" s="137"/>
      <c r="V98" s="137"/>
      <c r="W98" s="137"/>
      <c r="X98" s="137"/>
      <c r="Y98" s="137"/>
      <c r="Z98" s="137"/>
      <c r="AA98" s="137"/>
      <c r="AB98" s="123"/>
    </row>
    <row r="99" spans="1:28" s="126" customFormat="1" x14ac:dyDescent="0.25">
      <c r="A99" s="149">
        <f>1</f>
        <v>1</v>
      </c>
      <c r="B99" s="132" t="str">
        <f>структура!$J$14</f>
        <v>УСН(15%)</v>
      </c>
      <c r="C99" s="123"/>
      <c r="D99" s="123"/>
      <c r="E99" s="130" t="str">
        <f>E95</f>
        <v>непредвиденные расходы</v>
      </c>
      <c r="F99" s="130"/>
      <c r="G99" s="130" t="str">
        <f>IF($E99="","",INDEX(KPI!$G:$G,SUMIFS(KPI!$B:$B,KPI!$E:$E,$E99)))</f>
        <v>тыс.руб.</v>
      </c>
      <c r="H99" s="130"/>
      <c r="I99" s="134"/>
      <c r="J99" s="130" t="str">
        <f>структура!$AL$21</f>
        <v>Без НДС</v>
      </c>
      <c r="K99" s="134"/>
      <c r="L99" s="130"/>
      <c r="M99" s="135">
        <f>SUM($O99:$AB99)</f>
        <v>2959.2112499999998</v>
      </c>
      <c r="N99" s="123"/>
      <c r="O99" s="123"/>
      <c r="P99" s="136">
        <f>IF(P$1="",0,IF(1+операции!P$421=0,0,(операции!P$404)/(1+операции!P$421)))</f>
        <v>353.61002884615385</v>
      </c>
      <c r="Q99" s="136">
        <f>IF(Q$1="",0,IF(1+операции!Q$421=0,0,(операции!Q$404)/(1+операции!Q$421)))</f>
        <v>369.4462788461538</v>
      </c>
      <c r="R99" s="136">
        <f>IF(R$1="",0,IF(1+операции!R$421=0,0,(операции!R$404)/(1+операции!R$421)))</f>
        <v>393.66836538461536</v>
      </c>
      <c r="S99" s="136">
        <f>IF(S$1="",0,IF(1+операции!S$421=0,0,(операции!S$404)/(1+операции!S$421)))</f>
        <v>409.03690384615385</v>
      </c>
      <c r="T99" s="136">
        <f>IF(T$1="",0,IF(1+операции!T$421=0,0,(операции!T$404)/(1+операции!T$421)))</f>
        <v>432.79127884615377</v>
      </c>
      <c r="U99" s="136">
        <f>IF(U$1="",0,IF(1+операции!U$421=0,0,(операции!U$404)/(1+операции!U$421)))</f>
        <v>472.38190384615388</v>
      </c>
      <c r="V99" s="136">
        <f>IF(V$1="",0,IF(1+операции!V$421=0,0,(операции!V$404)/(1+операции!V$421)))</f>
        <v>528.27649038461539</v>
      </c>
      <c r="W99" s="136">
        <f>IF(W$1="",0,IF(1+операции!W$421=0,0,(операции!W$404)/(1+операции!W$421)))</f>
        <v>0</v>
      </c>
      <c r="X99" s="136">
        <f>IF(X$1="",0,IF(1+операции!X$421=0,0,(операции!X$404)/(1+операции!X$421)))</f>
        <v>0</v>
      </c>
      <c r="Y99" s="136">
        <f>IF(Y$1="",0,IF(1+операции!Y$421=0,0,(операции!Y$404)/(1+операции!Y$421)))</f>
        <v>0</v>
      </c>
      <c r="Z99" s="136">
        <f>IF(Z$1="",0,IF(1+операции!Z$421=0,0,(операции!Z$404)/(1+операции!Z$421)))</f>
        <v>0</v>
      </c>
      <c r="AA99" s="136">
        <f>IF(AA$1="",0,IF(1+операции!AA$421=0,0,(операции!AA$404)/(1+операции!AA$421)))</f>
        <v>0</v>
      </c>
      <c r="AB99" s="123"/>
    </row>
    <row r="100" spans="1:28" s="126" customFormat="1" ht="3.9" customHeight="1" x14ac:dyDescent="0.25">
      <c r="A100" s="149">
        <f>1</f>
        <v>1</v>
      </c>
      <c r="B100" s="131"/>
      <c r="C100" s="123"/>
      <c r="D100" s="123"/>
      <c r="E100" s="123"/>
      <c r="F100" s="123"/>
      <c r="G100" s="123"/>
      <c r="H100" s="123"/>
      <c r="I100" s="124"/>
      <c r="J100" s="123"/>
      <c r="K100" s="124"/>
      <c r="L100" s="123"/>
      <c r="M100" s="125"/>
      <c r="N100" s="123"/>
      <c r="O100" s="123"/>
      <c r="P100" s="137"/>
      <c r="Q100" s="137"/>
      <c r="R100" s="137"/>
      <c r="S100" s="137"/>
      <c r="T100" s="137"/>
      <c r="U100" s="137"/>
      <c r="V100" s="137"/>
      <c r="W100" s="137"/>
      <c r="X100" s="137"/>
      <c r="Y100" s="137"/>
      <c r="Z100" s="137"/>
      <c r="AA100" s="137"/>
      <c r="AB100" s="123"/>
    </row>
    <row r="101" spans="1:28" s="126" customFormat="1" x14ac:dyDescent="0.25">
      <c r="A101" s="149">
        <f>1</f>
        <v>1</v>
      </c>
      <c r="B101" s="132" t="str">
        <f>структура!$J$15</f>
        <v>УСН(6%)-ИП</v>
      </c>
      <c r="C101" s="123"/>
      <c r="D101" s="123"/>
      <c r="E101" s="130" t="str">
        <f>E95</f>
        <v>непредвиденные расходы</v>
      </c>
      <c r="F101" s="130"/>
      <c r="G101" s="130" t="str">
        <f>IF($E101="","",INDEX(KPI!$G:$G,SUMIFS(KPI!$B:$B,KPI!$E:$E,$E101)))</f>
        <v>тыс.руб.</v>
      </c>
      <c r="H101" s="130"/>
      <c r="I101" s="134"/>
      <c r="J101" s="130" t="str">
        <f>структура!$AL$21</f>
        <v>Без НДС</v>
      </c>
      <c r="K101" s="134"/>
      <c r="L101" s="130"/>
      <c r="M101" s="135">
        <f>SUM($O101:$AB101)</f>
        <v>2959.2112499999998</v>
      </c>
      <c r="N101" s="123"/>
      <c r="O101" s="123"/>
      <c r="P101" s="136">
        <f>IF(P$1="",0,IF(1+операции!P$421=0,0,(операции!P$404)/(1+операции!P$421)))</f>
        <v>353.61002884615385</v>
      </c>
      <c r="Q101" s="136">
        <f>IF(Q$1="",0,IF(1+операции!Q$421=0,0,(операции!Q$404)/(1+операции!Q$421)))</f>
        <v>369.4462788461538</v>
      </c>
      <c r="R101" s="136">
        <f>IF(R$1="",0,IF(1+операции!R$421=0,0,(операции!R$404)/(1+операции!R$421)))</f>
        <v>393.66836538461536</v>
      </c>
      <c r="S101" s="136">
        <f>IF(S$1="",0,IF(1+операции!S$421=0,0,(операции!S$404)/(1+операции!S$421)))</f>
        <v>409.03690384615385</v>
      </c>
      <c r="T101" s="136">
        <f>IF(T$1="",0,IF(1+операции!T$421=0,0,(операции!T$404)/(1+операции!T$421)))</f>
        <v>432.79127884615377</v>
      </c>
      <c r="U101" s="136">
        <f>IF(U$1="",0,IF(1+операции!U$421=0,0,(операции!U$404)/(1+операции!U$421)))</f>
        <v>472.38190384615388</v>
      </c>
      <c r="V101" s="136">
        <f>IF(V$1="",0,IF(1+операции!V$421=0,0,(операции!V$404)/(1+операции!V$421)))</f>
        <v>528.27649038461539</v>
      </c>
      <c r="W101" s="136">
        <f>IF(W$1="",0,IF(1+операции!W$421=0,0,(операции!W$404)/(1+операции!W$421)))</f>
        <v>0</v>
      </c>
      <c r="X101" s="136">
        <f>IF(X$1="",0,IF(1+операции!X$421=0,0,(операции!X$404)/(1+операции!X$421)))</f>
        <v>0</v>
      </c>
      <c r="Y101" s="136">
        <f>IF(Y$1="",0,IF(1+операции!Y$421=0,0,(операции!Y$404)/(1+операции!Y$421)))</f>
        <v>0</v>
      </c>
      <c r="Z101" s="136">
        <f>IF(Z$1="",0,IF(1+операции!Z$421=0,0,(операции!Z$404)/(1+операции!Z$421)))</f>
        <v>0</v>
      </c>
      <c r="AA101" s="136">
        <f>IF(AA$1="",0,IF(1+операции!AA$421=0,0,(операции!AA$404)/(1+операции!AA$421)))</f>
        <v>0</v>
      </c>
      <c r="AB101" s="123"/>
    </row>
    <row r="102" spans="1:28" ht="3.9" customHeight="1" x14ac:dyDescent="0.25">
      <c r="A102" s="149">
        <f>1</f>
        <v>1</v>
      </c>
      <c r="B102" s="131"/>
      <c r="C102" s="2"/>
      <c r="D102" s="2"/>
      <c r="E102" s="2"/>
      <c r="F102" s="2"/>
      <c r="G102" s="2"/>
      <c r="H102" s="2"/>
      <c r="I102" s="28"/>
      <c r="J102" s="2"/>
      <c r="K102" s="28"/>
      <c r="L102" s="2"/>
      <c r="M102" s="52"/>
      <c r="N102" s="2"/>
      <c r="O102" s="2"/>
      <c r="P102" s="36"/>
      <c r="Q102" s="36"/>
      <c r="R102" s="36"/>
      <c r="S102" s="36"/>
      <c r="T102" s="36"/>
      <c r="U102" s="36"/>
      <c r="V102" s="36"/>
      <c r="W102" s="36"/>
      <c r="X102" s="36"/>
      <c r="Y102" s="36"/>
      <c r="Z102" s="36"/>
      <c r="AA102" s="36"/>
      <c r="AB102" s="2"/>
    </row>
    <row r="103" spans="1:28" ht="8.1" customHeight="1" x14ac:dyDescent="0.25">
      <c r="A103" s="149">
        <f>1</f>
        <v>1</v>
      </c>
      <c r="B103" s="131"/>
      <c r="C103" s="2"/>
      <c r="D103" s="2"/>
      <c r="E103" s="2"/>
      <c r="F103" s="2"/>
      <c r="G103" s="2"/>
      <c r="H103" s="2"/>
      <c r="I103" s="28"/>
      <c r="J103" s="2"/>
      <c r="K103" s="28"/>
      <c r="L103" s="2"/>
      <c r="M103" s="52"/>
      <c r="N103" s="2"/>
      <c r="O103" s="2"/>
      <c r="P103" s="36"/>
      <c r="Q103" s="36"/>
      <c r="R103" s="36"/>
      <c r="S103" s="36"/>
      <c r="T103" s="36"/>
      <c r="U103" s="36"/>
      <c r="V103" s="36"/>
      <c r="W103" s="36"/>
      <c r="X103" s="36"/>
      <c r="Y103" s="36"/>
      <c r="Z103" s="36"/>
      <c r="AA103" s="36"/>
      <c r="AB103" s="2"/>
    </row>
    <row r="104" spans="1:28" ht="3.9" customHeight="1" x14ac:dyDescent="0.25">
      <c r="A104" s="149">
        <f>1</f>
        <v>1</v>
      </c>
      <c r="B104" s="131"/>
      <c r="C104" s="2"/>
      <c r="D104" s="2"/>
      <c r="E104" s="2"/>
      <c r="F104" s="2"/>
      <c r="G104" s="2"/>
      <c r="H104" s="2"/>
      <c r="I104" s="28"/>
      <c r="J104" s="2"/>
      <c r="K104" s="28"/>
      <c r="L104" s="2"/>
      <c r="M104" s="52"/>
      <c r="N104" s="2"/>
      <c r="O104" s="2"/>
      <c r="P104" s="36"/>
      <c r="Q104" s="36"/>
      <c r="R104" s="36"/>
      <c r="S104" s="36"/>
      <c r="T104" s="36"/>
      <c r="U104" s="36"/>
      <c r="V104" s="36"/>
      <c r="W104" s="36"/>
      <c r="X104" s="36"/>
      <c r="Y104" s="36"/>
      <c r="Z104" s="36"/>
      <c r="AA104" s="36"/>
      <c r="AB104" s="2"/>
    </row>
    <row r="105" spans="1:28" s="126" customFormat="1" x14ac:dyDescent="0.25">
      <c r="A105" s="149">
        <f>1</f>
        <v>1</v>
      </c>
      <c r="B105" s="132" t="str">
        <f>структура!$J$12</f>
        <v>ОСНО</v>
      </c>
      <c r="C105" s="123"/>
      <c r="D105" s="123"/>
      <c r="E105" s="130" t="str">
        <f>KPI!$E$83</f>
        <v>расходный НДС</v>
      </c>
      <c r="F105" s="130"/>
      <c r="G105" s="130" t="str">
        <f>IF($E105="","",INDEX(KPI!$G:$G,SUMIFS(KPI!$B:$B,KPI!$E:$E,$E105)))</f>
        <v>тыс.руб.</v>
      </c>
      <c r="H105" s="130"/>
      <c r="I105" s="134"/>
      <c r="J105" s="145" t="str">
        <f>структура!$AL$21</f>
        <v>Без НДС</v>
      </c>
      <c r="K105" s="134"/>
      <c r="L105" s="130"/>
      <c r="M105" s="135">
        <f>SUM($O105:$AB105)</f>
        <v>0</v>
      </c>
      <c r="N105" s="123"/>
      <c r="O105" s="123"/>
      <c r="P105" s="136">
        <f>IF(P$1="",0,0)</f>
        <v>0</v>
      </c>
      <c r="Q105" s="136">
        <f t="shared" ref="Q105:AA105" si="1">IF(Q$1="",0,0)</f>
        <v>0</v>
      </c>
      <c r="R105" s="136">
        <f t="shared" si="1"/>
        <v>0</v>
      </c>
      <c r="S105" s="136">
        <f t="shared" si="1"/>
        <v>0</v>
      </c>
      <c r="T105" s="136">
        <f t="shared" si="1"/>
        <v>0</v>
      </c>
      <c r="U105" s="136">
        <f t="shared" si="1"/>
        <v>0</v>
      </c>
      <c r="V105" s="136">
        <f t="shared" si="1"/>
        <v>0</v>
      </c>
      <c r="W105" s="136">
        <f t="shared" si="1"/>
        <v>0</v>
      </c>
      <c r="X105" s="136">
        <f t="shared" si="1"/>
        <v>0</v>
      </c>
      <c r="Y105" s="136">
        <f t="shared" si="1"/>
        <v>0</v>
      </c>
      <c r="Z105" s="136">
        <f t="shared" si="1"/>
        <v>0</v>
      </c>
      <c r="AA105" s="136">
        <f t="shared" si="1"/>
        <v>0</v>
      </c>
      <c r="AB105" s="123"/>
    </row>
    <row r="106" spans="1:28" s="126" customFormat="1" ht="3.9" customHeight="1" x14ac:dyDescent="0.25">
      <c r="A106" s="149">
        <f>1</f>
        <v>1</v>
      </c>
      <c r="B106" s="131"/>
      <c r="C106" s="123"/>
      <c r="D106" s="123"/>
      <c r="E106" s="123"/>
      <c r="F106" s="123"/>
      <c r="G106" s="123"/>
      <c r="H106" s="123"/>
      <c r="I106" s="124"/>
      <c r="J106" s="123"/>
      <c r="K106" s="124"/>
      <c r="L106" s="123"/>
      <c r="M106" s="125"/>
      <c r="N106" s="123"/>
      <c r="O106" s="123"/>
      <c r="P106" s="137"/>
      <c r="Q106" s="137"/>
      <c r="R106" s="137"/>
      <c r="S106" s="137"/>
      <c r="T106" s="137"/>
      <c r="U106" s="137"/>
      <c r="V106" s="137"/>
      <c r="W106" s="137"/>
      <c r="X106" s="137"/>
      <c r="Y106" s="137"/>
      <c r="Z106" s="137"/>
      <c r="AA106" s="137"/>
      <c r="AB106" s="123"/>
    </row>
    <row r="107" spans="1:28" s="126" customFormat="1" x14ac:dyDescent="0.25">
      <c r="A107" s="149">
        <f>1</f>
        <v>1</v>
      </c>
      <c r="B107" s="132" t="str">
        <f>структура!$J$13</f>
        <v>УСН(6%)</v>
      </c>
      <c r="C107" s="123"/>
      <c r="D107" s="123"/>
      <c r="E107" s="130" t="str">
        <f>E105</f>
        <v>расходный НДС</v>
      </c>
      <c r="F107" s="130"/>
      <c r="G107" s="130" t="str">
        <f>IF($E107="","",INDEX(KPI!$G:$G,SUMIFS(KPI!$B:$B,KPI!$E:$E,$E107)))</f>
        <v>тыс.руб.</v>
      </c>
      <c r="H107" s="130"/>
      <c r="I107" s="134"/>
      <c r="J107" s="145" t="str">
        <f>структура!$AL$21</f>
        <v>Без НДС</v>
      </c>
      <c r="K107" s="134"/>
      <c r="L107" s="130"/>
      <c r="M107" s="135">
        <f>SUM($O107:$AB107)</f>
        <v>2970.6465909615395</v>
      </c>
      <c r="N107" s="123"/>
      <c r="O107" s="123"/>
      <c r="P107" s="136">
        <f>IF(P$1="",0,SUMIFS(P$34:P106,$J$34:$J106,$J107,$B$34:$B106,$B107)*операции!$P$421)</f>
        <v>397.91175884615393</v>
      </c>
      <c r="Q107" s="136">
        <f>IF(Q$1="",0,SUMIFS(Q$34:Q106,$J$34:$J106,$J107,$B$34:$B106,$B107)*операции!$P$421)</f>
        <v>413.74800884615388</v>
      </c>
      <c r="R107" s="136">
        <f>IF(R$1="",0,SUMIFS(R$34:R106,$J$34:$J106,$J107,$B$34:$B106,$B107)*операции!$P$421)</f>
        <v>411.87029769230776</v>
      </c>
      <c r="S107" s="136">
        <f>IF(S$1="",0,SUMIFS(S$34:S106,$J$34:$J106,$J107,$B$34:$B106,$B107)*операции!$P$421)</f>
        <v>398.80038000000002</v>
      </c>
      <c r="T107" s="136">
        <f>IF(T$1="",0,SUMIFS(T$34:T106,$J$34:$J106,$J107,$B$34:$B106,$B107)*операции!$P$421)</f>
        <v>419.38750500000009</v>
      </c>
      <c r="U107" s="136">
        <f>IF(U$1="",0,SUMIFS(U$34:U106,$J$34:$J106,$J107,$B$34:$B106,$B107)*операции!$P$421)</f>
        <v>444.25174192307696</v>
      </c>
      <c r="V107" s="136">
        <f>IF(V$1="",0,SUMIFS(V$34:V106,$J$34:$J106,$J107,$B$34:$B106,$B107)*операции!$P$421)</f>
        <v>484.67689865384619</v>
      </c>
      <c r="W107" s="136">
        <f>IF(W$1="",0,SUMIFS(W$34:W106,$J$34:$J106,$J107,$B$34:$B106,$B107)*операции!$P$421)</f>
        <v>0</v>
      </c>
      <c r="X107" s="136">
        <f>IF(X$1="",0,SUMIFS(X$34:X106,$J$34:$J106,$J107,$B$34:$B106,$B107)*операции!$P$421)</f>
        <v>0</v>
      </c>
      <c r="Y107" s="136">
        <f>IF(Y$1="",0,SUMIFS(Y$34:Y106,$J$34:$J106,$J107,$B$34:$B106,$B107)*операции!$P$421)</f>
        <v>0</v>
      </c>
      <c r="Z107" s="136">
        <f>IF(Z$1="",0,SUMIFS(Z$34:Z106,$J$34:$J106,$J107,$B$34:$B106,$B107)*операции!$P$421)</f>
        <v>0</v>
      </c>
      <c r="AA107" s="136">
        <f>IF(AA$1="",0,SUMIFS(AA$34:AA106,$J$34:$J106,$J107,$B$34:$B106,$B107)*операции!$P$421)</f>
        <v>0</v>
      </c>
      <c r="AB107" s="123"/>
    </row>
    <row r="108" spans="1:28" s="126" customFormat="1" ht="3.9" customHeight="1" x14ac:dyDescent="0.25">
      <c r="A108" s="149">
        <f>1</f>
        <v>1</v>
      </c>
      <c r="B108" s="131"/>
      <c r="C108" s="123"/>
      <c r="D108" s="123"/>
      <c r="E108" s="123"/>
      <c r="F108" s="123"/>
      <c r="G108" s="123"/>
      <c r="H108" s="123"/>
      <c r="I108" s="124"/>
      <c r="J108" s="123"/>
      <c r="K108" s="124"/>
      <c r="L108" s="123"/>
      <c r="M108" s="125"/>
      <c r="N108" s="123"/>
      <c r="O108" s="123"/>
      <c r="P108" s="137"/>
      <c r="Q108" s="137"/>
      <c r="R108" s="137"/>
      <c r="S108" s="137"/>
      <c r="T108" s="137"/>
      <c r="U108" s="137"/>
      <c r="V108" s="137"/>
      <c r="W108" s="137"/>
      <c r="X108" s="137"/>
      <c r="Y108" s="137"/>
      <c r="Z108" s="137"/>
      <c r="AA108" s="137"/>
      <c r="AB108" s="123"/>
    </row>
    <row r="109" spans="1:28" s="126" customFormat="1" x14ac:dyDescent="0.25">
      <c r="A109" s="149">
        <f>1</f>
        <v>1</v>
      </c>
      <c r="B109" s="132" t="str">
        <f>структура!$J$14</f>
        <v>УСН(15%)</v>
      </c>
      <c r="C109" s="123"/>
      <c r="D109" s="123"/>
      <c r="E109" s="130" t="str">
        <f>E105</f>
        <v>расходный НДС</v>
      </c>
      <c r="F109" s="130"/>
      <c r="G109" s="130" t="str">
        <f>IF($E109="","",INDEX(KPI!$G:$G,SUMIFS(KPI!$B:$B,KPI!$E:$E,$E109)))</f>
        <v>тыс.руб.</v>
      </c>
      <c r="H109" s="130"/>
      <c r="I109" s="134"/>
      <c r="J109" s="145" t="str">
        <f>структура!$AL$21</f>
        <v>Без НДС</v>
      </c>
      <c r="K109" s="134"/>
      <c r="L109" s="130"/>
      <c r="M109" s="135">
        <f>SUM($O109:$AB109)</f>
        <v>2970.6465909615395</v>
      </c>
      <c r="N109" s="123"/>
      <c r="O109" s="123"/>
      <c r="P109" s="136">
        <f>IF(P$1="",0,SUMIFS(P$34:P108,$J$34:$J108,$J109,$B$34:$B108,$B109)*операции!$P$421)</f>
        <v>397.91175884615393</v>
      </c>
      <c r="Q109" s="136">
        <f>IF(Q$1="",0,SUMIFS(Q$34:Q108,$J$34:$J108,$J109,$B$34:$B108,$B109)*операции!$P$421)</f>
        <v>413.74800884615388</v>
      </c>
      <c r="R109" s="136">
        <f>IF(R$1="",0,SUMIFS(R$34:R108,$J$34:$J108,$J109,$B$34:$B108,$B109)*операции!$P$421)</f>
        <v>411.87029769230776</v>
      </c>
      <c r="S109" s="136">
        <f>IF(S$1="",0,SUMIFS(S$34:S108,$J$34:$J108,$J109,$B$34:$B108,$B109)*операции!$P$421)</f>
        <v>398.80038000000002</v>
      </c>
      <c r="T109" s="136">
        <f>IF(T$1="",0,SUMIFS(T$34:T108,$J$34:$J108,$J109,$B$34:$B108,$B109)*операции!$P$421)</f>
        <v>419.38750500000009</v>
      </c>
      <c r="U109" s="136">
        <f>IF(U$1="",0,SUMIFS(U$34:U108,$J$34:$J108,$J109,$B$34:$B108,$B109)*операции!$P$421)</f>
        <v>444.25174192307696</v>
      </c>
      <c r="V109" s="136">
        <f>IF(V$1="",0,SUMIFS(V$34:V108,$J$34:$J108,$J109,$B$34:$B108,$B109)*операции!$P$421)</f>
        <v>484.67689865384619</v>
      </c>
      <c r="W109" s="136">
        <f>IF(W$1="",0,SUMIFS(W$34:W108,$J$34:$J108,$J109,$B$34:$B108,$B109)*операции!$P$421)</f>
        <v>0</v>
      </c>
      <c r="X109" s="136">
        <f>IF(X$1="",0,SUMIFS(X$34:X108,$J$34:$J108,$J109,$B$34:$B108,$B109)*операции!$P$421)</f>
        <v>0</v>
      </c>
      <c r="Y109" s="136">
        <f>IF(Y$1="",0,SUMIFS(Y$34:Y108,$J$34:$J108,$J109,$B$34:$B108,$B109)*операции!$P$421)</f>
        <v>0</v>
      </c>
      <c r="Z109" s="136">
        <f>IF(Z$1="",0,SUMIFS(Z$34:Z108,$J$34:$J108,$J109,$B$34:$B108,$B109)*операции!$P$421)</f>
        <v>0</v>
      </c>
      <c r="AA109" s="136">
        <f>IF(AA$1="",0,SUMIFS(AA$34:AA108,$J$34:$J108,$J109,$B$34:$B108,$B109)*операции!$P$421)</f>
        <v>0</v>
      </c>
      <c r="AB109" s="123"/>
    </row>
    <row r="110" spans="1:28" s="126" customFormat="1" ht="3.9" customHeight="1" x14ac:dyDescent="0.25">
      <c r="A110" s="149">
        <f>1</f>
        <v>1</v>
      </c>
      <c r="B110" s="131"/>
      <c r="C110" s="123"/>
      <c r="D110" s="123"/>
      <c r="E110" s="123"/>
      <c r="F110" s="123"/>
      <c r="G110" s="123"/>
      <c r="H110" s="123"/>
      <c r="I110" s="124"/>
      <c r="J110" s="123"/>
      <c r="K110" s="124"/>
      <c r="L110" s="123"/>
      <c r="M110" s="125"/>
      <c r="N110" s="123"/>
      <c r="O110" s="123"/>
      <c r="P110" s="137"/>
      <c r="Q110" s="137"/>
      <c r="R110" s="137"/>
      <c r="S110" s="137"/>
      <c r="T110" s="137"/>
      <c r="U110" s="137"/>
      <c r="V110" s="137"/>
      <c r="W110" s="137"/>
      <c r="X110" s="137"/>
      <c r="Y110" s="137"/>
      <c r="Z110" s="137"/>
      <c r="AA110" s="137"/>
      <c r="AB110" s="123"/>
    </row>
    <row r="111" spans="1:28" s="126" customFormat="1" x14ac:dyDescent="0.25">
      <c r="A111" s="149">
        <f>1</f>
        <v>1</v>
      </c>
      <c r="B111" s="132" t="str">
        <f>структура!$J$15</f>
        <v>УСН(6%)-ИП</v>
      </c>
      <c r="C111" s="123"/>
      <c r="D111" s="123"/>
      <c r="E111" s="130" t="str">
        <f>E105</f>
        <v>расходный НДС</v>
      </c>
      <c r="F111" s="130"/>
      <c r="G111" s="130" t="str">
        <f>IF($E111="","",INDEX(KPI!$G:$G,SUMIFS(KPI!$B:$B,KPI!$E:$E,$E111)))</f>
        <v>тыс.руб.</v>
      </c>
      <c r="H111" s="130"/>
      <c r="I111" s="134"/>
      <c r="J111" s="145" t="str">
        <f>структура!$AL$21</f>
        <v>Без НДС</v>
      </c>
      <c r="K111" s="134"/>
      <c r="L111" s="130"/>
      <c r="M111" s="135">
        <f>SUM($O111:$AB111)</f>
        <v>2970.6465909615395</v>
      </c>
      <c r="N111" s="123"/>
      <c r="O111" s="123"/>
      <c r="P111" s="136">
        <f>IF(P$1="",0,SUMIFS(P$34:P110,$J$34:$J110,$J111,$B$34:$B110,$B111)*операции!$P$421)</f>
        <v>397.91175884615393</v>
      </c>
      <c r="Q111" s="136">
        <f>IF(Q$1="",0,SUMIFS(Q$34:Q110,$J$34:$J110,$J111,$B$34:$B110,$B111)*операции!$P$421)</f>
        <v>413.74800884615388</v>
      </c>
      <c r="R111" s="136">
        <f>IF(R$1="",0,SUMIFS(R$34:R110,$J$34:$J110,$J111,$B$34:$B110,$B111)*операции!$P$421)</f>
        <v>411.87029769230776</v>
      </c>
      <c r="S111" s="136">
        <f>IF(S$1="",0,SUMIFS(S$34:S110,$J$34:$J110,$J111,$B$34:$B110,$B111)*операции!$P$421)</f>
        <v>398.80038000000002</v>
      </c>
      <c r="T111" s="136">
        <f>IF(T$1="",0,SUMIFS(T$34:T110,$J$34:$J110,$J111,$B$34:$B110,$B111)*операции!$P$421)</f>
        <v>419.38750500000009</v>
      </c>
      <c r="U111" s="136">
        <f>IF(U$1="",0,SUMIFS(U$34:U110,$J$34:$J110,$J111,$B$34:$B110,$B111)*операции!$P$421)</f>
        <v>444.25174192307696</v>
      </c>
      <c r="V111" s="136">
        <f>IF(V$1="",0,SUMIFS(V$34:V110,$J$34:$J110,$J111,$B$34:$B110,$B111)*операции!$P$421)</f>
        <v>484.67689865384619</v>
      </c>
      <c r="W111" s="136">
        <f>IF(W$1="",0,SUMIFS(W$34:W110,$J$34:$J110,$J111,$B$34:$B110,$B111)*операции!$P$421)</f>
        <v>0</v>
      </c>
      <c r="X111" s="136">
        <f>IF(X$1="",0,SUMIFS(X$34:X110,$J$34:$J110,$J111,$B$34:$B110,$B111)*операции!$P$421)</f>
        <v>0</v>
      </c>
      <c r="Y111" s="136">
        <f>IF(Y$1="",0,SUMIFS(Y$34:Y110,$J$34:$J110,$J111,$B$34:$B110,$B111)*операции!$P$421)</f>
        <v>0</v>
      </c>
      <c r="Z111" s="136">
        <f>IF(Z$1="",0,SUMIFS(Z$34:Z110,$J$34:$J110,$J111,$B$34:$B110,$B111)*операции!$P$421)</f>
        <v>0</v>
      </c>
      <c r="AA111" s="136">
        <f>IF(AA$1="",0,SUMIFS(AA$34:AA110,$J$34:$J110,$J111,$B$34:$B110,$B111)*операции!$P$421)</f>
        <v>0</v>
      </c>
      <c r="AB111" s="123"/>
    </row>
    <row r="112" spans="1:28" ht="3.9" customHeight="1" x14ac:dyDescent="0.25">
      <c r="A112" s="149">
        <f>1</f>
        <v>1</v>
      </c>
      <c r="B112" s="131"/>
      <c r="C112" s="2"/>
      <c r="D112" s="2"/>
      <c r="E112" s="2"/>
      <c r="F112" s="2"/>
      <c r="G112" s="2"/>
      <c r="H112" s="2"/>
      <c r="I112" s="28"/>
      <c r="J112" s="2"/>
      <c r="K112" s="28"/>
      <c r="L112" s="2"/>
      <c r="M112" s="52"/>
      <c r="N112" s="2"/>
      <c r="O112" s="2"/>
      <c r="P112" s="36"/>
      <c r="Q112" s="36"/>
      <c r="R112" s="36"/>
      <c r="S112" s="36"/>
      <c r="T112" s="36"/>
      <c r="U112" s="36"/>
      <c r="V112" s="36"/>
      <c r="W112" s="36"/>
      <c r="X112" s="36"/>
      <c r="Y112" s="36"/>
      <c r="Z112" s="36"/>
      <c r="AA112" s="36"/>
      <c r="AB112" s="2"/>
    </row>
    <row r="113" spans="1:28" ht="8.1" customHeight="1" x14ac:dyDescent="0.25">
      <c r="A113" s="149">
        <f>1</f>
        <v>1</v>
      </c>
      <c r="B113" s="131"/>
      <c r="C113" s="2"/>
      <c r="D113" s="2"/>
      <c r="E113" s="2"/>
      <c r="F113" s="2"/>
      <c r="G113" s="2"/>
      <c r="H113" s="2"/>
      <c r="I113" s="28"/>
      <c r="J113" s="2"/>
      <c r="K113" s="28"/>
      <c r="L113" s="2"/>
      <c r="M113" s="52"/>
      <c r="N113" s="2"/>
      <c r="O113" s="2"/>
      <c r="P113" s="36"/>
      <c r="Q113" s="36"/>
      <c r="R113" s="36"/>
      <c r="S113" s="36"/>
      <c r="T113" s="36"/>
      <c r="U113" s="36"/>
      <c r="V113" s="36"/>
      <c r="W113" s="36"/>
      <c r="X113" s="36"/>
      <c r="Y113" s="36"/>
      <c r="Z113" s="36"/>
      <c r="AA113" s="36"/>
      <c r="AB113" s="2"/>
    </row>
    <row r="114" spans="1:28" ht="3.9" customHeight="1" x14ac:dyDescent="0.25">
      <c r="A114" s="149">
        <f>1</f>
        <v>1</v>
      </c>
      <c r="B114" s="131"/>
      <c r="C114" s="2"/>
      <c r="D114" s="2"/>
      <c r="E114" s="118"/>
      <c r="F114" s="2"/>
      <c r="G114" s="118"/>
      <c r="H114" s="2"/>
      <c r="I114" s="28"/>
      <c r="J114" s="2"/>
      <c r="K114" s="28"/>
      <c r="L114" s="2"/>
      <c r="M114" s="139"/>
      <c r="N114" s="2"/>
      <c r="O114" s="2"/>
      <c r="P114" s="36"/>
      <c r="Q114" s="36"/>
      <c r="R114" s="36"/>
      <c r="S114" s="36"/>
      <c r="T114" s="36"/>
      <c r="U114" s="36"/>
      <c r="V114" s="36"/>
      <c r="W114" s="36"/>
      <c r="X114" s="36"/>
      <c r="Y114" s="36"/>
      <c r="Z114" s="36"/>
      <c r="AA114" s="36"/>
      <c r="AB114" s="2"/>
    </row>
    <row r="115" spans="1:28" ht="8.1" customHeight="1" x14ac:dyDescent="0.25">
      <c r="A115" s="149">
        <f>1</f>
        <v>1</v>
      </c>
      <c r="B115" s="131"/>
      <c r="C115" s="2"/>
      <c r="D115" s="2"/>
      <c r="E115" s="2"/>
      <c r="F115" s="2"/>
      <c r="G115" s="2"/>
      <c r="H115" s="2"/>
      <c r="I115" s="28"/>
      <c r="J115" s="2"/>
      <c r="K115" s="28"/>
      <c r="L115" s="2"/>
      <c r="M115" s="52"/>
      <c r="N115" s="2"/>
      <c r="O115" s="2"/>
      <c r="P115" s="36"/>
      <c r="Q115" s="36"/>
      <c r="R115" s="36"/>
      <c r="S115" s="36"/>
      <c r="T115" s="36"/>
      <c r="U115" s="36"/>
      <c r="V115" s="36"/>
      <c r="W115" s="36"/>
      <c r="X115" s="36"/>
      <c r="Y115" s="36"/>
      <c r="Z115" s="36"/>
      <c r="AA115" s="36"/>
      <c r="AB115" s="2"/>
    </row>
    <row r="116" spans="1:28" ht="3.9" customHeight="1" x14ac:dyDescent="0.25">
      <c r="A116" s="149">
        <f>1</f>
        <v>1</v>
      </c>
      <c r="B116" s="131"/>
      <c r="C116" s="2"/>
      <c r="D116" s="2"/>
      <c r="E116" s="2"/>
      <c r="F116" s="2"/>
      <c r="G116" s="2"/>
      <c r="H116" s="2"/>
      <c r="I116" s="28"/>
      <c r="J116" s="2"/>
      <c r="K116" s="28"/>
      <c r="L116" s="2"/>
      <c r="M116" s="52"/>
      <c r="N116" s="2"/>
      <c r="O116" s="2"/>
      <c r="P116" s="36"/>
      <c r="Q116" s="36"/>
      <c r="R116" s="36"/>
      <c r="S116" s="36"/>
      <c r="T116" s="36"/>
      <c r="U116" s="36"/>
      <c r="V116" s="36"/>
      <c r="W116" s="36"/>
      <c r="X116" s="36"/>
      <c r="Y116" s="36"/>
      <c r="Z116" s="36"/>
      <c r="AA116" s="36"/>
      <c r="AB116" s="2"/>
    </row>
    <row r="117" spans="1:28" s="5" customFormat="1" x14ac:dyDescent="0.25">
      <c r="A117" s="150">
        <f>1</f>
        <v>1</v>
      </c>
      <c r="B117" s="129" t="str">
        <f>структура!$J$12</f>
        <v>ОСНО</v>
      </c>
      <c r="C117" s="3"/>
      <c r="D117" s="3"/>
      <c r="E117" s="89" t="str">
        <f>KPI!$E$84</f>
        <v>амортизация кап/затрат</v>
      </c>
      <c r="F117" s="89"/>
      <c r="G117" s="89" t="str">
        <f>IF($E117="","",INDEX(KPI!$G:$G,SUMIFS(KPI!$B:$B,KPI!$E:$E,$E117)))</f>
        <v>тыс.руб.</v>
      </c>
      <c r="H117" s="89"/>
      <c r="I117" s="90"/>
      <c r="J117" s="89" t="str">
        <f>структура!$AL$21</f>
        <v>Без НДС</v>
      </c>
      <c r="K117" s="90"/>
      <c r="L117" s="89"/>
      <c r="M117" s="92">
        <f>SUM($O117:$AB117)</f>
        <v>13208.645700000005</v>
      </c>
      <c r="N117" s="3"/>
      <c r="O117" s="3"/>
      <c r="P117" s="93">
        <f>IF(P$1="",0,IF(1+операции!P$421=0,0,(операции!P$449+операции!P$464)/(1+операции!P$421)))</f>
        <v>1928.8541476190483</v>
      </c>
      <c r="Q117" s="93">
        <f>IF(Q$1="",0,IF(1+операции!Q$421=0,0,(операции!Q$449+операции!Q$464)/(1+операции!Q$421)))</f>
        <v>1928.8541476190483</v>
      </c>
      <c r="R117" s="93">
        <f>IF(R$1="",0,IF(1+операции!R$421=0,0,(операции!R$449+операции!R$464)/(1+операции!R$421)))</f>
        <v>1928.8541476190483</v>
      </c>
      <c r="S117" s="93">
        <f>IF(S$1="",0,IF(1+операции!S$421=0,0,(операции!S$449+операции!S$464)/(1+операции!S$421)))</f>
        <v>1928.8541476190483</v>
      </c>
      <c r="T117" s="93">
        <f>IF(T$1="",0,IF(1+операции!T$421=0,0,(операции!T$449+операции!T$464)/(1+операции!T$421)))</f>
        <v>1928.8541476190483</v>
      </c>
      <c r="U117" s="93">
        <f>IF(U$1="",0,IF(1+операции!U$421=0,0,(операции!U$449+операции!U$464)/(1+операции!U$421)))</f>
        <v>1782.1874809523817</v>
      </c>
      <c r="V117" s="93">
        <f>IF(V$1="",0,IF(1+операции!V$421=0,0,(операции!V$449+операции!V$464)/(1+операции!V$421)))</f>
        <v>1782.1874809523817</v>
      </c>
      <c r="W117" s="93">
        <f>IF(W$1="",0,IF(1+операции!W$421=0,0,(операции!W$449+операции!W$464)/(1+операции!W$421)))</f>
        <v>0</v>
      </c>
      <c r="X117" s="93">
        <f>IF(X$1="",0,IF(1+операции!X$421=0,0,(операции!X$449+операции!X$464)/(1+операции!X$421)))</f>
        <v>0</v>
      </c>
      <c r="Y117" s="93">
        <f>IF(Y$1="",0,IF(1+операции!Y$421=0,0,(операции!Y$449+операции!Y$464)/(1+операции!Y$421)))</f>
        <v>0</v>
      </c>
      <c r="Z117" s="93">
        <f>IF(Z$1="",0,IF(1+операции!Z$421=0,0,(операции!Z$449+операции!Z$464)/(1+операции!Z$421)))</f>
        <v>0</v>
      </c>
      <c r="AA117" s="93">
        <f>IF(AA$1="",0,IF(1+операции!AA$421=0,0,(операции!AA$449+операции!AA$464)/(1+операции!AA$421)))</f>
        <v>0</v>
      </c>
      <c r="AB117" s="3"/>
    </row>
    <row r="118" spans="1:28" s="5" customFormat="1" ht="3.9" customHeight="1" x14ac:dyDescent="0.25">
      <c r="A118" s="150">
        <f>1</f>
        <v>1</v>
      </c>
      <c r="B118" s="128"/>
      <c r="C118" s="3"/>
      <c r="D118" s="3"/>
      <c r="E118" s="3"/>
      <c r="F118" s="3"/>
      <c r="G118" s="3"/>
      <c r="H118" s="3"/>
      <c r="I118" s="28"/>
      <c r="J118" s="3"/>
      <c r="K118" s="28"/>
      <c r="L118" s="3"/>
      <c r="M118" s="55"/>
      <c r="N118" s="3"/>
      <c r="O118" s="3"/>
      <c r="P118" s="46"/>
      <c r="Q118" s="46"/>
      <c r="R118" s="46"/>
      <c r="S118" s="46"/>
      <c r="T118" s="46"/>
      <c r="U118" s="46"/>
      <c r="V118" s="46"/>
      <c r="W118" s="46"/>
      <c r="X118" s="46"/>
      <c r="Y118" s="46"/>
      <c r="Z118" s="46"/>
      <c r="AA118" s="46"/>
      <c r="AB118" s="3"/>
    </row>
    <row r="119" spans="1:28" s="5" customFormat="1" x14ac:dyDescent="0.25">
      <c r="A119" s="150">
        <f>1</f>
        <v>1</v>
      </c>
      <c r="B119" s="129" t="str">
        <f>структура!$J$13</f>
        <v>УСН(6%)</v>
      </c>
      <c r="C119" s="3"/>
      <c r="D119" s="3"/>
      <c r="E119" s="89" t="str">
        <f>E117</f>
        <v>амортизация кап/затрат</v>
      </c>
      <c r="F119" s="89"/>
      <c r="G119" s="89" t="str">
        <f>IF($E119="","",INDEX(KPI!$G:$G,SUMIFS(KPI!$B:$B,KPI!$E:$E,$E119)))</f>
        <v>тыс.руб.</v>
      </c>
      <c r="H119" s="89"/>
      <c r="I119" s="90"/>
      <c r="J119" s="89"/>
      <c r="K119" s="90"/>
      <c r="L119" s="89"/>
      <c r="M119" s="92">
        <f>SUM($O119:$AB119)</f>
        <v>15850.374840000004</v>
      </c>
      <c r="N119" s="3"/>
      <c r="O119" s="3"/>
      <c r="P119" s="93">
        <f>IF(P$1="",0,операции!P$449+операции!P$464)</f>
        <v>2314.6249771428579</v>
      </c>
      <c r="Q119" s="93">
        <f>IF(Q$1="",0,операции!Q$449+операции!Q$464)</f>
        <v>2314.6249771428579</v>
      </c>
      <c r="R119" s="93">
        <f>IF(R$1="",0,операции!R$449+операции!R$464)</f>
        <v>2314.6249771428579</v>
      </c>
      <c r="S119" s="93">
        <f>IF(S$1="",0,операции!S$449+операции!S$464)</f>
        <v>2314.6249771428579</v>
      </c>
      <c r="T119" s="93">
        <f>IF(T$1="",0,операции!T$449+операции!T$464)</f>
        <v>2314.6249771428579</v>
      </c>
      <c r="U119" s="93">
        <f>IF(U$1="",0,операции!U$449+операции!U$464)</f>
        <v>2138.6249771428579</v>
      </c>
      <c r="V119" s="93">
        <f>IF(V$1="",0,операции!V$449+операции!V$464)</f>
        <v>2138.6249771428579</v>
      </c>
      <c r="W119" s="93">
        <f>IF(W$1="",0,операции!W$449+операции!W$464)</f>
        <v>0</v>
      </c>
      <c r="X119" s="93">
        <f>IF(X$1="",0,операции!X$449+операции!X$464)</f>
        <v>0</v>
      </c>
      <c r="Y119" s="93">
        <f>IF(Y$1="",0,операции!Y$449+операции!Y$464)</f>
        <v>0</v>
      </c>
      <c r="Z119" s="93">
        <f>IF(Z$1="",0,операции!Z$449+операции!Z$464)</f>
        <v>0</v>
      </c>
      <c r="AA119" s="93">
        <f>IF(AA$1="",0,операции!AA$449+операции!AA$464)</f>
        <v>0</v>
      </c>
      <c r="AB119" s="3"/>
    </row>
    <row r="120" spans="1:28" s="5" customFormat="1" ht="3.9" customHeight="1" x14ac:dyDescent="0.25">
      <c r="A120" s="150">
        <f>1</f>
        <v>1</v>
      </c>
      <c r="B120" s="128"/>
      <c r="C120" s="3"/>
      <c r="D120" s="3"/>
      <c r="E120" s="3"/>
      <c r="F120" s="3"/>
      <c r="G120" s="3"/>
      <c r="H120" s="3"/>
      <c r="I120" s="28"/>
      <c r="J120" s="3"/>
      <c r="K120" s="28"/>
      <c r="L120" s="3"/>
      <c r="M120" s="55"/>
      <c r="N120" s="3"/>
      <c r="O120" s="3"/>
      <c r="P120" s="46"/>
      <c r="Q120" s="46"/>
      <c r="R120" s="46"/>
      <c r="S120" s="46"/>
      <c r="T120" s="46"/>
      <c r="U120" s="46"/>
      <c r="V120" s="46"/>
      <c r="W120" s="46"/>
      <c r="X120" s="46"/>
      <c r="Y120" s="46"/>
      <c r="Z120" s="46"/>
      <c r="AA120" s="46"/>
      <c r="AB120" s="3"/>
    </row>
    <row r="121" spans="1:28" s="5" customFormat="1" x14ac:dyDescent="0.25">
      <c r="A121" s="150">
        <f>1</f>
        <v>1</v>
      </c>
      <c r="B121" s="129" t="str">
        <f>структура!$J$14</f>
        <v>УСН(15%)</v>
      </c>
      <c r="C121" s="3"/>
      <c r="D121" s="3"/>
      <c r="E121" s="89" t="str">
        <f>E117</f>
        <v>амортизация кап/затрат</v>
      </c>
      <c r="F121" s="89"/>
      <c r="G121" s="89" t="str">
        <f>IF($E121="","",INDEX(KPI!$G:$G,SUMIFS(KPI!$B:$B,KPI!$E:$E,$E121)))</f>
        <v>тыс.руб.</v>
      </c>
      <c r="H121" s="89"/>
      <c r="I121" s="90"/>
      <c r="J121" s="89"/>
      <c r="K121" s="90"/>
      <c r="L121" s="89"/>
      <c r="M121" s="92">
        <f>SUM($O121:$AB121)</f>
        <v>15850.374840000004</v>
      </c>
      <c r="N121" s="3"/>
      <c r="O121" s="3"/>
      <c r="P121" s="93">
        <f>IF(P$1="",0,операции!P$449+операции!P$464)</f>
        <v>2314.6249771428579</v>
      </c>
      <c r="Q121" s="93">
        <f>IF(Q$1="",0,операции!Q$449+операции!Q$464)</f>
        <v>2314.6249771428579</v>
      </c>
      <c r="R121" s="93">
        <f>IF(R$1="",0,операции!R$449+операции!R$464)</f>
        <v>2314.6249771428579</v>
      </c>
      <c r="S121" s="93">
        <f>IF(S$1="",0,операции!S$449+операции!S$464)</f>
        <v>2314.6249771428579</v>
      </c>
      <c r="T121" s="93">
        <f>IF(T$1="",0,операции!T$449+операции!T$464)</f>
        <v>2314.6249771428579</v>
      </c>
      <c r="U121" s="93">
        <f>IF(U$1="",0,операции!U$449+операции!U$464)</f>
        <v>2138.6249771428579</v>
      </c>
      <c r="V121" s="93">
        <f>IF(V$1="",0,операции!V$449+операции!V$464)</f>
        <v>2138.6249771428579</v>
      </c>
      <c r="W121" s="93">
        <f>IF(W$1="",0,операции!W$449+операции!W$464)</f>
        <v>0</v>
      </c>
      <c r="X121" s="93">
        <f>IF(X$1="",0,операции!X$449+операции!X$464)</f>
        <v>0</v>
      </c>
      <c r="Y121" s="93">
        <f>IF(Y$1="",0,операции!Y$449+операции!Y$464)</f>
        <v>0</v>
      </c>
      <c r="Z121" s="93">
        <f>IF(Z$1="",0,операции!Z$449+операции!Z$464)</f>
        <v>0</v>
      </c>
      <c r="AA121" s="93">
        <f>IF(AA$1="",0,операции!AA$449+операции!AA$464)</f>
        <v>0</v>
      </c>
      <c r="AB121" s="3"/>
    </row>
    <row r="122" spans="1:28" s="5" customFormat="1" ht="3.9" customHeight="1" x14ac:dyDescent="0.25">
      <c r="A122" s="150">
        <f>1</f>
        <v>1</v>
      </c>
      <c r="B122" s="128"/>
      <c r="C122" s="3"/>
      <c r="D122" s="3"/>
      <c r="E122" s="3"/>
      <c r="F122" s="3"/>
      <c r="G122" s="3"/>
      <c r="H122" s="3"/>
      <c r="I122" s="28"/>
      <c r="J122" s="3"/>
      <c r="K122" s="28"/>
      <c r="L122" s="3"/>
      <c r="M122" s="55"/>
      <c r="N122" s="3"/>
      <c r="O122" s="3"/>
      <c r="P122" s="46"/>
      <c r="Q122" s="46"/>
      <c r="R122" s="46"/>
      <c r="S122" s="46"/>
      <c r="T122" s="46"/>
      <c r="U122" s="46"/>
      <c r="V122" s="46"/>
      <c r="W122" s="46"/>
      <c r="X122" s="46"/>
      <c r="Y122" s="46"/>
      <c r="Z122" s="46"/>
      <c r="AA122" s="46"/>
      <c r="AB122" s="3"/>
    </row>
    <row r="123" spans="1:28" s="5" customFormat="1" x14ac:dyDescent="0.25">
      <c r="A123" s="150">
        <f>1</f>
        <v>1</v>
      </c>
      <c r="B123" s="129" t="str">
        <f>структура!$J$15</f>
        <v>УСН(6%)-ИП</v>
      </c>
      <c r="C123" s="3"/>
      <c r="D123" s="3"/>
      <c r="E123" s="89" t="str">
        <f>E117</f>
        <v>амортизация кап/затрат</v>
      </c>
      <c r="F123" s="89"/>
      <c r="G123" s="89" t="str">
        <f>IF($E123="","",INDEX(KPI!$G:$G,SUMIFS(KPI!$B:$B,KPI!$E:$E,$E123)))</f>
        <v>тыс.руб.</v>
      </c>
      <c r="H123" s="89"/>
      <c r="I123" s="90"/>
      <c r="J123" s="89"/>
      <c r="K123" s="90"/>
      <c r="L123" s="89"/>
      <c r="M123" s="92">
        <f>SUM($O123:$AB123)</f>
        <v>15850.374840000004</v>
      </c>
      <c r="N123" s="3"/>
      <c r="O123" s="3"/>
      <c r="P123" s="93">
        <f>IF(P$1="",0,операции!P$449+операции!P$464)</f>
        <v>2314.6249771428579</v>
      </c>
      <c r="Q123" s="93">
        <f>IF(Q$1="",0,операции!Q$449+операции!Q$464)</f>
        <v>2314.6249771428579</v>
      </c>
      <c r="R123" s="93">
        <f>IF(R$1="",0,операции!R$449+операции!R$464)</f>
        <v>2314.6249771428579</v>
      </c>
      <c r="S123" s="93">
        <f>IF(S$1="",0,операции!S$449+операции!S$464)</f>
        <v>2314.6249771428579</v>
      </c>
      <c r="T123" s="93">
        <f>IF(T$1="",0,операции!T$449+операции!T$464)</f>
        <v>2314.6249771428579</v>
      </c>
      <c r="U123" s="93">
        <f>IF(U$1="",0,операции!U$449+операции!U$464)</f>
        <v>2138.6249771428579</v>
      </c>
      <c r="V123" s="93">
        <f>IF(V$1="",0,операции!V$449+операции!V$464)</f>
        <v>2138.6249771428579</v>
      </c>
      <c r="W123" s="93">
        <f>IF(W$1="",0,операции!W$449+операции!W$464)</f>
        <v>0</v>
      </c>
      <c r="X123" s="93">
        <f>IF(X$1="",0,операции!X$449+операции!X$464)</f>
        <v>0</v>
      </c>
      <c r="Y123" s="93">
        <f>IF(Y$1="",0,операции!Y$449+операции!Y$464)</f>
        <v>0</v>
      </c>
      <c r="Z123" s="93">
        <f>IF(Z$1="",0,операции!Z$449+операции!Z$464)</f>
        <v>0</v>
      </c>
      <c r="AA123" s="93">
        <f>IF(AA$1="",0,операции!AA$449+операции!AA$464)</f>
        <v>0</v>
      </c>
      <c r="AB123" s="3"/>
    </row>
    <row r="124" spans="1:28" ht="3.9" customHeight="1" x14ac:dyDescent="0.25">
      <c r="A124" s="149">
        <f>1</f>
        <v>1</v>
      </c>
      <c r="B124" s="131"/>
      <c r="C124" s="2"/>
      <c r="D124" s="2"/>
      <c r="E124" s="143"/>
      <c r="F124" s="2"/>
      <c r="G124" s="143"/>
      <c r="H124" s="2"/>
      <c r="I124" s="28"/>
      <c r="J124" s="2"/>
      <c r="K124" s="28"/>
      <c r="L124" s="2"/>
      <c r="M124" s="144"/>
      <c r="N124" s="2"/>
      <c r="O124" s="2"/>
      <c r="P124" s="36"/>
      <c r="Q124" s="36"/>
      <c r="R124" s="36"/>
      <c r="S124" s="36"/>
      <c r="T124" s="36"/>
      <c r="U124" s="36"/>
      <c r="V124" s="36"/>
      <c r="W124" s="36"/>
      <c r="X124" s="36"/>
      <c r="Y124" s="36"/>
      <c r="Z124" s="36"/>
      <c r="AA124" s="36"/>
      <c r="AB124" s="2"/>
    </row>
    <row r="125" spans="1:28" ht="8.1" customHeight="1" x14ac:dyDescent="0.25">
      <c r="A125" s="149">
        <f>1</f>
        <v>1</v>
      </c>
      <c r="B125" s="131"/>
      <c r="C125" s="2"/>
      <c r="D125" s="2"/>
      <c r="E125" s="2"/>
      <c r="F125" s="2"/>
      <c r="G125" s="2"/>
      <c r="H125" s="2"/>
      <c r="I125" s="28"/>
      <c r="J125" s="2"/>
      <c r="K125" s="28"/>
      <c r="L125" s="2"/>
      <c r="M125" s="52"/>
      <c r="N125" s="2"/>
      <c r="O125" s="2"/>
      <c r="P125" s="36"/>
      <c r="Q125" s="36"/>
      <c r="R125" s="36"/>
      <c r="S125" s="36"/>
      <c r="T125" s="36"/>
      <c r="U125" s="36"/>
      <c r="V125" s="36"/>
      <c r="W125" s="36"/>
      <c r="X125" s="36"/>
      <c r="Y125" s="36"/>
      <c r="Z125" s="36"/>
      <c r="AA125" s="36"/>
      <c r="AB125" s="2"/>
    </row>
    <row r="126" spans="1:28" ht="3.9" customHeight="1" x14ac:dyDescent="0.25">
      <c r="A126" s="149">
        <f>1</f>
        <v>1</v>
      </c>
      <c r="B126" s="131"/>
      <c r="C126" s="2"/>
      <c r="D126" s="2"/>
      <c r="E126" s="2"/>
      <c r="F126" s="2"/>
      <c r="G126" s="2"/>
      <c r="H126" s="2"/>
      <c r="I126" s="28"/>
      <c r="J126" s="2"/>
      <c r="K126" s="28"/>
      <c r="L126" s="2"/>
      <c r="M126" s="52"/>
      <c r="N126" s="2"/>
      <c r="O126" s="2"/>
      <c r="P126" s="36"/>
      <c r="Q126" s="36"/>
      <c r="R126" s="36"/>
      <c r="S126" s="36"/>
      <c r="T126" s="36"/>
      <c r="U126" s="36"/>
      <c r="V126" s="36"/>
      <c r="W126" s="36"/>
      <c r="X126" s="36"/>
      <c r="Y126" s="36"/>
      <c r="Z126" s="36"/>
      <c r="AA126" s="36"/>
      <c r="AB126" s="2"/>
    </row>
    <row r="127" spans="1:28" s="5" customFormat="1" x14ac:dyDescent="0.25">
      <c r="A127" s="150">
        <f>1</f>
        <v>1</v>
      </c>
      <c r="B127" s="129" t="str">
        <f>структура!$J$12</f>
        <v>ОСНО</v>
      </c>
      <c r="C127" s="3"/>
      <c r="D127" s="3"/>
      <c r="E127" s="89" t="str">
        <f>KPI!$E$86</f>
        <v>налог на прибыль</v>
      </c>
      <c r="F127" s="89"/>
      <c r="G127" s="89" t="str">
        <f>IF($E127="","",INDEX(KPI!$G:$G,SUMIFS(KPI!$B:$B,KPI!$E:$E,$E127)))</f>
        <v>тыс.руб.</v>
      </c>
      <c r="H127" s="89"/>
      <c r="I127" s="90"/>
      <c r="J127" s="89"/>
      <c r="K127" s="90"/>
      <c r="L127" s="89"/>
      <c r="M127" s="92">
        <f>SUM($O127:$AB127)</f>
        <v>6416.9734843618726</v>
      </c>
      <c r="N127" s="3"/>
      <c r="O127" s="3"/>
      <c r="P127" s="93">
        <f>IF(P$1="",0,(P$16-P$26-P$117)*операции!P$424)</f>
        <v>473.89963469821578</v>
      </c>
      <c r="Q127" s="93">
        <f>IF(Q$1="",0,(Q$16-Q$26-Q$117)*операции!Q$424)</f>
        <v>563.63838469821621</v>
      </c>
      <c r="R127" s="93">
        <f>IF(R$1="",0,(R$16-R$26-R$117)*операции!R$424)</f>
        <v>726.99667277513936</v>
      </c>
      <c r="S127" s="93">
        <f>IF(S$1="",0,(S$16-S$26-S$117)*операции!S$424)</f>
        <v>842.52351354436996</v>
      </c>
      <c r="T127" s="93">
        <f>IF(T$1="",0,(T$16-T$26-T$117)*операции!T$424)</f>
        <v>980.29888854437036</v>
      </c>
      <c r="U127" s="93">
        <f>IF(U$1="",0,(U$16-U$26-U$117)*операции!U$424)</f>
        <v>1248.7054849546266</v>
      </c>
      <c r="V127" s="93">
        <f>IF(V$1="",0,(V$16-V$26-V$117)*операции!V$424)</f>
        <v>1580.9109051469341</v>
      </c>
      <c r="W127" s="93">
        <f>IF(W$1="",0,(W$16-W$26-W$117)*операции!W$424)</f>
        <v>0</v>
      </c>
      <c r="X127" s="93">
        <f>IF(X$1="",0,(X$16-X$26-X$117)*операции!X$424)</f>
        <v>0</v>
      </c>
      <c r="Y127" s="93">
        <f>IF(Y$1="",0,(Y$16-Y$26-Y$117)*операции!Y$424)</f>
        <v>0</v>
      </c>
      <c r="Z127" s="93">
        <f>IF(Z$1="",0,(Z$16-Z$26-Z$117)*операции!Z$424)</f>
        <v>0</v>
      </c>
      <c r="AA127" s="93">
        <f>IF(AA$1="",0,(AA$16-AA$26-AA$117)*операции!AA$424)</f>
        <v>0</v>
      </c>
      <c r="AB127" s="3"/>
    </row>
    <row r="128" spans="1:28" s="5" customFormat="1" ht="3.9" customHeight="1" x14ac:dyDescent="0.25">
      <c r="A128" s="150">
        <f>1</f>
        <v>1</v>
      </c>
      <c r="B128" s="128"/>
      <c r="C128" s="3"/>
      <c r="D128" s="3"/>
      <c r="E128" s="3"/>
      <c r="F128" s="3"/>
      <c r="G128" s="3"/>
      <c r="H128" s="3"/>
      <c r="I128" s="28"/>
      <c r="J128" s="3"/>
      <c r="K128" s="28"/>
      <c r="L128" s="3"/>
      <c r="M128" s="55"/>
      <c r="N128" s="3"/>
      <c r="O128" s="3"/>
      <c r="P128" s="46"/>
      <c r="Q128" s="46"/>
      <c r="R128" s="46"/>
      <c r="S128" s="46"/>
      <c r="T128" s="46"/>
      <c r="U128" s="46"/>
      <c r="V128" s="46"/>
      <c r="W128" s="46"/>
      <c r="X128" s="46"/>
      <c r="Y128" s="46"/>
      <c r="Z128" s="46"/>
      <c r="AA128" s="46"/>
      <c r="AB128" s="3"/>
    </row>
    <row r="129" spans="1:28" s="5" customFormat="1" x14ac:dyDescent="0.25">
      <c r="A129" s="150">
        <f>1</f>
        <v>1</v>
      </c>
      <c r="B129" s="129" t="str">
        <f>структура!$J$13</f>
        <v>УСН(6%)</v>
      </c>
      <c r="C129" s="3"/>
      <c r="D129" s="3"/>
      <c r="E129" s="89" t="str">
        <f>KPI!$E$87</f>
        <v>налог УСН</v>
      </c>
      <c r="F129" s="89"/>
      <c r="G129" s="89" t="str">
        <f>IF($E129="","",INDEX(KPI!$G:$G,SUMIFS(KPI!$B:$B,KPI!$E:$E,$E129)))</f>
        <v>тыс.руб.</v>
      </c>
      <c r="H129" s="89"/>
      <c r="I129" s="90"/>
      <c r="J129" s="89"/>
      <c r="K129" s="90"/>
      <c r="L129" s="89"/>
      <c r="M129" s="92">
        <f>SUM($O129:$AB129)</f>
        <v>3551.0535</v>
      </c>
      <c r="N129" s="3"/>
      <c r="O129" s="3"/>
      <c r="P129" s="93">
        <f>IF(P$1="",0,IF(P$78&gt;операции!P$436*операции!P$427*P$18,операции!P$436*операции!P$427*P$18,(P$18-P$78)*операции!P$427))</f>
        <v>424.33203461538454</v>
      </c>
      <c r="Q129" s="93">
        <f>IF(Q$1="",0,IF(Q$78&gt;операции!Q$436*операции!Q$427*Q$18,операции!Q$436*операции!Q$427*Q$18,(Q$18-Q$78)*операции!Q$427))</f>
        <v>443.33553461538457</v>
      </c>
      <c r="R129" s="93">
        <f>IF(R$1="",0,IF(R$78&gt;операции!R$436*операции!R$427*R$18,операции!R$436*операции!R$427*R$18,(R$18-R$78)*операции!R$427))</f>
        <v>472.40203846153844</v>
      </c>
      <c r="S129" s="93">
        <f>IF(S$1="",0,IF(S$78&gt;операции!S$436*операции!S$427*S$18,операции!S$436*операции!S$427*S$18,(S$18-S$78)*операции!S$427))</f>
        <v>490.84428461538459</v>
      </c>
      <c r="T129" s="93">
        <f>IF(T$1="",0,IF(T$78&gt;операции!T$436*операции!T$427*T$18,операции!T$436*операции!T$427*T$18,(T$18-T$78)*операции!T$427))</f>
        <v>519.34953461538464</v>
      </c>
      <c r="U129" s="93">
        <f>IF(U$1="",0,IF(U$78&gt;операции!U$436*операции!U$427*U$18,операции!U$436*операции!U$427*U$18,(U$18-U$78)*операции!U$427))</f>
        <v>566.85828461538472</v>
      </c>
      <c r="V129" s="93">
        <f>IF(V$1="",0,IF(V$78&gt;операции!V$436*операции!V$427*V$18,операции!V$436*операции!V$427*V$18,(V$18-V$78)*операции!V$427))</f>
        <v>633.9317884615383</v>
      </c>
      <c r="W129" s="93">
        <f>IF(W$1="",0,IF(W$78&gt;операции!W$436*операции!W$427*W$18,операции!W$436*операции!W$427*W$18,(W$18-W$78)*операции!W$427))</f>
        <v>0</v>
      </c>
      <c r="X129" s="93">
        <f>IF(X$1="",0,IF(X$78&gt;операции!X$436*операции!X$427*X$18,операции!X$436*операции!X$427*X$18,(X$18-X$78)*операции!X$427))</f>
        <v>0</v>
      </c>
      <c r="Y129" s="93">
        <f>IF(Y$1="",0,IF(Y$78&gt;операции!Y$436*операции!Y$427*Y$18,операции!Y$436*операции!Y$427*Y$18,(Y$18-Y$78)*операции!Y$427))</f>
        <v>0</v>
      </c>
      <c r="Z129" s="93">
        <f>IF(Z$1="",0,IF(Z$78&gt;операции!Z$436*операции!Z$427*Z$18,операции!Z$436*операции!Z$427*Z$18,(Z$18-Z$78)*операции!Z$427))</f>
        <v>0</v>
      </c>
      <c r="AA129" s="93">
        <f>IF(AA$1="",0,IF(AA$78&gt;операции!AA$436*операции!AA$427*AA$18,операции!AA$436*операции!AA$427*AA$18,(AA$18-AA$78)*операции!AA$427))</f>
        <v>0</v>
      </c>
      <c r="AB129" s="3"/>
    </row>
    <row r="130" spans="1:28" s="5" customFormat="1" ht="3.9" customHeight="1" x14ac:dyDescent="0.25">
      <c r="A130" s="150">
        <f>1</f>
        <v>1</v>
      </c>
      <c r="B130" s="128"/>
      <c r="C130" s="3"/>
      <c r="D130" s="3"/>
      <c r="E130" s="3"/>
      <c r="F130" s="3"/>
      <c r="G130" s="3"/>
      <c r="H130" s="3"/>
      <c r="I130" s="28"/>
      <c r="J130" s="3"/>
      <c r="K130" s="28"/>
      <c r="L130" s="3"/>
      <c r="M130" s="55"/>
      <c r="N130" s="3"/>
      <c r="O130" s="3"/>
      <c r="P130" s="46"/>
      <c r="Q130" s="46"/>
      <c r="R130" s="46"/>
      <c r="S130" s="46"/>
      <c r="T130" s="46"/>
      <c r="U130" s="46"/>
      <c r="V130" s="46"/>
      <c r="W130" s="46"/>
      <c r="X130" s="46"/>
      <c r="Y130" s="46"/>
      <c r="Z130" s="46"/>
      <c r="AA130" s="46"/>
      <c r="AB130" s="3"/>
    </row>
    <row r="131" spans="1:28" s="5" customFormat="1" x14ac:dyDescent="0.25">
      <c r="A131" s="150">
        <f>1</f>
        <v>1</v>
      </c>
      <c r="B131" s="129" t="str">
        <f>структура!$J$14</f>
        <v>УСН(15%)</v>
      </c>
      <c r="C131" s="3"/>
      <c r="D131" s="3"/>
      <c r="E131" s="89" t="str">
        <f>KPI!$E$87</f>
        <v>налог УСН</v>
      </c>
      <c r="F131" s="89"/>
      <c r="G131" s="89" t="str">
        <f>IF($E131="","",INDEX(KPI!$G:$G,SUMIFS(KPI!$B:$B,KPI!$E:$E,$E131)))</f>
        <v>тыс.руб.</v>
      </c>
      <c r="H131" s="89"/>
      <c r="I131" s="90"/>
      <c r="J131" s="89"/>
      <c r="K131" s="90"/>
      <c r="L131" s="89"/>
      <c r="M131" s="92">
        <f>SUM($O131:$AB131)</f>
        <v>9307.6412296271737</v>
      </c>
      <c r="N131" s="3"/>
      <c r="O131" s="3"/>
      <c r="P131" s="93">
        <f>IF(P$1="",0,IF((P$20-P$30)*операции!P$430&lt;операции!P$439*P$20,операции!P$439*P$20,(P$20-P$30)*операции!P$430))</f>
        <v>938.67611318574973</v>
      </c>
      <c r="Q131" s="93">
        <f>IF(Q$1="",0,IF((Q$20-Q$30)*операции!Q$430&lt;операции!Q$439*Q$20,операции!Q$439*Q$20,(Q$20-Q$30)*операции!Q$430))</f>
        <v>1019.4409881857499</v>
      </c>
      <c r="R131" s="93">
        <f>IF(R$1="",0,IF((R$20-R$30)*операции!R$430&lt;операции!R$439*R$20,операции!R$439*R$20,(R$20-R$30)*операции!R$430))</f>
        <v>1166.4634474549807</v>
      </c>
      <c r="S131" s="93">
        <f>IF(S$1="",0,IF((S$20-S$30)*операции!S$430&lt;операции!S$439*S$20,операции!S$439*S$20,(S$20-S$30)*операции!S$430))</f>
        <v>1270.4376041472885</v>
      </c>
      <c r="T131" s="93">
        <f>IF(T$1="",0,IF((T$20-T$30)*операции!T$430&lt;операции!T$439*T$20,операции!T$439*T$20,(T$20-T$30)*операции!T$430))</f>
        <v>1394.4354416472891</v>
      </c>
      <c r="U131" s="93">
        <f>IF(U$1="",0,IF((U$20-U$30)*операции!U$430&lt;операции!U$439*U$20,операции!U$439*U$20,(U$20-U$30)*операции!U$430))</f>
        <v>1609.6013784165195</v>
      </c>
      <c r="V131" s="93">
        <f>IF(V$1="",0,IF((V$20-V$30)*операции!V$430&lt;операции!V$439*V$20,операции!V$439*V$20,(V$20-V$30)*операции!V$430))</f>
        <v>1908.5862565895959</v>
      </c>
      <c r="W131" s="93">
        <f>IF(W$1="",0,IF((W$20-W$30)*операции!W$430&lt;операции!W$439*W$20,операции!W$439*W$20,(W$20-W$30)*операции!W$430))</f>
        <v>0</v>
      </c>
      <c r="X131" s="93">
        <f>IF(X$1="",0,IF((X$20-X$30)*операции!X$430&lt;операции!X$439*X$20,операции!X$439*X$20,(X$20-X$30)*операции!X$430))</f>
        <v>0</v>
      </c>
      <c r="Y131" s="93">
        <f>IF(Y$1="",0,IF((Y$20-Y$30)*операции!Y$430&lt;операции!Y$439*Y$20,операции!Y$439*Y$20,(Y$20-Y$30)*операции!Y$430))</f>
        <v>0</v>
      </c>
      <c r="Z131" s="93">
        <f>IF(Z$1="",0,IF((Z$20-Z$30)*операции!Z$430&lt;операции!Z$439*Z$20,операции!Z$439*Z$20,(Z$20-Z$30)*операции!Z$430))</f>
        <v>0</v>
      </c>
      <c r="AA131" s="93">
        <f>IF(AA$1="",0,IF((AA$20-AA$30)*операции!AA$430&lt;операции!AA$439*AA$20,операции!AA$439*AA$20,(AA$20-AA$30)*операции!AA$430))</f>
        <v>0</v>
      </c>
      <c r="AB131" s="3"/>
    </row>
    <row r="132" spans="1:28" s="5" customFormat="1" ht="3.9" customHeight="1" x14ac:dyDescent="0.25">
      <c r="A132" s="150">
        <f>1</f>
        <v>1</v>
      </c>
      <c r="B132" s="128"/>
      <c r="C132" s="3"/>
      <c r="D132" s="3"/>
      <c r="E132" s="3"/>
      <c r="F132" s="3"/>
      <c r="G132" s="3"/>
      <c r="H132" s="3"/>
      <c r="I132" s="28"/>
      <c r="J132" s="3"/>
      <c r="K132" s="28"/>
      <c r="L132" s="3"/>
      <c r="M132" s="55"/>
      <c r="N132" s="3"/>
      <c r="O132" s="3"/>
      <c r="P132" s="46"/>
      <c r="Q132" s="46"/>
      <c r="R132" s="46"/>
      <c r="S132" s="46"/>
      <c r="T132" s="46"/>
      <c r="U132" s="46"/>
      <c r="V132" s="46"/>
      <c r="W132" s="46"/>
      <c r="X132" s="46"/>
      <c r="Y132" s="46"/>
      <c r="Z132" s="46"/>
      <c r="AA132" s="46"/>
      <c r="AB132" s="3"/>
    </row>
    <row r="133" spans="1:28" s="5" customFormat="1" x14ac:dyDescent="0.25">
      <c r="A133" s="150">
        <f>1</f>
        <v>1</v>
      </c>
      <c r="B133" s="129" t="str">
        <f>структура!$J$15</f>
        <v>УСН(6%)-ИП</v>
      </c>
      <c r="C133" s="3"/>
      <c r="D133" s="3"/>
      <c r="E133" s="89" t="str">
        <f>KPI!$E$87</f>
        <v>налог УСН</v>
      </c>
      <c r="F133" s="89"/>
      <c r="G133" s="89" t="str">
        <f>IF($E133="","",INDEX(KPI!$G:$G,SUMIFS(KPI!$B:$B,KPI!$E:$E,$E133)))</f>
        <v>тыс.руб.</v>
      </c>
      <c r="H133" s="89"/>
      <c r="I133" s="90"/>
      <c r="J133" s="89"/>
      <c r="K133" s="90"/>
      <c r="L133" s="89"/>
      <c r="M133" s="92">
        <f>SUM($O133:$AB133)</f>
        <v>1720.1396076923079</v>
      </c>
      <c r="N133" s="3"/>
      <c r="O133" s="3"/>
      <c r="P133" s="93">
        <f>IF(P$1="",0,IF(P$78&gt;операции!P$436*операции!P$433*P$18,операции!P$436*операции!P$433*P$18,(P$18-P$78)*операции!P$433))</f>
        <v>0</v>
      </c>
      <c r="Q133" s="93">
        <f>IF(Q$1="",0,IF(Q$78&gt;операции!Q$436*операции!Q$433*Q$18,операции!Q$436*операции!Q$433*Q$18,(Q$18-Q$78)*операции!Q$433))</f>
        <v>0</v>
      </c>
      <c r="R133" s="93">
        <f>IF(R$1="",0,IF(R$78&gt;операции!R$436*операции!R$433*R$18,операции!R$436*операции!R$433*R$18,(R$18-R$78)*операции!R$433))</f>
        <v>0</v>
      </c>
      <c r="S133" s="93">
        <f>IF(S$1="",0,IF(S$78&gt;операции!S$436*операции!S$433*S$18,операции!S$436*операции!S$433*S$18,(S$18-S$78)*операции!S$433))</f>
        <v>0</v>
      </c>
      <c r="T133" s="93">
        <f>IF(T$1="",0,IF(T$78&gt;операции!T$436*операции!T$433*T$18,операции!T$436*операции!T$433*T$18,(T$18-T$78)*операции!T$433))</f>
        <v>519.34953461538464</v>
      </c>
      <c r="U133" s="93">
        <f>IF(U$1="",0,IF(U$78&gt;операции!U$436*операции!U$433*U$18,операции!U$436*операции!U$433*U$18,(U$18-U$78)*операции!U$433))</f>
        <v>566.85828461538472</v>
      </c>
      <c r="V133" s="93">
        <f>IF(V$1="",0,IF(V$78&gt;операции!V$436*операции!V$433*V$18,операции!V$436*операции!V$433*V$18,(V$18-V$78)*операции!V$433))</f>
        <v>633.9317884615383</v>
      </c>
      <c r="W133" s="93">
        <f>IF(W$1="",0,IF(W$78&gt;операции!W$436*операции!W$433*W$18,операции!W$436*операции!W$433*W$18,(W$18-W$78)*операции!W$433))</f>
        <v>0</v>
      </c>
      <c r="X133" s="93">
        <f>IF(X$1="",0,IF(X$78&gt;операции!X$436*операции!X$433*X$18,операции!X$436*операции!X$433*X$18,(X$18-X$78)*операции!X$433))</f>
        <v>0</v>
      </c>
      <c r="Y133" s="93">
        <f>IF(Y$1="",0,IF(Y$78&gt;операции!Y$436*операции!Y$433*Y$18,операции!Y$436*операции!Y$433*Y$18,(Y$18-Y$78)*операции!Y$433))</f>
        <v>0</v>
      </c>
      <c r="Z133" s="93">
        <f>IF(Z$1="",0,IF(Z$78&gt;операции!Z$436*операции!Z$433*Z$18,операции!Z$436*операции!Z$433*Z$18,(Z$18-Z$78)*операции!Z$433))</f>
        <v>0</v>
      </c>
      <c r="AA133" s="93">
        <f>IF(AA$1="",0,IF(AA$78&gt;операции!AA$436*операции!AA$433*AA$18,операции!AA$436*операции!AA$433*AA$18,(AA$18-AA$78)*операции!AA$433))</f>
        <v>0</v>
      </c>
      <c r="AB133" s="3"/>
    </row>
    <row r="134" spans="1:28" ht="3.9" customHeight="1" x14ac:dyDescent="0.25">
      <c r="A134" s="149">
        <f>1</f>
        <v>1</v>
      </c>
      <c r="B134" s="131"/>
      <c r="C134" s="2"/>
      <c r="D134" s="2"/>
      <c r="E134" s="119"/>
      <c r="F134" s="2"/>
      <c r="G134" s="119"/>
      <c r="H134" s="2"/>
      <c r="I134" s="28"/>
      <c r="J134" s="2"/>
      <c r="K134" s="28"/>
      <c r="L134" s="2"/>
      <c r="M134" s="142"/>
      <c r="N134" s="2"/>
      <c r="O134" s="2"/>
      <c r="P134" s="36"/>
      <c r="Q134" s="36"/>
      <c r="R134" s="36"/>
      <c r="S134" s="36"/>
      <c r="T134" s="36"/>
      <c r="U134" s="36"/>
      <c r="V134" s="36"/>
      <c r="W134" s="36"/>
      <c r="X134" s="36"/>
      <c r="Y134" s="36"/>
      <c r="Z134" s="36"/>
      <c r="AA134" s="36"/>
      <c r="AB134" s="2"/>
    </row>
    <row r="135" spans="1:28" ht="8.1" customHeight="1" x14ac:dyDescent="0.25">
      <c r="A135" s="149">
        <f>1</f>
        <v>1</v>
      </c>
      <c r="B135" s="131"/>
      <c r="C135" s="2"/>
      <c r="D135" s="2"/>
      <c r="E135" s="2"/>
      <c r="F135" s="2"/>
      <c r="G135" s="2"/>
      <c r="H135" s="2"/>
      <c r="I135" s="28"/>
      <c r="J135" s="2"/>
      <c r="K135" s="28"/>
      <c r="L135" s="2"/>
      <c r="M135" s="52"/>
      <c r="N135" s="2"/>
      <c r="O135" s="2"/>
      <c r="P135" s="36"/>
      <c r="Q135" s="36"/>
      <c r="R135" s="36"/>
      <c r="S135" s="36"/>
      <c r="T135" s="36"/>
      <c r="U135" s="36"/>
      <c r="V135" s="36"/>
      <c r="W135" s="36"/>
      <c r="X135" s="36"/>
      <c r="Y135" s="36"/>
      <c r="Z135" s="36"/>
      <c r="AA135" s="36"/>
      <c r="AB135" s="2"/>
    </row>
    <row r="136" spans="1:28" ht="3.9" customHeight="1" x14ac:dyDescent="0.25">
      <c r="A136" s="149">
        <f>1</f>
        <v>1</v>
      </c>
      <c r="B136" s="131"/>
      <c r="C136" s="2"/>
      <c r="D136" s="2"/>
      <c r="E136" s="2"/>
      <c r="F136" s="2"/>
      <c r="G136" s="2"/>
      <c r="H136" s="2"/>
      <c r="I136" s="28"/>
      <c r="J136" s="2"/>
      <c r="K136" s="28"/>
      <c r="L136" s="2"/>
      <c r="M136" s="52"/>
      <c r="N136" s="2"/>
      <c r="O136" s="2"/>
      <c r="P136" s="36"/>
      <c r="Q136" s="36"/>
      <c r="R136" s="36"/>
      <c r="S136" s="36"/>
      <c r="T136" s="36"/>
      <c r="U136" s="36"/>
      <c r="V136" s="36"/>
      <c r="W136" s="36"/>
      <c r="X136" s="36"/>
      <c r="Y136" s="36"/>
      <c r="Z136" s="36"/>
      <c r="AA136" s="36"/>
      <c r="AB136" s="2"/>
    </row>
    <row r="137" spans="1:28" s="5" customFormat="1" x14ac:dyDescent="0.25">
      <c r="A137" s="150">
        <f>1</f>
        <v>1</v>
      </c>
      <c r="B137" s="129" t="str">
        <f>структура!$J$12</f>
        <v>ОСНО</v>
      </c>
      <c r="C137" s="3"/>
      <c r="D137" s="3"/>
      <c r="E137" s="89" t="str">
        <f>KPI!$E$88</f>
        <v>прибыль</v>
      </c>
      <c r="F137" s="89"/>
      <c r="G137" s="89" t="str">
        <f>IF($E137="","",INDEX(KPI!$G:$G,SUMIFS(KPI!$B:$B,KPI!$E:$E,$E137)))</f>
        <v>тыс.руб.</v>
      </c>
      <c r="H137" s="89"/>
      <c r="I137" s="90"/>
      <c r="J137" s="89"/>
      <c r="K137" s="90"/>
      <c r="L137" s="89"/>
      <c r="M137" s="92">
        <f>SUM($O137:$AB137)</f>
        <v>25667.89393744749</v>
      </c>
      <c r="N137" s="3"/>
      <c r="O137" s="3"/>
      <c r="P137" s="93">
        <f>IF(P$1="",0,P16-P26-P117-P127)</f>
        <v>1895.5985387928631</v>
      </c>
      <c r="Q137" s="93">
        <f t="shared" ref="Q137:AA137" si="2">IF(Q$1="",0,Q16-Q26-Q117-Q127)</f>
        <v>2254.5535387928649</v>
      </c>
      <c r="R137" s="93">
        <f t="shared" si="2"/>
        <v>2907.986691100557</v>
      </c>
      <c r="S137" s="93">
        <f t="shared" si="2"/>
        <v>3370.0940541774798</v>
      </c>
      <c r="T137" s="93">
        <f t="shared" si="2"/>
        <v>3921.1955541774814</v>
      </c>
      <c r="U137" s="93">
        <f t="shared" si="2"/>
        <v>4994.8219398185065</v>
      </c>
      <c r="V137" s="93">
        <f t="shared" si="2"/>
        <v>6323.6436205877353</v>
      </c>
      <c r="W137" s="93">
        <f t="shared" si="2"/>
        <v>0</v>
      </c>
      <c r="X137" s="93">
        <f t="shared" si="2"/>
        <v>0</v>
      </c>
      <c r="Y137" s="93">
        <f t="shared" si="2"/>
        <v>0</v>
      </c>
      <c r="Z137" s="93">
        <f t="shared" si="2"/>
        <v>0</v>
      </c>
      <c r="AA137" s="93">
        <f t="shared" si="2"/>
        <v>0</v>
      </c>
      <c r="AB137" s="3"/>
    </row>
    <row r="138" spans="1:28" s="5" customFormat="1" ht="3.9" customHeight="1" x14ac:dyDescent="0.25">
      <c r="A138" s="150">
        <f>1</f>
        <v>1</v>
      </c>
      <c r="B138" s="128"/>
      <c r="C138" s="3"/>
      <c r="D138" s="3"/>
      <c r="E138" s="3"/>
      <c r="F138" s="3"/>
      <c r="G138" s="3"/>
      <c r="H138" s="3"/>
      <c r="I138" s="28"/>
      <c r="J138" s="3"/>
      <c r="K138" s="28"/>
      <c r="L138" s="3"/>
      <c r="M138" s="55"/>
      <c r="N138" s="3"/>
      <c r="O138" s="3"/>
      <c r="P138" s="46"/>
      <c r="Q138" s="46"/>
      <c r="R138" s="46"/>
      <c r="S138" s="46"/>
      <c r="T138" s="46"/>
      <c r="U138" s="46"/>
      <c r="V138" s="46"/>
      <c r="W138" s="46"/>
      <c r="X138" s="46"/>
      <c r="Y138" s="46"/>
      <c r="Z138" s="46"/>
      <c r="AA138" s="46"/>
      <c r="AB138" s="3"/>
    </row>
    <row r="139" spans="1:28" s="5" customFormat="1" x14ac:dyDescent="0.25">
      <c r="A139" s="150">
        <f>1</f>
        <v>1</v>
      </c>
      <c r="B139" s="129" t="str">
        <f>структура!$J$13</f>
        <v>УСН(6%)</v>
      </c>
      <c r="C139" s="3"/>
      <c r="D139" s="3"/>
      <c r="E139" s="89" t="str">
        <f>E137</f>
        <v>прибыль</v>
      </c>
      <c r="F139" s="89"/>
      <c r="G139" s="89" t="str">
        <f>IF($E139="","",INDEX(KPI!$G:$G,SUMIFS(KPI!$B:$B,KPI!$E:$E,$E139)))</f>
        <v>тыс.руб.</v>
      </c>
      <c r="H139" s="89"/>
      <c r="I139" s="90"/>
      <c r="J139" s="89"/>
      <c r="K139" s="90"/>
      <c r="L139" s="89"/>
      <c r="M139" s="92">
        <f>SUM($O139:$AB139)</f>
        <v>42649.513190847822</v>
      </c>
      <c r="N139" s="3"/>
      <c r="O139" s="3"/>
      <c r="P139" s="93">
        <f>IF(P$1="",0,P18-P28-P119-P129)</f>
        <v>3518.8837428134229</v>
      </c>
      <c r="Q139" s="93">
        <f t="shared" ref="Q139:AA139" si="3">IF(Q$1="",0,Q18-Q28-Q119-Q129)</f>
        <v>4038.3127428134244</v>
      </c>
      <c r="R139" s="93">
        <f t="shared" si="3"/>
        <v>4989.395967428808</v>
      </c>
      <c r="S139" s="93">
        <f t="shared" si="3"/>
        <v>5664.1147658903483</v>
      </c>
      <c r="T139" s="93">
        <f t="shared" si="3"/>
        <v>6462.2617658903509</v>
      </c>
      <c r="U139" s="93">
        <f t="shared" si="3"/>
        <v>8025.1925943518881</v>
      </c>
      <c r="V139" s="93">
        <f t="shared" si="3"/>
        <v>9951.3516116595783</v>
      </c>
      <c r="W139" s="93">
        <f t="shared" si="3"/>
        <v>0</v>
      </c>
      <c r="X139" s="93">
        <f t="shared" si="3"/>
        <v>0</v>
      </c>
      <c r="Y139" s="93">
        <f t="shared" si="3"/>
        <v>0</v>
      </c>
      <c r="Z139" s="93">
        <f t="shared" si="3"/>
        <v>0</v>
      </c>
      <c r="AA139" s="93">
        <f t="shared" si="3"/>
        <v>0</v>
      </c>
      <c r="AB139" s="3"/>
    </row>
    <row r="140" spans="1:28" s="5" customFormat="1" ht="3.9" customHeight="1" x14ac:dyDescent="0.25">
      <c r="A140" s="150">
        <f>1</f>
        <v>1</v>
      </c>
      <c r="B140" s="128"/>
      <c r="C140" s="3"/>
      <c r="D140" s="3"/>
      <c r="E140" s="3"/>
      <c r="F140" s="3"/>
      <c r="G140" s="3"/>
      <c r="H140" s="3"/>
      <c r="I140" s="28"/>
      <c r="J140" s="3"/>
      <c r="K140" s="28"/>
      <c r="L140" s="3"/>
      <c r="M140" s="55"/>
      <c r="N140" s="3"/>
      <c r="O140" s="3"/>
      <c r="P140" s="46"/>
      <c r="Q140" s="46"/>
      <c r="R140" s="46"/>
      <c r="S140" s="46"/>
      <c r="T140" s="46"/>
      <c r="U140" s="46"/>
      <c r="V140" s="46"/>
      <c r="W140" s="46"/>
      <c r="X140" s="46"/>
      <c r="Y140" s="46"/>
      <c r="Z140" s="46"/>
      <c r="AA140" s="46"/>
      <c r="AB140" s="3"/>
    </row>
    <row r="141" spans="1:28" s="5" customFormat="1" x14ac:dyDescent="0.25">
      <c r="A141" s="150">
        <f>1</f>
        <v>1</v>
      </c>
      <c r="B141" s="129" t="str">
        <f>структура!$J$14</f>
        <v>УСН(15%)</v>
      </c>
      <c r="C141" s="3"/>
      <c r="D141" s="3"/>
      <c r="E141" s="89" t="str">
        <f>E137</f>
        <v>прибыль</v>
      </c>
      <c r="F141" s="89"/>
      <c r="G141" s="89" t="str">
        <f>IF($E141="","",INDEX(KPI!$G:$G,SUMIFS(KPI!$B:$B,KPI!$E:$E,$E141)))</f>
        <v>тыс.руб.</v>
      </c>
      <c r="H141" s="89"/>
      <c r="I141" s="90"/>
      <c r="J141" s="89"/>
      <c r="K141" s="90"/>
      <c r="L141" s="89"/>
      <c r="M141" s="92">
        <f>SUM($O141:$AB141)</f>
        <v>36892.925461220642</v>
      </c>
      <c r="N141" s="3"/>
      <c r="O141" s="3"/>
      <c r="P141" s="93">
        <f>IF(P$1="",0,P20-P30-P121-P131)</f>
        <v>3004.5396642430578</v>
      </c>
      <c r="Q141" s="93">
        <f t="shared" ref="Q141:AA141" si="4">IF(Q$1="",0,Q20-Q30-Q121-Q131)</f>
        <v>3462.2072892430588</v>
      </c>
      <c r="R141" s="93">
        <f t="shared" si="4"/>
        <v>4295.3345584353665</v>
      </c>
      <c r="S141" s="93">
        <f t="shared" si="4"/>
        <v>4884.5214463584443</v>
      </c>
      <c r="T141" s="93">
        <f t="shared" si="4"/>
        <v>5587.1758588584471</v>
      </c>
      <c r="U141" s="93">
        <f t="shared" si="4"/>
        <v>6982.4495005507533</v>
      </c>
      <c r="V141" s="93">
        <f t="shared" si="4"/>
        <v>8676.6971435315209</v>
      </c>
      <c r="W141" s="93">
        <f t="shared" si="4"/>
        <v>0</v>
      </c>
      <c r="X141" s="93">
        <f t="shared" si="4"/>
        <v>0</v>
      </c>
      <c r="Y141" s="93">
        <f t="shared" si="4"/>
        <v>0</v>
      </c>
      <c r="Z141" s="93">
        <f t="shared" si="4"/>
        <v>0</v>
      </c>
      <c r="AA141" s="93">
        <f t="shared" si="4"/>
        <v>0</v>
      </c>
      <c r="AB141" s="3"/>
    </row>
    <row r="142" spans="1:28" s="5" customFormat="1" ht="3.9" customHeight="1" x14ac:dyDescent="0.25">
      <c r="A142" s="150">
        <f>1</f>
        <v>1</v>
      </c>
      <c r="B142" s="128"/>
      <c r="C142" s="3"/>
      <c r="D142" s="3"/>
      <c r="E142" s="3"/>
      <c r="F142" s="3"/>
      <c r="G142" s="3"/>
      <c r="H142" s="3"/>
      <c r="I142" s="28"/>
      <c r="J142" s="3"/>
      <c r="K142" s="28"/>
      <c r="L142" s="3"/>
      <c r="M142" s="55"/>
      <c r="N142" s="3"/>
      <c r="O142" s="3"/>
      <c r="P142" s="46"/>
      <c r="Q142" s="46"/>
      <c r="R142" s="46"/>
      <c r="S142" s="46"/>
      <c r="T142" s="46"/>
      <c r="U142" s="46"/>
      <c r="V142" s="46"/>
      <c r="W142" s="46"/>
      <c r="X142" s="46"/>
      <c r="Y142" s="46"/>
      <c r="Z142" s="46"/>
      <c r="AA142" s="46"/>
      <c r="AB142" s="3"/>
    </row>
    <row r="143" spans="1:28" s="5" customFormat="1" x14ac:dyDescent="0.25">
      <c r="A143" s="150">
        <f>1</f>
        <v>1</v>
      </c>
      <c r="B143" s="129" t="str">
        <f>структура!$J$15</f>
        <v>УСН(6%)-ИП</v>
      </c>
      <c r="C143" s="3"/>
      <c r="D143" s="3"/>
      <c r="E143" s="89" t="str">
        <f>E137</f>
        <v>прибыль</v>
      </c>
      <c r="F143" s="89"/>
      <c r="G143" s="89" t="str">
        <f>IF($E143="","",INDEX(KPI!$G:$G,SUMIFS(KPI!$B:$B,KPI!$E:$E,$E143)))</f>
        <v>тыс.руб.</v>
      </c>
      <c r="H143" s="89"/>
      <c r="I143" s="90"/>
      <c r="J143" s="89"/>
      <c r="K143" s="90"/>
      <c r="L143" s="89"/>
      <c r="M143" s="92">
        <f>SUM($O143:$AB143)</f>
        <v>44480.427083155519</v>
      </c>
      <c r="N143" s="3"/>
      <c r="O143" s="3"/>
      <c r="P143" s="93">
        <f>IF(P$1="",0,P22-P32-P123-P133)</f>
        <v>3943.2157774288075</v>
      </c>
      <c r="Q143" s="93">
        <f t="shared" ref="Q143:AA143" si="5">IF(Q$1="",0,Q22-Q32-Q123-Q133)</f>
        <v>4481.6482774288088</v>
      </c>
      <c r="R143" s="93">
        <f t="shared" si="5"/>
        <v>5461.7980058903468</v>
      </c>
      <c r="S143" s="93">
        <f t="shared" si="5"/>
        <v>6154.9590505057331</v>
      </c>
      <c r="T143" s="93">
        <f t="shared" si="5"/>
        <v>6462.2617658903509</v>
      </c>
      <c r="U143" s="93">
        <f t="shared" si="5"/>
        <v>8025.1925943518881</v>
      </c>
      <c r="V143" s="93">
        <f t="shared" si="5"/>
        <v>9951.3516116595783</v>
      </c>
      <c r="W143" s="93">
        <f t="shared" si="5"/>
        <v>0</v>
      </c>
      <c r="X143" s="93">
        <f t="shared" si="5"/>
        <v>0</v>
      </c>
      <c r="Y143" s="93">
        <f t="shared" si="5"/>
        <v>0</v>
      </c>
      <c r="Z143" s="93">
        <f t="shared" si="5"/>
        <v>0</v>
      </c>
      <c r="AA143" s="93">
        <f t="shared" si="5"/>
        <v>0</v>
      </c>
      <c r="AB143" s="3"/>
    </row>
    <row r="144" spans="1:28" ht="3.9" customHeight="1" x14ac:dyDescent="0.25">
      <c r="A144" s="149">
        <f>1</f>
        <v>1</v>
      </c>
      <c r="B144" s="131"/>
      <c r="C144" s="2"/>
      <c r="D144" s="2"/>
      <c r="E144" s="117"/>
      <c r="F144" s="2"/>
      <c r="G144" s="117"/>
      <c r="H144" s="2"/>
      <c r="I144" s="28"/>
      <c r="J144" s="2"/>
      <c r="K144" s="28"/>
      <c r="L144" s="2"/>
      <c r="M144" s="138"/>
      <c r="N144" s="2"/>
      <c r="O144" s="2"/>
      <c r="P144" s="36"/>
      <c r="Q144" s="36"/>
      <c r="R144" s="36"/>
      <c r="S144" s="36"/>
      <c r="T144" s="36"/>
      <c r="U144" s="36"/>
      <c r="V144" s="36"/>
      <c r="W144" s="36"/>
      <c r="X144" s="36"/>
      <c r="Y144" s="36"/>
      <c r="Z144" s="36"/>
      <c r="AA144" s="36"/>
      <c r="AB144" s="2"/>
    </row>
    <row r="145" spans="1:28" ht="8.1" customHeight="1" x14ac:dyDescent="0.25">
      <c r="A145" s="149">
        <f>1</f>
        <v>1</v>
      </c>
      <c r="B145" s="131"/>
      <c r="C145" s="2"/>
      <c r="D145" s="2"/>
      <c r="E145" s="2"/>
      <c r="F145" s="2"/>
      <c r="G145" s="2"/>
      <c r="H145" s="2"/>
      <c r="I145" s="28"/>
      <c r="J145" s="2"/>
      <c r="K145" s="28"/>
      <c r="L145" s="2"/>
      <c r="M145" s="52"/>
      <c r="N145" s="2"/>
      <c r="O145" s="2"/>
      <c r="P145" s="36"/>
      <c r="Q145" s="36"/>
      <c r="R145" s="36"/>
      <c r="S145" s="36"/>
      <c r="T145" s="36"/>
      <c r="U145" s="36"/>
      <c r="V145" s="36"/>
      <c r="W145" s="36"/>
      <c r="X145" s="36"/>
      <c r="Y145" s="36"/>
      <c r="Z145" s="36"/>
      <c r="AA145" s="36"/>
      <c r="AB145" s="2"/>
    </row>
    <row r="146" spans="1:28" s="5" customFormat="1" x14ac:dyDescent="0.25">
      <c r="A146" s="150">
        <f>1</f>
        <v>1</v>
      </c>
      <c r="B146" s="131"/>
      <c r="C146" s="3"/>
      <c r="D146" s="3"/>
      <c r="E146" s="3"/>
      <c r="F146" s="3"/>
      <c r="G146" s="3"/>
      <c r="H146" s="3"/>
      <c r="I146" s="28"/>
      <c r="J146" s="3"/>
      <c r="K146" s="28"/>
      <c r="L146" s="3"/>
      <c r="M146" s="55"/>
      <c r="N146" s="3"/>
      <c r="O146" s="3"/>
      <c r="P146" s="46"/>
      <c r="Q146" s="46"/>
      <c r="R146" s="46"/>
      <c r="S146" s="46"/>
      <c r="T146" s="46"/>
      <c r="U146" s="46"/>
      <c r="V146" s="46"/>
      <c r="W146" s="46"/>
      <c r="X146" s="46"/>
      <c r="Y146" s="46"/>
      <c r="Z146" s="46"/>
      <c r="AA146" s="46"/>
      <c r="AB146" s="3"/>
    </row>
    <row r="147" spans="1:28" ht="3.9" customHeight="1" x14ac:dyDescent="0.25">
      <c r="A147" s="149">
        <f>1</f>
        <v>1</v>
      </c>
      <c r="B147" s="131"/>
      <c r="C147" s="2"/>
      <c r="D147" s="2"/>
      <c r="E147" s="2"/>
      <c r="F147" s="2"/>
      <c r="G147" s="2"/>
      <c r="H147" s="2"/>
      <c r="I147" s="28"/>
      <c r="J147" s="2"/>
      <c r="K147" s="28"/>
      <c r="L147" s="2"/>
      <c r="M147" s="52"/>
      <c r="N147" s="2"/>
      <c r="O147" s="2"/>
      <c r="P147" s="36"/>
      <c r="Q147" s="36"/>
      <c r="R147" s="36"/>
      <c r="S147" s="36"/>
      <c r="T147" s="36"/>
      <c r="U147" s="36"/>
      <c r="V147" s="36"/>
      <c r="W147" s="36"/>
      <c r="X147" s="36"/>
      <c r="Y147" s="36"/>
      <c r="Z147" s="36"/>
      <c r="AA147" s="36"/>
      <c r="AB147" s="2"/>
    </row>
    <row r="148" spans="1:28" s="5" customFormat="1" x14ac:dyDescent="0.25">
      <c r="A148" s="150">
        <f>1</f>
        <v>1</v>
      </c>
      <c r="B148" s="131"/>
      <c r="C148" s="3"/>
      <c r="D148" s="3"/>
      <c r="E148" s="181" t="s">
        <v>275</v>
      </c>
      <c r="F148" s="3"/>
      <c r="G148" s="3"/>
      <c r="H148" s="3"/>
      <c r="I148" s="28"/>
      <c r="J148" s="3"/>
      <c r="K148" s="28"/>
      <c r="L148" s="3"/>
      <c r="M148" s="55"/>
      <c r="N148" s="3"/>
      <c r="O148" s="3"/>
      <c r="P148" s="46"/>
      <c r="Q148" s="46"/>
      <c r="R148" s="46"/>
      <c r="S148" s="46"/>
      <c r="T148" s="46"/>
      <c r="U148" s="46"/>
      <c r="V148" s="46"/>
      <c r="W148" s="46"/>
      <c r="X148" s="46"/>
      <c r="Y148" s="46"/>
      <c r="Z148" s="46"/>
      <c r="AA148" s="46"/>
      <c r="AB148" s="3"/>
    </row>
    <row r="149" spans="1:28" ht="3.9" customHeight="1" x14ac:dyDescent="0.25">
      <c r="A149" s="149">
        <f>1</f>
        <v>1</v>
      </c>
      <c r="B149" s="131"/>
      <c r="C149" s="2"/>
      <c r="D149" s="2"/>
      <c r="E149" s="2"/>
      <c r="F149" s="2"/>
      <c r="G149" s="2"/>
      <c r="H149" s="2"/>
      <c r="I149" s="28"/>
      <c r="J149" s="2"/>
      <c r="K149" s="28"/>
      <c r="L149" s="2"/>
      <c r="M149" s="52"/>
      <c r="N149" s="2"/>
      <c r="O149" s="2"/>
      <c r="P149" s="36"/>
      <c r="Q149" s="36"/>
      <c r="R149" s="36"/>
      <c r="S149" s="36"/>
      <c r="T149" s="36"/>
      <c r="U149" s="36"/>
      <c r="V149" s="36"/>
      <c r="W149" s="36"/>
      <c r="X149" s="36"/>
      <c r="Y149" s="36"/>
      <c r="Z149" s="36"/>
      <c r="AA149" s="36"/>
      <c r="AB149" s="2"/>
    </row>
    <row r="150" spans="1:28" ht="8.1" customHeight="1" x14ac:dyDescent="0.25">
      <c r="A150" s="149">
        <f>1</f>
        <v>1</v>
      </c>
      <c r="B150" s="131"/>
      <c r="C150" s="2"/>
      <c r="D150" s="2"/>
      <c r="E150" s="2"/>
      <c r="F150" s="2"/>
      <c r="G150" s="2"/>
      <c r="H150" s="2"/>
      <c r="I150" s="28"/>
      <c r="J150" s="2"/>
      <c r="K150" s="28"/>
      <c r="L150" s="2"/>
      <c r="M150" s="52"/>
      <c r="N150" s="2"/>
      <c r="O150" s="2"/>
      <c r="P150" s="36"/>
      <c r="Q150" s="36"/>
      <c r="R150" s="36"/>
      <c r="S150" s="36"/>
      <c r="T150" s="36"/>
      <c r="U150" s="36"/>
      <c r="V150" s="36"/>
      <c r="W150" s="36"/>
      <c r="X150" s="36"/>
      <c r="Y150" s="36"/>
      <c r="Z150" s="36"/>
      <c r="AA150" s="36"/>
      <c r="AB150" s="2"/>
    </row>
    <row r="151" spans="1:28" ht="3.9" customHeight="1" x14ac:dyDescent="0.25">
      <c r="A151" s="149">
        <f>1</f>
        <v>1</v>
      </c>
      <c r="B151" s="131"/>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2"/>
    </row>
    <row r="152" spans="1:28" s="157" customFormat="1" x14ac:dyDescent="0.25">
      <c r="A152" s="150">
        <f>1</f>
        <v>1</v>
      </c>
      <c r="B152" s="156" t="str">
        <f>структура!$J$12</f>
        <v>ОСНО</v>
      </c>
      <c r="C152" s="155"/>
      <c r="D152" s="155"/>
      <c r="E152" s="220" t="str">
        <f>KPI!$E$97</f>
        <v>Возмещение НДС по кап/затратам</v>
      </c>
      <c r="F152" s="220"/>
      <c r="G152" s="220" t="str">
        <f>IF($E152="","",INDEX(KPI!$G:$G,SUMIFS(KPI!$B:$B,KPI!$E:$E,$E152)))</f>
        <v>тыс.руб.</v>
      </c>
      <c r="H152" s="220"/>
      <c r="I152" s="221"/>
      <c r="J152" s="220"/>
      <c r="K152" s="221"/>
      <c r="L152" s="220"/>
      <c r="M152" s="222">
        <f>SUM($O152:$AB152)</f>
        <v>2641.7291400000004</v>
      </c>
      <c r="N152" s="155"/>
      <c r="O152" s="155"/>
      <c r="P152" s="223">
        <f>IF(P$1="",0,IF(1+операции!$P$421=0,0,операции!$P$421*(капитал!$M$102+капитал!$M$109)/(1+операции!$P$421)))</f>
        <v>2641.7291400000004</v>
      </c>
      <c r="Q152" s="223"/>
      <c r="R152" s="223"/>
      <c r="S152" s="223"/>
      <c r="T152" s="223"/>
      <c r="U152" s="223"/>
      <c r="V152" s="223"/>
      <c r="W152" s="223"/>
      <c r="X152" s="223"/>
      <c r="Y152" s="223"/>
      <c r="Z152" s="223"/>
      <c r="AA152" s="223"/>
      <c r="AB152" s="155"/>
    </row>
    <row r="153" spans="1:28" ht="3.9" customHeight="1" x14ac:dyDescent="0.25">
      <c r="A153" s="149">
        <f>1</f>
        <v>1</v>
      </c>
      <c r="B153" s="131"/>
      <c r="C153" s="2"/>
      <c r="D153" s="2"/>
      <c r="E153" s="117"/>
      <c r="F153" s="2"/>
      <c r="G153" s="117"/>
      <c r="H153" s="2"/>
      <c r="I153" s="28"/>
      <c r="J153" s="2"/>
      <c r="K153" s="28"/>
      <c r="L153" s="2"/>
      <c r="M153" s="138"/>
      <c r="N153" s="2"/>
      <c r="O153" s="2"/>
      <c r="P153" s="36"/>
      <c r="Q153" s="36"/>
      <c r="R153" s="36"/>
      <c r="S153" s="36"/>
      <c r="T153" s="36"/>
      <c r="U153" s="36"/>
      <c r="V153" s="36"/>
      <c r="W153" s="36"/>
      <c r="X153" s="36"/>
      <c r="Y153" s="36"/>
      <c r="Z153" s="36"/>
      <c r="AA153" s="36"/>
      <c r="AB153" s="2"/>
    </row>
    <row r="154" spans="1:28" ht="3.9" customHeight="1" x14ac:dyDescent="0.25">
      <c r="A154" s="149">
        <f>1</f>
        <v>1</v>
      </c>
      <c r="B154" s="131"/>
      <c r="C154" s="2"/>
      <c r="D154" s="2"/>
      <c r="E154" s="2"/>
      <c r="F154" s="2"/>
      <c r="G154" s="2"/>
      <c r="H154" s="2"/>
      <c r="I154" s="28"/>
      <c r="J154" s="2"/>
      <c r="K154" s="28"/>
      <c r="L154" s="2"/>
      <c r="M154" s="52"/>
      <c r="N154" s="2"/>
      <c r="O154" s="2"/>
      <c r="P154" s="36"/>
      <c r="Q154" s="36"/>
      <c r="R154" s="36"/>
      <c r="S154" s="36"/>
      <c r="T154" s="36"/>
      <c r="U154" s="36"/>
      <c r="V154" s="36"/>
      <c r="W154" s="36"/>
      <c r="X154" s="36"/>
      <c r="Y154" s="36"/>
      <c r="Z154" s="36"/>
      <c r="AA154" s="36"/>
      <c r="AB154" s="2"/>
    </row>
    <row r="155" spans="1:28" s="5" customFormat="1" x14ac:dyDescent="0.25">
      <c r="A155" s="150">
        <f>1</f>
        <v>1</v>
      </c>
      <c r="B155" s="129" t="str">
        <f>структура!$J$12</f>
        <v>ОСНО</v>
      </c>
      <c r="C155" s="3"/>
      <c r="D155" s="3"/>
      <c r="E155" s="147" t="str">
        <f>KPI!$E$89</f>
        <v>приток денежных средств</v>
      </c>
      <c r="F155" s="147"/>
      <c r="G155" s="147" t="str">
        <f>IF($E155="","",INDEX(KPI!$G:$G,SUMIFS(KPI!$B:$B,KPI!$E:$E,$E155)))</f>
        <v>тыс.руб.</v>
      </c>
      <c r="H155" s="147"/>
      <c r="I155" s="170"/>
      <c r="J155" s="147"/>
      <c r="K155" s="170"/>
      <c r="L155" s="147"/>
      <c r="M155" s="171">
        <f>SUM($O155:$AB155)</f>
        <v>121010.17913999999</v>
      </c>
      <c r="N155" s="3"/>
      <c r="O155" s="3"/>
      <c r="P155" s="172">
        <f>IF(P$1="",0,P$16*(1+операции!P$421)+P152)</f>
        <v>16786.130293846152</v>
      </c>
      <c r="Q155" s="172">
        <f>IF(Q$1="",0,Q$16*(1+операции!Q$421))</f>
        <v>14777.851153846153</v>
      </c>
      <c r="R155" s="172">
        <f>IF(R$1="",0,R$16*(1+операции!R$421))</f>
        <v>15746.734615384616</v>
      </c>
      <c r="S155" s="172">
        <f>IF(S$1="",0,S$16*(1+операции!S$421))</f>
        <v>16361.476153846153</v>
      </c>
      <c r="T155" s="172">
        <f>IF(T$1="",0,T$16*(1+операции!T$421))</f>
        <v>17311.651153846156</v>
      </c>
      <c r="U155" s="172">
        <f>IF(U$1="",0,U$16*(1+операции!U$421))</f>
        <v>18895.276153846156</v>
      </c>
      <c r="V155" s="172">
        <f>IF(V$1="",0,V$16*(1+операции!V$421))</f>
        <v>21131.059615384613</v>
      </c>
      <c r="W155" s="172">
        <f>IF(W$1="",0,W$16*(1+операции!W$421))</f>
        <v>0</v>
      </c>
      <c r="X155" s="172">
        <f>IF(X$1="",0,X$16*(1+операции!X$421))</f>
        <v>0</v>
      </c>
      <c r="Y155" s="172">
        <f>IF(Y$1="",0,Y$16*(1+операции!Y$421))</f>
        <v>0</v>
      </c>
      <c r="Z155" s="172">
        <f>IF(Z$1="",0,Z$16*(1+операции!Z$421))</f>
        <v>0</v>
      </c>
      <c r="AA155" s="172">
        <f>IF(AA$1="",0,AA$16*(1+операции!AA$421))</f>
        <v>0</v>
      </c>
      <c r="AB155" s="3"/>
    </row>
    <row r="156" spans="1:28" s="5" customFormat="1" ht="3.9" customHeight="1" x14ac:dyDescent="0.25">
      <c r="A156" s="150">
        <f>1</f>
        <v>1</v>
      </c>
      <c r="B156" s="128"/>
      <c r="C156" s="3"/>
      <c r="D156" s="3"/>
      <c r="E156" s="3"/>
      <c r="F156" s="3"/>
      <c r="G156" s="3"/>
      <c r="H156" s="3"/>
      <c r="I156" s="28"/>
      <c r="J156" s="3"/>
      <c r="K156" s="28"/>
      <c r="L156" s="3"/>
      <c r="M156" s="55"/>
      <c r="N156" s="3"/>
      <c r="O156" s="3"/>
      <c r="P156" s="46"/>
      <c r="Q156" s="46"/>
      <c r="R156" s="46"/>
      <c r="S156" s="46"/>
      <c r="T156" s="46"/>
      <c r="U156" s="46"/>
      <c r="V156" s="46"/>
      <c r="W156" s="46"/>
      <c r="X156" s="46"/>
      <c r="Y156" s="46"/>
      <c r="Z156" s="46"/>
      <c r="AA156" s="46"/>
      <c r="AB156" s="3"/>
    </row>
    <row r="157" spans="1:28" s="5" customFormat="1" x14ac:dyDescent="0.25">
      <c r="A157" s="150">
        <f>1</f>
        <v>1</v>
      </c>
      <c r="B157" s="129" t="str">
        <f>структура!$J$13</f>
        <v>УСН(6%)</v>
      </c>
      <c r="C157" s="3"/>
      <c r="D157" s="3"/>
      <c r="E157" s="147" t="str">
        <f>E155</f>
        <v>приток денежных средств</v>
      </c>
      <c r="F157" s="147"/>
      <c r="G157" s="147" t="str">
        <f>IF($E157="","",INDEX(KPI!$G:$G,SUMIFS(KPI!$B:$B,KPI!$E:$E,$E157)))</f>
        <v>тыс.руб.</v>
      </c>
      <c r="H157" s="147"/>
      <c r="I157" s="170"/>
      <c r="J157" s="147"/>
      <c r="K157" s="170"/>
      <c r="L157" s="147"/>
      <c r="M157" s="171">
        <f>SUM($O157:$AB157)</f>
        <v>118368.45000000001</v>
      </c>
      <c r="N157" s="3"/>
      <c r="O157" s="3"/>
      <c r="P157" s="172">
        <f>IF(P$1="",0,P18)</f>
        <v>14144.401153846153</v>
      </c>
      <c r="Q157" s="172">
        <f t="shared" ref="Q157:AA157" si="6">IF(Q$1="",0,Q18)</f>
        <v>14777.851153846153</v>
      </c>
      <c r="R157" s="172">
        <f t="shared" si="6"/>
        <v>15746.734615384616</v>
      </c>
      <c r="S157" s="172">
        <f t="shared" si="6"/>
        <v>16361.476153846153</v>
      </c>
      <c r="T157" s="172">
        <f t="shared" si="6"/>
        <v>17311.651153846156</v>
      </c>
      <c r="U157" s="172">
        <f t="shared" si="6"/>
        <v>18895.276153846156</v>
      </c>
      <c r="V157" s="172">
        <f t="shared" si="6"/>
        <v>21131.059615384613</v>
      </c>
      <c r="W157" s="172">
        <f t="shared" si="6"/>
        <v>0</v>
      </c>
      <c r="X157" s="172">
        <f t="shared" si="6"/>
        <v>0</v>
      </c>
      <c r="Y157" s="172">
        <f t="shared" si="6"/>
        <v>0</v>
      </c>
      <c r="Z157" s="172">
        <f t="shared" si="6"/>
        <v>0</v>
      </c>
      <c r="AA157" s="172">
        <f t="shared" si="6"/>
        <v>0</v>
      </c>
      <c r="AB157" s="3"/>
    </row>
    <row r="158" spans="1:28" s="5" customFormat="1" ht="3.9" customHeight="1" x14ac:dyDescent="0.25">
      <c r="A158" s="150">
        <f>1</f>
        <v>1</v>
      </c>
      <c r="B158" s="128"/>
      <c r="C158" s="3"/>
      <c r="D158" s="3"/>
      <c r="E158" s="3"/>
      <c r="F158" s="3"/>
      <c r="G158" s="3"/>
      <c r="H158" s="3"/>
      <c r="I158" s="28"/>
      <c r="J158" s="3"/>
      <c r="K158" s="28"/>
      <c r="L158" s="3"/>
      <c r="M158" s="55"/>
      <c r="N158" s="3"/>
      <c r="O158" s="3"/>
      <c r="P158" s="46"/>
      <c r="Q158" s="46"/>
      <c r="R158" s="46"/>
      <c r="S158" s="46"/>
      <c r="T158" s="46"/>
      <c r="U158" s="46"/>
      <c r="V158" s="46"/>
      <c r="W158" s="46"/>
      <c r="X158" s="46"/>
      <c r="Y158" s="46"/>
      <c r="Z158" s="46"/>
      <c r="AA158" s="46"/>
      <c r="AB158" s="3"/>
    </row>
    <row r="159" spans="1:28" s="5" customFormat="1" x14ac:dyDescent="0.25">
      <c r="A159" s="150">
        <f>1</f>
        <v>1</v>
      </c>
      <c r="B159" s="129" t="str">
        <f>структура!$J$14</f>
        <v>УСН(15%)</v>
      </c>
      <c r="C159" s="3"/>
      <c r="D159" s="3"/>
      <c r="E159" s="147" t="str">
        <f>E155</f>
        <v>приток денежных средств</v>
      </c>
      <c r="F159" s="147"/>
      <c r="G159" s="147" t="str">
        <f>IF($E159="","",INDEX(KPI!$G:$G,SUMIFS(KPI!$B:$B,KPI!$E:$E,$E159)))</f>
        <v>тыс.руб.</v>
      </c>
      <c r="H159" s="147"/>
      <c r="I159" s="170"/>
      <c r="J159" s="147"/>
      <c r="K159" s="170"/>
      <c r="L159" s="147"/>
      <c r="M159" s="171">
        <f>SUM($O159:$AB159)</f>
        <v>118368.45000000001</v>
      </c>
      <c r="N159" s="3"/>
      <c r="O159" s="3"/>
      <c r="P159" s="172">
        <f>IF(P$1="",0,P20)</f>
        <v>14144.401153846153</v>
      </c>
      <c r="Q159" s="172">
        <f t="shared" ref="Q159:AA159" si="7">IF(Q$1="",0,Q20)</f>
        <v>14777.851153846153</v>
      </c>
      <c r="R159" s="172">
        <f t="shared" si="7"/>
        <v>15746.734615384616</v>
      </c>
      <c r="S159" s="172">
        <f t="shared" si="7"/>
        <v>16361.476153846153</v>
      </c>
      <c r="T159" s="172">
        <f t="shared" si="7"/>
        <v>17311.651153846156</v>
      </c>
      <c r="U159" s="172">
        <f t="shared" si="7"/>
        <v>18895.276153846156</v>
      </c>
      <c r="V159" s="172">
        <f t="shared" si="7"/>
        <v>21131.059615384613</v>
      </c>
      <c r="W159" s="172">
        <f t="shared" si="7"/>
        <v>0</v>
      </c>
      <c r="X159" s="172">
        <f t="shared" si="7"/>
        <v>0</v>
      </c>
      <c r="Y159" s="172">
        <f t="shared" si="7"/>
        <v>0</v>
      </c>
      <c r="Z159" s="172">
        <f t="shared" si="7"/>
        <v>0</v>
      </c>
      <c r="AA159" s="172">
        <f t="shared" si="7"/>
        <v>0</v>
      </c>
      <c r="AB159" s="3"/>
    </row>
    <row r="160" spans="1:28" s="5" customFormat="1" ht="3.9" customHeight="1" x14ac:dyDescent="0.25">
      <c r="A160" s="150">
        <f>1</f>
        <v>1</v>
      </c>
      <c r="B160" s="128"/>
      <c r="C160" s="3"/>
      <c r="D160" s="3"/>
      <c r="E160" s="3"/>
      <c r="F160" s="3"/>
      <c r="G160" s="3"/>
      <c r="H160" s="3"/>
      <c r="I160" s="28"/>
      <c r="J160" s="3"/>
      <c r="K160" s="28"/>
      <c r="L160" s="3"/>
      <c r="M160" s="55"/>
      <c r="N160" s="3"/>
      <c r="O160" s="3"/>
      <c r="P160" s="46"/>
      <c r="Q160" s="46"/>
      <c r="R160" s="46"/>
      <c r="S160" s="46"/>
      <c r="T160" s="46"/>
      <c r="U160" s="46"/>
      <c r="V160" s="46"/>
      <c r="W160" s="46"/>
      <c r="X160" s="46"/>
      <c r="Y160" s="46"/>
      <c r="Z160" s="46"/>
      <c r="AA160" s="46"/>
      <c r="AB160" s="3"/>
    </row>
    <row r="161" spans="1:28" s="5" customFormat="1" x14ac:dyDescent="0.25">
      <c r="A161" s="150">
        <f>1</f>
        <v>1</v>
      </c>
      <c r="B161" s="129" t="str">
        <f>структура!$J$15</f>
        <v>УСН(6%)-ИП</v>
      </c>
      <c r="C161" s="3"/>
      <c r="D161" s="3"/>
      <c r="E161" s="147" t="str">
        <f>E155</f>
        <v>приток денежных средств</v>
      </c>
      <c r="F161" s="147"/>
      <c r="G161" s="147" t="str">
        <f>IF($E161="","",INDEX(KPI!$G:$G,SUMIFS(KPI!$B:$B,KPI!$E:$E,$E161)))</f>
        <v>тыс.руб.</v>
      </c>
      <c r="H161" s="147"/>
      <c r="I161" s="170"/>
      <c r="J161" s="147"/>
      <c r="K161" s="170"/>
      <c r="L161" s="147"/>
      <c r="M161" s="171">
        <f>SUM($O161:$AB161)</f>
        <v>118368.45000000001</v>
      </c>
      <c r="N161" s="3"/>
      <c r="O161" s="3"/>
      <c r="P161" s="172">
        <f>IF(P$1="",0,P22)</f>
        <v>14144.401153846153</v>
      </c>
      <c r="Q161" s="172">
        <f t="shared" ref="Q161:AA161" si="8">IF(Q$1="",0,Q22)</f>
        <v>14777.851153846153</v>
      </c>
      <c r="R161" s="172">
        <f t="shared" si="8"/>
        <v>15746.734615384616</v>
      </c>
      <c r="S161" s="172">
        <f t="shared" si="8"/>
        <v>16361.476153846153</v>
      </c>
      <c r="T161" s="172">
        <f t="shared" si="8"/>
        <v>17311.651153846156</v>
      </c>
      <c r="U161" s="172">
        <f t="shared" si="8"/>
        <v>18895.276153846156</v>
      </c>
      <c r="V161" s="172">
        <f t="shared" si="8"/>
        <v>21131.059615384613</v>
      </c>
      <c r="W161" s="172">
        <f t="shared" si="8"/>
        <v>0</v>
      </c>
      <c r="X161" s="172">
        <f t="shared" si="8"/>
        <v>0</v>
      </c>
      <c r="Y161" s="172">
        <f t="shared" si="8"/>
        <v>0</v>
      </c>
      <c r="Z161" s="172">
        <f t="shared" si="8"/>
        <v>0</v>
      </c>
      <c r="AA161" s="172">
        <f t="shared" si="8"/>
        <v>0</v>
      </c>
      <c r="AB161" s="3"/>
    </row>
    <row r="162" spans="1:28" ht="3.9" customHeight="1" x14ac:dyDescent="0.25">
      <c r="A162" s="149">
        <f>1</f>
        <v>1</v>
      </c>
      <c r="B162" s="131"/>
      <c r="C162" s="2"/>
      <c r="D162" s="2"/>
      <c r="E162" s="117"/>
      <c r="F162" s="2"/>
      <c r="G162" s="117"/>
      <c r="H162" s="2"/>
      <c r="I162" s="28"/>
      <c r="J162" s="2"/>
      <c r="K162" s="28"/>
      <c r="L162" s="2"/>
      <c r="M162" s="138"/>
      <c r="N162" s="2"/>
      <c r="O162" s="2"/>
      <c r="P162" s="36"/>
      <c r="Q162" s="36"/>
      <c r="R162" s="36"/>
      <c r="S162" s="36"/>
      <c r="T162" s="36"/>
      <c r="U162" s="36"/>
      <c r="V162" s="36"/>
      <c r="W162" s="36"/>
      <c r="X162" s="36"/>
      <c r="Y162" s="36"/>
      <c r="Z162" s="36"/>
      <c r="AA162" s="36"/>
      <c r="AB162" s="2"/>
    </row>
    <row r="163" spans="1:28" ht="8.1" customHeight="1" x14ac:dyDescent="0.25">
      <c r="A163" s="149">
        <f>1</f>
        <v>1</v>
      </c>
      <c r="B163" s="131"/>
      <c r="C163" s="2"/>
      <c r="D163" s="2"/>
      <c r="E163" s="2"/>
      <c r="F163" s="2"/>
      <c r="G163" s="2"/>
      <c r="H163" s="2"/>
      <c r="I163" s="28"/>
      <c r="J163" s="2"/>
      <c r="K163" s="28"/>
      <c r="L163" s="2"/>
      <c r="M163" s="52"/>
      <c r="N163" s="2"/>
      <c r="O163" s="2"/>
      <c r="P163" s="36"/>
      <c r="Q163" s="36"/>
      <c r="R163" s="36"/>
      <c r="S163" s="36"/>
      <c r="T163" s="36"/>
      <c r="U163" s="36"/>
      <c r="V163" s="36"/>
      <c r="W163" s="36"/>
      <c r="X163" s="36"/>
      <c r="Y163" s="36"/>
      <c r="Z163" s="36"/>
      <c r="AA163" s="36"/>
      <c r="AB163" s="2"/>
    </row>
    <row r="164" spans="1:28" ht="3.9" customHeight="1" x14ac:dyDescent="0.25">
      <c r="A164" s="149">
        <f>1</f>
        <v>1</v>
      </c>
      <c r="B164" s="131"/>
      <c r="C164" s="2"/>
      <c r="D164" s="2"/>
      <c r="E164" s="2"/>
      <c r="F164" s="2"/>
      <c r="G164" s="2"/>
      <c r="H164" s="2"/>
      <c r="I164" s="28"/>
      <c r="J164" s="2"/>
      <c r="K164" s="28"/>
      <c r="L164" s="2"/>
      <c r="M164" s="52"/>
      <c r="N164" s="2"/>
      <c r="O164" s="2"/>
      <c r="P164" s="36"/>
      <c r="Q164" s="36"/>
      <c r="R164" s="36"/>
      <c r="S164" s="36"/>
      <c r="T164" s="36"/>
      <c r="U164" s="36"/>
      <c r="V164" s="36"/>
      <c r="W164" s="36"/>
      <c r="X164" s="36"/>
      <c r="Y164" s="36"/>
      <c r="Z164" s="36"/>
      <c r="AA164" s="36"/>
      <c r="AB164" s="2"/>
    </row>
    <row r="165" spans="1:28" s="5" customFormat="1" x14ac:dyDescent="0.25">
      <c r="A165" s="150">
        <f>1</f>
        <v>1</v>
      </c>
      <c r="B165" s="129" t="str">
        <f>структура!$J$12</f>
        <v>ОСНО</v>
      </c>
      <c r="C165" s="3"/>
      <c r="D165" s="3"/>
      <c r="E165" s="173" t="str">
        <f>KPI!$E$90</f>
        <v>отток денежных средств</v>
      </c>
      <c r="F165" s="173"/>
      <c r="G165" s="173" t="str">
        <f>IF($E165="","",INDEX(KPI!$G:$G,SUMIFS(KPI!$B:$B,KPI!$E:$E,$E165)))</f>
        <v>тыс.руб.</v>
      </c>
      <c r="H165" s="173"/>
      <c r="I165" s="174"/>
      <c r="J165" s="173"/>
      <c r="K165" s="174"/>
      <c r="L165" s="173"/>
      <c r="M165" s="175">
        <f>SUM($O165:$AB165)</f>
        <v>74791.037726828654</v>
      </c>
      <c r="N165" s="3"/>
      <c r="O165" s="3"/>
      <c r="P165" s="176">
        <f>IF(P$1="",0,операции!P$232+операции!P$265+операции!P$315+операции!P$335+операции!P$368+операции!P$386+операции!P$404)</f>
        <v>7803.7650392744872</v>
      </c>
      <c r="Q165" s="176">
        <f>IF(Q$1="",0,операции!Q$232+операции!Q$265+операции!Q$315+операции!Q$335+операции!Q$368+операции!Q$386+операции!Q$404+P$16*операции!P$421-P$107+P$127)</f>
        <v>10414.96596743424</v>
      </c>
      <c r="R165" s="176">
        <f>IF(R$1="",0,операции!R$232+операции!R$265+операции!R$315+операции!R$335+операции!R$368+операции!R$386+операции!R$404+Q$16*операции!Q$421-Q$107+Q$127)</f>
        <v>10583.177200511163</v>
      </c>
      <c r="S165" s="176">
        <f>IF(S$1="",0,операции!S$232+операции!S$265+операции!S$315+операции!S$335+операции!S$368+операции!S$386+операции!S$404+R$16*операции!R$421-R$107+R$127)</f>
        <v>10831.474270511166</v>
      </c>
      <c r="T165" s="176">
        <f>IF(T$1="",0,операции!T$232+операции!T$265+операции!T$315+операции!T$335+операции!T$368+операции!T$386+операции!T$404+S$16*операции!S$421-S$107+S$127)</f>
        <v>11186.050702049626</v>
      </c>
      <c r="U165" s="176">
        <f>IF(U$1="",0,операции!U$232+операции!U$265+операции!U$315+операции!U$335+операции!U$368+операции!U$386+операции!U$404+T$16*операции!T$421-T$107+T$127)</f>
        <v>11610.786873588087</v>
      </c>
      <c r="V165" s="176">
        <f>IF(V$1="",0,операции!V$232+операции!V$265+операции!V$315+операции!V$335+операции!V$368+операции!V$386+операции!V$404+U$16*операции!U$421-U$107+U$127)</f>
        <v>12360.817673459886</v>
      </c>
      <c r="W165" s="176">
        <f>IF(W$1="",0,операции!W$232+операции!W$265+операции!W$315+операции!W$335+операции!W$368+операции!W$386+операции!W$404+V$16*операции!V$421-V$107+V$127)</f>
        <v>0</v>
      </c>
      <c r="X165" s="176">
        <f>IF(X$1="",0,операции!X$232+операции!X$265+операции!X$315+операции!X$335+операции!X$368+операции!X$386+операции!X$404+W$16*операции!W$421-W$107+W$127)</f>
        <v>0</v>
      </c>
      <c r="Y165" s="176">
        <f>IF(Y$1="",0,операции!Y$232+операции!Y$265+операции!Y$315+операции!Y$335+операции!Y$368+операции!Y$386+операции!Y$404+X$16*операции!X$421-X$107+X$127)</f>
        <v>0</v>
      </c>
      <c r="Z165" s="176">
        <f>IF(Z$1="",0,операции!Z$232+операции!Z$265+операции!Z$315+операции!Z$335+операции!Z$368+операции!Z$386+операции!Z$404+Y$16*операции!Y$421-Y$107+Y$127)</f>
        <v>0</v>
      </c>
      <c r="AA165" s="176">
        <f>IF(AA$1="",0,операции!AA$232+операции!AA$265+операции!AA$315+операции!AA$335+операции!AA$368+операции!AA$386+операции!AA$404+Z$16*операции!Z$421-Z$107+Z$127)</f>
        <v>0</v>
      </c>
      <c r="AB165" s="3"/>
    </row>
    <row r="166" spans="1:28" s="5" customFormat="1" ht="3.9" customHeight="1" x14ac:dyDescent="0.25">
      <c r="A166" s="150">
        <f>1</f>
        <v>1</v>
      </c>
      <c r="B166" s="128"/>
      <c r="C166" s="3"/>
      <c r="D166" s="3"/>
      <c r="E166" s="3"/>
      <c r="F166" s="3"/>
      <c r="G166" s="3"/>
      <c r="H166" s="3"/>
      <c r="I166" s="28"/>
      <c r="J166" s="3"/>
      <c r="K166" s="28"/>
      <c r="L166" s="3"/>
      <c r="M166" s="55"/>
      <c r="N166" s="3"/>
      <c r="O166" s="3"/>
      <c r="P166" s="46"/>
      <c r="Q166" s="46"/>
      <c r="R166" s="46"/>
      <c r="S166" s="46"/>
      <c r="T166" s="46"/>
      <c r="U166" s="46"/>
      <c r="V166" s="46"/>
      <c r="W166" s="46"/>
      <c r="X166" s="46"/>
      <c r="Y166" s="46"/>
      <c r="Z166" s="46"/>
      <c r="AA166" s="46"/>
      <c r="AB166" s="3"/>
    </row>
    <row r="167" spans="1:28" s="5" customFormat="1" x14ac:dyDescent="0.25">
      <c r="A167" s="150">
        <f>1</f>
        <v>1</v>
      </c>
      <c r="B167" s="129" t="str">
        <f>структура!$J$13</f>
        <v>УСН(6%)</v>
      </c>
      <c r="C167" s="3"/>
      <c r="D167" s="3"/>
      <c r="E167" s="173" t="str">
        <f>E165</f>
        <v>отток денежных средств</v>
      </c>
      <c r="F167" s="173"/>
      <c r="G167" s="173" t="str">
        <f>IF($E167="","",INDEX(KPI!$G:$G,SUMIFS(KPI!$B:$B,KPI!$E:$E,$E167)))</f>
        <v>тыс.руб.</v>
      </c>
      <c r="H167" s="173"/>
      <c r="I167" s="174"/>
      <c r="J167" s="173"/>
      <c r="K167" s="174"/>
      <c r="L167" s="173"/>
      <c r="M167" s="175">
        <f>SUM($O167:$AB167)</f>
        <v>59151.834820690638</v>
      </c>
      <c r="N167" s="3"/>
      <c r="O167" s="3"/>
      <c r="P167" s="176">
        <f>IF(P$1="",0,операции!P$232+операции!P$265+операции!P$315+операции!P$335+операции!P$368+операции!P$386+операции!P$404)</f>
        <v>7803.7650392744872</v>
      </c>
      <c r="Q167" s="176">
        <f>IF(Q$1="",0,операции!Q$232+операции!Q$265+операции!Q$315+операции!Q$335+операции!Q$368+операции!Q$386+операции!Q$404+P$129)</f>
        <v>8405.9099338898704</v>
      </c>
      <c r="R167" s="176">
        <f>IF(R$1="",0,операции!R$232+операции!R$265+операции!R$315+операции!R$335+операции!R$368+операции!R$386+операции!R$404+Q$129)</f>
        <v>8413.6471669667935</v>
      </c>
      <c r="S167" s="176">
        <f>IF(S$1="",0,операции!S$232+операции!S$265+операции!S$315+операции!S$335+операции!S$368+операции!S$386+операции!S$404+R$129)</f>
        <v>8364.2941646591007</v>
      </c>
      <c r="T167" s="176">
        <f>IF(T$1="",0,операции!T$232+операции!T$265+операции!T$315+операции!T$335+операции!T$368+операции!T$386+операции!T$404+S$129)</f>
        <v>8506.2591608129478</v>
      </c>
      <c r="U167" s="176">
        <f>IF(U$1="",0,операции!U$232+операции!U$265+операции!U$315+операции!U$335+операции!U$368+операции!U$386+операции!U$404+T$129)</f>
        <v>8683.949832351409</v>
      </c>
      <c r="V167" s="176">
        <f>IF(V$1="",0,операции!V$232+операции!V$265+операции!V$315+операции!V$335+операции!V$368+операции!V$386+операции!V$404+U$129)</f>
        <v>8974.0095227360252</v>
      </c>
      <c r="W167" s="176">
        <f>IF(W$1="",0,операции!W$232+операции!W$265+операции!W$315+операции!W$335+операции!W$368+операции!W$386+операции!W$404+V$129)</f>
        <v>0</v>
      </c>
      <c r="X167" s="176">
        <f>IF(X$1="",0,операции!X$232+операции!X$265+операции!X$315+операции!X$335+операции!X$368+операции!X$386+операции!X$404+W$129)</f>
        <v>0</v>
      </c>
      <c r="Y167" s="176">
        <f>IF(Y$1="",0,операции!Y$232+операции!Y$265+операции!Y$315+операции!Y$335+операции!Y$368+операции!Y$386+операции!Y$404+X$129)</f>
        <v>0</v>
      </c>
      <c r="Z167" s="176">
        <f>IF(Z$1="",0,операции!Z$232+операции!Z$265+операции!Z$315+операции!Z$335+операции!Z$368+операции!Z$386+операции!Z$404+Y$129)</f>
        <v>0</v>
      </c>
      <c r="AA167" s="176">
        <f>IF(AA$1="",0,операции!AA$232+операции!AA$265+операции!AA$315+операции!AA$335+операции!AA$368+операции!AA$386+операции!AA$404+Z$129)</f>
        <v>0</v>
      </c>
      <c r="AB167" s="3"/>
    </row>
    <row r="168" spans="1:28" s="5" customFormat="1" ht="3.9" customHeight="1" x14ac:dyDescent="0.25">
      <c r="A168" s="150">
        <f>1</f>
        <v>1</v>
      </c>
      <c r="B168" s="128"/>
      <c r="C168" s="3"/>
      <c r="D168" s="3"/>
      <c r="E168" s="3"/>
      <c r="F168" s="3"/>
      <c r="G168" s="3"/>
      <c r="H168" s="3"/>
      <c r="I168" s="28"/>
      <c r="J168" s="3"/>
      <c r="K168" s="28"/>
      <c r="L168" s="3"/>
      <c r="M168" s="55"/>
      <c r="N168" s="3"/>
      <c r="O168" s="3"/>
      <c r="P168" s="46"/>
      <c r="Q168" s="46"/>
      <c r="R168" s="46"/>
      <c r="S168" s="46"/>
      <c r="T168" s="46"/>
      <c r="U168" s="46"/>
      <c r="V168" s="46"/>
      <c r="W168" s="46"/>
      <c r="X168" s="46"/>
      <c r="Y168" s="46"/>
      <c r="Z168" s="46"/>
      <c r="AA168" s="46"/>
      <c r="AB168" s="3"/>
    </row>
    <row r="169" spans="1:28" s="5" customFormat="1" x14ac:dyDescent="0.25">
      <c r="A169" s="150">
        <f>1</f>
        <v>1</v>
      </c>
      <c r="B169" s="129" t="str">
        <f>структура!$J$14</f>
        <v>УСН(15%)</v>
      </c>
      <c r="C169" s="3"/>
      <c r="D169" s="3"/>
      <c r="E169" s="173" t="str">
        <f>E165</f>
        <v>отток денежных средств</v>
      </c>
      <c r="F169" s="173"/>
      <c r="G169" s="173" t="str">
        <f>IF($E169="","",INDEX(KPI!$G:$G,SUMIFS(KPI!$B:$B,KPI!$E:$E,$E169)))</f>
        <v>тыс.руб.</v>
      </c>
      <c r="H169" s="173"/>
      <c r="I169" s="174"/>
      <c r="J169" s="173"/>
      <c r="K169" s="174"/>
      <c r="L169" s="173"/>
      <c r="M169" s="175">
        <f>SUM($O169:$AB169)</f>
        <v>63633.768082189759</v>
      </c>
      <c r="N169" s="3"/>
      <c r="O169" s="3"/>
      <c r="P169" s="176">
        <f>IF(P$1="",0,операции!P$232+операции!P$265+операции!P$315+операции!P$335+операции!P$368+операции!P$386+операции!P$404)</f>
        <v>7803.7650392744872</v>
      </c>
      <c r="Q169" s="176">
        <f>IF(Q$1="",0,операции!Q$232+операции!Q$265+операции!Q$315+операции!Q$335+операции!Q$368+операции!Q$386+операции!Q$404+P$131)</f>
        <v>8920.2540124602365</v>
      </c>
      <c r="R169" s="176">
        <f>IF(R$1="",0,операции!R$232+операции!R$265+операции!R$315+операции!R$335+операции!R$368+операции!R$386+операции!R$404+Q$131)</f>
        <v>8989.7526205371596</v>
      </c>
      <c r="S169" s="176">
        <f>IF(S$1="",0,операции!S$232+операции!S$265+операции!S$315+операции!S$335+операции!S$368+операции!S$386+операции!S$404+R$131)</f>
        <v>9058.3555736525432</v>
      </c>
      <c r="T169" s="176">
        <f>IF(T$1="",0,операции!T$232+операции!T$265+операции!T$315+операции!T$335+операции!T$368+операции!T$386+операции!T$404+S$131)</f>
        <v>9285.8524803448508</v>
      </c>
      <c r="U169" s="176">
        <f>IF(U$1="",0,операции!U$232+операции!U$265+операции!U$315+операции!U$335+операции!U$368+операции!U$386+операции!U$404+T$131)</f>
        <v>9559.0357393833146</v>
      </c>
      <c r="V169" s="176">
        <f>IF(V$1="",0,операции!V$232+операции!V$265+операции!V$315+операции!V$335+операции!V$368+операции!V$386+операции!V$404+U$131)</f>
        <v>10016.75261653716</v>
      </c>
      <c r="W169" s="176">
        <f>IF(W$1="",0,операции!W$232+операции!W$265+операции!W$315+операции!W$335+операции!W$368+операции!W$386+операции!W$404+V$131)</f>
        <v>0</v>
      </c>
      <c r="X169" s="176">
        <f>IF(X$1="",0,операции!X$232+операции!X$265+операции!X$315+операции!X$335+операции!X$368+операции!X$386+операции!X$404+W$131)</f>
        <v>0</v>
      </c>
      <c r="Y169" s="176">
        <f>IF(Y$1="",0,операции!Y$232+операции!Y$265+операции!Y$315+операции!Y$335+операции!Y$368+операции!Y$386+операции!Y$404+X$131)</f>
        <v>0</v>
      </c>
      <c r="Z169" s="176">
        <f>IF(Z$1="",0,операции!Z$232+операции!Z$265+операции!Z$315+операции!Z$335+операции!Z$368+операции!Z$386+операции!Z$404+Y$131)</f>
        <v>0</v>
      </c>
      <c r="AA169" s="176">
        <f>IF(AA$1="",0,операции!AA$232+операции!AA$265+операции!AA$315+операции!AA$335+операции!AA$368+операции!AA$386+операции!AA$404+Z$131)</f>
        <v>0</v>
      </c>
      <c r="AB169" s="3"/>
    </row>
    <row r="170" spans="1:28" s="5" customFormat="1" ht="3.9" customHeight="1" x14ac:dyDescent="0.25">
      <c r="A170" s="150">
        <f>1</f>
        <v>1</v>
      </c>
      <c r="B170" s="128"/>
      <c r="C170" s="3"/>
      <c r="D170" s="3"/>
      <c r="E170" s="3"/>
      <c r="F170" s="3"/>
      <c r="G170" s="3"/>
      <c r="H170" s="3"/>
      <c r="I170" s="28"/>
      <c r="J170" s="3"/>
      <c r="K170" s="28"/>
      <c r="L170" s="3"/>
      <c r="M170" s="55"/>
      <c r="N170" s="3"/>
      <c r="O170" s="3"/>
      <c r="P170" s="46"/>
      <c r="Q170" s="46"/>
      <c r="R170" s="46"/>
      <c r="S170" s="46"/>
      <c r="T170" s="46"/>
      <c r="U170" s="46"/>
      <c r="V170" s="46"/>
      <c r="W170" s="46"/>
      <c r="X170" s="46"/>
      <c r="Y170" s="46"/>
      <c r="Z170" s="46"/>
      <c r="AA170" s="46"/>
      <c r="AB170" s="3"/>
    </row>
    <row r="171" spans="1:28" s="5" customFormat="1" x14ac:dyDescent="0.25">
      <c r="A171" s="150">
        <f>1</f>
        <v>1</v>
      </c>
      <c r="B171" s="129" t="str">
        <f>структура!$J$15</f>
        <v>УСН(6%)-ИП</v>
      </c>
      <c r="C171" s="3"/>
      <c r="D171" s="3"/>
      <c r="E171" s="173" t="str">
        <f>E165</f>
        <v>отток денежных средств</v>
      </c>
      <c r="F171" s="173"/>
      <c r="G171" s="173" t="str">
        <f>IF($E171="","",INDEX(KPI!$G:$G,SUMIFS(KPI!$B:$B,KPI!$E:$E,$E171)))</f>
        <v>тыс.руб.</v>
      </c>
      <c r="H171" s="173"/>
      <c r="I171" s="174"/>
      <c r="J171" s="173"/>
      <c r="K171" s="174"/>
      <c r="L171" s="173"/>
      <c r="M171" s="175">
        <f>SUM($O171:$AB171)</f>
        <v>57320.920928382955</v>
      </c>
      <c r="N171" s="3"/>
      <c r="O171" s="3"/>
      <c r="P171" s="176">
        <f>IF(P$1="",0,операции!P$232+операции!P$265+операции!P$315+операции!P$335+операции!P$368+операции!P$386+операции!P$404)</f>
        <v>7803.7650392744872</v>
      </c>
      <c r="Q171" s="176">
        <f>IF(Q$1="",0,операции!Q$232+операции!Q$265+операции!Q$315+операции!Q$335+операции!Q$368+операции!Q$386+операции!Q$404+P$133)</f>
        <v>7981.5778992744863</v>
      </c>
      <c r="R171" s="176">
        <f>IF(R$1="",0,операции!R$232+операции!R$265+операции!R$315+операции!R$335+операции!R$368+операции!R$386+операции!R$404+Q$133)</f>
        <v>7970.3116323514096</v>
      </c>
      <c r="S171" s="176">
        <f>IF(S$1="",0,операции!S$232+операции!S$265+операции!S$315+операции!S$335+операции!S$368+операции!S$386+операции!S$404+R$133)</f>
        <v>7891.8921261975629</v>
      </c>
      <c r="T171" s="176">
        <f>IF(T$1="",0,операции!T$232+операции!T$265+операции!T$315+операции!T$335+операции!T$368+операции!T$386+операции!T$404+S$133)</f>
        <v>8015.414876197563</v>
      </c>
      <c r="U171" s="176">
        <f>IF(U$1="",0,операции!U$232+операции!U$265+операции!U$315+операции!U$335+операции!U$368+операции!U$386+операции!U$404+T$133)</f>
        <v>8683.949832351409</v>
      </c>
      <c r="V171" s="176">
        <f>IF(V$1="",0,операции!V$232+операции!V$265+операции!V$315+операции!V$335+операции!V$368+операции!V$386+операции!V$404+U$133)</f>
        <v>8974.0095227360252</v>
      </c>
      <c r="W171" s="176">
        <f>IF(W$1="",0,операции!W$232+операции!W$265+операции!W$315+операции!W$335+операции!W$368+операции!W$386+операции!W$404+V$133)</f>
        <v>0</v>
      </c>
      <c r="X171" s="176">
        <f>IF(X$1="",0,операции!X$232+операции!X$265+операции!X$315+операции!X$335+операции!X$368+операции!X$386+операции!X$404+W$133)</f>
        <v>0</v>
      </c>
      <c r="Y171" s="176">
        <f>IF(Y$1="",0,операции!Y$232+операции!Y$265+операции!Y$315+операции!Y$335+операции!Y$368+операции!Y$386+операции!Y$404+X$133)</f>
        <v>0</v>
      </c>
      <c r="Z171" s="176">
        <f>IF(Z$1="",0,операции!Z$232+операции!Z$265+операции!Z$315+операции!Z$335+операции!Z$368+операции!Z$386+операции!Z$404+Y$133)</f>
        <v>0</v>
      </c>
      <c r="AA171" s="176">
        <f>IF(AA$1="",0,операции!AA$232+операции!AA$265+операции!AA$315+операции!AA$335+операции!AA$368+операции!AA$386+операции!AA$404+Z$133)</f>
        <v>0</v>
      </c>
      <c r="AB171" s="3"/>
    </row>
    <row r="172" spans="1:28" ht="3.9" customHeight="1" x14ac:dyDescent="0.25">
      <c r="A172" s="149">
        <f>1</f>
        <v>1</v>
      </c>
      <c r="B172" s="131"/>
      <c r="C172" s="2"/>
      <c r="D172" s="2"/>
      <c r="E172" s="118"/>
      <c r="F172" s="2"/>
      <c r="G172" s="118"/>
      <c r="H172" s="2"/>
      <c r="I172" s="28"/>
      <c r="J172" s="2"/>
      <c r="K172" s="28"/>
      <c r="L172" s="2"/>
      <c r="M172" s="139"/>
      <c r="N172" s="2"/>
      <c r="O172" s="2"/>
      <c r="P172" s="36"/>
      <c r="Q172" s="36"/>
      <c r="R172" s="36"/>
      <c r="S172" s="36"/>
      <c r="T172" s="36"/>
      <c r="U172" s="36"/>
      <c r="V172" s="36"/>
      <c r="W172" s="36"/>
      <c r="X172" s="36"/>
      <c r="Y172" s="36"/>
      <c r="Z172" s="36"/>
      <c r="AA172" s="36"/>
      <c r="AB172" s="2"/>
    </row>
    <row r="173" spans="1:28" ht="8.1" customHeight="1" x14ac:dyDescent="0.25">
      <c r="A173" s="149">
        <f>1</f>
        <v>1</v>
      </c>
      <c r="B173" s="131"/>
      <c r="C173" s="2"/>
      <c r="D173" s="2"/>
      <c r="E173" s="2"/>
      <c r="F173" s="2"/>
      <c r="G173" s="2"/>
      <c r="H173" s="2"/>
      <c r="I173" s="28"/>
      <c r="J173" s="2"/>
      <c r="K173" s="28"/>
      <c r="L173" s="2"/>
      <c r="M173" s="52"/>
      <c r="N173" s="2"/>
      <c r="O173" s="2"/>
      <c r="P173" s="36"/>
      <c r="Q173" s="36"/>
      <c r="R173" s="36"/>
      <c r="S173" s="36"/>
      <c r="T173" s="36"/>
      <c r="U173" s="36"/>
      <c r="V173" s="36"/>
      <c r="W173" s="36"/>
      <c r="X173" s="36"/>
      <c r="Y173" s="36"/>
      <c r="Z173" s="36"/>
      <c r="AA173" s="36"/>
      <c r="AB173" s="2"/>
    </row>
    <row r="174" spans="1:28" ht="3.9" customHeight="1" x14ac:dyDescent="0.25">
      <c r="A174" s="149">
        <f>1</f>
        <v>1</v>
      </c>
      <c r="B174" s="131"/>
      <c r="C174" s="2"/>
      <c r="D174" s="2"/>
      <c r="E174" s="2"/>
      <c r="F174" s="2"/>
      <c r="G174" s="2"/>
      <c r="H174" s="2"/>
      <c r="I174" s="28"/>
      <c r="J174" s="2"/>
      <c r="K174" s="28"/>
      <c r="L174" s="2"/>
      <c r="M174" s="52"/>
      <c r="N174" s="2"/>
      <c r="O174" s="2"/>
      <c r="P174" s="36"/>
      <c r="Q174" s="36"/>
      <c r="R174" s="36"/>
      <c r="S174" s="36"/>
      <c r="T174" s="36"/>
      <c r="U174" s="36"/>
      <c r="V174" s="36"/>
      <c r="W174" s="36"/>
      <c r="X174" s="36"/>
      <c r="Y174" s="36"/>
      <c r="Z174" s="36"/>
      <c r="AA174" s="36"/>
      <c r="AB174" s="2"/>
    </row>
    <row r="175" spans="1:28" s="5" customFormat="1" x14ac:dyDescent="0.25">
      <c r="A175" s="150">
        <f>1</f>
        <v>1</v>
      </c>
      <c r="B175" s="129" t="str">
        <f>структура!$J$12</f>
        <v>ОСНО</v>
      </c>
      <c r="C175" s="3"/>
      <c r="D175" s="3"/>
      <c r="E175" s="146" t="str">
        <f>KPI!$E$91</f>
        <v>финансовый поток (CF)</v>
      </c>
      <c r="F175" s="146"/>
      <c r="G175" s="146" t="str">
        <f>IF($E175="","",INDEX(KPI!$G:$G,SUMIFS(KPI!$B:$B,KPI!$E:$E,$E175)))</f>
        <v>тыс.руб.</v>
      </c>
      <c r="H175" s="146"/>
      <c r="I175" s="177"/>
      <c r="J175" s="146"/>
      <c r="K175" s="177"/>
      <c r="L175" s="146"/>
      <c r="M175" s="178">
        <f>SUM($O175:$AB175)</f>
        <v>46219.141413171339</v>
      </c>
      <c r="N175" s="3"/>
      <c r="O175" s="3"/>
      <c r="P175" s="179">
        <f>IF(P$1="",0,P155-P165)</f>
        <v>8982.365254571665</v>
      </c>
      <c r="Q175" s="179">
        <f>IF(Q$1="",0,Q155-Q165)</f>
        <v>4362.8851864119133</v>
      </c>
      <c r="R175" s="179">
        <f t="shared" ref="R175:AA175" si="9">IF(R$1="",0,R155-R165)</f>
        <v>5163.5574148734522</v>
      </c>
      <c r="S175" s="179">
        <f t="shared" si="9"/>
        <v>5530.0018833349877</v>
      </c>
      <c r="T175" s="179">
        <f t="shared" si="9"/>
        <v>6125.6004517965303</v>
      </c>
      <c r="U175" s="179">
        <f t="shared" si="9"/>
        <v>7284.4892802580689</v>
      </c>
      <c r="V175" s="179">
        <f t="shared" si="9"/>
        <v>8770.2419419247271</v>
      </c>
      <c r="W175" s="179">
        <f t="shared" si="9"/>
        <v>0</v>
      </c>
      <c r="X175" s="179">
        <f t="shared" si="9"/>
        <v>0</v>
      </c>
      <c r="Y175" s="179">
        <f t="shared" si="9"/>
        <v>0</v>
      </c>
      <c r="Z175" s="179">
        <f t="shared" si="9"/>
        <v>0</v>
      </c>
      <c r="AA175" s="179">
        <f t="shared" si="9"/>
        <v>0</v>
      </c>
      <c r="AB175" s="3"/>
    </row>
    <row r="176" spans="1:28" s="5" customFormat="1" ht="3.9" customHeight="1" x14ac:dyDescent="0.25">
      <c r="A176" s="150">
        <f>1</f>
        <v>1</v>
      </c>
      <c r="B176" s="128"/>
      <c r="C176" s="3"/>
      <c r="D176" s="3"/>
      <c r="E176" s="3"/>
      <c r="F176" s="3"/>
      <c r="G176" s="3"/>
      <c r="H176" s="3"/>
      <c r="I176" s="28"/>
      <c r="J176" s="3"/>
      <c r="K176" s="28"/>
      <c r="L176" s="3"/>
      <c r="M176" s="55"/>
      <c r="N176" s="3"/>
      <c r="O176" s="3"/>
      <c r="P176" s="46"/>
      <c r="Q176" s="46"/>
      <c r="R176" s="46"/>
      <c r="S176" s="46"/>
      <c r="T176" s="46"/>
      <c r="U176" s="46"/>
      <c r="V176" s="46"/>
      <c r="W176" s="46"/>
      <c r="X176" s="46"/>
      <c r="Y176" s="46"/>
      <c r="Z176" s="46"/>
      <c r="AA176" s="46"/>
      <c r="AB176" s="3"/>
    </row>
    <row r="177" spans="1:28" s="5" customFormat="1" x14ac:dyDescent="0.25">
      <c r="A177" s="150">
        <f>1</f>
        <v>1</v>
      </c>
      <c r="B177" s="129" t="str">
        <f>структура!$J$13</f>
        <v>УСН(6%)</v>
      </c>
      <c r="C177" s="3"/>
      <c r="D177" s="3"/>
      <c r="E177" s="146" t="str">
        <f>E175</f>
        <v>финансовый поток (CF)</v>
      </c>
      <c r="F177" s="146"/>
      <c r="G177" s="146" t="str">
        <f>IF($E177="","",INDEX(KPI!$G:$G,SUMIFS(KPI!$B:$B,KPI!$E:$E,$E177)))</f>
        <v>тыс.руб.</v>
      </c>
      <c r="H177" s="146"/>
      <c r="I177" s="177"/>
      <c r="J177" s="146"/>
      <c r="K177" s="177"/>
      <c r="L177" s="146"/>
      <c r="M177" s="178">
        <f>SUM($O177:$AB177)</f>
        <v>59216.615179309374</v>
      </c>
      <c r="N177" s="3"/>
      <c r="O177" s="3"/>
      <c r="P177" s="179">
        <f>IF(P$1="",0,P157-P167)</f>
        <v>6340.6361145716655</v>
      </c>
      <c r="Q177" s="179">
        <f>IF(Q$1="",0,Q157-Q167)</f>
        <v>6371.941219956283</v>
      </c>
      <c r="R177" s="179">
        <f t="shared" ref="R177:AA177" si="10">IF(R$1="",0,R157-R167)</f>
        <v>7333.0874484178221</v>
      </c>
      <c r="S177" s="179">
        <f t="shared" si="10"/>
        <v>7997.1819891870527</v>
      </c>
      <c r="T177" s="179">
        <f t="shared" si="10"/>
        <v>8805.3919930332086</v>
      </c>
      <c r="U177" s="179">
        <f t="shared" si="10"/>
        <v>10211.326321494747</v>
      </c>
      <c r="V177" s="179">
        <f t="shared" si="10"/>
        <v>12157.050092648587</v>
      </c>
      <c r="W177" s="179">
        <f t="shared" si="10"/>
        <v>0</v>
      </c>
      <c r="X177" s="179">
        <f t="shared" si="10"/>
        <v>0</v>
      </c>
      <c r="Y177" s="179">
        <f t="shared" si="10"/>
        <v>0</v>
      </c>
      <c r="Z177" s="179">
        <f t="shared" si="10"/>
        <v>0</v>
      </c>
      <c r="AA177" s="179">
        <f t="shared" si="10"/>
        <v>0</v>
      </c>
      <c r="AB177" s="3"/>
    </row>
    <row r="178" spans="1:28" s="5" customFormat="1" ht="3.9" customHeight="1" x14ac:dyDescent="0.25">
      <c r="A178" s="150">
        <f>1</f>
        <v>1</v>
      </c>
      <c r="B178" s="128"/>
      <c r="C178" s="3"/>
      <c r="D178" s="3"/>
      <c r="E178" s="3"/>
      <c r="F178" s="3"/>
      <c r="G178" s="3"/>
      <c r="H178" s="3"/>
      <c r="I178" s="28"/>
      <c r="J178" s="3"/>
      <c r="K178" s="28"/>
      <c r="L178" s="3"/>
      <c r="M178" s="55"/>
      <c r="N178" s="3"/>
      <c r="O178" s="3"/>
      <c r="P178" s="46"/>
      <c r="Q178" s="46"/>
      <c r="R178" s="46"/>
      <c r="S178" s="46"/>
      <c r="T178" s="46"/>
      <c r="U178" s="46"/>
      <c r="V178" s="46"/>
      <c r="W178" s="46"/>
      <c r="X178" s="46"/>
      <c r="Y178" s="46"/>
      <c r="Z178" s="46"/>
      <c r="AA178" s="46"/>
      <c r="AB178" s="3"/>
    </row>
    <row r="179" spans="1:28" s="5" customFormat="1" x14ac:dyDescent="0.25">
      <c r="A179" s="150">
        <f>1</f>
        <v>1</v>
      </c>
      <c r="B179" s="129" t="str">
        <f>структура!$J$14</f>
        <v>УСН(15%)</v>
      </c>
      <c r="C179" s="3"/>
      <c r="D179" s="3"/>
      <c r="E179" s="146" t="str">
        <f>E175</f>
        <v>финансовый поток (CF)</v>
      </c>
      <c r="F179" s="146"/>
      <c r="G179" s="146" t="str">
        <f>IF($E179="","",INDEX(KPI!$G:$G,SUMIFS(KPI!$B:$B,KPI!$E:$E,$E179)))</f>
        <v>тыс.руб.</v>
      </c>
      <c r="H179" s="146"/>
      <c r="I179" s="177"/>
      <c r="J179" s="146"/>
      <c r="K179" s="177"/>
      <c r="L179" s="146"/>
      <c r="M179" s="178">
        <f>SUM($O179:$AB179)</f>
        <v>54734.681917810252</v>
      </c>
      <c r="N179" s="3"/>
      <c r="O179" s="3"/>
      <c r="P179" s="179">
        <f>IF(P$1="",0,P159-P169)</f>
        <v>6340.6361145716655</v>
      </c>
      <c r="Q179" s="179">
        <f t="shared" ref="Q179:AA179" si="11">IF(Q$1="",0,Q159-Q169)</f>
        <v>5857.597141385917</v>
      </c>
      <c r="R179" s="179">
        <f t="shared" si="11"/>
        <v>6756.981994847456</v>
      </c>
      <c r="S179" s="179">
        <f t="shared" si="11"/>
        <v>7303.1205801936103</v>
      </c>
      <c r="T179" s="179">
        <f t="shared" si="11"/>
        <v>8025.7986735013055</v>
      </c>
      <c r="U179" s="179">
        <f t="shared" si="11"/>
        <v>9336.2404144628417</v>
      </c>
      <c r="V179" s="179">
        <f t="shared" si="11"/>
        <v>11114.306998847453</v>
      </c>
      <c r="W179" s="179">
        <f t="shared" si="11"/>
        <v>0</v>
      </c>
      <c r="X179" s="179">
        <f t="shared" si="11"/>
        <v>0</v>
      </c>
      <c r="Y179" s="179">
        <f t="shared" si="11"/>
        <v>0</v>
      </c>
      <c r="Z179" s="179">
        <f t="shared" si="11"/>
        <v>0</v>
      </c>
      <c r="AA179" s="179">
        <f t="shared" si="11"/>
        <v>0</v>
      </c>
      <c r="AB179" s="3"/>
    </row>
    <row r="180" spans="1:28" s="5" customFormat="1" ht="3.9" customHeight="1" x14ac:dyDescent="0.25">
      <c r="A180" s="150">
        <f>1</f>
        <v>1</v>
      </c>
      <c r="B180" s="128"/>
      <c r="C180" s="3"/>
      <c r="D180" s="3"/>
      <c r="E180" s="3"/>
      <c r="F180" s="3"/>
      <c r="G180" s="3"/>
      <c r="H180" s="3"/>
      <c r="I180" s="28"/>
      <c r="J180" s="3"/>
      <c r="K180" s="28"/>
      <c r="L180" s="3"/>
      <c r="M180" s="55"/>
      <c r="N180" s="3"/>
      <c r="O180" s="3"/>
      <c r="P180" s="46"/>
      <c r="Q180" s="46"/>
      <c r="R180" s="46"/>
      <c r="S180" s="46"/>
      <c r="T180" s="46"/>
      <c r="U180" s="46"/>
      <c r="V180" s="46"/>
      <c r="W180" s="46"/>
      <c r="X180" s="46"/>
      <c r="Y180" s="46"/>
      <c r="Z180" s="46"/>
      <c r="AA180" s="46"/>
      <c r="AB180" s="3"/>
    </row>
    <row r="181" spans="1:28" s="5" customFormat="1" x14ac:dyDescent="0.25">
      <c r="A181" s="150">
        <f>1</f>
        <v>1</v>
      </c>
      <c r="B181" s="129" t="str">
        <f>структура!$J$15</f>
        <v>УСН(6%)-ИП</v>
      </c>
      <c r="C181" s="3"/>
      <c r="D181" s="3"/>
      <c r="E181" s="146" t="str">
        <f>E175</f>
        <v>финансовый поток (CF)</v>
      </c>
      <c r="F181" s="146"/>
      <c r="G181" s="146" t="str">
        <f>IF($E181="","",INDEX(KPI!$G:$G,SUMIFS(KPI!$B:$B,KPI!$E:$E,$E181)))</f>
        <v>тыс.руб.</v>
      </c>
      <c r="H181" s="146"/>
      <c r="I181" s="177"/>
      <c r="J181" s="146"/>
      <c r="K181" s="177"/>
      <c r="L181" s="146"/>
      <c r="M181" s="178">
        <f>SUM($O181:$AB181)</f>
        <v>61047.529071617057</v>
      </c>
      <c r="N181" s="3"/>
      <c r="O181" s="3"/>
      <c r="P181" s="179">
        <f>IF(P$1="",0,P161-P171)</f>
        <v>6340.6361145716655</v>
      </c>
      <c r="Q181" s="179">
        <f t="shared" ref="Q181:AA181" si="12">IF(Q$1="",0,Q161-Q171)</f>
        <v>6796.2732545716672</v>
      </c>
      <c r="R181" s="179">
        <f t="shared" si="12"/>
        <v>7776.422983033206</v>
      </c>
      <c r="S181" s="179">
        <f t="shared" si="12"/>
        <v>8469.5840276485906</v>
      </c>
      <c r="T181" s="179">
        <f t="shared" si="12"/>
        <v>9296.2362776485934</v>
      </c>
      <c r="U181" s="179">
        <f t="shared" si="12"/>
        <v>10211.326321494747</v>
      </c>
      <c r="V181" s="179">
        <f t="shared" si="12"/>
        <v>12157.050092648587</v>
      </c>
      <c r="W181" s="179">
        <f t="shared" si="12"/>
        <v>0</v>
      </c>
      <c r="X181" s="179">
        <f t="shared" si="12"/>
        <v>0</v>
      </c>
      <c r="Y181" s="179">
        <f t="shared" si="12"/>
        <v>0</v>
      </c>
      <c r="Z181" s="179">
        <f t="shared" si="12"/>
        <v>0</v>
      </c>
      <c r="AA181" s="179">
        <f t="shared" si="12"/>
        <v>0</v>
      </c>
      <c r="AB181" s="3"/>
    </row>
    <row r="182" spans="1:28" ht="3.9" customHeight="1" x14ac:dyDescent="0.25">
      <c r="A182" s="149">
        <f>1</f>
        <v>1</v>
      </c>
      <c r="B182" s="131"/>
      <c r="C182" s="2"/>
      <c r="D182" s="2"/>
      <c r="E182" s="119"/>
      <c r="F182" s="2"/>
      <c r="G182" s="119"/>
      <c r="H182" s="2"/>
      <c r="I182" s="28"/>
      <c r="J182" s="2"/>
      <c r="K182" s="28"/>
      <c r="L182" s="2"/>
      <c r="M182" s="142"/>
      <c r="N182" s="2"/>
      <c r="O182" s="2"/>
      <c r="P182" s="36"/>
      <c r="Q182" s="36"/>
      <c r="R182" s="36"/>
      <c r="S182" s="36"/>
      <c r="T182" s="36"/>
      <c r="U182" s="36"/>
      <c r="V182" s="36"/>
      <c r="W182" s="36"/>
      <c r="X182" s="36"/>
      <c r="Y182" s="36"/>
      <c r="Z182" s="36"/>
      <c r="AA182" s="36"/>
      <c r="AB182" s="2"/>
    </row>
    <row r="183" spans="1:28" ht="8.1" customHeight="1" x14ac:dyDescent="0.25">
      <c r="A183" s="149">
        <f>1</f>
        <v>1</v>
      </c>
      <c r="B183" s="131"/>
      <c r="C183" s="2"/>
      <c r="D183" s="2"/>
      <c r="E183" s="2"/>
      <c r="F183" s="2"/>
      <c r="G183" s="2"/>
      <c r="H183" s="2"/>
      <c r="I183" s="28"/>
      <c r="J183" s="2"/>
      <c r="K183" s="28"/>
      <c r="L183" s="2"/>
      <c r="M183" s="52"/>
      <c r="N183" s="2"/>
      <c r="O183" s="2"/>
      <c r="P183" s="36"/>
      <c r="Q183" s="36"/>
      <c r="R183" s="36"/>
      <c r="S183" s="36"/>
      <c r="T183" s="36"/>
      <c r="U183" s="36"/>
      <c r="V183" s="36"/>
      <c r="W183" s="36"/>
      <c r="X183" s="36"/>
      <c r="Y183" s="36"/>
      <c r="Z183" s="36"/>
      <c r="AA183" s="36"/>
      <c r="AB183" s="2"/>
    </row>
    <row r="184" spans="1:28" s="5" customFormat="1" x14ac:dyDescent="0.25">
      <c r="A184" s="150">
        <f>1</f>
        <v>1</v>
      </c>
      <c r="B184" s="131"/>
      <c r="C184" s="3"/>
      <c r="D184" s="3"/>
      <c r="E184" s="3"/>
      <c r="F184" s="3"/>
      <c r="G184" s="3"/>
      <c r="H184" s="3"/>
      <c r="I184" s="28"/>
      <c r="J184" s="3"/>
      <c r="K184" s="28"/>
      <c r="L184" s="3"/>
      <c r="M184" s="55"/>
      <c r="N184" s="3"/>
      <c r="O184" s="3"/>
      <c r="P184" s="46"/>
      <c r="Q184" s="46"/>
      <c r="R184" s="46"/>
      <c r="S184" s="46"/>
      <c r="T184" s="46"/>
      <c r="U184" s="46"/>
      <c r="V184" s="46"/>
      <c r="W184" s="46"/>
      <c r="X184" s="46"/>
      <c r="Y184" s="46"/>
      <c r="Z184" s="46"/>
      <c r="AA184" s="46"/>
      <c r="AB184" s="3"/>
    </row>
    <row r="185" spans="1:28" ht="3.9" customHeight="1" x14ac:dyDescent="0.25">
      <c r="A185" s="149">
        <f>1</f>
        <v>1</v>
      </c>
      <c r="B185" s="131"/>
      <c r="C185" s="2"/>
      <c r="D185" s="2"/>
      <c r="E185" s="2"/>
      <c r="F185" s="2"/>
      <c r="G185" s="2"/>
      <c r="H185" s="2"/>
      <c r="I185" s="28"/>
      <c r="J185" s="2"/>
      <c r="K185" s="28"/>
      <c r="L185" s="2"/>
      <c r="M185" s="52"/>
      <c r="N185" s="2"/>
      <c r="O185" s="2"/>
      <c r="P185" s="36"/>
      <c r="Q185" s="36"/>
      <c r="R185" s="36"/>
      <c r="S185" s="36"/>
      <c r="T185" s="36"/>
      <c r="U185" s="36"/>
      <c r="V185" s="36"/>
      <c r="W185" s="36"/>
      <c r="X185" s="36"/>
      <c r="Y185" s="36"/>
      <c r="Z185" s="36"/>
      <c r="AA185" s="36"/>
      <c r="AB185" s="2"/>
    </row>
    <row r="186" spans="1:28" s="5" customFormat="1" x14ac:dyDescent="0.25">
      <c r="A186" s="150">
        <f>1</f>
        <v>1</v>
      </c>
      <c r="B186" s="131"/>
      <c r="C186" s="3"/>
      <c r="D186" s="3"/>
      <c r="E186" s="181" t="s">
        <v>286</v>
      </c>
      <c r="F186" s="3"/>
      <c r="G186" s="3"/>
      <c r="H186" s="3"/>
      <c r="I186" s="28"/>
      <c r="J186" s="3"/>
      <c r="K186" s="28"/>
      <c r="L186" s="3"/>
      <c r="M186" s="55"/>
      <c r="N186" s="3"/>
      <c r="O186" s="3"/>
      <c r="P186" s="46"/>
      <c r="Q186" s="46"/>
      <c r="R186" s="46"/>
      <c r="S186" s="46"/>
      <c r="T186" s="46"/>
      <c r="U186" s="46"/>
      <c r="V186" s="46"/>
      <c r="W186" s="46"/>
      <c r="X186" s="46"/>
      <c r="Y186" s="46"/>
      <c r="Z186" s="46"/>
      <c r="AA186" s="46"/>
      <c r="AB186" s="3"/>
    </row>
    <row r="187" spans="1:28" ht="3.9" customHeight="1" x14ac:dyDescent="0.25">
      <c r="A187" s="149">
        <f>1</f>
        <v>1</v>
      </c>
      <c r="B187" s="131"/>
      <c r="C187" s="2"/>
      <c r="D187" s="2"/>
      <c r="E187" s="2"/>
      <c r="F187" s="2"/>
      <c r="G187" s="2"/>
      <c r="H187" s="2"/>
      <c r="I187" s="28"/>
      <c r="J187" s="2"/>
      <c r="K187" s="28"/>
      <c r="L187" s="2"/>
      <c r="M187" s="52"/>
      <c r="N187" s="2"/>
      <c r="O187" s="2"/>
      <c r="P187" s="36"/>
      <c r="Q187" s="36"/>
      <c r="R187" s="36"/>
      <c r="S187" s="36"/>
      <c r="T187" s="36"/>
      <c r="U187" s="36"/>
      <c r="V187" s="36"/>
      <c r="W187" s="36"/>
      <c r="X187" s="36"/>
      <c r="Y187" s="36"/>
      <c r="Z187" s="36"/>
      <c r="AA187" s="36"/>
      <c r="AB187" s="2"/>
    </row>
    <row r="188" spans="1:28" ht="8.1" customHeight="1" x14ac:dyDescent="0.25">
      <c r="A188" s="149">
        <f>1</f>
        <v>1</v>
      </c>
      <c r="B188" s="131"/>
      <c r="C188" s="2"/>
      <c r="D188" s="2"/>
      <c r="E188" s="2"/>
      <c r="F188" s="2"/>
      <c r="G188" s="2"/>
      <c r="H188" s="2"/>
      <c r="I188" s="28"/>
      <c r="J188" s="2"/>
      <c r="K188" s="28"/>
      <c r="L188" s="2"/>
      <c r="M188" s="52"/>
      <c r="N188" s="2"/>
      <c r="O188" s="2"/>
      <c r="P188" s="36"/>
      <c r="Q188" s="36"/>
      <c r="R188" s="36"/>
      <c r="S188" s="36"/>
      <c r="T188" s="36"/>
      <c r="U188" s="36"/>
      <c r="V188" s="36"/>
      <c r="W188" s="36"/>
      <c r="X188" s="36"/>
      <c r="Y188" s="36"/>
      <c r="Z188" s="36"/>
      <c r="AA188" s="36"/>
      <c r="AB188" s="2"/>
    </row>
    <row r="189" spans="1:28" ht="3.9" customHeight="1" thickBot="1" x14ac:dyDescent="0.3">
      <c r="A189" s="149">
        <f>1</f>
        <v>1</v>
      </c>
      <c r="B189" s="131"/>
      <c r="C189" s="2"/>
      <c r="D189" s="2"/>
      <c r="E189" s="2"/>
      <c r="F189" s="2"/>
      <c r="G189" s="2"/>
      <c r="H189" s="2"/>
      <c r="I189" s="28"/>
      <c r="J189" s="2"/>
      <c r="K189" s="28"/>
      <c r="L189" s="2"/>
      <c r="M189" s="52"/>
      <c r="N189" s="2"/>
      <c r="O189" s="2"/>
      <c r="P189" s="36"/>
      <c r="Q189" s="36"/>
      <c r="R189" s="36"/>
      <c r="S189" s="36"/>
      <c r="T189" s="36"/>
      <c r="U189" s="36"/>
      <c r="V189" s="36"/>
      <c r="W189" s="36"/>
      <c r="X189" s="36"/>
      <c r="Y189" s="36"/>
      <c r="Z189" s="36"/>
      <c r="AA189" s="36"/>
      <c r="AB189" s="2"/>
    </row>
    <row r="190" spans="1:28" s="5" customFormat="1" ht="12.6" thickBot="1" x14ac:dyDescent="0.3">
      <c r="A190" s="150">
        <f>1</f>
        <v>1</v>
      </c>
      <c r="B190" s="129"/>
      <c r="C190" s="3"/>
      <c r="D190" s="3"/>
      <c r="E190" s="183" t="str">
        <f>KPI!$E$98</f>
        <v>Инвестиционные вложения</v>
      </c>
      <c r="F190" s="183"/>
      <c r="G190" s="183" t="str">
        <f>IF($E190="","",INDEX(KPI!$G:$G,SUMIFS(KPI!$B:$B,KPI!$E:$E,$E190)))</f>
        <v>тыс.руб.</v>
      </c>
      <c r="H190" s="183"/>
      <c r="I190" s="184"/>
      <c r="J190" s="183"/>
      <c r="K190" s="184"/>
      <c r="L190" s="183"/>
      <c r="M190" s="186">
        <f>капитал!$J$20+капитал!$M$102+капитал!$M$109</f>
        <v>28550.37484</v>
      </c>
      <c r="N190" s="3"/>
      <c r="O190" s="3"/>
      <c r="P190" s="46"/>
      <c r="Q190" s="46"/>
      <c r="R190" s="46"/>
      <c r="S190" s="46"/>
      <c r="T190" s="46"/>
      <c r="U190" s="46"/>
      <c r="V190" s="46"/>
      <c r="W190" s="46"/>
      <c r="X190" s="46"/>
      <c r="Y190" s="46"/>
      <c r="Z190" s="46"/>
      <c r="AA190" s="46"/>
      <c r="AB190" s="3"/>
    </row>
    <row r="191" spans="1:28" ht="3.9" customHeight="1" x14ac:dyDescent="0.25">
      <c r="A191" s="149">
        <f>1</f>
        <v>1</v>
      </c>
      <c r="B191" s="131"/>
      <c r="C191" s="2"/>
      <c r="D191" s="2"/>
      <c r="E191" s="140"/>
      <c r="F191" s="2"/>
      <c r="G191" s="140"/>
      <c r="H191" s="2"/>
      <c r="I191" s="28"/>
      <c r="J191" s="2"/>
      <c r="K191" s="28"/>
      <c r="L191" s="2"/>
      <c r="M191" s="141"/>
      <c r="N191" s="2"/>
      <c r="O191" s="2"/>
      <c r="P191" s="36"/>
      <c r="Q191" s="36"/>
      <c r="R191" s="36"/>
      <c r="S191" s="36"/>
      <c r="T191" s="36"/>
      <c r="U191" s="36"/>
      <c r="V191" s="36"/>
      <c r="W191" s="36"/>
      <c r="X191" s="36"/>
      <c r="Y191" s="36"/>
      <c r="Z191" s="36"/>
      <c r="AA191" s="36"/>
      <c r="AB191" s="2"/>
    </row>
    <row r="192" spans="1:28" ht="3.9" customHeight="1" x14ac:dyDescent="0.25">
      <c r="A192" s="149">
        <f>1</f>
        <v>1</v>
      </c>
      <c r="B192" s="131"/>
      <c r="C192" s="2"/>
      <c r="D192" s="2"/>
      <c r="E192" s="2"/>
      <c r="F192" s="2"/>
      <c r="G192" s="2"/>
      <c r="H192" s="2"/>
      <c r="I192" s="28"/>
      <c r="J192" s="2"/>
      <c r="K192" s="28"/>
      <c r="L192" s="2"/>
      <c r="M192" s="52"/>
      <c r="N192" s="2"/>
      <c r="O192" s="2"/>
      <c r="P192" s="36"/>
      <c r="Q192" s="36"/>
      <c r="R192" s="36"/>
      <c r="S192" s="36"/>
      <c r="T192" s="36"/>
      <c r="U192" s="36"/>
      <c r="V192" s="36"/>
      <c r="W192" s="36"/>
      <c r="X192" s="36"/>
      <c r="Y192" s="36"/>
      <c r="Z192" s="36"/>
      <c r="AA192" s="36"/>
      <c r="AB192" s="2"/>
    </row>
    <row r="193" spans="1:28" s="5" customFormat="1" x14ac:dyDescent="0.25">
      <c r="A193" s="150">
        <f>1</f>
        <v>1</v>
      </c>
      <c r="B193" s="129"/>
      <c r="C193" s="3"/>
      <c r="D193" s="3"/>
      <c r="E193" s="3" t="str">
        <f>KPI!$E$99</f>
        <v>Коэффициент дисконтиования</v>
      </c>
      <c r="F193" s="3"/>
      <c r="G193" s="3" t="str">
        <f>IF($E193="","",INDEX(KPI!$G:$G,SUMIFS(KPI!$B:$B,KPI!$E:$E,$E193)))</f>
        <v>%</v>
      </c>
      <c r="H193" s="3"/>
      <c r="I193" s="28"/>
      <c r="J193" s="3"/>
      <c r="K193" s="28"/>
      <c r="L193" s="3"/>
      <c r="M193" s="55"/>
      <c r="N193" s="3"/>
      <c r="O193" s="3"/>
      <c r="P193" s="185">
        <f>IF(P$1="",0,(1+операции!P$445))</f>
        <v>1.1000000000000001</v>
      </c>
      <c r="Q193" s="185">
        <f>IF(Q$1="",0,P193*(1+операции!Q$445))</f>
        <v>1.2100000000000002</v>
      </c>
      <c r="R193" s="185">
        <f>IF(R$1="",0,Q193*(1+операции!R$445))</f>
        <v>1.3310000000000004</v>
      </c>
      <c r="S193" s="185">
        <f>IF(S$1="",0,R193*(1+операции!S$445))</f>
        <v>1.4641000000000006</v>
      </c>
      <c r="T193" s="185">
        <f>IF(T$1="",0,S193*(1+операции!T$445))</f>
        <v>1.6105100000000008</v>
      </c>
      <c r="U193" s="185">
        <f>IF(U$1="",0,T193*(1+операции!U$445))</f>
        <v>1.7715610000000011</v>
      </c>
      <c r="V193" s="185">
        <f>IF(V$1="",0,U193*(1+операции!V$445))</f>
        <v>1.9487171000000014</v>
      </c>
      <c r="W193" s="185">
        <f>IF(W$1="",0,V193*(1+операции!W$445))</f>
        <v>0</v>
      </c>
      <c r="X193" s="185">
        <f>IF(X$1="",0,W193*(1+операции!X$445))</f>
        <v>0</v>
      </c>
      <c r="Y193" s="185">
        <f>IF(Y$1="",0,X193*(1+операции!Y$445))</f>
        <v>0</v>
      </c>
      <c r="Z193" s="185">
        <f>IF(Z$1="",0,Y193*(1+операции!Z$445))</f>
        <v>0</v>
      </c>
      <c r="AA193" s="185">
        <f>IF(AA$1="",0,Z193*(1+операции!AA$445))</f>
        <v>0</v>
      </c>
      <c r="AB193" s="3"/>
    </row>
    <row r="194" spans="1:28" s="5" customFormat="1" ht="3.9" customHeight="1" x14ac:dyDescent="0.25">
      <c r="A194" s="150">
        <f>1</f>
        <v>1</v>
      </c>
      <c r="B194" s="128"/>
      <c r="C194" s="3"/>
      <c r="D194" s="3"/>
      <c r="E194" s="3"/>
      <c r="F194" s="3"/>
      <c r="G194" s="3"/>
      <c r="H194" s="3"/>
      <c r="I194" s="28"/>
      <c r="J194" s="3"/>
      <c r="K194" s="28"/>
      <c r="L194" s="3"/>
      <c r="M194" s="55"/>
      <c r="N194" s="3"/>
      <c r="O194" s="3"/>
      <c r="P194" s="46"/>
      <c r="Q194" s="46"/>
      <c r="R194" s="46"/>
      <c r="S194" s="46"/>
      <c r="T194" s="46"/>
      <c r="U194" s="46"/>
      <c r="V194" s="46"/>
      <c r="W194" s="46"/>
      <c r="X194" s="46"/>
      <c r="Y194" s="46"/>
      <c r="Z194" s="46"/>
      <c r="AA194" s="46"/>
      <c r="AB194" s="3"/>
    </row>
    <row r="195" spans="1:28" ht="3.9" customHeight="1" x14ac:dyDescent="0.25">
      <c r="A195" s="149">
        <f>1</f>
        <v>1</v>
      </c>
      <c r="B195" s="131"/>
      <c r="C195" s="2"/>
      <c r="D195" s="2"/>
      <c r="E195" s="2"/>
      <c r="F195" s="2"/>
      <c r="G195" s="2"/>
      <c r="H195" s="2"/>
      <c r="I195" s="28"/>
      <c r="J195" s="2"/>
      <c r="K195" s="28"/>
      <c r="L195" s="2"/>
      <c r="M195" s="52"/>
      <c r="N195" s="2"/>
      <c r="O195" s="2"/>
      <c r="P195" s="36"/>
      <c r="Q195" s="36"/>
      <c r="R195" s="36"/>
      <c r="S195" s="36"/>
      <c r="T195" s="36"/>
      <c r="U195" s="36"/>
      <c r="V195" s="36"/>
      <c r="W195" s="36"/>
      <c r="X195" s="36"/>
      <c r="Y195" s="36"/>
      <c r="Z195" s="36"/>
      <c r="AA195" s="36"/>
      <c r="AB195" s="2"/>
    </row>
    <row r="196" spans="1:28" s="5" customFormat="1" x14ac:dyDescent="0.25">
      <c r="A196" s="150">
        <f>1</f>
        <v>1</v>
      </c>
      <c r="B196" s="129" t="str">
        <f>структура!$J$12</f>
        <v>ОСНО</v>
      </c>
      <c r="C196" s="3"/>
      <c r="D196" s="3"/>
      <c r="E196" s="146" t="str">
        <f>KPI!$E$100</f>
        <v>NPV(CF)</v>
      </c>
      <c r="F196" s="146"/>
      <c r="G196" s="146" t="str">
        <f>IF($E196="","",INDEX(KPI!$G:$G,SUMIFS(KPI!$B:$B,KPI!$E:$E,$E196)))</f>
        <v>тыс.руб.</v>
      </c>
      <c r="H196" s="146"/>
      <c r="I196" s="177"/>
      <c r="J196" s="146"/>
      <c r="K196" s="177"/>
      <c r="L196" s="146"/>
      <c r="M196" s="178">
        <f>SUM($O196:$AB196)</f>
        <v>31843.940718249956</v>
      </c>
      <c r="N196" s="3"/>
      <c r="O196" s="3"/>
      <c r="P196" s="179">
        <f>IF(P$1="",0,IF(P$193=0,0,P175/P$193))</f>
        <v>8165.7865950651494</v>
      </c>
      <c r="Q196" s="179">
        <f t="shared" ref="Q196:AA196" si="13">IF(Q$1="",0,IF(Q$193=0,0,Q175/Q$193))</f>
        <v>3605.6902367040602</v>
      </c>
      <c r="R196" s="179">
        <f t="shared" si="13"/>
        <v>3879.4571110995121</v>
      </c>
      <c r="S196" s="179">
        <f t="shared" si="13"/>
        <v>3777.0656945119767</v>
      </c>
      <c r="T196" s="179">
        <f t="shared" si="13"/>
        <v>3803.5159370612582</v>
      </c>
      <c r="U196" s="179">
        <f t="shared" si="13"/>
        <v>4111.9042924618825</v>
      </c>
      <c r="V196" s="179">
        <f t="shared" si="13"/>
        <v>4500.5208513461093</v>
      </c>
      <c r="W196" s="179">
        <f t="shared" si="13"/>
        <v>0</v>
      </c>
      <c r="X196" s="179">
        <f t="shared" si="13"/>
        <v>0</v>
      </c>
      <c r="Y196" s="179">
        <f t="shared" si="13"/>
        <v>0</v>
      </c>
      <c r="Z196" s="179">
        <f t="shared" si="13"/>
        <v>0</v>
      </c>
      <c r="AA196" s="179">
        <f t="shared" si="13"/>
        <v>0</v>
      </c>
      <c r="AB196" s="3"/>
    </row>
    <row r="197" spans="1:28" s="5" customFormat="1" ht="3.9" customHeight="1" x14ac:dyDescent="0.25">
      <c r="A197" s="150">
        <f>1</f>
        <v>1</v>
      </c>
      <c r="B197" s="128"/>
      <c r="C197" s="3"/>
      <c r="D197" s="3"/>
      <c r="E197" s="3"/>
      <c r="F197" s="3"/>
      <c r="G197" s="3"/>
      <c r="H197" s="3"/>
      <c r="I197" s="28"/>
      <c r="J197" s="3"/>
      <c r="K197" s="28"/>
      <c r="L197" s="3"/>
      <c r="M197" s="55"/>
      <c r="N197" s="3"/>
      <c r="O197" s="3"/>
      <c r="P197" s="46"/>
      <c r="Q197" s="46"/>
      <c r="R197" s="46"/>
      <c r="S197" s="46"/>
      <c r="T197" s="46"/>
      <c r="U197" s="46"/>
      <c r="V197" s="46"/>
      <c r="W197" s="46"/>
      <c r="X197" s="46"/>
      <c r="Y197" s="46"/>
      <c r="Z197" s="46"/>
      <c r="AA197" s="46"/>
      <c r="AB197" s="3"/>
    </row>
    <row r="198" spans="1:28" s="5" customFormat="1" x14ac:dyDescent="0.25">
      <c r="A198" s="150">
        <f>1</f>
        <v>1</v>
      </c>
      <c r="B198" s="129" t="str">
        <f>структура!$J$13</f>
        <v>УСН(6%)</v>
      </c>
      <c r="C198" s="3"/>
      <c r="D198" s="3"/>
      <c r="E198" s="146" t="str">
        <f>E196</f>
        <v>NPV(CF)</v>
      </c>
      <c r="F198" s="146"/>
      <c r="G198" s="146" t="str">
        <f>IF($E198="","",INDEX(KPI!$G:$G,SUMIFS(KPI!$B:$B,KPI!$E:$E,$E198)))</f>
        <v>тыс.руб.</v>
      </c>
      <c r="H198" s="146"/>
      <c r="I198" s="177"/>
      <c r="J198" s="146"/>
      <c r="K198" s="177"/>
      <c r="L198" s="146"/>
      <c r="M198" s="178">
        <f>SUM($O198:$AB198)</f>
        <v>39471.89390836563</v>
      </c>
      <c r="N198" s="3"/>
      <c r="O198" s="3"/>
      <c r="P198" s="179">
        <f>IF(P$1="",0,IF(P$193=0,0,P177/P$193))</f>
        <v>5764.2146496106043</v>
      </c>
      <c r="Q198" s="179">
        <f t="shared" ref="Q198:AA198" si="14">IF(Q$1="",0,IF(Q$193=0,0,Q177/Q$193))</f>
        <v>5266.0671239308112</v>
      </c>
      <c r="R198" s="179">
        <f t="shared" si="14"/>
        <v>5509.4571363018931</v>
      </c>
      <c r="S198" s="179">
        <f t="shared" si="14"/>
        <v>5462.1829036179561</v>
      </c>
      <c r="T198" s="179">
        <f t="shared" si="14"/>
        <v>5467.4556463686686</v>
      </c>
      <c r="U198" s="179">
        <f t="shared" si="14"/>
        <v>5764.027499755719</v>
      </c>
      <c r="V198" s="179">
        <f t="shared" si="14"/>
        <v>6238.4889487799837</v>
      </c>
      <c r="W198" s="179">
        <f t="shared" si="14"/>
        <v>0</v>
      </c>
      <c r="X198" s="179">
        <f t="shared" si="14"/>
        <v>0</v>
      </c>
      <c r="Y198" s="179">
        <f t="shared" si="14"/>
        <v>0</v>
      </c>
      <c r="Z198" s="179">
        <f t="shared" si="14"/>
        <v>0</v>
      </c>
      <c r="AA198" s="179">
        <f t="shared" si="14"/>
        <v>0</v>
      </c>
      <c r="AB198" s="3"/>
    </row>
    <row r="199" spans="1:28" s="5" customFormat="1" ht="3.9" customHeight="1" x14ac:dyDescent="0.25">
      <c r="A199" s="150">
        <f>1</f>
        <v>1</v>
      </c>
      <c r="B199" s="128"/>
      <c r="C199" s="3"/>
      <c r="D199" s="3"/>
      <c r="E199" s="3"/>
      <c r="F199" s="3"/>
      <c r="G199" s="3"/>
      <c r="H199" s="3"/>
      <c r="I199" s="28"/>
      <c r="J199" s="3"/>
      <c r="K199" s="28"/>
      <c r="L199" s="3"/>
      <c r="M199" s="55"/>
      <c r="N199" s="3"/>
      <c r="O199" s="3"/>
      <c r="P199" s="46"/>
      <c r="Q199" s="46"/>
      <c r="R199" s="46"/>
      <c r="S199" s="46"/>
      <c r="T199" s="46"/>
      <c r="U199" s="46"/>
      <c r="V199" s="46"/>
      <c r="W199" s="46"/>
      <c r="X199" s="46"/>
      <c r="Y199" s="46"/>
      <c r="Z199" s="46"/>
      <c r="AA199" s="46"/>
      <c r="AB199" s="3"/>
    </row>
    <row r="200" spans="1:28" s="5" customFormat="1" x14ac:dyDescent="0.25">
      <c r="A200" s="150">
        <f>1</f>
        <v>1</v>
      </c>
      <c r="B200" s="129" t="str">
        <f>структура!$J$14</f>
        <v>УСН(15%)</v>
      </c>
      <c r="C200" s="3"/>
      <c r="D200" s="3"/>
      <c r="E200" s="146" t="str">
        <f>E196</f>
        <v>NPV(CF)</v>
      </c>
      <c r="F200" s="146"/>
      <c r="G200" s="146" t="str">
        <f>IF($E200="","",INDEX(KPI!$G:$G,SUMIFS(KPI!$B:$B,KPI!$E:$E,$E200)))</f>
        <v>тыс.руб.</v>
      </c>
      <c r="H200" s="146"/>
      <c r="I200" s="177"/>
      <c r="J200" s="146"/>
      <c r="K200" s="177"/>
      <c r="L200" s="146"/>
      <c r="M200" s="178">
        <f>SUM($O200:$AB200)</f>
        <v>36626.804941839488</v>
      </c>
      <c r="N200" s="3"/>
      <c r="O200" s="3"/>
      <c r="P200" s="179">
        <f>IF(P$1="",0,IF(P$193=0,0,P179/P$193))</f>
        <v>5764.2146496106043</v>
      </c>
      <c r="Q200" s="179">
        <f t="shared" ref="Q200:AA200" si="15">IF(Q$1="",0,IF(Q$193=0,0,Q179/Q$193))</f>
        <v>4840.9893730462118</v>
      </c>
      <c r="R200" s="179">
        <f t="shared" si="15"/>
        <v>5076.6205821543608</v>
      </c>
      <c r="S200" s="179">
        <f t="shared" si="15"/>
        <v>4988.1296224257958</v>
      </c>
      <c r="T200" s="179">
        <f t="shared" si="15"/>
        <v>4983.3895309568406</v>
      </c>
      <c r="U200" s="179">
        <f t="shared" si="15"/>
        <v>5270.0643186787447</v>
      </c>
      <c r="V200" s="179">
        <f t="shared" si="15"/>
        <v>5703.3968649669287</v>
      </c>
      <c r="W200" s="179">
        <f t="shared" si="15"/>
        <v>0</v>
      </c>
      <c r="X200" s="179">
        <f t="shared" si="15"/>
        <v>0</v>
      </c>
      <c r="Y200" s="179">
        <f t="shared" si="15"/>
        <v>0</v>
      </c>
      <c r="Z200" s="179">
        <f t="shared" si="15"/>
        <v>0</v>
      </c>
      <c r="AA200" s="179">
        <f t="shared" si="15"/>
        <v>0</v>
      </c>
      <c r="AB200" s="3"/>
    </row>
    <row r="201" spans="1:28" s="5" customFormat="1" ht="3.9" customHeight="1" x14ac:dyDescent="0.25">
      <c r="A201" s="150">
        <f>1</f>
        <v>1</v>
      </c>
      <c r="B201" s="128"/>
      <c r="C201" s="3"/>
      <c r="D201" s="3"/>
      <c r="E201" s="3"/>
      <c r="F201" s="3"/>
      <c r="G201" s="3"/>
      <c r="H201" s="3"/>
      <c r="I201" s="28"/>
      <c r="J201" s="3"/>
      <c r="K201" s="28"/>
      <c r="L201" s="3"/>
      <c r="M201" s="55"/>
      <c r="N201" s="3"/>
      <c r="O201" s="3"/>
      <c r="P201" s="46"/>
      <c r="Q201" s="46"/>
      <c r="R201" s="46"/>
      <c r="S201" s="46"/>
      <c r="T201" s="46"/>
      <c r="U201" s="46"/>
      <c r="V201" s="46"/>
      <c r="W201" s="46"/>
      <c r="X201" s="46"/>
      <c r="Y201" s="46"/>
      <c r="Z201" s="46"/>
      <c r="AA201" s="46"/>
      <c r="AB201" s="3"/>
    </row>
    <row r="202" spans="1:28" s="5" customFormat="1" x14ac:dyDescent="0.25">
      <c r="A202" s="150">
        <f>1</f>
        <v>1</v>
      </c>
      <c r="B202" s="129" t="str">
        <f>структура!$J$15</f>
        <v>УСН(6%)-ИП</v>
      </c>
      <c r="C202" s="3"/>
      <c r="D202" s="3"/>
      <c r="E202" s="146" t="str">
        <f>E196</f>
        <v>NPV(CF)</v>
      </c>
      <c r="F202" s="146"/>
      <c r="G202" s="146" t="str">
        <f>IF($E202="","",INDEX(KPI!$G:$G,SUMIFS(KPI!$B:$B,KPI!$E:$E,$E202)))</f>
        <v>тыс.руб.</v>
      </c>
      <c r="H202" s="146"/>
      <c r="I202" s="177"/>
      <c r="J202" s="146"/>
      <c r="K202" s="177"/>
      <c r="L202" s="146"/>
      <c r="M202" s="178">
        <f>SUM($O202:$AB202)</f>
        <v>40783.098720431852</v>
      </c>
      <c r="N202" s="3"/>
      <c r="O202" s="3"/>
      <c r="P202" s="179">
        <f>IF(P$1="",0,IF(P$193=0,0,P181/P$193))</f>
        <v>5764.2146496106043</v>
      </c>
      <c r="Q202" s="179">
        <f t="shared" ref="Q202:AA202" si="16">IF(Q$1="",0,IF(Q$193=0,0,Q181/Q$193))</f>
        <v>5616.7547558443521</v>
      </c>
      <c r="R202" s="179">
        <f t="shared" si="16"/>
        <v>5842.5416852240451</v>
      </c>
      <c r="S202" s="179">
        <f t="shared" si="16"/>
        <v>5784.8398522290736</v>
      </c>
      <c r="T202" s="179">
        <f t="shared" si="16"/>
        <v>5772.2313289880776</v>
      </c>
      <c r="U202" s="179">
        <f t="shared" si="16"/>
        <v>5764.027499755719</v>
      </c>
      <c r="V202" s="179">
        <f t="shared" si="16"/>
        <v>6238.4889487799837</v>
      </c>
      <c r="W202" s="179">
        <f t="shared" si="16"/>
        <v>0</v>
      </c>
      <c r="X202" s="179">
        <f t="shared" si="16"/>
        <v>0</v>
      </c>
      <c r="Y202" s="179">
        <f t="shared" si="16"/>
        <v>0</v>
      </c>
      <c r="Z202" s="179">
        <f t="shared" si="16"/>
        <v>0</v>
      </c>
      <c r="AA202" s="179">
        <f t="shared" si="16"/>
        <v>0</v>
      </c>
      <c r="AB202" s="3"/>
    </row>
    <row r="203" spans="1:28" ht="3.9" customHeight="1" x14ac:dyDescent="0.25">
      <c r="A203" s="149">
        <f>1</f>
        <v>1</v>
      </c>
      <c r="B203" s="131"/>
      <c r="C203" s="2"/>
      <c r="D203" s="2"/>
      <c r="E203" s="119"/>
      <c r="F203" s="2"/>
      <c r="G203" s="119"/>
      <c r="H203" s="2"/>
      <c r="I203" s="28"/>
      <c r="J203" s="2"/>
      <c r="K203" s="28"/>
      <c r="L203" s="2"/>
      <c r="M203" s="142"/>
      <c r="N203" s="2"/>
      <c r="O203" s="2"/>
      <c r="P203" s="36"/>
      <c r="Q203" s="36"/>
      <c r="R203" s="36"/>
      <c r="S203" s="36"/>
      <c r="T203" s="36"/>
      <c r="U203" s="36"/>
      <c r="V203" s="36"/>
      <c r="W203" s="36"/>
      <c r="X203" s="36"/>
      <c r="Y203" s="36"/>
      <c r="Z203" s="36"/>
      <c r="AA203" s="36"/>
      <c r="AB203" s="2"/>
    </row>
    <row r="204" spans="1:28" ht="8.1" customHeight="1" x14ac:dyDescent="0.25">
      <c r="A204" s="149">
        <f>1</f>
        <v>1</v>
      </c>
      <c r="B204" s="131"/>
      <c r="C204" s="2"/>
      <c r="D204" s="2"/>
      <c r="E204" s="2"/>
      <c r="F204" s="2"/>
      <c r="G204" s="2"/>
      <c r="H204" s="2"/>
      <c r="I204" s="28"/>
      <c r="J204" s="2"/>
      <c r="K204" s="28"/>
      <c r="L204" s="2"/>
      <c r="M204" s="52"/>
      <c r="N204" s="2"/>
      <c r="O204" s="2"/>
      <c r="P204" s="36"/>
      <c r="Q204" s="36"/>
      <c r="R204" s="36"/>
      <c r="S204" s="36"/>
      <c r="T204" s="36"/>
      <c r="U204" s="36"/>
      <c r="V204" s="36"/>
      <c r="W204" s="36"/>
      <c r="X204" s="36"/>
      <c r="Y204" s="36"/>
      <c r="Z204" s="36"/>
      <c r="AA204" s="36"/>
      <c r="AB204" s="2"/>
    </row>
    <row r="205" spans="1:28" ht="3.9" customHeight="1" x14ac:dyDescent="0.25">
      <c r="A205" s="149">
        <f>1</f>
        <v>1</v>
      </c>
      <c r="B205" s="131"/>
      <c r="C205" s="2"/>
      <c r="D205" s="2"/>
      <c r="E205" s="2"/>
      <c r="F205" s="2"/>
      <c r="G205" s="2"/>
      <c r="H205" s="2"/>
      <c r="I205" s="28"/>
      <c r="J205" s="2"/>
      <c r="K205" s="28"/>
      <c r="L205" s="2"/>
      <c r="M205" s="52"/>
      <c r="N205" s="2"/>
      <c r="O205" s="2"/>
      <c r="P205" s="36"/>
      <c r="Q205" s="36"/>
      <c r="R205" s="36"/>
      <c r="S205" s="36"/>
      <c r="T205" s="36"/>
      <c r="U205" s="36"/>
      <c r="V205" s="36"/>
      <c r="W205" s="36"/>
      <c r="X205" s="36"/>
      <c r="Y205" s="36"/>
      <c r="Z205" s="36"/>
      <c r="AA205" s="36"/>
      <c r="AB205" s="2"/>
    </row>
    <row r="206" spans="1:28" s="5" customFormat="1" x14ac:dyDescent="0.25">
      <c r="A206" s="150">
        <f>1</f>
        <v>1</v>
      </c>
      <c r="B206" s="129" t="str">
        <f>структура!$J$12</f>
        <v>ОСНО</v>
      </c>
      <c r="C206" s="3"/>
      <c r="D206" s="3"/>
      <c r="E206" s="147" t="str">
        <f>KPI!$E$101</f>
        <v>NPV(CF)-Inv</v>
      </c>
      <c r="F206" s="147"/>
      <c r="G206" s="147" t="str">
        <f>IF($E206="","",INDEX(KPI!$G:$G,SUMIFS(KPI!$B:$B,KPI!$E:$E,$E206)))</f>
        <v>тыс.руб.</v>
      </c>
      <c r="H206" s="147"/>
      <c r="I206" s="170"/>
      <c r="J206" s="147"/>
      <c r="K206" s="170"/>
      <c r="L206" s="147"/>
      <c r="M206" s="171">
        <f>M196-M$190</f>
        <v>3293.5658782499559</v>
      </c>
      <c r="N206" s="3"/>
      <c r="O206" s="3"/>
      <c r="P206" s="46"/>
      <c r="Q206" s="46"/>
      <c r="R206" s="46"/>
      <c r="S206" s="46"/>
      <c r="T206" s="46"/>
      <c r="U206" s="46"/>
      <c r="V206" s="46"/>
      <c r="W206" s="46"/>
      <c r="X206" s="46"/>
      <c r="Y206" s="46"/>
      <c r="Z206" s="46"/>
      <c r="AA206" s="46"/>
      <c r="AB206" s="3"/>
    </row>
    <row r="207" spans="1:28" s="5" customFormat="1" ht="3.9" customHeight="1" x14ac:dyDescent="0.25">
      <c r="A207" s="150">
        <f>1</f>
        <v>1</v>
      </c>
      <c r="B207" s="128"/>
      <c r="C207" s="3"/>
      <c r="D207" s="3"/>
      <c r="E207" s="3"/>
      <c r="F207" s="3"/>
      <c r="G207" s="3"/>
      <c r="H207" s="3"/>
      <c r="I207" s="28"/>
      <c r="J207" s="3"/>
      <c r="K207" s="28"/>
      <c r="L207" s="3"/>
      <c r="M207" s="55"/>
      <c r="N207" s="3"/>
      <c r="O207" s="3"/>
      <c r="P207" s="46"/>
      <c r="Q207" s="46"/>
      <c r="R207" s="46"/>
      <c r="S207" s="46"/>
      <c r="T207" s="46"/>
      <c r="U207" s="46"/>
      <c r="V207" s="46"/>
      <c r="W207" s="46"/>
      <c r="X207" s="46"/>
      <c r="Y207" s="46"/>
      <c r="Z207" s="46"/>
      <c r="AA207" s="46"/>
      <c r="AB207" s="3"/>
    </row>
    <row r="208" spans="1:28" s="5" customFormat="1" x14ac:dyDescent="0.25">
      <c r="A208" s="150">
        <f>1</f>
        <v>1</v>
      </c>
      <c r="B208" s="129" t="str">
        <f>структура!$J$13</f>
        <v>УСН(6%)</v>
      </c>
      <c r="C208" s="3"/>
      <c r="D208" s="3"/>
      <c r="E208" s="147" t="str">
        <f>E206</f>
        <v>NPV(CF)-Inv</v>
      </c>
      <c r="F208" s="147"/>
      <c r="G208" s="147" t="str">
        <f>IF($E208="","",INDEX(KPI!$G:$G,SUMIFS(KPI!$B:$B,KPI!$E:$E,$E208)))</f>
        <v>тыс.руб.</v>
      </c>
      <c r="H208" s="147"/>
      <c r="I208" s="170"/>
      <c r="J208" s="147"/>
      <c r="K208" s="170"/>
      <c r="L208" s="147"/>
      <c r="M208" s="171">
        <f>M198-M$190</f>
        <v>10921.519068365629</v>
      </c>
      <c r="N208" s="3"/>
      <c r="O208" s="3"/>
      <c r="P208" s="46"/>
      <c r="Q208" s="46"/>
      <c r="R208" s="46"/>
      <c r="S208" s="46"/>
      <c r="T208" s="46"/>
      <c r="U208" s="46"/>
      <c r="V208" s="46"/>
      <c r="W208" s="46"/>
      <c r="X208" s="46"/>
      <c r="Y208" s="46"/>
      <c r="Z208" s="46"/>
      <c r="AA208" s="46"/>
      <c r="AB208" s="3"/>
    </row>
    <row r="209" spans="1:28" s="5" customFormat="1" ht="3.9" customHeight="1" x14ac:dyDescent="0.25">
      <c r="A209" s="150">
        <f>1</f>
        <v>1</v>
      </c>
      <c r="B209" s="128"/>
      <c r="C209" s="3"/>
      <c r="D209" s="3"/>
      <c r="E209" s="3"/>
      <c r="F209" s="3"/>
      <c r="G209" s="3"/>
      <c r="H209" s="3"/>
      <c r="I209" s="28"/>
      <c r="J209" s="3"/>
      <c r="K209" s="28"/>
      <c r="L209" s="3"/>
      <c r="M209" s="55"/>
      <c r="N209" s="3"/>
      <c r="O209" s="3"/>
      <c r="P209" s="46"/>
      <c r="Q209" s="46"/>
      <c r="R209" s="46"/>
      <c r="S209" s="46"/>
      <c r="T209" s="46"/>
      <c r="U209" s="46"/>
      <c r="V209" s="46"/>
      <c r="W209" s="46"/>
      <c r="X209" s="46"/>
      <c r="Y209" s="46"/>
      <c r="Z209" s="46"/>
      <c r="AA209" s="46"/>
      <c r="AB209" s="3"/>
    </row>
    <row r="210" spans="1:28" s="5" customFormat="1" x14ac:dyDescent="0.25">
      <c r="A210" s="150">
        <f>1</f>
        <v>1</v>
      </c>
      <c r="B210" s="129" t="str">
        <f>структура!$J$14</f>
        <v>УСН(15%)</v>
      </c>
      <c r="C210" s="3"/>
      <c r="D210" s="3"/>
      <c r="E210" s="147" t="str">
        <f>E206</f>
        <v>NPV(CF)-Inv</v>
      </c>
      <c r="F210" s="147"/>
      <c r="G210" s="147" t="str">
        <f>IF($E210="","",INDEX(KPI!$G:$G,SUMIFS(KPI!$B:$B,KPI!$E:$E,$E210)))</f>
        <v>тыс.руб.</v>
      </c>
      <c r="H210" s="147"/>
      <c r="I210" s="170"/>
      <c r="J210" s="147"/>
      <c r="K210" s="170"/>
      <c r="L210" s="147"/>
      <c r="M210" s="171">
        <f>M200-M$190</f>
        <v>8076.4301018394872</v>
      </c>
      <c r="N210" s="3"/>
      <c r="O210" s="3"/>
      <c r="P210" s="46"/>
      <c r="Q210" s="46"/>
      <c r="R210" s="46"/>
      <c r="S210" s="46"/>
      <c r="T210" s="46"/>
      <c r="U210" s="46"/>
      <c r="V210" s="46"/>
      <c r="W210" s="46"/>
      <c r="X210" s="46"/>
      <c r="Y210" s="46"/>
      <c r="Z210" s="46"/>
      <c r="AA210" s="46"/>
      <c r="AB210" s="3"/>
    </row>
    <row r="211" spans="1:28" s="5" customFormat="1" ht="3.9" customHeight="1" x14ac:dyDescent="0.25">
      <c r="A211" s="150">
        <f>1</f>
        <v>1</v>
      </c>
      <c r="B211" s="128"/>
      <c r="C211" s="3"/>
      <c r="D211" s="3"/>
      <c r="E211" s="3"/>
      <c r="F211" s="3"/>
      <c r="G211" s="3"/>
      <c r="H211" s="3"/>
      <c r="I211" s="28"/>
      <c r="J211" s="3"/>
      <c r="K211" s="28"/>
      <c r="L211" s="3"/>
      <c r="M211" s="55"/>
      <c r="N211" s="3"/>
      <c r="O211" s="3"/>
      <c r="P211" s="46"/>
      <c r="Q211" s="46"/>
      <c r="R211" s="46"/>
      <c r="S211" s="46"/>
      <c r="T211" s="46"/>
      <c r="U211" s="46"/>
      <c r="V211" s="46"/>
      <c r="W211" s="46"/>
      <c r="X211" s="46"/>
      <c r="Y211" s="46"/>
      <c r="Z211" s="46"/>
      <c r="AA211" s="46"/>
      <c r="AB211" s="3"/>
    </row>
    <row r="212" spans="1:28" s="5" customFormat="1" x14ac:dyDescent="0.25">
      <c r="A212" s="150">
        <f>1</f>
        <v>1</v>
      </c>
      <c r="B212" s="129" t="str">
        <f>структура!$J$15</f>
        <v>УСН(6%)-ИП</v>
      </c>
      <c r="C212" s="3"/>
      <c r="D212" s="3"/>
      <c r="E212" s="147" t="str">
        <f>E206</f>
        <v>NPV(CF)-Inv</v>
      </c>
      <c r="F212" s="147"/>
      <c r="G212" s="147" t="str">
        <f>IF($E212="","",INDEX(KPI!$G:$G,SUMIFS(KPI!$B:$B,KPI!$E:$E,$E212)))</f>
        <v>тыс.руб.</v>
      </c>
      <c r="H212" s="147"/>
      <c r="I212" s="170"/>
      <c r="J212" s="147"/>
      <c r="K212" s="170"/>
      <c r="L212" s="147"/>
      <c r="M212" s="171">
        <f>M202-M$190</f>
        <v>12232.723880431851</v>
      </c>
      <c r="N212" s="3"/>
      <c r="O212" s="3"/>
      <c r="P212" s="46"/>
      <c r="Q212" s="46"/>
      <c r="R212" s="46"/>
      <c r="S212" s="46"/>
      <c r="T212" s="46"/>
      <c r="U212" s="46"/>
      <c r="V212" s="46"/>
      <c r="W212" s="46"/>
      <c r="X212" s="46"/>
      <c r="Y212" s="46"/>
      <c r="Z212" s="46"/>
      <c r="AA212" s="46"/>
      <c r="AB212" s="3"/>
    </row>
    <row r="213" spans="1:28" ht="3.9" customHeight="1" x14ac:dyDescent="0.25">
      <c r="A213" s="149">
        <f>1</f>
        <v>1</v>
      </c>
      <c r="B213" s="131"/>
      <c r="C213" s="2"/>
      <c r="D213" s="2"/>
      <c r="E213" s="117"/>
      <c r="F213" s="2"/>
      <c r="G213" s="117"/>
      <c r="H213" s="2"/>
      <c r="I213" s="28"/>
      <c r="J213" s="2"/>
      <c r="K213" s="28"/>
      <c r="L213" s="2"/>
      <c r="M213" s="138"/>
      <c r="N213" s="2"/>
      <c r="O213" s="2"/>
      <c r="P213" s="36"/>
      <c r="Q213" s="36"/>
      <c r="R213" s="36"/>
      <c r="S213" s="36"/>
      <c r="T213" s="36"/>
      <c r="U213" s="36"/>
      <c r="V213" s="36"/>
      <c r="W213" s="36"/>
      <c r="X213" s="36"/>
      <c r="Y213" s="36"/>
      <c r="Z213" s="36"/>
      <c r="AA213" s="36"/>
      <c r="AB213" s="2"/>
    </row>
    <row r="214" spans="1:28" ht="8.1" customHeight="1" x14ac:dyDescent="0.25">
      <c r="A214" s="149">
        <f>1</f>
        <v>1</v>
      </c>
      <c r="B214" s="131"/>
      <c r="C214" s="2"/>
      <c r="D214" s="2"/>
      <c r="E214" s="2"/>
      <c r="F214" s="2"/>
      <c r="G214" s="2"/>
      <c r="H214" s="2"/>
      <c r="I214" s="28"/>
      <c r="J214" s="2"/>
      <c r="K214" s="28"/>
      <c r="L214" s="2"/>
      <c r="M214" s="52"/>
      <c r="N214" s="2"/>
      <c r="O214" s="2"/>
      <c r="P214" s="36"/>
      <c r="Q214" s="36"/>
      <c r="R214" s="36"/>
      <c r="S214" s="36"/>
      <c r="T214" s="36"/>
      <c r="U214" s="36"/>
      <c r="V214" s="36"/>
      <c r="W214" s="36"/>
      <c r="X214" s="36"/>
      <c r="Y214" s="36"/>
      <c r="Z214" s="36"/>
      <c r="AA214" s="36"/>
      <c r="AB214" s="2"/>
    </row>
    <row r="215" spans="1:28" ht="3.9" customHeight="1" x14ac:dyDescent="0.25">
      <c r="A215" s="149">
        <f>1</f>
        <v>1</v>
      </c>
      <c r="B215" s="131"/>
      <c r="C215" s="2"/>
      <c r="D215" s="2"/>
      <c r="E215" s="2"/>
      <c r="F215" s="2"/>
      <c r="G215" s="2"/>
      <c r="H215" s="2"/>
      <c r="I215" s="28"/>
      <c r="J215" s="2"/>
      <c r="K215" s="28"/>
      <c r="L215" s="2"/>
      <c r="M215" s="52"/>
      <c r="N215" s="2"/>
      <c r="O215" s="2"/>
      <c r="P215" s="36"/>
      <c r="Q215" s="36"/>
      <c r="R215" s="36"/>
      <c r="S215" s="36"/>
      <c r="T215" s="36"/>
      <c r="U215" s="36"/>
      <c r="V215" s="36"/>
      <c r="W215" s="36"/>
      <c r="X215" s="36"/>
      <c r="Y215" s="36"/>
      <c r="Z215" s="36"/>
      <c r="AA215" s="36"/>
      <c r="AB215" s="2"/>
    </row>
    <row r="216" spans="1:28" s="5" customFormat="1" x14ac:dyDescent="0.25">
      <c r="A216" s="150">
        <f>1</f>
        <v>1</v>
      </c>
      <c r="B216" s="129" t="str">
        <f>структура!$J$12</f>
        <v>ОСНО</v>
      </c>
      <c r="C216" s="3"/>
      <c r="D216" s="3"/>
      <c r="E216" s="147" t="str">
        <f>KPI!$E$102</f>
        <v>PI</v>
      </c>
      <c r="F216" s="147"/>
      <c r="G216" s="147" t="str">
        <f>IF($E216="","",INDEX(KPI!$G:$G,SUMIFS(KPI!$B:$B,KPI!$E:$E,$E216)))</f>
        <v>разы</v>
      </c>
      <c r="H216" s="147"/>
      <c r="I216" s="170"/>
      <c r="J216" s="147"/>
      <c r="K216" s="170"/>
      <c r="L216" s="147"/>
      <c r="M216" s="187">
        <f>IF(M$190=0,0,M196/M$190)</f>
        <v>1.1153598121463388</v>
      </c>
      <c r="N216" s="3"/>
      <c r="O216" s="3"/>
      <c r="P216" s="46"/>
      <c r="Q216" s="46"/>
      <c r="R216" s="46"/>
      <c r="S216" s="46"/>
      <c r="T216" s="46"/>
      <c r="U216" s="46"/>
      <c r="V216" s="46"/>
      <c r="W216" s="46"/>
      <c r="X216" s="46"/>
      <c r="Y216" s="46"/>
      <c r="Z216" s="46"/>
      <c r="AA216" s="46"/>
      <c r="AB216" s="3"/>
    </row>
    <row r="217" spans="1:28" s="5" customFormat="1" ht="3.9" customHeight="1" x14ac:dyDescent="0.25">
      <c r="A217" s="150">
        <f>1</f>
        <v>1</v>
      </c>
      <c r="B217" s="128"/>
      <c r="C217" s="3"/>
      <c r="D217" s="3"/>
      <c r="E217" s="3"/>
      <c r="F217" s="3"/>
      <c r="G217" s="3"/>
      <c r="H217" s="3"/>
      <c r="I217" s="28"/>
      <c r="J217" s="3"/>
      <c r="K217" s="28"/>
      <c r="L217" s="3"/>
      <c r="M217" s="55"/>
      <c r="N217" s="3"/>
      <c r="O217" s="3"/>
      <c r="P217" s="46"/>
      <c r="Q217" s="46"/>
      <c r="R217" s="46"/>
      <c r="S217" s="46"/>
      <c r="T217" s="46"/>
      <c r="U217" s="46"/>
      <c r="V217" s="46"/>
      <c r="W217" s="46"/>
      <c r="X217" s="46"/>
      <c r="Y217" s="46"/>
      <c r="Z217" s="46"/>
      <c r="AA217" s="46"/>
      <c r="AB217" s="3"/>
    </row>
    <row r="218" spans="1:28" s="5" customFormat="1" x14ac:dyDescent="0.25">
      <c r="A218" s="150">
        <f>1</f>
        <v>1</v>
      </c>
      <c r="B218" s="129" t="str">
        <f>структура!$J$13</f>
        <v>УСН(6%)</v>
      </c>
      <c r="C218" s="3"/>
      <c r="D218" s="3"/>
      <c r="E218" s="147" t="str">
        <f>E216</f>
        <v>PI</v>
      </c>
      <c r="F218" s="147"/>
      <c r="G218" s="147" t="str">
        <f>IF($E218="","",INDEX(KPI!$G:$G,SUMIFS(KPI!$B:$B,KPI!$E:$E,$E218)))</f>
        <v>разы</v>
      </c>
      <c r="H218" s="147"/>
      <c r="I218" s="170"/>
      <c r="J218" s="147"/>
      <c r="K218" s="170"/>
      <c r="L218" s="147"/>
      <c r="M218" s="187">
        <f>IF(M$190=0,0,M198/M$190)</f>
        <v>1.3825350500499989</v>
      </c>
      <c r="N218" s="3"/>
      <c r="O218" s="3"/>
      <c r="P218" s="46"/>
      <c r="Q218" s="46"/>
      <c r="R218" s="46"/>
      <c r="S218" s="46"/>
      <c r="T218" s="46"/>
      <c r="U218" s="46"/>
      <c r="V218" s="46"/>
      <c r="W218" s="46"/>
      <c r="X218" s="46"/>
      <c r="Y218" s="46"/>
      <c r="Z218" s="46"/>
      <c r="AA218" s="46"/>
      <c r="AB218" s="3"/>
    </row>
    <row r="219" spans="1:28" s="5" customFormat="1" ht="3.9" customHeight="1" x14ac:dyDescent="0.25">
      <c r="A219" s="150">
        <f>1</f>
        <v>1</v>
      </c>
      <c r="B219" s="128"/>
      <c r="C219" s="3"/>
      <c r="D219" s="3"/>
      <c r="E219" s="3"/>
      <c r="F219" s="3"/>
      <c r="G219" s="3"/>
      <c r="H219" s="3"/>
      <c r="I219" s="28"/>
      <c r="J219" s="3"/>
      <c r="K219" s="28"/>
      <c r="L219" s="3"/>
      <c r="M219" s="55"/>
      <c r="N219" s="3"/>
      <c r="O219" s="3"/>
      <c r="P219" s="46"/>
      <c r="Q219" s="46"/>
      <c r="R219" s="46"/>
      <c r="S219" s="46"/>
      <c r="T219" s="46"/>
      <c r="U219" s="46"/>
      <c r="V219" s="46"/>
      <c r="W219" s="46"/>
      <c r="X219" s="46"/>
      <c r="Y219" s="46"/>
      <c r="Z219" s="46"/>
      <c r="AA219" s="46"/>
      <c r="AB219" s="3"/>
    </row>
    <row r="220" spans="1:28" s="5" customFormat="1" x14ac:dyDescent="0.25">
      <c r="A220" s="150">
        <f>1</f>
        <v>1</v>
      </c>
      <c r="B220" s="129" t="str">
        <f>структура!$J$14</f>
        <v>УСН(15%)</v>
      </c>
      <c r="C220" s="3"/>
      <c r="D220" s="3"/>
      <c r="E220" s="147" t="str">
        <f>E216</f>
        <v>PI</v>
      </c>
      <c r="F220" s="147"/>
      <c r="G220" s="147" t="str">
        <f>IF($E220="","",INDEX(KPI!$G:$G,SUMIFS(KPI!$B:$B,KPI!$E:$E,$E220)))</f>
        <v>разы</v>
      </c>
      <c r="H220" s="147"/>
      <c r="I220" s="170"/>
      <c r="J220" s="147"/>
      <c r="K220" s="170"/>
      <c r="L220" s="147"/>
      <c r="M220" s="187">
        <f>IF(M$190=0,0,M200/M$190)</f>
        <v>1.2828835049312259</v>
      </c>
      <c r="N220" s="3"/>
      <c r="O220" s="3"/>
      <c r="P220" s="46"/>
      <c r="Q220" s="46"/>
      <c r="R220" s="46"/>
      <c r="S220" s="46"/>
      <c r="T220" s="46"/>
      <c r="U220" s="46"/>
      <c r="V220" s="46"/>
      <c r="W220" s="46"/>
      <c r="X220" s="46"/>
      <c r="Y220" s="46"/>
      <c r="Z220" s="46"/>
      <c r="AA220" s="46"/>
      <c r="AB220" s="3"/>
    </row>
    <row r="221" spans="1:28" s="5" customFormat="1" ht="3.9" customHeight="1" x14ac:dyDescent="0.25">
      <c r="A221" s="150">
        <f>1</f>
        <v>1</v>
      </c>
      <c r="B221" s="128"/>
      <c r="C221" s="3"/>
      <c r="D221" s="3"/>
      <c r="E221" s="3"/>
      <c r="F221" s="3"/>
      <c r="G221" s="3"/>
      <c r="H221" s="3"/>
      <c r="I221" s="28"/>
      <c r="J221" s="3"/>
      <c r="K221" s="28"/>
      <c r="L221" s="3"/>
      <c r="M221" s="55"/>
      <c r="N221" s="3"/>
      <c r="O221" s="3"/>
      <c r="P221" s="46"/>
      <c r="Q221" s="46"/>
      <c r="R221" s="46"/>
      <c r="S221" s="46"/>
      <c r="T221" s="46"/>
      <c r="U221" s="46"/>
      <c r="V221" s="46"/>
      <c r="W221" s="46"/>
      <c r="X221" s="46"/>
      <c r="Y221" s="46"/>
      <c r="Z221" s="46"/>
      <c r="AA221" s="46"/>
      <c r="AB221" s="3"/>
    </row>
    <row r="222" spans="1:28" s="5" customFormat="1" x14ac:dyDescent="0.25">
      <c r="A222" s="150">
        <f>1</f>
        <v>1</v>
      </c>
      <c r="B222" s="129" t="str">
        <f>структура!$J$15</f>
        <v>УСН(6%)-ИП</v>
      </c>
      <c r="C222" s="3"/>
      <c r="D222" s="3"/>
      <c r="E222" s="147" t="str">
        <f>E216</f>
        <v>PI</v>
      </c>
      <c r="F222" s="147"/>
      <c r="G222" s="147" t="str">
        <f>IF($E222="","",INDEX(KPI!$G:$G,SUMIFS(KPI!$B:$B,KPI!$E:$E,$E222)))</f>
        <v>разы</v>
      </c>
      <c r="H222" s="147"/>
      <c r="I222" s="170"/>
      <c r="J222" s="147"/>
      <c r="K222" s="170"/>
      <c r="L222" s="147"/>
      <c r="M222" s="187">
        <f>IF(M$190=0,0,M202/M$190)</f>
        <v>1.428461060458422</v>
      </c>
      <c r="N222" s="3"/>
      <c r="O222" s="3"/>
      <c r="P222" s="46"/>
      <c r="Q222" s="46"/>
      <c r="R222" s="46"/>
      <c r="S222" s="46"/>
      <c r="T222" s="46"/>
      <c r="U222" s="46"/>
      <c r="V222" s="46"/>
      <c r="W222" s="46"/>
      <c r="X222" s="46"/>
      <c r="Y222" s="46"/>
      <c r="Z222" s="46"/>
      <c r="AA222" s="46"/>
      <c r="AB222" s="3"/>
    </row>
    <row r="223" spans="1:28" ht="3.9" customHeight="1" x14ac:dyDescent="0.25">
      <c r="A223" s="149">
        <f>1</f>
        <v>1</v>
      </c>
      <c r="B223" s="131"/>
      <c r="C223" s="2"/>
      <c r="D223" s="2"/>
      <c r="E223" s="117"/>
      <c r="F223" s="2"/>
      <c r="G223" s="117"/>
      <c r="H223" s="2"/>
      <c r="I223" s="28"/>
      <c r="J223" s="2"/>
      <c r="K223" s="28"/>
      <c r="L223" s="2"/>
      <c r="M223" s="138"/>
      <c r="N223" s="2"/>
      <c r="O223" s="2"/>
      <c r="P223" s="36"/>
      <c r="Q223" s="36"/>
      <c r="R223" s="36"/>
      <c r="S223" s="36"/>
      <c r="T223" s="36"/>
      <c r="U223" s="36"/>
      <c r="V223" s="36"/>
      <c r="W223" s="36"/>
      <c r="X223" s="36"/>
      <c r="Y223" s="36"/>
      <c r="Z223" s="36"/>
      <c r="AA223" s="36"/>
      <c r="AB223" s="2"/>
    </row>
    <row r="224" spans="1:28" ht="8.1" customHeight="1" x14ac:dyDescent="0.25">
      <c r="A224" s="149">
        <f>1</f>
        <v>1</v>
      </c>
      <c r="B224" s="131"/>
      <c r="C224" s="2"/>
      <c r="D224" s="2"/>
      <c r="E224" s="2"/>
      <c r="F224" s="2"/>
      <c r="G224" s="2"/>
      <c r="H224" s="2"/>
      <c r="I224" s="28"/>
      <c r="J224" s="2"/>
      <c r="K224" s="28"/>
      <c r="L224" s="2"/>
      <c r="M224" s="52"/>
      <c r="N224" s="2"/>
      <c r="O224" s="2"/>
      <c r="P224" s="36"/>
      <c r="Q224" s="36"/>
      <c r="R224" s="36"/>
      <c r="S224" s="36"/>
      <c r="T224" s="36"/>
      <c r="U224" s="36"/>
      <c r="V224" s="36"/>
      <c r="W224" s="36"/>
      <c r="X224" s="36"/>
      <c r="Y224" s="36"/>
      <c r="Z224" s="36"/>
      <c r="AA224" s="36"/>
      <c r="AB224" s="2"/>
    </row>
    <row r="225" spans="1:28" ht="3.9" customHeight="1" x14ac:dyDescent="0.25">
      <c r="A225" s="149">
        <f>1</f>
        <v>1</v>
      </c>
      <c r="B225" s="131"/>
      <c r="C225" s="2"/>
      <c r="D225" s="2"/>
      <c r="E225" s="2"/>
      <c r="F225" s="2"/>
      <c r="G225" s="2"/>
      <c r="H225" s="2"/>
      <c r="I225" s="28"/>
      <c r="J225" s="2"/>
      <c r="K225" s="28"/>
      <c r="L225" s="2"/>
      <c r="M225" s="52"/>
      <c r="N225" s="2"/>
      <c r="O225" s="2"/>
      <c r="P225" s="36"/>
      <c r="Q225" s="36"/>
      <c r="R225" s="36"/>
      <c r="S225" s="36"/>
      <c r="T225" s="36"/>
      <c r="U225" s="36"/>
      <c r="V225" s="36"/>
      <c r="W225" s="36"/>
      <c r="X225" s="36"/>
      <c r="Y225" s="36"/>
      <c r="Z225" s="36"/>
      <c r="AA225" s="36"/>
      <c r="AB225" s="2"/>
    </row>
    <row r="226" spans="1:28" s="5" customFormat="1" x14ac:dyDescent="0.25">
      <c r="A226" s="150">
        <f>1</f>
        <v>1</v>
      </c>
      <c r="B226" s="129" t="str">
        <f>структура!$J$12</f>
        <v>ОСНО</v>
      </c>
      <c r="C226" s="3"/>
      <c r="D226" s="3"/>
      <c r="E226" s="147" t="str">
        <f>KPI!$E$103</f>
        <v>ROI</v>
      </c>
      <c r="F226" s="147"/>
      <c r="G226" s="147" t="str">
        <f>IF($E226="","",INDEX(KPI!$G:$G,SUMIFS(KPI!$B:$B,KPI!$E:$E,$E226)))</f>
        <v>%</v>
      </c>
      <c r="H226" s="147"/>
      <c r="I226" s="170"/>
      <c r="J226" s="147"/>
      <c r="K226" s="170"/>
      <c r="L226" s="147"/>
      <c r="M226" s="188">
        <f>IF(M$190=0,0,M206/M$190)</f>
        <v>0.11535981214633874</v>
      </c>
      <c r="N226" s="3"/>
      <c r="O226" s="3"/>
      <c r="P226" s="46"/>
      <c r="Q226" s="46"/>
      <c r="R226" s="46"/>
      <c r="S226" s="46"/>
      <c r="T226" s="46"/>
      <c r="U226" s="46"/>
      <c r="V226" s="46"/>
      <c r="W226" s="46"/>
      <c r="X226" s="46"/>
      <c r="Y226" s="46"/>
      <c r="Z226" s="46"/>
      <c r="AA226" s="46"/>
      <c r="AB226" s="3"/>
    </row>
    <row r="227" spans="1:28" s="5" customFormat="1" ht="3.9" customHeight="1" x14ac:dyDescent="0.25">
      <c r="A227" s="150">
        <f>1</f>
        <v>1</v>
      </c>
      <c r="B227" s="128"/>
      <c r="C227" s="3"/>
      <c r="D227" s="3"/>
      <c r="E227" s="3"/>
      <c r="F227" s="3"/>
      <c r="G227" s="3"/>
      <c r="H227" s="3"/>
      <c r="I227" s="28"/>
      <c r="J227" s="3"/>
      <c r="K227" s="28"/>
      <c r="L227" s="3"/>
      <c r="M227" s="55"/>
      <c r="N227" s="3"/>
      <c r="O227" s="3"/>
      <c r="P227" s="46"/>
      <c r="Q227" s="46"/>
      <c r="R227" s="46"/>
      <c r="S227" s="46"/>
      <c r="T227" s="46"/>
      <c r="U227" s="46"/>
      <c r="V227" s="46"/>
      <c r="W227" s="46"/>
      <c r="X227" s="46"/>
      <c r="Y227" s="46"/>
      <c r="Z227" s="46"/>
      <c r="AA227" s="46"/>
      <c r="AB227" s="3"/>
    </row>
    <row r="228" spans="1:28" s="5" customFormat="1" x14ac:dyDescent="0.25">
      <c r="A228" s="150">
        <f>1</f>
        <v>1</v>
      </c>
      <c r="B228" s="129" t="str">
        <f>структура!$J$13</f>
        <v>УСН(6%)</v>
      </c>
      <c r="C228" s="3"/>
      <c r="D228" s="3"/>
      <c r="E228" s="147" t="str">
        <f>E226</f>
        <v>ROI</v>
      </c>
      <c r="F228" s="147"/>
      <c r="G228" s="147" t="str">
        <f>IF($E228="","",INDEX(KPI!$G:$G,SUMIFS(KPI!$B:$B,KPI!$E:$E,$E228)))</f>
        <v>%</v>
      </c>
      <c r="H228" s="147"/>
      <c r="I228" s="170"/>
      <c r="J228" s="147"/>
      <c r="K228" s="170"/>
      <c r="L228" s="147"/>
      <c r="M228" s="188">
        <f>IF(M$190=0,0,M208/M$190)</f>
        <v>0.38253505004999888</v>
      </c>
      <c r="N228" s="3"/>
      <c r="O228" s="3"/>
      <c r="P228" s="46"/>
      <c r="Q228" s="46"/>
      <c r="R228" s="46"/>
      <c r="S228" s="46"/>
      <c r="T228" s="46"/>
      <c r="U228" s="46"/>
      <c r="V228" s="46"/>
      <c r="W228" s="46"/>
      <c r="X228" s="46"/>
      <c r="Y228" s="46"/>
      <c r="Z228" s="46"/>
      <c r="AA228" s="46"/>
      <c r="AB228" s="3"/>
    </row>
    <row r="229" spans="1:28" s="5" customFormat="1" ht="3.9" customHeight="1" x14ac:dyDescent="0.25">
      <c r="A229" s="150">
        <f>1</f>
        <v>1</v>
      </c>
      <c r="B229" s="128"/>
      <c r="C229" s="3"/>
      <c r="D229" s="3"/>
      <c r="E229" s="3"/>
      <c r="F229" s="3"/>
      <c r="G229" s="3"/>
      <c r="H229" s="3"/>
      <c r="I229" s="28"/>
      <c r="J229" s="3"/>
      <c r="K229" s="28"/>
      <c r="L229" s="3"/>
      <c r="M229" s="55"/>
      <c r="N229" s="3"/>
      <c r="O229" s="3"/>
      <c r="P229" s="46"/>
      <c r="Q229" s="46"/>
      <c r="R229" s="46"/>
      <c r="S229" s="46"/>
      <c r="T229" s="46"/>
      <c r="U229" s="46"/>
      <c r="V229" s="46"/>
      <c r="W229" s="46"/>
      <c r="X229" s="46"/>
      <c r="Y229" s="46"/>
      <c r="Z229" s="46"/>
      <c r="AA229" s="46"/>
      <c r="AB229" s="3"/>
    </row>
    <row r="230" spans="1:28" s="5" customFormat="1" x14ac:dyDescent="0.25">
      <c r="A230" s="150">
        <f>1</f>
        <v>1</v>
      </c>
      <c r="B230" s="129" t="str">
        <f>структура!$J$14</f>
        <v>УСН(15%)</v>
      </c>
      <c r="C230" s="3"/>
      <c r="D230" s="3"/>
      <c r="E230" s="147" t="str">
        <f>E226</f>
        <v>ROI</v>
      </c>
      <c r="F230" s="147"/>
      <c r="G230" s="147" t="str">
        <f>IF($E230="","",INDEX(KPI!$G:$G,SUMIFS(KPI!$B:$B,KPI!$E:$E,$E230)))</f>
        <v>%</v>
      </c>
      <c r="H230" s="147"/>
      <c r="I230" s="170"/>
      <c r="J230" s="147"/>
      <c r="K230" s="170"/>
      <c r="L230" s="147"/>
      <c r="M230" s="188">
        <f>IF(M$190=0,0,M210/M$190)</f>
        <v>0.28288350493122588</v>
      </c>
      <c r="N230" s="3"/>
      <c r="O230" s="3"/>
      <c r="P230" s="46"/>
      <c r="Q230" s="46"/>
      <c r="R230" s="46"/>
      <c r="S230" s="46"/>
      <c r="T230" s="46"/>
      <c r="U230" s="46"/>
      <c r="V230" s="46"/>
      <c r="W230" s="46"/>
      <c r="X230" s="46"/>
      <c r="Y230" s="46"/>
      <c r="Z230" s="46"/>
      <c r="AA230" s="46"/>
      <c r="AB230" s="3"/>
    </row>
    <row r="231" spans="1:28" s="5" customFormat="1" ht="3.9" customHeight="1" x14ac:dyDescent="0.25">
      <c r="A231" s="150">
        <f>1</f>
        <v>1</v>
      </c>
      <c r="B231" s="128"/>
      <c r="C231" s="3"/>
      <c r="D231" s="3"/>
      <c r="E231" s="3"/>
      <c r="F231" s="3"/>
      <c r="G231" s="3"/>
      <c r="H231" s="3"/>
      <c r="I231" s="28"/>
      <c r="J231" s="3"/>
      <c r="K231" s="28"/>
      <c r="L231" s="3"/>
      <c r="M231" s="55"/>
      <c r="N231" s="3"/>
      <c r="O231" s="3"/>
      <c r="P231" s="46"/>
      <c r="Q231" s="46"/>
      <c r="R231" s="46"/>
      <c r="S231" s="46"/>
      <c r="T231" s="46"/>
      <c r="U231" s="46"/>
      <c r="V231" s="46"/>
      <c r="W231" s="46"/>
      <c r="X231" s="46"/>
      <c r="Y231" s="46"/>
      <c r="Z231" s="46"/>
      <c r="AA231" s="46"/>
      <c r="AB231" s="3"/>
    </row>
    <row r="232" spans="1:28" s="5" customFormat="1" x14ac:dyDescent="0.25">
      <c r="A232" s="150">
        <f>1</f>
        <v>1</v>
      </c>
      <c r="B232" s="129" t="str">
        <f>структура!$J$15</f>
        <v>УСН(6%)-ИП</v>
      </c>
      <c r="C232" s="3"/>
      <c r="D232" s="3"/>
      <c r="E232" s="147" t="str">
        <f>E226</f>
        <v>ROI</v>
      </c>
      <c r="F232" s="147"/>
      <c r="G232" s="147" t="str">
        <f>IF($E232="","",INDEX(KPI!$G:$G,SUMIFS(KPI!$B:$B,KPI!$E:$E,$E232)))</f>
        <v>%</v>
      </c>
      <c r="H232" s="147"/>
      <c r="I232" s="170"/>
      <c r="J232" s="147"/>
      <c r="K232" s="170"/>
      <c r="L232" s="147"/>
      <c r="M232" s="188">
        <f>IF(M$190=0,0,M212/M$190)</f>
        <v>0.42846106045842203</v>
      </c>
      <c r="N232" s="3"/>
      <c r="O232" s="3"/>
      <c r="P232" s="46"/>
      <c r="Q232" s="46"/>
      <c r="R232" s="46"/>
      <c r="S232" s="46"/>
      <c r="T232" s="46"/>
      <c r="U232" s="46"/>
      <c r="V232" s="46"/>
      <c r="W232" s="46"/>
      <c r="X232" s="46"/>
      <c r="Y232" s="46"/>
      <c r="Z232" s="46"/>
      <c r="AA232" s="46"/>
      <c r="AB232" s="3"/>
    </row>
    <row r="233" spans="1:28" ht="3.9" customHeight="1" x14ac:dyDescent="0.25">
      <c r="A233" s="149">
        <f>1</f>
        <v>1</v>
      </c>
      <c r="B233" s="131"/>
      <c r="C233" s="2"/>
      <c r="D233" s="2"/>
      <c r="E233" s="117"/>
      <c r="F233" s="2"/>
      <c r="G233" s="117"/>
      <c r="H233" s="2"/>
      <c r="I233" s="28"/>
      <c r="J233" s="2"/>
      <c r="K233" s="28"/>
      <c r="L233" s="2"/>
      <c r="M233" s="138"/>
      <c r="N233" s="2"/>
      <c r="O233" s="2"/>
      <c r="P233" s="36"/>
      <c r="Q233" s="36"/>
      <c r="R233" s="36"/>
      <c r="S233" s="36"/>
      <c r="T233" s="36"/>
      <c r="U233" s="36"/>
      <c r="V233" s="36"/>
      <c r="W233" s="36"/>
      <c r="X233" s="36"/>
      <c r="Y233" s="36"/>
      <c r="Z233" s="36"/>
      <c r="AA233" s="36"/>
      <c r="AB233" s="2"/>
    </row>
    <row r="234" spans="1:28" ht="8.1" customHeight="1" x14ac:dyDescent="0.25">
      <c r="A234" s="149">
        <f>1</f>
        <v>1</v>
      </c>
      <c r="B234" s="131"/>
      <c r="C234" s="2"/>
      <c r="D234" s="2"/>
      <c r="E234" s="2"/>
      <c r="F234" s="2"/>
      <c r="G234" s="2"/>
      <c r="H234" s="2"/>
      <c r="I234" s="28"/>
      <c r="J234" s="2"/>
      <c r="K234" s="28"/>
      <c r="L234" s="2"/>
      <c r="M234" s="52"/>
      <c r="N234" s="2"/>
      <c r="O234" s="2"/>
      <c r="P234" s="36"/>
      <c r="Q234" s="36"/>
      <c r="R234" s="36"/>
      <c r="S234" s="36"/>
      <c r="T234" s="36"/>
      <c r="U234" s="36"/>
      <c r="V234" s="36"/>
      <c r="W234" s="36"/>
      <c r="X234" s="36"/>
      <c r="Y234" s="36"/>
      <c r="Z234" s="36"/>
      <c r="AA234" s="36"/>
      <c r="AB234" s="2"/>
    </row>
    <row r="235" spans="1:28" ht="3.9" customHeight="1" x14ac:dyDescent="0.25">
      <c r="A235" s="149">
        <f>1</f>
        <v>1</v>
      </c>
      <c r="B235" s="131"/>
      <c r="C235" s="2"/>
      <c r="D235" s="2"/>
      <c r="E235" s="2"/>
      <c r="F235" s="2"/>
      <c r="G235" s="2"/>
      <c r="H235" s="2"/>
      <c r="I235" s="28"/>
      <c r="J235" s="2"/>
      <c r="K235" s="28"/>
      <c r="L235" s="2"/>
      <c r="M235" s="52"/>
      <c r="N235" s="2"/>
      <c r="O235" s="2"/>
      <c r="P235" s="193">
        <f>IF(AND(P236&lt;&gt;0,Q236=0),P$1,0)</f>
        <v>0</v>
      </c>
      <c r="Q235" s="193">
        <f t="shared" ref="Q235:AA235" si="17">IF(AND(Q236&lt;&gt;0,R236=0),Q$1,0)</f>
        <v>0</v>
      </c>
      <c r="R235" s="193">
        <f t="shared" si="17"/>
        <v>0</v>
      </c>
      <c r="S235" s="193">
        <f t="shared" si="17"/>
        <v>0</v>
      </c>
      <c r="T235" s="193">
        <f t="shared" si="17"/>
        <v>0</v>
      </c>
      <c r="U235" s="193">
        <f t="shared" si="17"/>
        <v>0</v>
      </c>
      <c r="V235" s="193">
        <f t="shared" si="17"/>
        <v>7</v>
      </c>
      <c r="W235" s="193">
        <f t="shared" si="17"/>
        <v>0</v>
      </c>
      <c r="X235" s="193">
        <f t="shared" si="17"/>
        <v>0</v>
      </c>
      <c r="Y235" s="193">
        <f t="shared" si="17"/>
        <v>0</v>
      </c>
      <c r="Z235" s="193">
        <f t="shared" si="17"/>
        <v>0</v>
      </c>
      <c r="AA235" s="193">
        <f t="shared" si="17"/>
        <v>0</v>
      </c>
      <c r="AB235" s="2"/>
    </row>
    <row r="236" spans="1:28" s="157" customFormat="1" x14ac:dyDescent="0.25">
      <c r="A236" s="155">
        <f>1</f>
        <v>1</v>
      </c>
      <c r="B236" s="156" t="str">
        <f>структура!$J$12</f>
        <v>ОСНО</v>
      </c>
      <c r="C236" s="155"/>
      <c r="D236" s="155"/>
      <c r="E236" s="189" t="str">
        <f>KPI!$E$104</f>
        <v>График возврата инвестиций (приведенный)</v>
      </c>
      <c r="F236" s="189"/>
      <c r="G236" s="189" t="str">
        <f>IF($E236="","",INDEX(KPI!$G:$G,SUMIFS(KPI!$B:$B,KPI!$E:$E,$E236)))</f>
        <v>тыс.руб.</v>
      </c>
      <c r="H236" s="189"/>
      <c r="I236" s="190"/>
      <c r="J236" s="189"/>
      <c r="K236" s="190"/>
      <c r="L236" s="189"/>
      <c r="M236" s="191">
        <f>SUM($O236:$AB236)</f>
        <v>28550.37484</v>
      </c>
      <c r="N236" s="155"/>
      <c r="O236" s="155"/>
      <c r="P236" s="192">
        <f>IF(P$1="",0,IF($M206&lt;0,0,IF(SUM($O236:O236)=$M$190,0,IF(SUM($O196:P196)&lt;=$M$190,P196,$M$190-SUM($O196:O196)))))</f>
        <v>8165.7865950651494</v>
      </c>
      <c r="Q236" s="192">
        <f>IF(Q$1="",0,IF($M206&lt;0,0,IF(SUM($O236:P236)=$M$190,0,IF(SUM($O196:Q196)&lt;=$M$190,Q196,$M$190-SUM($O196:P196)))))</f>
        <v>3605.6902367040602</v>
      </c>
      <c r="R236" s="192">
        <f>IF(R$1="",0,IF($M206&lt;0,0,IF(SUM($O236:Q236)=$M$190,0,IF(SUM($O196:R196)&lt;=$M$190,R196,$M$190-SUM($O196:Q196)))))</f>
        <v>3879.4571110995121</v>
      </c>
      <c r="S236" s="192">
        <f>IF(S$1="",0,IF($M206&lt;0,0,IF(SUM($O236:R236)=$M$190,0,IF(SUM($O196:S196)&lt;=$M$190,S196,$M$190-SUM($O196:R196)))))</f>
        <v>3777.0656945119767</v>
      </c>
      <c r="T236" s="192">
        <f>IF(T$1="",0,IF($M206&lt;0,0,IF(SUM($O236:S236)=$M$190,0,IF(SUM($O196:T196)&lt;=$M$190,T196,$M$190-SUM($O196:S196)))))</f>
        <v>3803.5159370612582</v>
      </c>
      <c r="U236" s="192">
        <f>IF(U$1="",0,IF($M206&lt;0,0,IF(SUM($O236:T236)=$M$190,0,IF(SUM($O196:U196)&lt;=$M$190,U196,$M$190-SUM($O196:T196)))))</f>
        <v>4111.9042924618825</v>
      </c>
      <c r="V236" s="192">
        <f>IF(V$1="",0,IF($M206&lt;0,0,IF(SUM($O236:U236)=$M$190,0,IF(SUM($O196:V196)&lt;=$M$190,V196,$M$190-SUM($O196:U196)))))</f>
        <v>1206.9549730961553</v>
      </c>
      <c r="W236" s="192">
        <f>IF(W$1="",0,IF($M206&lt;0,0,IF(SUM($O236:V236)=$M$190,0,IF(SUM($O196:W196)&lt;=$M$190,W196,$M$190-SUM($O196:V196)))))</f>
        <v>0</v>
      </c>
      <c r="X236" s="192">
        <f>IF(X$1="",0,IF($M206&lt;0,0,IF(SUM($O236:W236)=$M$190,0,IF(SUM($O196:X196)&lt;=$M$190,X196,$M$190-SUM($O196:W196)))))</f>
        <v>0</v>
      </c>
      <c r="Y236" s="192">
        <f>IF(Y$1="",0,IF($M206&lt;0,0,IF(SUM($O236:X236)=$M$190,0,IF(SUM($O196:Y196)&lt;=$M$190,Y196,$M$190-SUM($O196:X196)))))</f>
        <v>0</v>
      </c>
      <c r="Z236" s="192">
        <f>IF(Z$1="",0,IF($M206&lt;0,0,IF(SUM($O236:Y236)=$M$190,0,IF(SUM($O196:Z196)&lt;=$M$190,Z196,$M$190-SUM($O196:Y196)))))</f>
        <v>0</v>
      </c>
      <c r="AA236" s="192">
        <f>IF(AA$1="",0,IF($M206&lt;0,0,IF(SUM($O236:Z236)=$M$190,0,IF(SUM($O196:AA196)&lt;=$M$190,AA196,$M$190-SUM($O196:Z196)))))</f>
        <v>0</v>
      </c>
      <c r="AB236" s="155"/>
    </row>
    <row r="237" spans="1:28" s="5" customFormat="1" ht="3.9" customHeight="1" x14ac:dyDescent="0.25">
      <c r="A237" s="150">
        <f>1</f>
        <v>1</v>
      </c>
      <c r="B237" s="128"/>
      <c r="C237" s="3"/>
      <c r="D237" s="3"/>
      <c r="E237" s="3"/>
      <c r="F237" s="3"/>
      <c r="G237" s="3"/>
      <c r="H237" s="3"/>
      <c r="I237" s="28"/>
      <c r="J237" s="3"/>
      <c r="K237" s="28"/>
      <c r="L237" s="3"/>
      <c r="M237" s="55"/>
      <c r="N237" s="3"/>
      <c r="O237" s="3"/>
      <c r="P237" s="193">
        <f>IF(AND(P238&lt;&gt;0,Q238=0),P$1,0)</f>
        <v>0</v>
      </c>
      <c r="Q237" s="193">
        <f t="shared" ref="Q237" si="18">IF(AND(Q238&lt;&gt;0,R238=0),Q$1,0)</f>
        <v>0</v>
      </c>
      <c r="R237" s="193">
        <f t="shared" ref="R237" si="19">IF(AND(R238&lt;&gt;0,S238=0),R$1,0)</f>
        <v>0</v>
      </c>
      <c r="S237" s="193">
        <f t="shared" ref="S237" si="20">IF(AND(S238&lt;&gt;0,T238=0),S$1,0)</f>
        <v>0</v>
      </c>
      <c r="T237" s="193">
        <f t="shared" ref="T237" si="21">IF(AND(T238&lt;&gt;0,U238=0),T$1,0)</f>
        <v>0</v>
      </c>
      <c r="U237" s="193">
        <f t="shared" ref="U237" si="22">IF(AND(U238&lt;&gt;0,V238=0),U$1,0)</f>
        <v>6</v>
      </c>
      <c r="V237" s="193">
        <f t="shared" ref="V237" si="23">IF(AND(V238&lt;&gt;0,W238=0),V$1,0)</f>
        <v>0</v>
      </c>
      <c r="W237" s="193">
        <f t="shared" ref="W237" si="24">IF(AND(W238&lt;&gt;0,X238=0),W$1,0)</f>
        <v>0</v>
      </c>
      <c r="X237" s="193">
        <f t="shared" ref="X237" si="25">IF(AND(X238&lt;&gt;0,Y238=0),X$1,0)</f>
        <v>0</v>
      </c>
      <c r="Y237" s="193">
        <f t="shared" ref="Y237" si="26">IF(AND(Y238&lt;&gt;0,Z238=0),Y$1,0)</f>
        <v>0</v>
      </c>
      <c r="Z237" s="193">
        <f t="shared" ref="Z237" si="27">IF(AND(Z238&lt;&gt;0,AA238=0),Z$1,0)</f>
        <v>0</v>
      </c>
      <c r="AA237" s="193">
        <f t="shared" ref="AA237" si="28">IF(AND(AA238&lt;&gt;0,AB238=0),AA$1,0)</f>
        <v>0</v>
      </c>
      <c r="AB237" s="3"/>
    </row>
    <row r="238" spans="1:28" s="157" customFormat="1" x14ac:dyDescent="0.25">
      <c r="A238" s="155">
        <f>1</f>
        <v>1</v>
      </c>
      <c r="B238" s="156" t="str">
        <f>структура!$J$13</f>
        <v>УСН(6%)</v>
      </c>
      <c r="C238" s="155"/>
      <c r="D238" s="155"/>
      <c r="E238" s="189" t="str">
        <f>E236</f>
        <v>График возврата инвестиций (приведенный)</v>
      </c>
      <c r="F238" s="189"/>
      <c r="G238" s="189" t="str">
        <f>IF($E238="","",INDEX(KPI!$G:$G,SUMIFS(KPI!$B:$B,KPI!$E:$E,$E238)))</f>
        <v>тыс.руб.</v>
      </c>
      <c r="H238" s="189"/>
      <c r="I238" s="190"/>
      <c r="J238" s="189"/>
      <c r="K238" s="190"/>
      <c r="L238" s="189"/>
      <c r="M238" s="191">
        <f>SUM($O238:$AB238)</f>
        <v>28550.37484</v>
      </c>
      <c r="N238" s="155"/>
      <c r="O238" s="155"/>
      <c r="P238" s="192">
        <f>IF(P$1="",0,IF($M208&lt;0,0,IF(SUM($O238:O238)=$M$190,0,IF(SUM($O198:P198)&lt;=$M$190,P198,$M$190-SUM($O198:O198)))))</f>
        <v>5764.2146496106043</v>
      </c>
      <c r="Q238" s="192">
        <f>IF(Q$1="",0,IF($M208&lt;0,0,IF(SUM($O238:P238)=$M$190,0,IF(SUM($O198:Q198)&lt;=$M$190,Q198,$M$190-SUM($O198:P198)))))</f>
        <v>5266.0671239308112</v>
      </c>
      <c r="R238" s="192">
        <f>IF(R$1="",0,IF($M208&lt;0,0,IF(SUM($O238:Q238)=$M$190,0,IF(SUM($O198:R198)&lt;=$M$190,R198,$M$190-SUM($O198:Q198)))))</f>
        <v>5509.4571363018931</v>
      </c>
      <c r="S238" s="192">
        <f>IF(S$1="",0,IF($M208&lt;0,0,IF(SUM($O238:R238)=$M$190,0,IF(SUM($O198:S198)&lt;=$M$190,S198,$M$190-SUM($O198:R198)))))</f>
        <v>5462.1829036179561</v>
      </c>
      <c r="T238" s="192">
        <f>IF(T$1="",0,IF($M208&lt;0,0,IF(SUM($O238:S238)=$M$190,0,IF(SUM($O198:T198)&lt;=$M$190,T198,$M$190-SUM($O198:S198)))))</f>
        <v>5467.4556463686686</v>
      </c>
      <c r="U238" s="192">
        <f>IF(U$1="",0,IF($M208&lt;0,0,IF(SUM($O238:T238)=$M$190,0,IF(SUM($O198:U198)&lt;=$M$190,U198,$M$190-SUM($O198:T198)))))</f>
        <v>1080.9973801700689</v>
      </c>
      <c r="V238" s="192">
        <f>IF(V$1="",0,IF($M208&lt;0,0,IF(SUM($O238:U238)=$M$190,0,IF(SUM($O198:V198)&lt;=$M$190,V198,$M$190-SUM($O198:U198)))))</f>
        <v>0</v>
      </c>
      <c r="W238" s="192">
        <f>IF(W$1="",0,IF($M208&lt;0,0,IF(SUM($O238:V238)=$M$190,0,IF(SUM($O198:W198)&lt;=$M$190,W198,$M$190-SUM($O198:V198)))))</f>
        <v>0</v>
      </c>
      <c r="X238" s="192">
        <f>IF(X$1="",0,IF($M208&lt;0,0,IF(SUM($O238:W238)=$M$190,0,IF(SUM($O198:X198)&lt;=$M$190,X198,$M$190-SUM($O198:W198)))))</f>
        <v>0</v>
      </c>
      <c r="Y238" s="192">
        <f>IF(Y$1="",0,IF($M208&lt;0,0,IF(SUM($O238:X238)=$M$190,0,IF(SUM($O198:Y198)&lt;=$M$190,Y198,$M$190-SUM($O198:X198)))))</f>
        <v>0</v>
      </c>
      <c r="Z238" s="192">
        <f>IF(Z$1="",0,IF($M208&lt;0,0,IF(SUM($O238:Y238)=$M$190,0,IF(SUM($O198:Z198)&lt;=$M$190,Z198,$M$190-SUM($O198:Y198)))))</f>
        <v>0</v>
      </c>
      <c r="AA238" s="192">
        <f>IF(AA$1="",0,IF($M208&lt;0,0,IF(SUM($O238:Z238)=$M$190,0,IF(SUM($O198:AA198)&lt;=$M$190,AA198,$M$190-SUM($O198:Z198)))))</f>
        <v>0</v>
      </c>
      <c r="AB238" s="155"/>
    </row>
    <row r="239" spans="1:28" s="5" customFormat="1" ht="3.9" customHeight="1" x14ac:dyDescent="0.25">
      <c r="A239" s="150">
        <f>1</f>
        <v>1</v>
      </c>
      <c r="B239" s="128"/>
      <c r="C239" s="3"/>
      <c r="D239" s="3"/>
      <c r="E239" s="3"/>
      <c r="F239" s="3"/>
      <c r="G239" s="3"/>
      <c r="H239" s="3"/>
      <c r="I239" s="28"/>
      <c r="J239" s="3"/>
      <c r="K239" s="28"/>
      <c r="L239" s="3"/>
      <c r="M239" s="55"/>
      <c r="N239" s="3"/>
      <c r="O239" s="3"/>
      <c r="P239" s="193">
        <f>IF(AND(P240&lt;&gt;0,Q240=0),P$1,0)</f>
        <v>0</v>
      </c>
      <c r="Q239" s="193">
        <f t="shared" ref="Q239" si="29">IF(AND(Q240&lt;&gt;0,R240=0),Q$1,0)</f>
        <v>0</v>
      </c>
      <c r="R239" s="193">
        <f t="shared" ref="R239" si="30">IF(AND(R240&lt;&gt;0,S240=0),R$1,0)</f>
        <v>0</v>
      </c>
      <c r="S239" s="193">
        <f t="shared" ref="S239" si="31">IF(AND(S240&lt;&gt;0,T240=0),S$1,0)</f>
        <v>0</v>
      </c>
      <c r="T239" s="193">
        <f t="shared" ref="T239" si="32">IF(AND(T240&lt;&gt;0,U240=0),T$1,0)</f>
        <v>0</v>
      </c>
      <c r="U239" s="193">
        <f t="shared" ref="U239" si="33">IF(AND(U240&lt;&gt;0,V240=0),U$1,0)</f>
        <v>6</v>
      </c>
      <c r="V239" s="193">
        <f t="shared" ref="V239" si="34">IF(AND(V240&lt;&gt;0,W240=0),V$1,0)</f>
        <v>0</v>
      </c>
      <c r="W239" s="193">
        <f t="shared" ref="W239" si="35">IF(AND(W240&lt;&gt;0,X240=0),W$1,0)</f>
        <v>0</v>
      </c>
      <c r="X239" s="193">
        <f t="shared" ref="X239" si="36">IF(AND(X240&lt;&gt;0,Y240=0),X$1,0)</f>
        <v>0</v>
      </c>
      <c r="Y239" s="193">
        <f t="shared" ref="Y239" si="37">IF(AND(Y240&lt;&gt;0,Z240=0),Y$1,0)</f>
        <v>0</v>
      </c>
      <c r="Z239" s="193">
        <f t="shared" ref="Z239" si="38">IF(AND(Z240&lt;&gt;0,AA240=0),Z$1,0)</f>
        <v>0</v>
      </c>
      <c r="AA239" s="193">
        <f t="shared" ref="AA239" si="39">IF(AND(AA240&lt;&gt;0,AB240=0),AA$1,0)</f>
        <v>0</v>
      </c>
      <c r="AB239" s="3"/>
    </row>
    <row r="240" spans="1:28" s="157" customFormat="1" x14ac:dyDescent="0.25">
      <c r="A240" s="155">
        <f>1</f>
        <v>1</v>
      </c>
      <c r="B240" s="156" t="str">
        <f>структура!$J$14</f>
        <v>УСН(15%)</v>
      </c>
      <c r="C240" s="155"/>
      <c r="D240" s="155"/>
      <c r="E240" s="189" t="str">
        <f>E236</f>
        <v>График возврата инвестиций (приведенный)</v>
      </c>
      <c r="F240" s="189"/>
      <c r="G240" s="189" t="str">
        <f>IF($E240="","",INDEX(KPI!$G:$G,SUMIFS(KPI!$B:$B,KPI!$E:$E,$E240)))</f>
        <v>тыс.руб.</v>
      </c>
      <c r="H240" s="189"/>
      <c r="I240" s="190"/>
      <c r="J240" s="189"/>
      <c r="K240" s="190"/>
      <c r="L240" s="189"/>
      <c r="M240" s="191">
        <f>SUM($O240:$AB240)</f>
        <v>28550.37484</v>
      </c>
      <c r="N240" s="155"/>
      <c r="O240" s="155"/>
      <c r="P240" s="192">
        <f>IF(P$1="",0,IF($M210&lt;0,0,IF(SUM($O240:O240)=$M$190,0,IF(SUM($O200:P200)&lt;=$M$190,P200,$M$190-SUM($O200:O200)))))</f>
        <v>5764.2146496106043</v>
      </c>
      <c r="Q240" s="192">
        <f>IF(Q$1="",0,IF($M210&lt;0,0,IF(SUM($O240:P240)=$M$190,0,IF(SUM($O200:Q200)&lt;=$M$190,Q200,$M$190-SUM($O200:P200)))))</f>
        <v>4840.9893730462118</v>
      </c>
      <c r="R240" s="192">
        <f>IF(R$1="",0,IF($M210&lt;0,0,IF(SUM($O240:Q240)=$M$190,0,IF(SUM($O200:R200)&lt;=$M$190,R200,$M$190-SUM($O200:Q200)))))</f>
        <v>5076.6205821543608</v>
      </c>
      <c r="S240" s="192">
        <f>IF(S$1="",0,IF($M210&lt;0,0,IF(SUM($O240:R240)=$M$190,0,IF(SUM($O200:S200)&lt;=$M$190,S200,$M$190-SUM($O200:R200)))))</f>
        <v>4988.1296224257958</v>
      </c>
      <c r="T240" s="192">
        <f>IF(T$1="",0,IF($M210&lt;0,0,IF(SUM($O240:S240)=$M$190,0,IF(SUM($O200:T200)&lt;=$M$190,T200,$M$190-SUM($O200:S200)))))</f>
        <v>4983.3895309568406</v>
      </c>
      <c r="U240" s="192">
        <f>IF(U$1="",0,IF($M210&lt;0,0,IF(SUM($O240:T240)=$M$190,0,IF(SUM($O200:U200)&lt;=$M$190,U200,$M$190-SUM($O200:T200)))))</f>
        <v>2897.031081806188</v>
      </c>
      <c r="V240" s="192">
        <f>IF(V$1="",0,IF($M210&lt;0,0,IF(SUM($O240:U240)=$M$190,0,IF(SUM($O200:V200)&lt;=$M$190,V200,$M$190-SUM($O200:U200)))))</f>
        <v>0</v>
      </c>
      <c r="W240" s="192">
        <f>IF(W$1="",0,IF($M210&lt;0,0,IF(SUM($O240:V240)=$M$190,0,IF(SUM($O200:W200)&lt;=$M$190,W200,$M$190-SUM($O200:V200)))))</f>
        <v>0</v>
      </c>
      <c r="X240" s="192">
        <f>IF(X$1="",0,IF($M210&lt;0,0,IF(SUM($O240:W240)=$M$190,0,IF(SUM($O200:X200)&lt;=$M$190,X200,$M$190-SUM($O200:W200)))))</f>
        <v>0</v>
      </c>
      <c r="Y240" s="192">
        <f>IF(Y$1="",0,IF($M210&lt;0,0,IF(SUM($O240:X240)=$M$190,0,IF(SUM($O200:Y200)&lt;=$M$190,Y200,$M$190-SUM($O200:X200)))))</f>
        <v>0</v>
      </c>
      <c r="Z240" s="192">
        <f>IF(Z$1="",0,IF($M210&lt;0,0,IF(SUM($O240:Y240)=$M$190,0,IF(SUM($O200:Z200)&lt;=$M$190,Z200,$M$190-SUM($O200:Y200)))))</f>
        <v>0</v>
      </c>
      <c r="AA240" s="192">
        <f>IF(AA$1="",0,IF($M210&lt;0,0,IF(SUM($O240:Z240)=$M$190,0,IF(SUM($O200:AA200)&lt;=$M$190,AA200,$M$190-SUM($O200:Z200)))))</f>
        <v>0</v>
      </c>
      <c r="AB240" s="155"/>
    </row>
    <row r="241" spans="1:28" s="5" customFormat="1" ht="3.9" customHeight="1" x14ac:dyDescent="0.25">
      <c r="A241" s="150">
        <f>1</f>
        <v>1</v>
      </c>
      <c r="B241" s="128"/>
      <c r="C241" s="3"/>
      <c r="D241" s="3"/>
      <c r="E241" s="3"/>
      <c r="F241" s="3"/>
      <c r="G241" s="3"/>
      <c r="H241" s="3"/>
      <c r="I241" s="28"/>
      <c r="J241" s="3"/>
      <c r="K241" s="28"/>
      <c r="L241" s="3"/>
      <c r="M241" s="55"/>
      <c r="N241" s="3"/>
      <c r="O241" s="3"/>
      <c r="P241" s="193">
        <f>IF(AND(P242&lt;&gt;0,Q242=0),P$1,0)</f>
        <v>0</v>
      </c>
      <c r="Q241" s="193">
        <f t="shared" ref="Q241" si="40">IF(AND(Q242&lt;&gt;0,R242=0),Q$1,0)</f>
        <v>0</v>
      </c>
      <c r="R241" s="193">
        <f t="shared" ref="R241" si="41">IF(AND(R242&lt;&gt;0,S242=0),R$1,0)</f>
        <v>0</v>
      </c>
      <c r="S241" s="193">
        <f t="shared" ref="S241" si="42">IF(AND(S242&lt;&gt;0,T242=0),S$1,0)</f>
        <v>0</v>
      </c>
      <c r="T241" s="193">
        <f t="shared" ref="T241" si="43">IF(AND(T242&lt;&gt;0,U242=0),T$1,0)</f>
        <v>5</v>
      </c>
      <c r="U241" s="193">
        <f t="shared" ref="U241" si="44">IF(AND(U242&lt;&gt;0,V242=0),U$1,0)</f>
        <v>0</v>
      </c>
      <c r="V241" s="193">
        <f t="shared" ref="V241" si="45">IF(AND(V242&lt;&gt;0,W242=0),V$1,0)</f>
        <v>0</v>
      </c>
      <c r="W241" s="193">
        <f t="shared" ref="W241" si="46">IF(AND(W242&lt;&gt;0,X242=0),W$1,0)</f>
        <v>0</v>
      </c>
      <c r="X241" s="193">
        <f t="shared" ref="X241" si="47">IF(AND(X242&lt;&gt;0,Y242=0),X$1,0)</f>
        <v>0</v>
      </c>
      <c r="Y241" s="193">
        <f t="shared" ref="Y241" si="48">IF(AND(Y242&lt;&gt;0,Z242=0),Y$1,0)</f>
        <v>0</v>
      </c>
      <c r="Z241" s="193">
        <f t="shared" ref="Z241" si="49">IF(AND(Z242&lt;&gt;0,AA242=0),Z$1,0)</f>
        <v>0</v>
      </c>
      <c r="AA241" s="193">
        <f t="shared" ref="AA241" si="50">IF(AND(AA242&lt;&gt;0,AB242=0),AA$1,0)</f>
        <v>0</v>
      </c>
      <c r="AB241" s="3"/>
    </row>
    <row r="242" spans="1:28" s="157" customFormat="1" x14ac:dyDescent="0.25">
      <c r="A242" s="155">
        <f>1</f>
        <v>1</v>
      </c>
      <c r="B242" s="156" t="str">
        <f>структура!$J$15</f>
        <v>УСН(6%)-ИП</v>
      </c>
      <c r="C242" s="155"/>
      <c r="D242" s="155"/>
      <c r="E242" s="189" t="str">
        <f>E236</f>
        <v>График возврата инвестиций (приведенный)</v>
      </c>
      <c r="F242" s="189"/>
      <c r="G242" s="189" t="str">
        <f>IF($E242="","",INDEX(KPI!$G:$G,SUMIFS(KPI!$B:$B,KPI!$E:$E,$E242)))</f>
        <v>тыс.руб.</v>
      </c>
      <c r="H242" s="189"/>
      <c r="I242" s="190"/>
      <c r="J242" s="189"/>
      <c r="K242" s="190"/>
      <c r="L242" s="189"/>
      <c r="M242" s="191">
        <f>SUM($O242:$AB242)</f>
        <v>28550.37484</v>
      </c>
      <c r="N242" s="155"/>
      <c r="O242" s="155"/>
      <c r="P242" s="192">
        <f>IF(P$1="",0,IF($M212&lt;0,0,IF(SUM($O242:O242)=$M$190,0,IF(SUM($O202:P202)&lt;=$M$190,P202,$M$190-SUM($O202:O202)))))</f>
        <v>5764.2146496106043</v>
      </c>
      <c r="Q242" s="192">
        <f>IF(Q$1="",0,IF($M212&lt;0,0,IF(SUM($O242:P242)=$M$190,0,IF(SUM($O202:Q202)&lt;=$M$190,Q202,$M$190-SUM($O202:P202)))))</f>
        <v>5616.7547558443521</v>
      </c>
      <c r="R242" s="192">
        <f>IF(R$1="",0,IF($M212&lt;0,0,IF(SUM($O242:Q242)=$M$190,0,IF(SUM($O202:R202)&lt;=$M$190,R202,$M$190-SUM($O202:Q202)))))</f>
        <v>5842.5416852240451</v>
      </c>
      <c r="S242" s="192">
        <f>IF(S$1="",0,IF($M212&lt;0,0,IF(SUM($O242:R242)=$M$190,0,IF(SUM($O202:S202)&lt;=$M$190,S202,$M$190-SUM($O202:R202)))))</f>
        <v>5784.8398522290736</v>
      </c>
      <c r="T242" s="192">
        <f>IF(T$1="",0,IF($M212&lt;0,0,IF(SUM($O242:S242)=$M$190,0,IF(SUM($O202:T202)&lt;=$M$190,T202,$M$190-SUM($O202:S202)))))</f>
        <v>5542.0238970919272</v>
      </c>
      <c r="U242" s="192">
        <f>IF(U$1="",0,IF($M212&lt;0,0,IF(SUM($O242:T242)=$M$190,0,IF(SUM($O202:U202)&lt;=$M$190,U202,$M$190-SUM($O202:T202)))))</f>
        <v>0</v>
      </c>
      <c r="V242" s="192">
        <f>IF(V$1="",0,IF($M212&lt;0,0,IF(SUM($O242:U242)=$M$190,0,IF(SUM($O202:V202)&lt;=$M$190,V202,$M$190-SUM($O202:U202)))))</f>
        <v>0</v>
      </c>
      <c r="W242" s="192">
        <f>IF(W$1="",0,IF($M212&lt;0,0,IF(SUM($O242:V242)=$M$190,0,IF(SUM($O202:W202)&lt;=$M$190,W202,$M$190-SUM($O202:V202)))))</f>
        <v>0</v>
      </c>
      <c r="X242" s="192">
        <f>IF(X$1="",0,IF($M212&lt;0,0,IF(SUM($O242:W242)=$M$190,0,IF(SUM($O202:X202)&lt;=$M$190,X202,$M$190-SUM($O202:W202)))))</f>
        <v>0</v>
      </c>
      <c r="Y242" s="192">
        <f>IF(Y$1="",0,IF($M212&lt;0,0,IF(SUM($O242:X242)=$M$190,0,IF(SUM($O202:Y202)&lt;=$M$190,Y202,$M$190-SUM($O202:X202)))))</f>
        <v>0</v>
      </c>
      <c r="Z242" s="192">
        <f>IF(Z$1="",0,IF($M212&lt;0,0,IF(SUM($O242:Y242)=$M$190,0,IF(SUM($O202:Z202)&lt;=$M$190,Z202,$M$190-SUM($O202:Y202)))))</f>
        <v>0</v>
      </c>
      <c r="AA242" s="192">
        <f>IF(AA$1="",0,IF($M212&lt;0,0,IF(SUM($O242:Z242)=$M$190,0,IF(SUM($O202:AA202)&lt;=$M$190,AA202,$M$190-SUM($O202:Z202)))))</f>
        <v>0</v>
      </c>
      <c r="AB242" s="155"/>
    </row>
    <row r="243" spans="1:28" ht="3.9" customHeight="1" x14ac:dyDescent="0.25">
      <c r="A243" s="149">
        <f>1</f>
        <v>1</v>
      </c>
      <c r="B243" s="131"/>
      <c r="C243" s="2"/>
      <c r="D243" s="2"/>
      <c r="E243" s="119"/>
      <c r="F243" s="2"/>
      <c r="G243" s="119"/>
      <c r="H243" s="2"/>
      <c r="I243" s="28"/>
      <c r="J243" s="2"/>
      <c r="K243" s="28"/>
      <c r="L243" s="2"/>
      <c r="M243" s="142"/>
      <c r="N243" s="2"/>
      <c r="O243" s="2"/>
      <c r="P243" s="36"/>
      <c r="Q243" s="36"/>
      <c r="R243" s="36"/>
      <c r="S243" s="36"/>
      <c r="T243" s="36"/>
      <c r="U243" s="36"/>
      <c r="V243" s="36"/>
      <c r="W243" s="36"/>
      <c r="X243" s="36"/>
      <c r="Y243" s="36"/>
      <c r="Z243" s="36"/>
      <c r="AA243" s="36"/>
      <c r="AB243" s="2"/>
    </row>
    <row r="244" spans="1:28" ht="8.1" customHeight="1" x14ac:dyDescent="0.25">
      <c r="A244" s="149">
        <f>1</f>
        <v>1</v>
      </c>
      <c r="B244" s="131"/>
      <c r="C244" s="2"/>
      <c r="D244" s="2"/>
      <c r="E244" s="2"/>
      <c r="F244" s="2"/>
      <c r="G244" s="2"/>
      <c r="H244" s="2"/>
      <c r="I244" s="28"/>
      <c r="J244" s="2"/>
      <c r="K244" s="28"/>
      <c r="L244" s="2"/>
      <c r="M244" s="52"/>
      <c r="N244" s="2"/>
      <c r="O244" s="2"/>
      <c r="P244" s="36"/>
      <c r="Q244" s="36"/>
      <c r="R244" s="36"/>
      <c r="S244" s="36"/>
      <c r="T244" s="36"/>
      <c r="U244" s="36"/>
      <c r="V244" s="36"/>
      <c r="W244" s="36"/>
      <c r="X244" s="36"/>
      <c r="Y244" s="36"/>
      <c r="Z244" s="36"/>
      <c r="AA244" s="36"/>
      <c r="AB244" s="2"/>
    </row>
    <row r="245" spans="1:28" ht="3.9" customHeight="1" x14ac:dyDescent="0.25">
      <c r="A245" s="149">
        <f>1</f>
        <v>1</v>
      </c>
      <c r="B245" s="131"/>
      <c r="C245" s="2"/>
      <c r="D245" s="2"/>
      <c r="E245" s="2"/>
      <c r="F245" s="2"/>
      <c r="G245" s="2"/>
      <c r="H245" s="2"/>
      <c r="I245" s="28"/>
      <c r="J245" s="2"/>
      <c r="K245" s="28"/>
      <c r="L245" s="2"/>
      <c r="M245" s="52"/>
      <c r="N245" s="2"/>
      <c r="O245" s="2"/>
      <c r="P245" s="36"/>
      <c r="Q245" s="36"/>
      <c r="R245" s="36"/>
      <c r="S245" s="36"/>
      <c r="T245" s="36"/>
      <c r="U245" s="36"/>
      <c r="V245" s="36"/>
      <c r="W245" s="36"/>
      <c r="X245" s="36"/>
      <c r="Y245" s="36"/>
      <c r="Z245" s="36"/>
      <c r="AA245" s="36"/>
      <c r="AB245" s="2"/>
    </row>
    <row r="246" spans="1:28" s="5" customFormat="1" x14ac:dyDescent="0.25">
      <c r="A246" s="150">
        <f>1</f>
        <v>1</v>
      </c>
      <c r="B246" s="129" t="str">
        <f>структура!$J$12</f>
        <v>ОСНО</v>
      </c>
      <c r="C246" s="3"/>
      <c r="D246" s="3"/>
      <c r="E246" s="147" t="str">
        <f>KPI!$E$105</f>
        <v>приведенный средневзвешенный срок окуп-ти</v>
      </c>
      <c r="F246" s="147"/>
      <c r="G246" s="147" t="str">
        <f>IF($E246="","",INDEX(KPI!$G:$G,SUMIFS(KPI!$B:$B,KPI!$E:$E,$E246)))</f>
        <v>лет</v>
      </c>
      <c r="H246" s="147"/>
      <c r="I246" s="170"/>
      <c r="J246" s="147"/>
      <c r="K246" s="170"/>
      <c r="L246" s="147"/>
      <c r="M246" s="187">
        <f>IF(OR($M206&lt;0,$M236=0),"&gt;"&amp;MAX($1:$1),SUMPRODUCT($O$2:$AB$2,$O236:$AB236)/$M236)</f>
        <v>3.3015850740953137</v>
      </c>
      <c r="N246" s="3"/>
      <c r="O246" s="3"/>
      <c r="P246" s="104" t="s">
        <v>403</v>
      </c>
      <c r="Q246" s="46"/>
      <c r="R246" s="46"/>
      <c r="S246" s="46"/>
      <c r="T246" s="46"/>
      <c r="U246" s="46"/>
      <c r="V246" s="46"/>
      <c r="W246" s="46"/>
      <c r="X246" s="46"/>
      <c r="Y246" s="46"/>
      <c r="Z246" s="46"/>
      <c r="AA246" s="46"/>
      <c r="AB246" s="3"/>
    </row>
    <row r="247" spans="1:28" s="5" customFormat="1" ht="3.9" customHeight="1" x14ac:dyDescent="0.25">
      <c r="A247" s="150">
        <f>1</f>
        <v>1</v>
      </c>
      <c r="B247" s="128"/>
      <c r="C247" s="3"/>
      <c r="D247" s="3"/>
      <c r="E247" s="3"/>
      <c r="F247" s="3"/>
      <c r="G247" s="3"/>
      <c r="H247" s="3"/>
      <c r="I247" s="28"/>
      <c r="J247" s="3"/>
      <c r="K247" s="28"/>
      <c r="L247" s="3"/>
      <c r="M247" s="55"/>
      <c r="N247" s="3"/>
      <c r="O247" s="3"/>
      <c r="P247" s="46"/>
      <c r="Q247" s="46"/>
      <c r="R247" s="46"/>
      <c r="S247" s="46"/>
      <c r="T247" s="46"/>
      <c r="U247" s="46"/>
      <c r="V247" s="46"/>
      <c r="W247" s="46"/>
      <c r="X247" s="46"/>
      <c r="Y247" s="46"/>
      <c r="Z247" s="46"/>
      <c r="AA247" s="46"/>
      <c r="AB247" s="3"/>
    </row>
    <row r="248" spans="1:28" s="5" customFormat="1" x14ac:dyDescent="0.25">
      <c r="A248" s="150">
        <f>1</f>
        <v>1</v>
      </c>
      <c r="B248" s="129" t="str">
        <f>структура!$J$13</f>
        <v>УСН(6%)</v>
      </c>
      <c r="C248" s="3"/>
      <c r="D248" s="3"/>
      <c r="E248" s="147" t="str">
        <f>E246</f>
        <v>приведенный средневзвешенный срок окуп-ти</v>
      </c>
      <c r="F248" s="147"/>
      <c r="G248" s="147" t="str">
        <f>IF($E248="","",INDEX(KPI!$G:$G,SUMIFS(KPI!$B:$B,KPI!$E:$E,$E248)))</f>
        <v>лет</v>
      </c>
      <c r="H248" s="147"/>
      <c r="I248" s="170"/>
      <c r="J248" s="147"/>
      <c r="K248" s="170"/>
      <c r="L248" s="147"/>
      <c r="M248" s="187">
        <f>IF(OR($M208&lt;0,$M238=0),"&gt;"&amp;MAX($1:$1),SUMPRODUCT($O$2:$AB$2,$O238:$AB238)/$M238)</f>
        <v>3.0996690911996971</v>
      </c>
      <c r="N248" s="3"/>
      <c r="O248" s="3"/>
      <c r="P248" s="46"/>
      <c r="Q248" s="46"/>
      <c r="R248" s="46"/>
      <c r="S248" s="46"/>
      <c r="T248" s="46"/>
      <c r="U248" s="46"/>
      <c r="V248" s="46"/>
      <c r="W248" s="46"/>
      <c r="X248" s="46"/>
      <c r="Y248" s="46"/>
      <c r="Z248" s="46"/>
      <c r="AA248" s="46"/>
      <c r="AB248" s="3"/>
    </row>
    <row r="249" spans="1:28" s="5" customFormat="1" ht="3.9" customHeight="1" x14ac:dyDescent="0.25">
      <c r="A249" s="150">
        <f>1</f>
        <v>1</v>
      </c>
      <c r="B249" s="128"/>
      <c r="C249" s="3"/>
      <c r="D249" s="3"/>
      <c r="E249" s="3"/>
      <c r="F249" s="3"/>
      <c r="G249" s="3"/>
      <c r="H249" s="3"/>
      <c r="I249" s="28"/>
      <c r="J249" s="3"/>
      <c r="K249" s="28"/>
      <c r="L249" s="3"/>
      <c r="M249" s="55"/>
      <c r="N249" s="3"/>
      <c r="O249" s="3"/>
      <c r="P249" s="46"/>
      <c r="Q249" s="46"/>
      <c r="R249" s="46"/>
      <c r="S249" s="46"/>
      <c r="T249" s="46"/>
      <c r="U249" s="46"/>
      <c r="V249" s="46"/>
      <c r="W249" s="46"/>
      <c r="X249" s="46"/>
      <c r="Y249" s="46"/>
      <c r="Z249" s="46"/>
      <c r="AA249" s="46"/>
      <c r="AB249" s="3"/>
    </row>
    <row r="250" spans="1:28" s="5" customFormat="1" x14ac:dyDescent="0.25">
      <c r="A250" s="150">
        <f>1</f>
        <v>1</v>
      </c>
      <c r="B250" s="129" t="str">
        <f>структура!$J$14</f>
        <v>УСН(15%)</v>
      </c>
      <c r="C250" s="3"/>
      <c r="D250" s="3"/>
      <c r="E250" s="147" t="str">
        <f>E246</f>
        <v>приведенный средневзвешенный срок окуп-ти</v>
      </c>
      <c r="F250" s="147"/>
      <c r="G250" s="147" t="str">
        <f>IF($E250="","",INDEX(KPI!$G:$G,SUMIFS(KPI!$B:$B,KPI!$E:$E,$E250)))</f>
        <v>лет</v>
      </c>
      <c r="H250" s="147"/>
      <c r="I250" s="170"/>
      <c r="J250" s="147"/>
      <c r="K250" s="170"/>
      <c r="L250" s="147"/>
      <c r="M250" s="187">
        <f>IF(OR($M210&lt;0,$M240=0),"&gt;"&amp;MAX($1:$1),SUMPRODUCT($O$2:$AB$2,$O240:$AB240)/$M240)</f>
        <v>3.2548682214601228</v>
      </c>
      <c r="N250" s="3"/>
      <c r="O250" s="3"/>
      <c r="P250" s="46"/>
      <c r="Q250" s="46"/>
      <c r="R250" s="46"/>
      <c r="S250" s="46"/>
      <c r="T250" s="46"/>
      <c r="U250" s="46"/>
      <c r="V250" s="46"/>
      <c r="W250" s="46"/>
      <c r="X250" s="46"/>
      <c r="Y250" s="46"/>
      <c r="Z250" s="46"/>
      <c r="AA250" s="46"/>
      <c r="AB250" s="3"/>
    </row>
    <row r="251" spans="1:28" s="5" customFormat="1" ht="3.9" customHeight="1" x14ac:dyDescent="0.25">
      <c r="A251" s="150">
        <f>1</f>
        <v>1</v>
      </c>
      <c r="B251" s="128"/>
      <c r="C251" s="3"/>
      <c r="D251" s="3"/>
      <c r="E251" s="3"/>
      <c r="F251" s="3"/>
      <c r="G251" s="3"/>
      <c r="H251" s="3"/>
      <c r="I251" s="28"/>
      <c r="J251" s="3"/>
      <c r="K251" s="28"/>
      <c r="L251" s="3"/>
      <c r="M251" s="55"/>
      <c r="N251" s="3"/>
      <c r="O251" s="3"/>
      <c r="P251" s="46"/>
      <c r="Q251" s="46"/>
      <c r="R251" s="46"/>
      <c r="S251" s="46"/>
      <c r="T251" s="46"/>
      <c r="U251" s="46"/>
      <c r="V251" s="46"/>
      <c r="W251" s="46"/>
      <c r="X251" s="46"/>
      <c r="Y251" s="46"/>
      <c r="Z251" s="46"/>
      <c r="AA251" s="46"/>
      <c r="AB251" s="3"/>
    </row>
    <row r="252" spans="1:28" s="5" customFormat="1" x14ac:dyDescent="0.25">
      <c r="A252" s="150">
        <f>1</f>
        <v>1</v>
      </c>
      <c r="B252" s="129" t="str">
        <f>структура!$J$15</f>
        <v>УСН(6%)-ИП</v>
      </c>
      <c r="C252" s="3"/>
      <c r="D252" s="3"/>
      <c r="E252" s="147" t="str">
        <f>E246</f>
        <v>приведенный средневзвешенный срок окуп-ти</v>
      </c>
      <c r="F252" s="147"/>
      <c r="G252" s="147" t="str">
        <f>IF($E252="","",INDEX(KPI!$G:$G,SUMIFS(KPI!$B:$B,KPI!$E:$E,$E252)))</f>
        <v>лет</v>
      </c>
      <c r="H252" s="147"/>
      <c r="I252" s="170"/>
      <c r="J252" s="147"/>
      <c r="K252" s="170"/>
      <c r="L252" s="147"/>
      <c r="M252" s="187">
        <f>IF(OR($M212&lt;0,$M242=0),"&gt;"&amp;MAX($1:$1),SUMPRODUCT($O$2:$AB$2,$O242:$AB242)/$M242)</f>
        <v>2.9903224945311218</v>
      </c>
      <c r="N252" s="3"/>
      <c r="O252" s="3"/>
      <c r="P252" s="46"/>
      <c r="Q252" s="46"/>
      <c r="R252" s="46"/>
      <c r="S252" s="46"/>
      <c r="T252" s="46"/>
      <c r="U252" s="46"/>
      <c r="V252" s="46"/>
      <c r="W252" s="46"/>
      <c r="X252" s="46"/>
      <c r="Y252" s="46"/>
      <c r="Z252" s="46"/>
      <c r="AA252" s="46"/>
      <c r="AB252" s="3"/>
    </row>
    <row r="253" spans="1:28" ht="3.9" customHeight="1" x14ac:dyDescent="0.25">
      <c r="A253" s="149">
        <f>1</f>
        <v>1</v>
      </c>
      <c r="B253" s="131"/>
      <c r="C253" s="2"/>
      <c r="D253" s="2"/>
      <c r="E253" s="117"/>
      <c r="F253" s="2"/>
      <c r="G253" s="117"/>
      <c r="H253" s="2"/>
      <c r="I253" s="28"/>
      <c r="J253" s="2"/>
      <c r="K253" s="28"/>
      <c r="L253" s="2"/>
      <c r="M253" s="138"/>
      <c r="N253" s="2"/>
      <c r="O253" s="2"/>
      <c r="P253" s="36"/>
      <c r="Q253" s="36"/>
      <c r="R253" s="36"/>
      <c r="S253" s="36"/>
      <c r="T253" s="36"/>
      <c r="U253" s="36"/>
      <c r="V253" s="36"/>
      <c r="W253" s="36"/>
      <c r="X253" s="36"/>
      <c r="Y253" s="36"/>
      <c r="Z253" s="36"/>
      <c r="AA253" s="36"/>
      <c r="AB253" s="2"/>
    </row>
    <row r="254" spans="1:28" ht="8.1" customHeight="1" x14ac:dyDescent="0.25">
      <c r="A254" s="149">
        <f>1</f>
        <v>1</v>
      </c>
      <c r="B254" s="131"/>
      <c r="C254" s="2"/>
      <c r="D254" s="2"/>
      <c r="E254" s="2"/>
      <c r="F254" s="2"/>
      <c r="G254" s="2"/>
      <c r="H254" s="2"/>
      <c r="I254" s="28"/>
      <c r="J254" s="2"/>
      <c r="K254" s="28"/>
      <c r="L254" s="2"/>
      <c r="M254" s="52"/>
      <c r="N254" s="2"/>
      <c r="O254" s="2"/>
      <c r="P254" s="36"/>
      <c r="Q254" s="36"/>
      <c r="R254" s="36"/>
      <c r="S254" s="36"/>
      <c r="T254" s="36"/>
      <c r="U254" s="36"/>
      <c r="V254" s="36"/>
      <c r="W254" s="36"/>
      <c r="X254" s="36"/>
      <c r="Y254" s="36"/>
      <c r="Z254" s="36"/>
      <c r="AA254" s="36"/>
      <c r="AB254" s="2"/>
    </row>
    <row r="255" spans="1:28" ht="3.9" customHeight="1" x14ac:dyDescent="0.25">
      <c r="A255" s="149">
        <f>1</f>
        <v>1</v>
      </c>
      <c r="B255" s="131"/>
      <c r="C255" s="2"/>
      <c r="D255" s="2"/>
      <c r="E255" s="2"/>
      <c r="F255" s="2"/>
      <c r="G255" s="2"/>
      <c r="H255" s="2"/>
      <c r="I255" s="28"/>
      <c r="J255" s="2"/>
      <c r="K255" s="28"/>
      <c r="L255" s="2"/>
      <c r="M255" s="52"/>
      <c r="N255" s="2"/>
      <c r="O255" s="2"/>
      <c r="P255" s="36"/>
      <c r="Q255" s="36"/>
      <c r="R255" s="36"/>
      <c r="S255" s="36"/>
      <c r="T255" s="36"/>
      <c r="U255" s="36"/>
      <c r="V255" s="36"/>
      <c r="W255" s="36"/>
      <c r="X255" s="36"/>
      <c r="Y255" s="36"/>
      <c r="Z255" s="36"/>
      <c r="AA255" s="36"/>
      <c r="AB255" s="2"/>
    </row>
    <row r="256" spans="1:28" s="5" customFormat="1" x14ac:dyDescent="0.25">
      <c r="A256" s="150">
        <f>1</f>
        <v>1</v>
      </c>
      <c r="B256" s="129" t="str">
        <f>структура!$J$12</f>
        <v>ОСНО</v>
      </c>
      <c r="C256" s="3"/>
      <c r="D256" s="3"/>
      <c r="E256" s="147" t="str">
        <f>KPI!$E$143</f>
        <v>приведенный классический срок окуп-ти</v>
      </c>
      <c r="F256" s="147"/>
      <c r="G256" s="147" t="str">
        <f>IF($E256="","",INDEX(KPI!$G:$G,SUMIFS(KPI!$B:$B,KPI!$E:$E,$E256)))</f>
        <v>лет</v>
      </c>
      <c r="H256" s="147"/>
      <c r="I256" s="170"/>
      <c r="J256" s="147"/>
      <c r="K256" s="170"/>
      <c r="L256" s="147"/>
      <c r="M256" s="187">
        <f>MAX(P235:AA235)</f>
        <v>7</v>
      </c>
      <c r="N256" s="3"/>
      <c r="O256" s="3"/>
      <c r="P256" s="104" t="s">
        <v>408</v>
      </c>
      <c r="Q256" s="46"/>
      <c r="R256" s="46"/>
      <c r="S256" s="46"/>
      <c r="T256" s="46"/>
      <c r="U256" s="46"/>
      <c r="V256" s="46"/>
      <c r="W256" s="46"/>
      <c r="X256" s="46"/>
      <c r="Y256" s="46"/>
      <c r="Z256" s="46"/>
      <c r="AA256" s="46"/>
      <c r="AB256" s="3"/>
    </row>
    <row r="257" spans="1:28" s="5" customFormat="1" ht="3.9" customHeight="1" x14ac:dyDescent="0.25">
      <c r="A257" s="150">
        <f>1</f>
        <v>1</v>
      </c>
      <c r="B257" s="128"/>
      <c r="C257" s="3"/>
      <c r="D257" s="3"/>
      <c r="E257" s="3"/>
      <c r="F257" s="3"/>
      <c r="G257" s="3"/>
      <c r="H257" s="3"/>
      <c r="I257" s="28"/>
      <c r="J257" s="3"/>
      <c r="K257" s="28"/>
      <c r="L257" s="3"/>
      <c r="M257" s="55"/>
      <c r="N257" s="3"/>
      <c r="O257" s="3"/>
      <c r="P257" s="46"/>
      <c r="Q257" s="46"/>
      <c r="R257" s="46"/>
      <c r="S257" s="46"/>
      <c r="T257" s="46"/>
      <c r="U257" s="46"/>
      <c r="V257" s="46"/>
      <c r="W257" s="46"/>
      <c r="X257" s="46"/>
      <c r="Y257" s="46"/>
      <c r="Z257" s="46"/>
      <c r="AA257" s="46"/>
      <c r="AB257" s="3"/>
    </row>
    <row r="258" spans="1:28" s="5" customFormat="1" x14ac:dyDescent="0.25">
      <c r="A258" s="150">
        <f>1</f>
        <v>1</v>
      </c>
      <c r="B258" s="129" t="str">
        <f>структура!$J$13</f>
        <v>УСН(6%)</v>
      </c>
      <c r="C258" s="3"/>
      <c r="D258" s="3"/>
      <c r="E258" s="147" t="str">
        <f>E256</f>
        <v>приведенный классический срок окуп-ти</v>
      </c>
      <c r="F258" s="147"/>
      <c r="G258" s="147" t="str">
        <f>IF($E258="","",INDEX(KPI!$G:$G,SUMIFS(KPI!$B:$B,KPI!$E:$E,$E258)))</f>
        <v>лет</v>
      </c>
      <c r="H258" s="147"/>
      <c r="I258" s="170"/>
      <c r="J258" s="147"/>
      <c r="K258" s="170"/>
      <c r="L258" s="147"/>
      <c r="M258" s="187">
        <f>MAX(P237:AA237)</f>
        <v>6</v>
      </c>
      <c r="N258" s="3"/>
      <c r="O258" s="3"/>
      <c r="P258" s="46"/>
      <c r="Q258" s="46"/>
      <c r="R258" s="46"/>
      <c r="S258" s="46"/>
      <c r="T258" s="46"/>
      <c r="U258" s="46"/>
      <c r="V258" s="46"/>
      <c r="W258" s="46"/>
      <c r="X258" s="46"/>
      <c r="Y258" s="46"/>
      <c r="Z258" s="46"/>
      <c r="AA258" s="46"/>
      <c r="AB258" s="3"/>
    </row>
    <row r="259" spans="1:28" s="5" customFormat="1" ht="3.9" customHeight="1" x14ac:dyDescent="0.25">
      <c r="A259" s="150">
        <f>1</f>
        <v>1</v>
      </c>
      <c r="B259" s="128"/>
      <c r="C259" s="3"/>
      <c r="D259" s="3"/>
      <c r="E259" s="3"/>
      <c r="F259" s="3"/>
      <c r="G259" s="3"/>
      <c r="H259" s="3"/>
      <c r="I259" s="28"/>
      <c r="J259" s="3"/>
      <c r="K259" s="28"/>
      <c r="L259" s="3"/>
      <c r="M259" s="55"/>
      <c r="N259" s="3"/>
      <c r="O259" s="3"/>
      <c r="P259" s="46"/>
      <c r="Q259" s="46"/>
      <c r="R259" s="46"/>
      <c r="S259" s="46"/>
      <c r="T259" s="46"/>
      <c r="U259" s="46"/>
      <c r="V259" s="46"/>
      <c r="W259" s="46"/>
      <c r="X259" s="46"/>
      <c r="Y259" s="46"/>
      <c r="Z259" s="46"/>
      <c r="AA259" s="46"/>
      <c r="AB259" s="3"/>
    </row>
    <row r="260" spans="1:28" s="5" customFormat="1" x14ac:dyDescent="0.25">
      <c r="A260" s="150">
        <f>1</f>
        <v>1</v>
      </c>
      <c r="B260" s="129" t="str">
        <f>структура!$J$14</f>
        <v>УСН(15%)</v>
      </c>
      <c r="C260" s="3"/>
      <c r="D260" s="3"/>
      <c r="E260" s="147" t="str">
        <f>E256</f>
        <v>приведенный классический срок окуп-ти</v>
      </c>
      <c r="F260" s="147"/>
      <c r="G260" s="147" t="str">
        <f>IF($E260="","",INDEX(KPI!$G:$G,SUMIFS(KPI!$B:$B,KPI!$E:$E,$E260)))</f>
        <v>лет</v>
      </c>
      <c r="H260" s="147"/>
      <c r="I260" s="170"/>
      <c r="J260" s="147"/>
      <c r="K260" s="170"/>
      <c r="L260" s="147"/>
      <c r="M260" s="187">
        <f>MAX(P239:AA239)</f>
        <v>6</v>
      </c>
      <c r="N260" s="3"/>
      <c r="O260" s="3"/>
      <c r="P260" s="46"/>
      <c r="Q260" s="46"/>
      <c r="R260" s="46"/>
      <c r="S260" s="46"/>
      <c r="T260" s="46"/>
      <c r="U260" s="46"/>
      <c r="V260" s="46"/>
      <c r="W260" s="46"/>
      <c r="X260" s="46"/>
      <c r="Y260" s="46"/>
      <c r="Z260" s="46"/>
      <c r="AA260" s="46"/>
      <c r="AB260" s="3"/>
    </row>
    <row r="261" spans="1:28" s="5" customFormat="1" ht="3.9" customHeight="1" x14ac:dyDescent="0.25">
      <c r="A261" s="150">
        <f>1</f>
        <v>1</v>
      </c>
      <c r="B261" s="128"/>
      <c r="C261" s="3"/>
      <c r="D261" s="3"/>
      <c r="E261" s="3"/>
      <c r="F261" s="3"/>
      <c r="G261" s="3"/>
      <c r="H261" s="3"/>
      <c r="I261" s="28"/>
      <c r="J261" s="3"/>
      <c r="K261" s="28"/>
      <c r="L261" s="3"/>
      <c r="M261" s="55"/>
      <c r="N261" s="3"/>
      <c r="O261" s="3"/>
      <c r="P261" s="46"/>
      <c r="Q261" s="46"/>
      <c r="R261" s="46"/>
      <c r="S261" s="46"/>
      <c r="T261" s="46"/>
      <c r="U261" s="46"/>
      <c r="V261" s="46"/>
      <c r="W261" s="46"/>
      <c r="X261" s="46"/>
      <c r="Y261" s="46"/>
      <c r="Z261" s="46"/>
      <c r="AA261" s="46"/>
      <c r="AB261" s="3"/>
    </row>
    <row r="262" spans="1:28" s="5" customFormat="1" x14ac:dyDescent="0.25">
      <c r="A262" s="150">
        <f>1</f>
        <v>1</v>
      </c>
      <c r="B262" s="129" t="str">
        <f>структура!$J$15</f>
        <v>УСН(6%)-ИП</v>
      </c>
      <c r="C262" s="3"/>
      <c r="D262" s="3"/>
      <c r="E262" s="147" t="str">
        <f>E256</f>
        <v>приведенный классический срок окуп-ти</v>
      </c>
      <c r="F262" s="147"/>
      <c r="G262" s="147" t="str">
        <f>IF($E262="","",INDEX(KPI!$G:$G,SUMIFS(KPI!$B:$B,KPI!$E:$E,$E262)))</f>
        <v>лет</v>
      </c>
      <c r="H262" s="147"/>
      <c r="I262" s="170"/>
      <c r="J262" s="147"/>
      <c r="K262" s="170"/>
      <c r="L262" s="147"/>
      <c r="M262" s="187">
        <f>MAX(P241:AA241)</f>
        <v>5</v>
      </c>
      <c r="N262" s="3"/>
      <c r="O262" s="3"/>
      <c r="P262" s="46"/>
      <c r="Q262" s="46"/>
      <c r="R262" s="46"/>
      <c r="S262" s="46"/>
      <c r="T262" s="46"/>
      <c r="U262" s="46"/>
      <c r="V262" s="46"/>
      <c r="W262" s="46"/>
      <c r="X262" s="46"/>
      <c r="Y262" s="46"/>
      <c r="Z262" s="46"/>
      <c r="AA262" s="46"/>
      <c r="AB262" s="3"/>
    </row>
    <row r="263" spans="1:28" ht="3.9" customHeight="1" x14ac:dyDescent="0.25">
      <c r="A263" s="149">
        <f>1</f>
        <v>1</v>
      </c>
      <c r="B263" s="131"/>
      <c r="C263" s="2"/>
      <c r="D263" s="2"/>
      <c r="E263" s="117"/>
      <c r="F263" s="2"/>
      <c r="G263" s="117"/>
      <c r="H263" s="2"/>
      <c r="I263" s="28"/>
      <c r="J263" s="2"/>
      <c r="K263" s="28"/>
      <c r="L263" s="2"/>
      <c r="M263" s="138"/>
      <c r="N263" s="2"/>
      <c r="O263" s="2"/>
      <c r="P263" s="36"/>
      <c r="Q263" s="36"/>
      <c r="R263" s="36"/>
      <c r="S263" s="36"/>
      <c r="T263" s="36"/>
      <c r="U263" s="36"/>
      <c r="V263" s="36"/>
      <c r="W263" s="36"/>
      <c r="X263" s="36"/>
      <c r="Y263" s="36"/>
      <c r="Z263" s="36"/>
      <c r="AA263" s="36"/>
      <c r="AB263" s="2"/>
    </row>
    <row r="264" spans="1:28" ht="8.1" customHeight="1" x14ac:dyDescent="0.25">
      <c r="A264" s="149">
        <f>1</f>
        <v>1</v>
      </c>
      <c r="B264" s="131"/>
      <c r="C264" s="2"/>
      <c r="D264" s="2"/>
      <c r="E264" s="2"/>
      <c r="F264" s="2"/>
      <c r="G264" s="2"/>
      <c r="H264" s="2"/>
      <c r="I264" s="28"/>
      <c r="J264" s="2"/>
      <c r="K264" s="28"/>
      <c r="L264" s="2"/>
      <c r="M264" s="52"/>
      <c r="N264" s="2"/>
      <c r="O264" s="2"/>
      <c r="P264" s="36"/>
      <c r="Q264" s="36"/>
      <c r="R264" s="36"/>
      <c r="S264" s="36"/>
      <c r="T264" s="36"/>
      <c r="U264" s="36"/>
      <c r="V264" s="36"/>
      <c r="W264" s="36"/>
      <c r="X264" s="36"/>
      <c r="Y264" s="36"/>
      <c r="Z264" s="36"/>
      <c r="AA264" s="36"/>
      <c r="AB264" s="2"/>
    </row>
    <row r="265" spans="1:28" ht="3.9" customHeight="1" x14ac:dyDescent="0.25">
      <c r="A265" s="149">
        <f>1</f>
        <v>1</v>
      </c>
      <c r="B265" s="131"/>
      <c r="C265" s="2"/>
      <c r="D265" s="2"/>
      <c r="E265" s="2"/>
      <c r="F265" s="2"/>
      <c r="G265" s="2"/>
      <c r="H265" s="2"/>
      <c r="I265" s="28"/>
      <c r="J265" s="2"/>
      <c r="K265" s="28"/>
      <c r="L265" s="2"/>
      <c r="M265" s="52"/>
      <c r="N265" s="2"/>
      <c r="O265" s="2"/>
      <c r="P265" s="193">
        <f>IF(AND(P266&lt;&gt;0,Q266=0),P$1,0)</f>
        <v>0</v>
      </c>
      <c r="Q265" s="193">
        <f t="shared" ref="Q265" si="51">IF(AND(Q266&lt;&gt;0,R266=0),Q$1,0)</f>
        <v>0</v>
      </c>
      <c r="R265" s="193">
        <f t="shared" ref="R265" si="52">IF(AND(R266&lt;&gt;0,S266=0),R$1,0)</f>
        <v>0</v>
      </c>
      <c r="S265" s="193">
        <f t="shared" ref="S265" si="53">IF(AND(S266&lt;&gt;0,T266=0),S$1,0)</f>
        <v>0</v>
      </c>
      <c r="T265" s="193">
        <f t="shared" ref="T265" si="54">IF(AND(T266&lt;&gt;0,U266=0),T$1,0)</f>
        <v>5</v>
      </c>
      <c r="U265" s="193">
        <f t="shared" ref="U265" si="55">IF(AND(U266&lt;&gt;0,V266=0),U$1,0)</f>
        <v>0</v>
      </c>
      <c r="V265" s="193">
        <f t="shared" ref="V265" si="56">IF(AND(V266&lt;&gt;0,W266=0),V$1,0)</f>
        <v>0</v>
      </c>
      <c r="W265" s="193">
        <f t="shared" ref="W265" si="57">IF(AND(W266&lt;&gt;0,X266=0),W$1,0)</f>
        <v>0</v>
      </c>
      <c r="X265" s="193">
        <f t="shared" ref="X265" si="58">IF(AND(X266&lt;&gt;0,Y266=0),X$1,0)</f>
        <v>0</v>
      </c>
      <c r="Y265" s="193">
        <f t="shared" ref="Y265" si="59">IF(AND(Y266&lt;&gt;0,Z266=0),Y$1,0)</f>
        <v>0</v>
      </c>
      <c r="Z265" s="193">
        <f t="shared" ref="Z265" si="60">IF(AND(Z266&lt;&gt;0,AA266=0),Z$1,0)</f>
        <v>0</v>
      </c>
      <c r="AA265" s="193">
        <f t="shared" ref="AA265" si="61">IF(AND(AA266&lt;&gt;0,AB266=0),AA$1,0)</f>
        <v>0</v>
      </c>
      <c r="AB265" s="2"/>
    </row>
    <row r="266" spans="1:28" s="157" customFormat="1" x14ac:dyDescent="0.25">
      <c r="A266" s="155">
        <f>1</f>
        <v>1</v>
      </c>
      <c r="B266" s="156" t="str">
        <f>структура!$J$12</f>
        <v>ОСНО</v>
      </c>
      <c r="C266" s="155"/>
      <c r="D266" s="155"/>
      <c r="E266" s="189" t="str">
        <f>KPI!$E$141</f>
        <v>График возврата инвестиций (неприведенный)</v>
      </c>
      <c r="F266" s="189"/>
      <c r="G266" s="189" t="str">
        <f>IF($E266="","",INDEX(KPI!$G:$G,SUMIFS(KPI!$B:$B,KPI!$E:$E,$E266)))</f>
        <v>тыс.руб.</v>
      </c>
      <c r="H266" s="189"/>
      <c r="I266" s="190"/>
      <c r="J266" s="189"/>
      <c r="K266" s="190"/>
      <c r="L266" s="189"/>
      <c r="M266" s="191">
        <f>SUM($O266:$AB266)</f>
        <v>28550.37484</v>
      </c>
      <c r="N266" s="155"/>
      <c r="O266" s="155"/>
      <c r="P266" s="192">
        <f>IF(P$1="",0,IF($M226&lt;0,0,IF(SUM($O266:O266)=$M$190,0,IF(SUM($O175:P175)&lt;=$M$190,P175,$M$190-SUM($O175:O175)))))</f>
        <v>8982.365254571665</v>
      </c>
      <c r="Q266" s="192">
        <f>IF(Q$1="",0,IF($M226&lt;0,0,IF(SUM($O266:P266)=$M$190,0,IF(SUM($O175:Q175)&lt;=$M$190,Q175,$M$190-SUM($O175:P175)))))</f>
        <v>4362.8851864119133</v>
      </c>
      <c r="R266" s="192">
        <f>IF(R$1="",0,IF($M226&lt;0,0,IF(SUM($O266:Q266)=$M$190,0,IF(SUM($O175:R175)&lt;=$M$190,R175,$M$190-SUM($O175:Q175)))))</f>
        <v>5163.5574148734522</v>
      </c>
      <c r="S266" s="192">
        <f>IF(S$1="",0,IF($M226&lt;0,0,IF(SUM($O266:R266)=$M$190,0,IF(SUM($O175:S175)&lt;=$M$190,S175,$M$190-SUM($O175:R175)))))</f>
        <v>5530.0018833349877</v>
      </c>
      <c r="T266" s="192">
        <f>IF(T$1="",0,IF($M226&lt;0,0,IF(SUM($O266:S266)=$M$190,0,IF(SUM($O175:T175)&lt;=$M$190,T175,$M$190-SUM($O175:S175)))))</f>
        <v>4511.565100807984</v>
      </c>
      <c r="U266" s="192">
        <f>IF(U$1="",0,IF($M226&lt;0,0,IF(SUM($O266:T266)=$M$190,0,IF(SUM($O175:U175)&lt;=$M$190,U175,$M$190-SUM($O175:T175)))))</f>
        <v>0</v>
      </c>
      <c r="V266" s="192">
        <f>IF(V$1="",0,IF($M226&lt;0,0,IF(SUM($O266:U266)=$M$190,0,IF(SUM($O175:V175)&lt;=$M$190,V175,$M$190-SUM($O175:U175)))))</f>
        <v>0</v>
      </c>
      <c r="W266" s="192">
        <f>IF(W$1="",0,IF($M226&lt;0,0,IF(SUM($O266:V266)=$M$190,0,IF(SUM($O175:W175)&lt;=$M$190,W175,$M$190-SUM($O175:V175)))))</f>
        <v>0</v>
      </c>
      <c r="X266" s="192">
        <f>IF(X$1="",0,IF($M226&lt;0,0,IF(SUM($O266:W266)=$M$190,0,IF(SUM($O175:X175)&lt;=$M$190,X175,$M$190-SUM($O175:W175)))))</f>
        <v>0</v>
      </c>
      <c r="Y266" s="192">
        <f>IF(Y$1="",0,IF($M226&lt;0,0,IF(SUM($O266:X266)=$M$190,0,IF(SUM($O175:Y175)&lt;=$M$190,Y175,$M$190-SUM($O175:X175)))))</f>
        <v>0</v>
      </c>
      <c r="Z266" s="192">
        <f>IF(Z$1="",0,IF($M226&lt;0,0,IF(SUM($O266:Y266)=$M$190,0,IF(SUM($O175:Z175)&lt;=$M$190,Z175,$M$190-SUM($O175:Y175)))))</f>
        <v>0</v>
      </c>
      <c r="AA266" s="192">
        <f>IF(AA$1="",0,IF($M226&lt;0,0,IF(SUM($O266:Z266)=$M$190,0,IF(SUM($O175:AA175)&lt;=$M$190,AA175,$M$190-SUM($O175:Z175)))))</f>
        <v>0</v>
      </c>
      <c r="AB266" s="155"/>
    </row>
    <row r="267" spans="1:28" s="5" customFormat="1" ht="3.9" customHeight="1" x14ac:dyDescent="0.25">
      <c r="A267" s="150">
        <f>1</f>
        <v>1</v>
      </c>
      <c r="B267" s="128"/>
      <c r="C267" s="3"/>
      <c r="D267" s="3"/>
      <c r="E267" s="3"/>
      <c r="F267" s="3"/>
      <c r="G267" s="3"/>
      <c r="H267" s="3"/>
      <c r="I267" s="28"/>
      <c r="J267" s="3"/>
      <c r="K267" s="28"/>
      <c r="L267" s="3"/>
      <c r="M267" s="55"/>
      <c r="N267" s="3"/>
      <c r="O267" s="3"/>
      <c r="P267" s="193">
        <f>IF(AND(P268&lt;&gt;0,Q268=0),P$1,0)</f>
        <v>0</v>
      </c>
      <c r="Q267" s="193">
        <f t="shared" ref="Q267" si="62">IF(AND(Q268&lt;&gt;0,R268=0),Q$1,0)</f>
        <v>0</v>
      </c>
      <c r="R267" s="193">
        <f t="shared" ref="R267" si="63">IF(AND(R268&lt;&gt;0,S268=0),R$1,0)</f>
        <v>0</v>
      </c>
      <c r="S267" s="193">
        <f t="shared" ref="S267" si="64">IF(AND(S268&lt;&gt;0,T268=0),S$1,0)</f>
        <v>0</v>
      </c>
      <c r="T267" s="193">
        <f t="shared" ref="T267" si="65">IF(AND(T268&lt;&gt;0,U268=0),T$1,0)</f>
        <v>5</v>
      </c>
      <c r="U267" s="193">
        <f t="shared" ref="U267" si="66">IF(AND(U268&lt;&gt;0,V268=0),U$1,0)</f>
        <v>0</v>
      </c>
      <c r="V267" s="193">
        <f t="shared" ref="V267" si="67">IF(AND(V268&lt;&gt;0,W268=0),V$1,0)</f>
        <v>0</v>
      </c>
      <c r="W267" s="193">
        <f t="shared" ref="W267" si="68">IF(AND(W268&lt;&gt;0,X268=0),W$1,0)</f>
        <v>0</v>
      </c>
      <c r="X267" s="193">
        <f t="shared" ref="X267" si="69">IF(AND(X268&lt;&gt;0,Y268=0),X$1,0)</f>
        <v>0</v>
      </c>
      <c r="Y267" s="193">
        <f t="shared" ref="Y267" si="70">IF(AND(Y268&lt;&gt;0,Z268=0),Y$1,0)</f>
        <v>0</v>
      </c>
      <c r="Z267" s="193">
        <f t="shared" ref="Z267" si="71">IF(AND(Z268&lt;&gt;0,AA268=0),Z$1,0)</f>
        <v>0</v>
      </c>
      <c r="AA267" s="193">
        <f t="shared" ref="AA267" si="72">IF(AND(AA268&lt;&gt;0,AB268=0),AA$1,0)</f>
        <v>0</v>
      </c>
      <c r="AB267" s="3"/>
    </row>
    <row r="268" spans="1:28" s="157" customFormat="1" x14ac:dyDescent="0.25">
      <c r="A268" s="155">
        <f>1</f>
        <v>1</v>
      </c>
      <c r="B268" s="156" t="str">
        <f>структура!$J$13</f>
        <v>УСН(6%)</v>
      </c>
      <c r="C268" s="155"/>
      <c r="D268" s="155"/>
      <c r="E268" s="189" t="str">
        <f>E266</f>
        <v>График возврата инвестиций (неприведенный)</v>
      </c>
      <c r="F268" s="189"/>
      <c r="G268" s="189" t="str">
        <f>IF($E268="","",INDEX(KPI!$G:$G,SUMIFS(KPI!$B:$B,KPI!$E:$E,$E268)))</f>
        <v>тыс.руб.</v>
      </c>
      <c r="H268" s="189"/>
      <c r="I268" s="190"/>
      <c r="J268" s="189"/>
      <c r="K268" s="190"/>
      <c r="L268" s="189"/>
      <c r="M268" s="191">
        <f>SUM($O268:$AB268)</f>
        <v>28550.37484</v>
      </c>
      <c r="N268" s="155"/>
      <c r="O268" s="155"/>
      <c r="P268" s="192">
        <f>IF(P$1="",0,IF($M228&lt;0,0,IF(SUM($O268:O268)=$M$190,0,IF(SUM($O177:P177)&lt;=$M$190,P177,$M$190-SUM($O177:O177)))))</f>
        <v>6340.6361145716655</v>
      </c>
      <c r="Q268" s="192">
        <f>IF(Q$1="",0,IF($M228&lt;0,0,IF(SUM($O268:P268)=$M$190,0,IF(SUM($O177:Q177)&lt;=$M$190,Q177,$M$190-SUM($O177:P177)))))</f>
        <v>6371.941219956283</v>
      </c>
      <c r="R268" s="192">
        <f>IF(R$1="",0,IF($M228&lt;0,0,IF(SUM($O268:Q268)=$M$190,0,IF(SUM($O177:R177)&lt;=$M$190,R177,$M$190-SUM($O177:Q177)))))</f>
        <v>7333.0874484178221</v>
      </c>
      <c r="S268" s="192">
        <f>IF(S$1="",0,IF($M228&lt;0,0,IF(SUM($O268:R268)=$M$190,0,IF(SUM($O177:S177)&lt;=$M$190,S177,$M$190-SUM($O177:R177)))))</f>
        <v>7997.1819891870527</v>
      </c>
      <c r="T268" s="192">
        <f>IF(T$1="",0,IF($M228&lt;0,0,IF(SUM($O268:S268)=$M$190,0,IF(SUM($O177:T177)&lt;=$M$190,T177,$M$190-SUM($O177:S177)))))</f>
        <v>507.52806786717338</v>
      </c>
      <c r="U268" s="192">
        <f>IF(U$1="",0,IF($M228&lt;0,0,IF(SUM($O268:T268)=$M$190,0,IF(SUM($O177:U177)&lt;=$M$190,U177,$M$190-SUM($O177:T177)))))</f>
        <v>0</v>
      </c>
      <c r="V268" s="192">
        <f>IF(V$1="",0,IF($M228&lt;0,0,IF(SUM($O268:U268)=$M$190,0,IF(SUM($O177:V177)&lt;=$M$190,V177,$M$190-SUM($O177:U177)))))</f>
        <v>0</v>
      </c>
      <c r="W268" s="192">
        <f>IF(W$1="",0,IF($M228&lt;0,0,IF(SUM($O268:V268)=$M$190,0,IF(SUM($O177:W177)&lt;=$M$190,W177,$M$190-SUM($O177:V177)))))</f>
        <v>0</v>
      </c>
      <c r="X268" s="192">
        <f>IF(X$1="",0,IF($M228&lt;0,0,IF(SUM($O268:W268)=$M$190,0,IF(SUM($O177:X177)&lt;=$M$190,X177,$M$190-SUM($O177:W177)))))</f>
        <v>0</v>
      </c>
      <c r="Y268" s="192">
        <f>IF(Y$1="",0,IF($M228&lt;0,0,IF(SUM($O268:X268)=$M$190,0,IF(SUM($O177:Y177)&lt;=$M$190,Y177,$M$190-SUM($O177:X177)))))</f>
        <v>0</v>
      </c>
      <c r="Z268" s="192">
        <f>IF(Z$1="",0,IF($M228&lt;0,0,IF(SUM($O268:Y268)=$M$190,0,IF(SUM($O177:Z177)&lt;=$M$190,Z177,$M$190-SUM($O177:Y177)))))</f>
        <v>0</v>
      </c>
      <c r="AA268" s="192">
        <f>IF(AA$1="",0,IF($M228&lt;0,0,IF(SUM($O268:Z268)=$M$190,0,IF(SUM($O177:AA177)&lt;=$M$190,AA177,$M$190-SUM($O177:Z177)))))</f>
        <v>0</v>
      </c>
      <c r="AB268" s="155"/>
    </row>
    <row r="269" spans="1:28" s="5" customFormat="1" ht="3.9" customHeight="1" x14ac:dyDescent="0.25">
      <c r="A269" s="150">
        <f>1</f>
        <v>1</v>
      </c>
      <c r="B269" s="128"/>
      <c r="C269" s="3"/>
      <c r="D269" s="3"/>
      <c r="E269" s="3"/>
      <c r="F269" s="3"/>
      <c r="G269" s="3"/>
      <c r="H269" s="3"/>
      <c r="I269" s="28"/>
      <c r="J269" s="3"/>
      <c r="K269" s="28"/>
      <c r="L269" s="3"/>
      <c r="M269" s="55"/>
      <c r="N269" s="3"/>
      <c r="O269" s="3"/>
      <c r="P269" s="193">
        <f>IF(AND(P270&lt;&gt;0,Q270=0),P$1,0)</f>
        <v>0</v>
      </c>
      <c r="Q269" s="193">
        <f t="shared" ref="Q269" si="73">IF(AND(Q270&lt;&gt;0,R270=0),Q$1,0)</f>
        <v>0</v>
      </c>
      <c r="R269" s="193">
        <f t="shared" ref="R269" si="74">IF(AND(R270&lt;&gt;0,S270=0),R$1,0)</f>
        <v>0</v>
      </c>
      <c r="S269" s="193">
        <f t="shared" ref="S269" si="75">IF(AND(S270&lt;&gt;0,T270=0),S$1,0)</f>
        <v>0</v>
      </c>
      <c r="T269" s="193">
        <f t="shared" ref="T269" si="76">IF(AND(T270&lt;&gt;0,U270=0),T$1,0)</f>
        <v>5</v>
      </c>
      <c r="U269" s="193">
        <f t="shared" ref="U269" si="77">IF(AND(U270&lt;&gt;0,V270=0),U$1,0)</f>
        <v>0</v>
      </c>
      <c r="V269" s="193">
        <f t="shared" ref="V269" si="78">IF(AND(V270&lt;&gt;0,W270=0),V$1,0)</f>
        <v>0</v>
      </c>
      <c r="W269" s="193">
        <f t="shared" ref="W269" si="79">IF(AND(W270&lt;&gt;0,X270=0),W$1,0)</f>
        <v>0</v>
      </c>
      <c r="X269" s="193">
        <f t="shared" ref="X269" si="80">IF(AND(X270&lt;&gt;0,Y270=0),X$1,0)</f>
        <v>0</v>
      </c>
      <c r="Y269" s="193">
        <f t="shared" ref="Y269" si="81">IF(AND(Y270&lt;&gt;0,Z270=0),Y$1,0)</f>
        <v>0</v>
      </c>
      <c r="Z269" s="193">
        <f t="shared" ref="Z269" si="82">IF(AND(Z270&lt;&gt;0,AA270=0),Z$1,0)</f>
        <v>0</v>
      </c>
      <c r="AA269" s="193">
        <f t="shared" ref="AA269" si="83">IF(AND(AA270&lt;&gt;0,AB270=0),AA$1,0)</f>
        <v>0</v>
      </c>
      <c r="AB269" s="3"/>
    </row>
    <row r="270" spans="1:28" s="157" customFormat="1" x14ac:dyDescent="0.25">
      <c r="A270" s="155">
        <f>1</f>
        <v>1</v>
      </c>
      <c r="B270" s="156" t="str">
        <f>структура!$J$14</f>
        <v>УСН(15%)</v>
      </c>
      <c r="C270" s="155"/>
      <c r="D270" s="155"/>
      <c r="E270" s="189" t="str">
        <f>E266</f>
        <v>График возврата инвестиций (неприведенный)</v>
      </c>
      <c r="F270" s="189"/>
      <c r="G270" s="189" t="str">
        <f>IF($E270="","",INDEX(KPI!$G:$G,SUMIFS(KPI!$B:$B,KPI!$E:$E,$E270)))</f>
        <v>тыс.руб.</v>
      </c>
      <c r="H270" s="189"/>
      <c r="I270" s="190"/>
      <c r="J270" s="189"/>
      <c r="K270" s="190"/>
      <c r="L270" s="189"/>
      <c r="M270" s="191">
        <f>SUM($O270:$AB270)</f>
        <v>28550.37484</v>
      </c>
      <c r="N270" s="155"/>
      <c r="O270" s="155"/>
      <c r="P270" s="192">
        <f>IF(P$1="",0,IF($M230&lt;0,0,IF(SUM($O270:O270)=$M$190,0,IF(SUM($O179:P179)&lt;=$M$190,P179,$M$190-SUM($O179:O179)))))</f>
        <v>6340.6361145716655</v>
      </c>
      <c r="Q270" s="192">
        <f>IF(Q$1="",0,IF($M230&lt;0,0,IF(SUM($O270:P270)=$M$190,0,IF(SUM($O179:Q179)&lt;=$M$190,Q179,$M$190-SUM($O179:P179)))))</f>
        <v>5857.597141385917</v>
      </c>
      <c r="R270" s="192">
        <f>IF(R$1="",0,IF($M230&lt;0,0,IF(SUM($O270:Q270)=$M$190,0,IF(SUM($O179:R179)&lt;=$M$190,R179,$M$190-SUM($O179:Q179)))))</f>
        <v>6756.981994847456</v>
      </c>
      <c r="S270" s="192">
        <f>IF(S$1="",0,IF($M230&lt;0,0,IF(SUM($O270:R270)=$M$190,0,IF(SUM($O179:S179)&lt;=$M$190,S179,$M$190-SUM($O179:R179)))))</f>
        <v>7303.1205801936103</v>
      </c>
      <c r="T270" s="192">
        <f>IF(T$1="",0,IF($M230&lt;0,0,IF(SUM($O270:S270)=$M$190,0,IF(SUM($O179:T179)&lt;=$M$190,T179,$M$190-SUM($O179:S179)))))</f>
        <v>2292.0390090013498</v>
      </c>
      <c r="U270" s="192">
        <f>IF(U$1="",0,IF($M230&lt;0,0,IF(SUM($O270:T270)=$M$190,0,IF(SUM($O179:U179)&lt;=$M$190,U179,$M$190-SUM($O179:T179)))))</f>
        <v>0</v>
      </c>
      <c r="V270" s="192">
        <f>IF(V$1="",0,IF($M230&lt;0,0,IF(SUM($O270:U270)=$M$190,0,IF(SUM($O179:V179)&lt;=$M$190,V179,$M$190-SUM($O179:U179)))))</f>
        <v>0</v>
      </c>
      <c r="W270" s="192">
        <f>IF(W$1="",0,IF($M230&lt;0,0,IF(SUM($O270:V270)=$M$190,0,IF(SUM($O179:W179)&lt;=$M$190,W179,$M$190-SUM($O179:V179)))))</f>
        <v>0</v>
      </c>
      <c r="X270" s="192">
        <f>IF(X$1="",0,IF($M230&lt;0,0,IF(SUM($O270:W270)=$M$190,0,IF(SUM($O179:X179)&lt;=$M$190,X179,$M$190-SUM($O179:W179)))))</f>
        <v>0</v>
      </c>
      <c r="Y270" s="192">
        <f>IF(Y$1="",0,IF($M230&lt;0,0,IF(SUM($O270:X270)=$M$190,0,IF(SUM($O179:Y179)&lt;=$M$190,Y179,$M$190-SUM($O179:X179)))))</f>
        <v>0</v>
      </c>
      <c r="Z270" s="192">
        <f>IF(Z$1="",0,IF($M230&lt;0,0,IF(SUM($O270:Y270)=$M$190,0,IF(SUM($O179:Z179)&lt;=$M$190,Z179,$M$190-SUM($O179:Y179)))))</f>
        <v>0</v>
      </c>
      <c r="AA270" s="192">
        <f>IF(AA$1="",0,IF($M230&lt;0,0,IF(SUM($O270:Z270)=$M$190,0,IF(SUM($O179:AA179)&lt;=$M$190,AA179,$M$190-SUM($O179:Z179)))))</f>
        <v>0</v>
      </c>
      <c r="AB270" s="155"/>
    </row>
    <row r="271" spans="1:28" s="5" customFormat="1" ht="3.9" customHeight="1" x14ac:dyDescent="0.25">
      <c r="A271" s="150">
        <f>1</f>
        <v>1</v>
      </c>
      <c r="B271" s="128"/>
      <c r="C271" s="3"/>
      <c r="D271" s="3"/>
      <c r="E271" s="3"/>
      <c r="F271" s="3"/>
      <c r="G271" s="3"/>
      <c r="H271" s="3"/>
      <c r="I271" s="28"/>
      <c r="J271" s="3"/>
      <c r="K271" s="28"/>
      <c r="L271" s="3"/>
      <c r="M271" s="55"/>
      <c r="N271" s="3"/>
      <c r="O271" s="3"/>
      <c r="P271" s="193">
        <f>IF(AND(P272&lt;&gt;0,Q272=0),P$1,0)</f>
        <v>0</v>
      </c>
      <c r="Q271" s="193">
        <f t="shared" ref="Q271" si="84">IF(AND(Q272&lt;&gt;0,R272=0),Q$1,0)</f>
        <v>0</v>
      </c>
      <c r="R271" s="193">
        <f t="shared" ref="R271" si="85">IF(AND(R272&lt;&gt;0,S272=0),R$1,0)</f>
        <v>0</v>
      </c>
      <c r="S271" s="193">
        <f t="shared" ref="S271" si="86">IF(AND(S272&lt;&gt;0,T272=0),S$1,0)</f>
        <v>4</v>
      </c>
      <c r="T271" s="193">
        <f t="shared" ref="T271" si="87">IF(AND(T272&lt;&gt;0,U272=0),T$1,0)</f>
        <v>0</v>
      </c>
      <c r="U271" s="193">
        <f t="shared" ref="U271" si="88">IF(AND(U272&lt;&gt;0,V272=0),U$1,0)</f>
        <v>0</v>
      </c>
      <c r="V271" s="193">
        <f t="shared" ref="V271" si="89">IF(AND(V272&lt;&gt;0,W272=0),V$1,0)</f>
        <v>0</v>
      </c>
      <c r="W271" s="193">
        <f t="shared" ref="W271" si="90">IF(AND(W272&lt;&gt;0,X272=0),W$1,0)</f>
        <v>0</v>
      </c>
      <c r="X271" s="193">
        <f t="shared" ref="X271" si="91">IF(AND(X272&lt;&gt;0,Y272=0),X$1,0)</f>
        <v>0</v>
      </c>
      <c r="Y271" s="193">
        <f t="shared" ref="Y271" si="92">IF(AND(Y272&lt;&gt;0,Z272=0),Y$1,0)</f>
        <v>0</v>
      </c>
      <c r="Z271" s="193">
        <f t="shared" ref="Z271" si="93">IF(AND(Z272&lt;&gt;0,AA272=0),Z$1,0)</f>
        <v>0</v>
      </c>
      <c r="AA271" s="193">
        <f t="shared" ref="AA271" si="94">IF(AND(AA272&lt;&gt;0,AB272=0),AA$1,0)</f>
        <v>0</v>
      </c>
      <c r="AB271" s="3"/>
    </row>
    <row r="272" spans="1:28" s="157" customFormat="1" x14ac:dyDescent="0.25">
      <c r="A272" s="155">
        <f>1</f>
        <v>1</v>
      </c>
      <c r="B272" s="156" t="str">
        <f>структура!$J$15</f>
        <v>УСН(6%)-ИП</v>
      </c>
      <c r="C272" s="155"/>
      <c r="D272" s="155"/>
      <c r="E272" s="189" t="str">
        <f>E266</f>
        <v>График возврата инвестиций (неприведенный)</v>
      </c>
      <c r="F272" s="189"/>
      <c r="G272" s="189" t="str">
        <f>IF($E272="","",INDEX(KPI!$G:$G,SUMIFS(KPI!$B:$B,KPI!$E:$E,$E272)))</f>
        <v>тыс.руб.</v>
      </c>
      <c r="H272" s="189"/>
      <c r="I272" s="190"/>
      <c r="J272" s="189"/>
      <c r="K272" s="190"/>
      <c r="L272" s="189"/>
      <c r="M272" s="191">
        <f>SUM($O272:$AB272)</f>
        <v>28550.37484</v>
      </c>
      <c r="N272" s="155"/>
      <c r="O272" s="155"/>
      <c r="P272" s="192">
        <f>IF(P$1="",0,IF($M232&lt;0,0,IF(SUM($O272:O272)=$M$190,0,IF(SUM($O181:P181)&lt;=$M$190,P181,$M$190-SUM($O181:O181)))))</f>
        <v>6340.6361145716655</v>
      </c>
      <c r="Q272" s="192">
        <f>IF(Q$1="",0,IF($M232&lt;0,0,IF(SUM($O272:P272)=$M$190,0,IF(SUM($O181:Q181)&lt;=$M$190,Q181,$M$190-SUM($O181:P181)))))</f>
        <v>6796.2732545716672</v>
      </c>
      <c r="R272" s="192">
        <f>IF(R$1="",0,IF($M232&lt;0,0,IF(SUM($O272:Q272)=$M$190,0,IF(SUM($O181:R181)&lt;=$M$190,R181,$M$190-SUM($O181:Q181)))))</f>
        <v>7776.422983033206</v>
      </c>
      <c r="S272" s="192">
        <f>IF(S$1="",0,IF($M232&lt;0,0,IF(SUM($O272:R272)=$M$190,0,IF(SUM($O181:S181)&lt;=$M$190,S181,$M$190-SUM($O181:R181)))))</f>
        <v>7637.0424878234589</v>
      </c>
      <c r="T272" s="192">
        <f>IF(T$1="",0,IF($M232&lt;0,0,IF(SUM($O272:S272)=$M$190,0,IF(SUM($O181:T181)&lt;=$M$190,T181,$M$190-SUM($O181:S181)))))</f>
        <v>0</v>
      </c>
      <c r="U272" s="192">
        <f>IF(U$1="",0,IF($M232&lt;0,0,IF(SUM($O272:T272)=$M$190,0,IF(SUM($O181:U181)&lt;=$M$190,U181,$M$190-SUM($O181:T181)))))</f>
        <v>0</v>
      </c>
      <c r="V272" s="192">
        <f>IF(V$1="",0,IF($M232&lt;0,0,IF(SUM($O272:U272)=$M$190,0,IF(SUM($O181:V181)&lt;=$M$190,V181,$M$190-SUM($O181:U181)))))</f>
        <v>0</v>
      </c>
      <c r="W272" s="192">
        <f>IF(W$1="",0,IF($M232&lt;0,0,IF(SUM($O272:V272)=$M$190,0,IF(SUM($O181:W181)&lt;=$M$190,W181,$M$190-SUM($O181:V181)))))</f>
        <v>0</v>
      </c>
      <c r="X272" s="192">
        <f>IF(X$1="",0,IF($M232&lt;0,0,IF(SUM($O272:W272)=$M$190,0,IF(SUM($O181:X181)&lt;=$M$190,X181,$M$190-SUM($O181:W181)))))</f>
        <v>0</v>
      </c>
      <c r="Y272" s="192">
        <f>IF(Y$1="",0,IF($M232&lt;0,0,IF(SUM($O272:X272)=$M$190,0,IF(SUM($O181:Y181)&lt;=$M$190,Y181,$M$190-SUM($O181:X181)))))</f>
        <v>0</v>
      </c>
      <c r="Z272" s="192">
        <f>IF(Z$1="",0,IF($M232&lt;0,0,IF(SUM($O272:Y272)=$M$190,0,IF(SUM($O181:Z181)&lt;=$M$190,Z181,$M$190-SUM($O181:Y181)))))</f>
        <v>0</v>
      </c>
      <c r="AA272" s="192">
        <f>IF(AA$1="",0,IF($M232&lt;0,0,IF(SUM($O272:Z272)=$M$190,0,IF(SUM($O181:AA181)&lt;=$M$190,AA181,$M$190-SUM($O181:Z181)))))</f>
        <v>0</v>
      </c>
      <c r="AB272" s="155"/>
    </row>
    <row r="273" spans="1:28" ht="3.9" customHeight="1" x14ac:dyDescent="0.25">
      <c r="A273" s="149">
        <f>1</f>
        <v>1</v>
      </c>
      <c r="B273" s="131"/>
      <c r="C273" s="2"/>
      <c r="D273" s="2"/>
      <c r="E273" s="119"/>
      <c r="F273" s="2"/>
      <c r="G273" s="119"/>
      <c r="H273" s="2"/>
      <c r="I273" s="28"/>
      <c r="J273" s="2"/>
      <c r="K273" s="28"/>
      <c r="L273" s="2"/>
      <c r="M273" s="142"/>
      <c r="N273" s="2"/>
      <c r="O273" s="2"/>
      <c r="P273" s="36"/>
      <c r="Q273" s="36"/>
      <c r="R273" s="36"/>
      <c r="S273" s="36"/>
      <c r="T273" s="36"/>
      <c r="U273" s="36"/>
      <c r="V273" s="36"/>
      <c r="W273" s="36"/>
      <c r="X273" s="36"/>
      <c r="Y273" s="36"/>
      <c r="Z273" s="36"/>
      <c r="AA273" s="36"/>
      <c r="AB273" s="2"/>
    </row>
    <row r="274" spans="1:28" ht="8.1" customHeight="1" x14ac:dyDescent="0.25">
      <c r="A274" s="149">
        <f>1</f>
        <v>1</v>
      </c>
      <c r="B274" s="131"/>
      <c r="C274" s="2"/>
      <c r="D274" s="2"/>
      <c r="E274" s="2"/>
      <c r="F274" s="2"/>
      <c r="G274" s="2"/>
      <c r="H274" s="2"/>
      <c r="I274" s="28"/>
      <c r="J274" s="2"/>
      <c r="K274" s="28"/>
      <c r="L274" s="2"/>
      <c r="M274" s="52"/>
      <c r="N274" s="2"/>
      <c r="O274" s="2"/>
      <c r="P274" s="36"/>
      <c r="Q274" s="36"/>
      <c r="R274" s="36"/>
      <c r="S274" s="36"/>
      <c r="T274" s="36"/>
      <c r="U274" s="36"/>
      <c r="V274" s="36"/>
      <c r="W274" s="36"/>
      <c r="X274" s="36"/>
      <c r="Y274" s="36"/>
      <c r="Z274" s="36"/>
      <c r="AA274" s="36"/>
      <c r="AB274" s="2"/>
    </row>
    <row r="275" spans="1:28" ht="3.9" customHeight="1" x14ac:dyDescent="0.25">
      <c r="A275" s="149">
        <f>1</f>
        <v>1</v>
      </c>
      <c r="B275" s="131"/>
      <c r="C275" s="2"/>
      <c r="D275" s="2"/>
      <c r="E275" s="2"/>
      <c r="F275" s="2"/>
      <c r="G275" s="2"/>
      <c r="H275" s="2"/>
      <c r="I275" s="28"/>
      <c r="J275" s="2"/>
      <c r="K275" s="28"/>
      <c r="L275" s="2"/>
      <c r="M275" s="52"/>
      <c r="N275" s="2"/>
      <c r="O275" s="2"/>
      <c r="P275" s="36"/>
      <c r="Q275" s="36"/>
      <c r="R275" s="36"/>
      <c r="S275" s="36"/>
      <c r="T275" s="36"/>
      <c r="U275" s="36"/>
      <c r="V275" s="36"/>
      <c r="W275" s="36"/>
      <c r="X275" s="36"/>
      <c r="Y275" s="36"/>
      <c r="Z275" s="36"/>
      <c r="AA275" s="36"/>
      <c r="AB275" s="2"/>
    </row>
    <row r="276" spans="1:28" s="5" customFormat="1" x14ac:dyDescent="0.25">
      <c r="A276" s="150">
        <f>1</f>
        <v>1</v>
      </c>
      <c r="B276" s="129" t="str">
        <f>структура!$J$12</f>
        <v>ОСНО</v>
      </c>
      <c r="C276" s="3"/>
      <c r="D276" s="3"/>
      <c r="E276" s="147" t="str">
        <f>KPI!$E$142</f>
        <v>неприведенный средневзвешенный срок окуп-ти</v>
      </c>
      <c r="F276" s="147"/>
      <c r="G276" s="147" t="str">
        <f>IF($E276="","",INDEX(KPI!$G:$G,SUMIFS(KPI!$B:$B,KPI!$E:$E,$E276)))</f>
        <v>лет</v>
      </c>
      <c r="H276" s="147"/>
      <c r="I276" s="170"/>
      <c r="J276" s="147"/>
      <c r="K276" s="170"/>
      <c r="L276" s="147"/>
      <c r="M276" s="187">
        <f>IF(OR($M226&lt;0,$M266=0),"&gt;"&amp;MAX($1:$1),SUMPRODUCT($O$2:$AB$2,$O266:$AB266)/$M266)</f>
        <v>2.7276924154525641</v>
      </c>
      <c r="N276" s="3"/>
      <c r="O276" s="3"/>
      <c r="P276" s="104" t="s">
        <v>409</v>
      </c>
      <c r="Q276" s="46"/>
      <c r="R276" s="46"/>
      <c r="S276" s="46"/>
      <c r="T276" s="46"/>
      <c r="U276" s="46"/>
      <c r="V276" s="46"/>
      <c r="W276" s="46"/>
      <c r="X276" s="46"/>
      <c r="Y276" s="46"/>
      <c r="Z276" s="46"/>
      <c r="AA276" s="46"/>
      <c r="AB276" s="3"/>
    </row>
    <row r="277" spans="1:28" s="5" customFormat="1" ht="3.9" customHeight="1" x14ac:dyDescent="0.25">
      <c r="A277" s="150">
        <f>1</f>
        <v>1</v>
      </c>
      <c r="B277" s="128"/>
      <c r="C277" s="3"/>
      <c r="D277" s="3"/>
      <c r="E277" s="3"/>
      <c r="F277" s="3"/>
      <c r="G277" s="3"/>
      <c r="H277" s="3"/>
      <c r="I277" s="28"/>
      <c r="J277" s="3"/>
      <c r="K277" s="28"/>
      <c r="L277" s="3"/>
      <c r="M277" s="55"/>
      <c r="N277" s="3"/>
      <c r="O277" s="3"/>
      <c r="P277" s="46"/>
      <c r="Q277" s="46"/>
      <c r="R277" s="46"/>
      <c r="S277" s="46"/>
      <c r="T277" s="46"/>
      <c r="U277" s="46"/>
      <c r="V277" s="46"/>
      <c r="W277" s="46"/>
      <c r="X277" s="46"/>
      <c r="Y277" s="46"/>
      <c r="Z277" s="46"/>
      <c r="AA277" s="46"/>
      <c r="AB277" s="3"/>
    </row>
    <row r="278" spans="1:28" s="5" customFormat="1" x14ac:dyDescent="0.25">
      <c r="A278" s="150">
        <f>1</f>
        <v>1</v>
      </c>
      <c r="B278" s="129" t="str">
        <f>структура!$J$13</f>
        <v>УСН(6%)</v>
      </c>
      <c r="C278" s="3"/>
      <c r="D278" s="3"/>
      <c r="E278" s="147" t="str">
        <f>E276</f>
        <v>неприведенный средневзвешенный срок окуп-ти</v>
      </c>
      <c r="F278" s="147"/>
      <c r="G278" s="147" t="str">
        <f>IF($E278="","",INDEX(KPI!$G:$G,SUMIFS(KPI!$B:$B,KPI!$E:$E,$E278)))</f>
        <v>лет</v>
      </c>
      <c r="H278" s="147"/>
      <c r="I278" s="170"/>
      <c r="J278" s="147"/>
      <c r="K278" s="170"/>
      <c r="L278" s="147"/>
      <c r="M278" s="187">
        <f>IF(OR($M228&lt;0,$M268=0),"&gt;"&amp;MAX($1:$1),SUMPRODUCT($O$2:$AB$2,$O268:$AB268)/$M268)</f>
        <v>2.6483067076895086</v>
      </c>
      <c r="N278" s="3"/>
      <c r="O278" s="3"/>
      <c r="P278" s="46"/>
      <c r="Q278" s="46"/>
      <c r="R278" s="46"/>
      <c r="S278" s="46"/>
      <c r="T278" s="46"/>
      <c r="U278" s="46"/>
      <c r="V278" s="46"/>
      <c r="W278" s="46"/>
      <c r="X278" s="46"/>
      <c r="Y278" s="46"/>
      <c r="Z278" s="46"/>
      <c r="AA278" s="46"/>
      <c r="AB278" s="3"/>
    </row>
    <row r="279" spans="1:28" s="5" customFormat="1" ht="3.9" customHeight="1" x14ac:dyDescent="0.25">
      <c r="A279" s="150">
        <f>1</f>
        <v>1</v>
      </c>
      <c r="B279" s="128"/>
      <c r="C279" s="3"/>
      <c r="D279" s="3"/>
      <c r="E279" s="3"/>
      <c r="F279" s="3"/>
      <c r="G279" s="3"/>
      <c r="H279" s="3"/>
      <c r="I279" s="28"/>
      <c r="J279" s="3"/>
      <c r="K279" s="28"/>
      <c r="L279" s="3"/>
      <c r="M279" s="55"/>
      <c r="N279" s="3"/>
      <c r="O279" s="3"/>
      <c r="P279" s="46"/>
      <c r="Q279" s="46"/>
      <c r="R279" s="46"/>
      <c r="S279" s="46"/>
      <c r="T279" s="46"/>
      <c r="U279" s="46"/>
      <c r="V279" s="46"/>
      <c r="W279" s="46"/>
      <c r="X279" s="46"/>
      <c r="Y279" s="46"/>
      <c r="Z279" s="46"/>
      <c r="AA279" s="46"/>
      <c r="AB279" s="3"/>
    </row>
    <row r="280" spans="1:28" s="5" customFormat="1" x14ac:dyDescent="0.25">
      <c r="A280" s="150">
        <f>1</f>
        <v>1</v>
      </c>
      <c r="B280" s="129" t="str">
        <f>структура!$J$14</f>
        <v>УСН(15%)</v>
      </c>
      <c r="C280" s="3"/>
      <c r="D280" s="3"/>
      <c r="E280" s="147" t="str">
        <f>E276</f>
        <v>неприведенный средневзвешенный срок окуп-ти</v>
      </c>
      <c r="F280" s="147"/>
      <c r="G280" s="147" t="str">
        <f>IF($E280="","",INDEX(KPI!$G:$G,SUMIFS(KPI!$B:$B,KPI!$E:$E,$E280)))</f>
        <v>лет</v>
      </c>
      <c r="H280" s="147"/>
      <c r="I280" s="170"/>
      <c r="J280" s="147"/>
      <c r="K280" s="170"/>
      <c r="L280" s="147"/>
      <c r="M280" s="187">
        <f>IF(OR($M230&lt;0,$M270=0),"&gt;"&amp;MAX($1:$1),SUMPRODUCT($O$2:$AB$2,$O270:$AB270)/$M270)</f>
        <v>2.7670198444115086</v>
      </c>
      <c r="N280" s="3"/>
      <c r="O280" s="3"/>
      <c r="P280" s="46"/>
      <c r="Q280" s="46"/>
      <c r="R280" s="46"/>
      <c r="S280" s="46"/>
      <c r="T280" s="46"/>
      <c r="U280" s="46"/>
      <c r="V280" s="46"/>
      <c r="W280" s="46"/>
      <c r="X280" s="46"/>
      <c r="Y280" s="46"/>
      <c r="Z280" s="46"/>
      <c r="AA280" s="46"/>
      <c r="AB280" s="3"/>
    </row>
    <row r="281" spans="1:28" s="5" customFormat="1" ht="3.9" customHeight="1" x14ac:dyDescent="0.25">
      <c r="A281" s="150">
        <f>1</f>
        <v>1</v>
      </c>
      <c r="B281" s="128"/>
      <c r="C281" s="3"/>
      <c r="D281" s="3"/>
      <c r="E281" s="3"/>
      <c r="F281" s="3"/>
      <c r="G281" s="3"/>
      <c r="H281" s="3"/>
      <c r="I281" s="28"/>
      <c r="J281" s="3"/>
      <c r="K281" s="28"/>
      <c r="L281" s="3"/>
      <c r="M281" s="55"/>
      <c r="N281" s="3"/>
      <c r="O281" s="3"/>
      <c r="P281" s="46"/>
      <c r="Q281" s="46"/>
      <c r="R281" s="46"/>
      <c r="S281" s="46"/>
      <c r="T281" s="46"/>
      <c r="U281" s="46"/>
      <c r="V281" s="46"/>
      <c r="W281" s="46"/>
      <c r="X281" s="46"/>
      <c r="Y281" s="46"/>
      <c r="Z281" s="46"/>
      <c r="AA281" s="46"/>
      <c r="AB281" s="3"/>
    </row>
    <row r="282" spans="1:28" s="5" customFormat="1" x14ac:dyDescent="0.25">
      <c r="A282" s="150">
        <f>1</f>
        <v>1</v>
      </c>
      <c r="B282" s="129" t="str">
        <f>структура!$J$15</f>
        <v>УСН(6%)-ИП</v>
      </c>
      <c r="C282" s="3"/>
      <c r="D282" s="3"/>
      <c r="E282" s="147" t="str">
        <f>E276</f>
        <v>неприведенный средневзвешенный срок окуп-ти</v>
      </c>
      <c r="F282" s="147"/>
      <c r="G282" s="147" t="str">
        <f>IF($E282="","",INDEX(KPI!$G:$G,SUMIFS(KPI!$B:$B,KPI!$E:$E,$E282)))</f>
        <v>лет</v>
      </c>
      <c r="H282" s="147"/>
      <c r="I282" s="170"/>
      <c r="J282" s="147"/>
      <c r="K282" s="170"/>
      <c r="L282" s="147"/>
      <c r="M282" s="187">
        <f>IF(OR($M232&lt;0,$M272=0),"&gt;"&amp;MAX($1:$1),SUMPRODUCT($O$2:$AB$2,$O272:$AB272)/$M272)</f>
        <v>2.5852767936586734</v>
      </c>
      <c r="N282" s="3"/>
      <c r="O282" s="3"/>
      <c r="P282" s="46"/>
      <c r="Q282" s="46"/>
      <c r="R282" s="46"/>
      <c r="S282" s="46"/>
      <c r="T282" s="46"/>
      <c r="U282" s="46"/>
      <c r="V282" s="46"/>
      <c r="W282" s="46"/>
      <c r="X282" s="46"/>
      <c r="Y282" s="46"/>
      <c r="Z282" s="46"/>
      <c r="AA282" s="46"/>
      <c r="AB282" s="3"/>
    </row>
    <row r="283" spans="1:28" ht="3.9" customHeight="1" x14ac:dyDescent="0.25">
      <c r="A283" s="149">
        <f>1</f>
        <v>1</v>
      </c>
      <c r="B283" s="131"/>
      <c r="C283" s="2"/>
      <c r="D283" s="2"/>
      <c r="E283" s="117"/>
      <c r="F283" s="2"/>
      <c r="G283" s="117"/>
      <c r="H283" s="2"/>
      <c r="I283" s="28"/>
      <c r="J283" s="2"/>
      <c r="K283" s="28"/>
      <c r="L283" s="2"/>
      <c r="M283" s="138"/>
      <c r="N283" s="2"/>
      <c r="O283" s="2"/>
      <c r="P283" s="36"/>
      <c r="Q283" s="36"/>
      <c r="R283" s="36"/>
      <c r="S283" s="36"/>
      <c r="T283" s="36"/>
      <c r="U283" s="36"/>
      <c r="V283" s="36"/>
      <c r="W283" s="36"/>
      <c r="X283" s="36"/>
      <c r="Y283" s="36"/>
      <c r="Z283" s="36"/>
      <c r="AA283" s="36"/>
      <c r="AB283" s="2"/>
    </row>
    <row r="284" spans="1:28" ht="8.1" customHeight="1" x14ac:dyDescent="0.25">
      <c r="A284" s="149">
        <f>1</f>
        <v>1</v>
      </c>
      <c r="B284" s="131"/>
      <c r="C284" s="2"/>
      <c r="D284" s="2"/>
      <c r="E284" s="2"/>
      <c r="F284" s="2"/>
      <c r="G284" s="2"/>
      <c r="H284" s="2"/>
      <c r="I284" s="28"/>
      <c r="J284" s="2"/>
      <c r="K284" s="28"/>
      <c r="L284" s="2"/>
      <c r="M284" s="52"/>
      <c r="N284" s="2"/>
      <c r="O284" s="2"/>
      <c r="P284" s="36"/>
      <c r="Q284" s="36"/>
      <c r="R284" s="36"/>
      <c r="S284" s="36"/>
      <c r="T284" s="36"/>
      <c r="U284" s="36"/>
      <c r="V284" s="36"/>
      <c r="W284" s="36"/>
      <c r="X284" s="36"/>
      <c r="Y284" s="36"/>
      <c r="Z284" s="36"/>
      <c r="AA284" s="36"/>
      <c r="AB284" s="2"/>
    </row>
    <row r="285" spans="1:28" ht="3.9" customHeight="1" x14ac:dyDescent="0.25">
      <c r="A285" s="149">
        <f>1</f>
        <v>1</v>
      </c>
      <c r="B285" s="131"/>
      <c r="C285" s="2"/>
      <c r="D285" s="2"/>
      <c r="E285" s="2"/>
      <c r="F285" s="2"/>
      <c r="G285" s="2"/>
      <c r="H285" s="2"/>
      <c r="I285" s="28"/>
      <c r="J285" s="2"/>
      <c r="K285" s="28"/>
      <c r="L285" s="2"/>
      <c r="M285" s="52"/>
      <c r="N285" s="2"/>
      <c r="O285" s="2"/>
      <c r="P285" s="36"/>
      <c r="Q285" s="36"/>
      <c r="R285" s="36"/>
      <c r="S285" s="36"/>
      <c r="T285" s="36"/>
      <c r="U285" s="36"/>
      <c r="V285" s="36"/>
      <c r="W285" s="36"/>
      <c r="X285" s="36"/>
      <c r="Y285" s="36"/>
      <c r="Z285" s="36"/>
      <c r="AA285" s="36"/>
      <c r="AB285" s="2"/>
    </row>
    <row r="286" spans="1:28" s="5" customFormat="1" x14ac:dyDescent="0.25">
      <c r="A286" s="150">
        <f>1</f>
        <v>1</v>
      </c>
      <c r="B286" s="129" t="str">
        <f>структура!$J$12</f>
        <v>ОСНО</v>
      </c>
      <c r="C286" s="3"/>
      <c r="D286" s="3"/>
      <c r="E286" s="147" t="str">
        <f>KPI!$E$144</f>
        <v>неприведенный классический срок окуп-ти</v>
      </c>
      <c r="F286" s="147"/>
      <c r="G286" s="147" t="str">
        <f>IF($E286="","",INDEX(KPI!$G:$G,SUMIFS(KPI!$B:$B,KPI!$E:$E,$E286)))</f>
        <v>лет</v>
      </c>
      <c r="H286" s="147"/>
      <c r="I286" s="170"/>
      <c r="J286" s="147"/>
      <c r="K286" s="170"/>
      <c r="L286" s="147"/>
      <c r="M286" s="187">
        <f>MAX(P265:AA265)</f>
        <v>5</v>
      </c>
      <c r="N286" s="3"/>
      <c r="O286" s="3"/>
      <c r="P286" s="104" t="s">
        <v>410</v>
      </c>
      <c r="Q286" s="46"/>
      <c r="R286" s="46"/>
      <c r="S286" s="46"/>
      <c r="T286" s="46"/>
      <c r="U286" s="46"/>
      <c r="V286" s="46"/>
      <c r="W286" s="46"/>
      <c r="X286" s="46"/>
      <c r="Y286" s="46"/>
      <c r="Z286" s="46"/>
      <c r="AA286" s="46"/>
      <c r="AB286" s="3"/>
    </row>
    <row r="287" spans="1:28" s="5" customFormat="1" ht="3.9" customHeight="1" x14ac:dyDescent="0.25">
      <c r="A287" s="150">
        <f>1</f>
        <v>1</v>
      </c>
      <c r="B287" s="128"/>
      <c r="C287" s="3"/>
      <c r="D287" s="3"/>
      <c r="E287" s="3"/>
      <c r="F287" s="3"/>
      <c r="G287" s="3"/>
      <c r="H287" s="3"/>
      <c r="I287" s="28"/>
      <c r="J287" s="3"/>
      <c r="K287" s="28"/>
      <c r="L287" s="3"/>
      <c r="M287" s="55"/>
      <c r="N287" s="3"/>
      <c r="O287" s="3"/>
      <c r="P287" s="46"/>
      <c r="Q287" s="46"/>
      <c r="R287" s="46"/>
      <c r="S287" s="46"/>
      <c r="T287" s="46"/>
      <c r="U287" s="46"/>
      <c r="V287" s="46"/>
      <c r="W287" s="46"/>
      <c r="X287" s="46"/>
      <c r="Y287" s="46"/>
      <c r="Z287" s="46"/>
      <c r="AA287" s="46"/>
      <c r="AB287" s="3"/>
    </row>
    <row r="288" spans="1:28" s="5" customFormat="1" x14ac:dyDescent="0.25">
      <c r="A288" s="150">
        <f>1</f>
        <v>1</v>
      </c>
      <c r="B288" s="129" t="str">
        <f>структура!$J$13</f>
        <v>УСН(6%)</v>
      </c>
      <c r="C288" s="3"/>
      <c r="D288" s="3"/>
      <c r="E288" s="147" t="str">
        <f>E286</f>
        <v>неприведенный классический срок окуп-ти</v>
      </c>
      <c r="F288" s="147"/>
      <c r="G288" s="147" t="str">
        <f>IF($E288="","",INDEX(KPI!$G:$G,SUMIFS(KPI!$B:$B,KPI!$E:$E,$E288)))</f>
        <v>лет</v>
      </c>
      <c r="H288" s="147"/>
      <c r="I288" s="170"/>
      <c r="J288" s="147"/>
      <c r="K288" s="170"/>
      <c r="L288" s="147"/>
      <c r="M288" s="187">
        <f>MAX(P267:AA267)</f>
        <v>5</v>
      </c>
      <c r="N288" s="3"/>
      <c r="O288" s="3"/>
      <c r="P288" s="46"/>
      <c r="Q288" s="46"/>
      <c r="R288" s="46"/>
      <c r="S288" s="46"/>
      <c r="T288" s="46"/>
      <c r="U288" s="46"/>
      <c r="V288" s="46"/>
      <c r="W288" s="46"/>
      <c r="X288" s="46"/>
      <c r="Y288" s="46"/>
      <c r="Z288" s="46"/>
      <c r="AA288" s="46"/>
      <c r="AB288" s="3"/>
    </row>
    <row r="289" spans="1:28" s="5" customFormat="1" ht="3.9" customHeight="1" x14ac:dyDescent="0.25">
      <c r="A289" s="150">
        <f>1</f>
        <v>1</v>
      </c>
      <c r="B289" s="128"/>
      <c r="C289" s="3"/>
      <c r="D289" s="3"/>
      <c r="E289" s="3"/>
      <c r="F289" s="3"/>
      <c r="G289" s="3"/>
      <c r="H289" s="3"/>
      <c r="I289" s="28"/>
      <c r="J289" s="3"/>
      <c r="K289" s="28"/>
      <c r="L289" s="3"/>
      <c r="M289" s="55"/>
      <c r="N289" s="3"/>
      <c r="O289" s="3"/>
      <c r="P289" s="46"/>
      <c r="Q289" s="46"/>
      <c r="R289" s="46"/>
      <c r="S289" s="46"/>
      <c r="T289" s="46"/>
      <c r="U289" s="46"/>
      <c r="V289" s="46"/>
      <c r="W289" s="46"/>
      <c r="X289" s="46"/>
      <c r="Y289" s="46"/>
      <c r="Z289" s="46"/>
      <c r="AA289" s="46"/>
      <c r="AB289" s="3"/>
    </row>
    <row r="290" spans="1:28" s="5" customFormat="1" x14ac:dyDescent="0.25">
      <c r="A290" s="150">
        <f>1</f>
        <v>1</v>
      </c>
      <c r="B290" s="129" t="str">
        <f>структура!$J$14</f>
        <v>УСН(15%)</v>
      </c>
      <c r="C290" s="3"/>
      <c r="D290" s="3"/>
      <c r="E290" s="147" t="str">
        <f>E286</f>
        <v>неприведенный классический срок окуп-ти</v>
      </c>
      <c r="F290" s="147"/>
      <c r="G290" s="147" t="str">
        <f>IF($E290="","",INDEX(KPI!$G:$G,SUMIFS(KPI!$B:$B,KPI!$E:$E,$E290)))</f>
        <v>лет</v>
      </c>
      <c r="H290" s="147"/>
      <c r="I290" s="170"/>
      <c r="J290" s="147"/>
      <c r="K290" s="170"/>
      <c r="L290" s="147"/>
      <c r="M290" s="187">
        <f>MAX(P269:AA269)</f>
        <v>5</v>
      </c>
      <c r="N290" s="3"/>
      <c r="O290" s="3"/>
      <c r="P290" s="46"/>
      <c r="Q290" s="46"/>
      <c r="R290" s="46"/>
      <c r="S290" s="46"/>
      <c r="T290" s="46"/>
      <c r="U290" s="46"/>
      <c r="V290" s="46"/>
      <c r="W290" s="46"/>
      <c r="X290" s="46"/>
      <c r="Y290" s="46"/>
      <c r="Z290" s="46"/>
      <c r="AA290" s="46"/>
      <c r="AB290" s="3"/>
    </row>
    <row r="291" spans="1:28" s="5" customFormat="1" ht="3.9" customHeight="1" x14ac:dyDescent="0.25">
      <c r="A291" s="150">
        <f>1</f>
        <v>1</v>
      </c>
      <c r="B291" s="128"/>
      <c r="C291" s="3"/>
      <c r="D291" s="3"/>
      <c r="E291" s="3"/>
      <c r="F291" s="3"/>
      <c r="G291" s="3"/>
      <c r="H291" s="3"/>
      <c r="I291" s="28"/>
      <c r="J291" s="3"/>
      <c r="K291" s="28"/>
      <c r="L291" s="3"/>
      <c r="M291" s="55"/>
      <c r="N291" s="3"/>
      <c r="O291" s="3"/>
      <c r="P291" s="46"/>
      <c r="Q291" s="46"/>
      <c r="R291" s="46"/>
      <c r="S291" s="46"/>
      <c r="T291" s="46"/>
      <c r="U291" s="46"/>
      <c r="V291" s="46"/>
      <c r="W291" s="46"/>
      <c r="X291" s="46"/>
      <c r="Y291" s="46"/>
      <c r="Z291" s="46"/>
      <c r="AA291" s="46"/>
      <c r="AB291" s="3"/>
    </row>
    <row r="292" spans="1:28" s="5" customFormat="1" x14ac:dyDescent="0.25">
      <c r="A292" s="150">
        <f>1</f>
        <v>1</v>
      </c>
      <c r="B292" s="129" t="str">
        <f>структура!$J$15</f>
        <v>УСН(6%)-ИП</v>
      </c>
      <c r="C292" s="3"/>
      <c r="D292" s="3"/>
      <c r="E292" s="147" t="str">
        <f>E286</f>
        <v>неприведенный классический срок окуп-ти</v>
      </c>
      <c r="F292" s="147"/>
      <c r="G292" s="147" t="str">
        <f>IF($E292="","",INDEX(KPI!$G:$G,SUMIFS(KPI!$B:$B,KPI!$E:$E,$E292)))</f>
        <v>лет</v>
      </c>
      <c r="H292" s="147"/>
      <c r="I292" s="170"/>
      <c r="J292" s="147"/>
      <c r="K292" s="170"/>
      <c r="L292" s="147"/>
      <c r="M292" s="187">
        <f>MAX(P271:AA271)</f>
        <v>4</v>
      </c>
      <c r="N292" s="3"/>
      <c r="O292" s="3"/>
      <c r="P292" s="46"/>
      <c r="Q292" s="46"/>
      <c r="R292" s="46"/>
      <c r="S292" s="46"/>
      <c r="T292" s="46"/>
      <c r="U292" s="46"/>
      <c r="V292" s="46"/>
      <c r="W292" s="46"/>
      <c r="X292" s="46"/>
      <c r="Y292" s="46"/>
      <c r="Z292" s="46"/>
      <c r="AA292" s="46"/>
      <c r="AB292" s="3"/>
    </row>
    <row r="293" spans="1:28" ht="3.9" customHeight="1" x14ac:dyDescent="0.25">
      <c r="A293" s="149">
        <f>1</f>
        <v>1</v>
      </c>
      <c r="B293" s="131"/>
      <c r="C293" s="2"/>
      <c r="D293" s="2"/>
      <c r="E293" s="117"/>
      <c r="F293" s="2"/>
      <c r="G293" s="117"/>
      <c r="H293" s="2"/>
      <c r="I293" s="28"/>
      <c r="J293" s="2"/>
      <c r="K293" s="28"/>
      <c r="L293" s="2"/>
      <c r="M293" s="138"/>
      <c r="N293" s="2"/>
      <c r="O293" s="2"/>
      <c r="P293" s="36"/>
      <c r="Q293" s="36"/>
      <c r="R293" s="36"/>
      <c r="S293" s="36"/>
      <c r="T293" s="36"/>
      <c r="U293" s="36"/>
      <c r="V293" s="36"/>
      <c r="W293" s="36"/>
      <c r="X293" s="36"/>
      <c r="Y293" s="36"/>
      <c r="Z293" s="36"/>
      <c r="AA293" s="36"/>
      <c r="AB293" s="2"/>
    </row>
    <row r="294" spans="1:28" ht="8.1" customHeight="1" x14ac:dyDescent="0.25">
      <c r="A294" s="149">
        <f>1</f>
        <v>1</v>
      </c>
      <c r="B294" s="131"/>
      <c r="C294" s="2"/>
      <c r="D294" s="2"/>
      <c r="E294" s="2"/>
      <c r="F294" s="2"/>
      <c r="G294" s="2"/>
      <c r="H294" s="2"/>
      <c r="I294" s="28"/>
      <c r="J294" s="2"/>
      <c r="K294" s="28"/>
      <c r="L294" s="2"/>
      <c r="M294" s="52"/>
      <c r="N294" s="2"/>
      <c r="O294" s="2"/>
      <c r="P294" s="36"/>
      <c r="Q294" s="36"/>
      <c r="R294" s="36"/>
      <c r="S294" s="36"/>
      <c r="T294" s="36"/>
      <c r="U294" s="36"/>
      <c r="V294" s="36"/>
      <c r="W294" s="36"/>
      <c r="X294" s="36"/>
      <c r="Y294" s="36"/>
      <c r="Z294" s="36"/>
      <c r="AA294" s="36"/>
      <c r="AB294" s="2"/>
    </row>
    <row r="295" spans="1:28" ht="3.9" customHeight="1" x14ac:dyDescent="0.25">
      <c r="A295" s="149">
        <f>1</f>
        <v>1</v>
      </c>
      <c r="B295" s="131"/>
      <c r="C295" s="2"/>
      <c r="D295" s="2"/>
      <c r="E295" s="2"/>
      <c r="F295" s="2"/>
      <c r="G295" s="2"/>
      <c r="H295" s="2"/>
      <c r="I295" s="28"/>
      <c r="J295" s="2"/>
      <c r="K295" s="28"/>
      <c r="L295" s="2"/>
      <c r="M295" s="52"/>
      <c r="N295" s="2"/>
      <c r="O295" s="2"/>
      <c r="P295" s="36"/>
      <c r="Q295" s="36"/>
      <c r="R295" s="36"/>
      <c r="S295" s="36"/>
      <c r="T295" s="36"/>
      <c r="U295" s="36"/>
      <c r="V295" s="36"/>
      <c r="W295" s="36"/>
      <c r="X295" s="36"/>
      <c r="Y295" s="36"/>
      <c r="Z295" s="36"/>
      <c r="AA295" s="36"/>
      <c r="AB295" s="2"/>
    </row>
    <row r="296" spans="1:28" s="5" customFormat="1" x14ac:dyDescent="0.25">
      <c r="A296" s="150">
        <f>1</f>
        <v>1</v>
      </c>
      <c r="B296" s="129" t="str">
        <f>структура!$J$12</f>
        <v>ОСНО</v>
      </c>
      <c r="C296" s="3"/>
      <c r="D296" s="3"/>
      <c r="E296" s="146" t="str">
        <f>KPI!$E$107</f>
        <v>IRR</v>
      </c>
      <c r="F296" s="146"/>
      <c r="G296" s="146" t="str">
        <f>IF($E296="","",INDEX(KPI!$G:$G,SUMIFS(KPI!$B:$B,KPI!$E:$E,$E296)))</f>
        <v>%</v>
      </c>
      <c r="H296" s="146"/>
      <c r="I296" s="177"/>
      <c r="J296" s="146"/>
      <c r="K296" s="177"/>
      <c r="L296" s="146"/>
      <c r="M296" s="292">
        <f>IRR(P296:AA296)</f>
        <v>0.13374214133204987</v>
      </c>
      <c r="N296" s="3"/>
      <c r="O296" s="3"/>
      <c r="P296" s="179">
        <f>-$M$190</f>
        <v>-28550.37484</v>
      </c>
      <c r="Q296" s="179">
        <f>P175</f>
        <v>8982.365254571665</v>
      </c>
      <c r="R296" s="179">
        <f>Q175</f>
        <v>4362.8851864119133</v>
      </c>
      <c r="S296" s="179">
        <f t="shared" ref="S296:AA296" si="95">R175</f>
        <v>5163.5574148734522</v>
      </c>
      <c r="T296" s="179">
        <f t="shared" si="95"/>
        <v>5530.0018833349877</v>
      </c>
      <c r="U296" s="179">
        <f t="shared" si="95"/>
        <v>6125.6004517965303</v>
      </c>
      <c r="V296" s="179">
        <f t="shared" si="95"/>
        <v>7284.4892802580689</v>
      </c>
      <c r="W296" s="179">
        <f t="shared" si="95"/>
        <v>8770.2419419247271</v>
      </c>
      <c r="X296" s="179">
        <f t="shared" si="95"/>
        <v>0</v>
      </c>
      <c r="Y296" s="179">
        <f t="shared" si="95"/>
        <v>0</v>
      </c>
      <c r="Z296" s="179">
        <f t="shared" si="95"/>
        <v>0</v>
      </c>
      <c r="AA296" s="179">
        <f t="shared" si="95"/>
        <v>0</v>
      </c>
      <c r="AB296" s="3"/>
    </row>
    <row r="297" spans="1:28" s="5" customFormat="1" ht="3.9" customHeight="1" x14ac:dyDescent="0.25">
      <c r="A297" s="150">
        <f>1</f>
        <v>1</v>
      </c>
      <c r="B297" s="128"/>
      <c r="C297" s="3"/>
      <c r="D297" s="3"/>
      <c r="E297" s="3"/>
      <c r="F297" s="3"/>
      <c r="G297" s="3"/>
      <c r="H297" s="3"/>
      <c r="I297" s="28"/>
      <c r="J297" s="3"/>
      <c r="K297" s="28"/>
      <c r="L297" s="3"/>
      <c r="M297" s="55"/>
      <c r="N297" s="3"/>
      <c r="O297" s="3"/>
      <c r="P297" s="46"/>
      <c r="Q297" s="46"/>
      <c r="R297" s="46"/>
      <c r="S297" s="46"/>
      <c r="T297" s="46"/>
      <c r="U297" s="46"/>
      <c r="V297" s="46"/>
      <c r="W297" s="46"/>
      <c r="X297" s="46"/>
      <c r="Y297" s="46"/>
      <c r="Z297" s="46"/>
      <c r="AA297" s="46"/>
      <c r="AB297" s="3"/>
    </row>
    <row r="298" spans="1:28" s="5" customFormat="1" x14ac:dyDescent="0.25">
      <c r="A298" s="150">
        <f>1</f>
        <v>1</v>
      </c>
      <c r="B298" s="129" t="str">
        <f>структура!$J$13</f>
        <v>УСН(6%)</v>
      </c>
      <c r="C298" s="3"/>
      <c r="D298" s="3"/>
      <c r="E298" s="146" t="str">
        <f>E296</f>
        <v>IRR</v>
      </c>
      <c r="F298" s="146"/>
      <c r="G298" s="146" t="str">
        <f>IF($E298="","",INDEX(KPI!$G:$G,SUMIFS(KPI!$B:$B,KPI!$E:$E,$E298)))</f>
        <v>%</v>
      </c>
      <c r="H298" s="146"/>
      <c r="I298" s="177"/>
      <c r="J298" s="146"/>
      <c r="K298" s="177"/>
      <c r="L298" s="146"/>
      <c r="M298" s="292">
        <f>IRR(P298:AA298)</f>
        <v>0.19555961089276197</v>
      </c>
      <c r="N298" s="3"/>
      <c r="O298" s="3"/>
      <c r="P298" s="179">
        <f>-$M$190</f>
        <v>-28550.37484</v>
      </c>
      <c r="Q298" s="179">
        <f>P177</f>
        <v>6340.6361145716655</v>
      </c>
      <c r="R298" s="179">
        <f t="shared" ref="R298:AA298" si="96">Q177</f>
        <v>6371.941219956283</v>
      </c>
      <c r="S298" s="179">
        <f t="shared" si="96"/>
        <v>7333.0874484178221</v>
      </c>
      <c r="T298" s="179">
        <f t="shared" si="96"/>
        <v>7997.1819891870527</v>
      </c>
      <c r="U298" s="179">
        <f t="shared" si="96"/>
        <v>8805.3919930332086</v>
      </c>
      <c r="V298" s="179">
        <f t="shared" si="96"/>
        <v>10211.326321494747</v>
      </c>
      <c r="W298" s="179">
        <f t="shared" si="96"/>
        <v>12157.050092648587</v>
      </c>
      <c r="X298" s="179">
        <f t="shared" si="96"/>
        <v>0</v>
      </c>
      <c r="Y298" s="179">
        <f t="shared" si="96"/>
        <v>0</v>
      </c>
      <c r="Z298" s="179">
        <f t="shared" si="96"/>
        <v>0</v>
      </c>
      <c r="AA298" s="179">
        <f t="shared" si="96"/>
        <v>0</v>
      </c>
      <c r="AB298" s="3"/>
    </row>
    <row r="299" spans="1:28" s="5" customFormat="1" ht="3.9" customHeight="1" x14ac:dyDescent="0.25">
      <c r="A299" s="150">
        <f>1</f>
        <v>1</v>
      </c>
      <c r="B299" s="128"/>
      <c r="C299" s="3"/>
      <c r="D299" s="3"/>
      <c r="E299" s="3"/>
      <c r="F299" s="3"/>
      <c r="G299" s="3"/>
      <c r="H299" s="3"/>
      <c r="I299" s="28"/>
      <c r="J299" s="3"/>
      <c r="K299" s="28"/>
      <c r="L299" s="3"/>
      <c r="M299" s="55"/>
      <c r="N299" s="3"/>
      <c r="O299" s="3"/>
      <c r="P299" s="46"/>
      <c r="Q299" s="46"/>
      <c r="R299" s="46"/>
      <c r="S299" s="46"/>
      <c r="T299" s="46"/>
      <c r="U299" s="46"/>
      <c r="V299" s="46"/>
      <c r="W299" s="46"/>
      <c r="X299" s="46"/>
      <c r="Y299" s="46"/>
      <c r="Z299" s="46"/>
      <c r="AA299" s="46"/>
      <c r="AB299" s="3"/>
    </row>
    <row r="300" spans="1:28" s="5" customFormat="1" x14ac:dyDescent="0.25">
      <c r="A300" s="150">
        <f>1</f>
        <v>1</v>
      </c>
      <c r="B300" s="129" t="str">
        <f>структура!$J$14</f>
        <v>УСН(15%)</v>
      </c>
      <c r="C300" s="3"/>
      <c r="D300" s="3"/>
      <c r="E300" s="146" t="str">
        <f>E296</f>
        <v>IRR</v>
      </c>
      <c r="F300" s="146"/>
      <c r="G300" s="146" t="str">
        <f>IF($E300="","",INDEX(KPI!$G:$G,SUMIFS(KPI!$B:$B,KPI!$E:$E,$E300)))</f>
        <v>%</v>
      </c>
      <c r="H300" s="146"/>
      <c r="I300" s="177"/>
      <c r="J300" s="146"/>
      <c r="K300" s="177"/>
      <c r="L300" s="146"/>
      <c r="M300" s="292">
        <f>IRR(P300:AA300)</f>
        <v>0.17291372538502814</v>
      </c>
      <c r="N300" s="3"/>
      <c r="O300" s="3"/>
      <c r="P300" s="179">
        <f>-$M$190</f>
        <v>-28550.37484</v>
      </c>
      <c r="Q300" s="179">
        <f>P179</f>
        <v>6340.6361145716655</v>
      </c>
      <c r="R300" s="179">
        <f t="shared" ref="R300:AA300" si="97">Q179</f>
        <v>5857.597141385917</v>
      </c>
      <c r="S300" s="179">
        <f t="shared" si="97"/>
        <v>6756.981994847456</v>
      </c>
      <c r="T300" s="179">
        <f t="shared" si="97"/>
        <v>7303.1205801936103</v>
      </c>
      <c r="U300" s="179">
        <f t="shared" si="97"/>
        <v>8025.7986735013055</v>
      </c>
      <c r="V300" s="179">
        <f t="shared" si="97"/>
        <v>9336.2404144628417</v>
      </c>
      <c r="W300" s="179">
        <f t="shared" si="97"/>
        <v>11114.306998847453</v>
      </c>
      <c r="X300" s="179">
        <f t="shared" si="97"/>
        <v>0</v>
      </c>
      <c r="Y300" s="179">
        <f t="shared" si="97"/>
        <v>0</v>
      </c>
      <c r="Z300" s="179">
        <f t="shared" si="97"/>
        <v>0</v>
      </c>
      <c r="AA300" s="179">
        <f t="shared" si="97"/>
        <v>0</v>
      </c>
      <c r="AB300" s="3"/>
    </row>
    <row r="301" spans="1:28" s="5" customFormat="1" ht="3.9" customHeight="1" x14ac:dyDescent="0.25">
      <c r="A301" s="150">
        <f>1</f>
        <v>1</v>
      </c>
      <c r="B301" s="128"/>
      <c r="C301" s="3"/>
      <c r="D301" s="3"/>
      <c r="E301" s="3"/>
      <c r="F301" s="3"/>
      <c r="G301" s="3"/>
      <c r="H301" s="3"/>
      <c r="I301" s="28"/>
      <c r="J301" s="3"/>
      <c r="K301" s="28"/>
      <c r="L301" s="3"/>
      <c r="M301" s="55"/>
      <c r="N301" s="3"/>
      <c r="O301" s="3"/>
      <c r="P301" s="46"/>
      <c r="Q301" s="46"/>
      <c r="R301" s="46"/>
      <c r="S301" s="46"/>
      <c r="T301" s="46"/>
      <c r="U301" s="46"/>
      <c r="V301" s="46"/>
      <c r="W301" s="46"/>
      <c r="X301" s="46"/>
      <c r="Y301" s="46"/>
      <c r="Z301" s="46"/>
      <c r="AA301" s="46"/>
      <c r="AB301" s="3"/>
    </row>
    <row r="302" spans="1:28" s="5" customFormat="1" x14ac:dyDescent="0.25">
      <c r="A302" s="150">
        <f>1</f>
        <v>1</v>
      </c>
      <c r="B302" s="129" t="str">
        <f>структура!$J$15</f>
        <v>УСН(6%)-ИП</v>
      </c>
      <c r="C302" s="3"/>
      <c r="D302" s="3"/>
      <c r="E302" s="146" t="str">
        <f>E296</f>
        <v>IRR</v>
      </c>
      <c r="F302" s="146"/>
      <c r="G302" s="146" t="str">
        <f>IF($E302="","",INDEX(KPI!$G:$G,SUMIFS(KPI!$B:$B,KPI!$E:$E,$E302)))</f>
        <v>%</v>
      </c>
      <c r="H302" s="146"/>
      <c r="I302" s="177"/>
      <c r="J302" s="146"/>
      <c r="K302" s="177"/>
      <c r="L302" s="146"/>
      <c r="M302" s="292">
        <f>IRR(P302:AA302)</f>
        <v>0.20664971767188356</v>
      </c>
      <c r="N302" s="3"/>
      <c r="O302" s="3"/>
      <c r="P302" s="179">
        <f>-$M$190</f>
        <v>-28550.37484</v>
      </c>
      <c r="Q302" s="179">
        <f>P181</f>
        <v>6340.6361145716655</v>
      </c>
      <c r="R302" s="179">
        <f t="shared" ref="R302:AA302" si="98">Q181</f>
        <v>6796.2732545716672</v>
      </c>
      <c r="S302" s="179">
        <f t="shared" si="98"/>
        <v>7776.422983033206</v>
      </c>
      <c r="T302" s="179">
        <f t="shared" si="98"/>
        <v>8469.5840276485906</v>
      </c>
      <c r="U302" s="179">
        <f t="shared" si="98"/>
        <v>9296.2362776485934</v>
      </c>
      <c r="V302" s="179">
        <f t="shared" si="98"/>
        <v>10211.326321494747</v>
      </c>
      <c r="W302" s="179">
        <f t="shared" si="98"/>
        <v>12157.050092648587</v>
      </c>
      <c r="X302" s="179">
        <f t="shared" si="98"/>
        <v>0</v>
      </c>
      <c r="Y302" s="179">
        <f t="shared" si="98"/>
        <v>0</v>
      </c>
      <c r="Z302" s="179">
        <f t="shared" si="98"/>
        <v>0</v>
      </c>
      <c r="AA302" s="179">
        <f t="shared" si="98"/>
        <v>0</v>
      </c>
      <c r="AB302" s="3"/>
    </row>
    <row r="303" spans="1:28" ht="3.9" customHeight="1" x14ac:dyDescent="0.25">
      <c r="A303" s="149">
        <f>1</f>
        <v>1</v>
      </c>
      <c r="B303" s="131"/>
      <c r="C303" s="2"/>
      <c r="D303" s="2"/>
      <c r="E303" s="119"/>
      <c r="F303" s="2"/>
      <c r="G303" s="119"/>
      <c r="H303" s="2"/>
      <c r="I303" s="28"/>
      <c r="J303" s="2"/>
      <c r="K303" s="28"/>
      <c r="L303" s="2"/>
      <c r="M303" s="142"/>
      <c r="N303" s="2"/>
      <c r="O303" s="2"/>
      <c r="P303" s="36"/>
      <c r="Q303" s="36"/>
      <c r="R303" s="36"/>
      <c r="S303" s="36"/>
      <c r="T303" s="36"/>
      <c r="U303" s="36"/>
      <c r="V303" s="36"/>
      <c r="W303" s="36"/>
      <c r="X303" s="36"/>
      <c r="Y303" s="36"/>
      <c r="Z303" s="36"/>
      <c r="AA303" s="36"/>
      <c r="AB303" s="2"/>
    </row>
    <row r="304" spans="1:28" ht="8.1" customHeight="1" x14ac:dyDescent="0.25">
      <c r="A304" s="149">
        <f>1</f>
        <v>1</v>
      </c>
      <c r="B304" s="131"/>
      <c r="C304" s="2"/>
      <c r="D304" s="2"/>
      <c r="E304" s="2"/>
      <c r="F304" s="2"/>
      <c r="G304" s="2"/>
      <c r="H304" s="2"/>
      <c r="I304" s="28"/>
      <c r="J304" s="2"/>
      <c r="K304" s="28"/>
      <c r="L304" s="2"/>
      <c r="M304" s="52"/>
      <c r="N304" s="2"/>
      <c r="O304" s="2"/>
      <c r="P304" s="36"/>
      <c r="Q304" s="36"/>
      <c r="R304" s="36"/>
      <c r="S304" s="36"/>
      <c r="T304" s="36"/>
      <c r="U304" s="36"/>
      <c r="V304" s="36"/>
      <c r="W304" s="36"/>
      <c r="X304" s="36"/>
      <c r="Y304" s="36"/>
      <c r="Z304" s="36"/>
      <c r="AA304" s="36"/>
      <c r="AB304" s="2"/>
    </row>
    <row r="305" spans="1:28" s="5" customFormat="1" x14ac:dyDescent="0.25">
      <c r="A305" s="150">
        <f>1</f>
        <v>1</v>
      </c>
      <c r="B305" s="131"/>
      <c r="C305" s="3"/>
      <c r="D305" s="3"/>
      <c r="E305" s="3"/>
      <c r="F305" s="3"/>
      <c r="G305" s="3"/>
      <c r="H305" s="3"/>
      <c r="I305" s="28"/>
      <c r="J305" s="3"/>
      <c r="K305" s="28"/>
      <c r="L305" s="3"/>
      <c r="M305" s="55"/>
      <c r="N305" s="3"/>
      <c r="O305" s="3"/>
      <c r="P305" s="46"/>
      <c r="Q305" s="46"/>
      <c r="R305" s="46"/>
      <c r="S305" s="46"/>
      <c r="T305" s="46"/>
      <c r="U305" s="46"/>
      <c r="V305" s="46"/>
      <c r="W305" s="46"/>
      <c r="X305" s="46"/>
      <c r="Y305" s="46"/>
      <c r="Z305" s="46"/>
      <c r="AA305" s="46"/>
      <c r="AB305" s="3"/>
    </row>
    <row r="306" spans="1:28" ht="3.9" customHeight="1" x14ac:dyDescent="0.25">
      <c r="A306" s="149">
        <f>1</f>
        <v>1</v>
      </c>
      <c r="B306" s="131"/>
      <c r="C306" s="2"/>
      <c r="D306" s="2"/>
      <c r="E306" s="2"/>
      <c r="F306" s="2"/>
      <c r="G306" s="2"/>
      <c r="H306" s="2"/>
      <c r="I306" s="28"/>
      <c r="J306" s="2"/>
      <c r="K306" s="28"/>
      <c r="L306" s="2"/>
      <c r="M306" s="52"/>
      <c r="N306" s="2"/>
      <c r="O306" s="2"/>
      <c r="P306" s="36"/>
      <c r="Q306" s="36"/>
      <c r="R306" s="36"/>
      <c r="S306" s="36"/>
      <c r="T306" s="36"/>
      <c r="U306" s="36"/>
      <c r="V306" s="36"/>
      <c r="W306" s="36"/>
      <c r="X306" s="36"/>
      <c r="Y306" s="36"/>
      <c r="Z306" s="36"/>
      <c r="AA306" s="36"/>
      <c r="AB306" s="2"/>
    </row>
    <row r="307" spans="1:28" s="5" customFormat="1" x14ac:dyDescent="0.25">
      <c r="A307" s="150">
        <f>1</f>
        <v>1</v>
      </c>
      <c r="B307" s="131"/>
      <c r="C307" s="3"/>
      <c r="D307" s="3"/>
      <c r="E307" s="181" t="s">
        <v>278</v>
      </c>
      <c r="F307" s="3"/>
      <c r="G307" s="3"/>
      <c r="H307" s="3"/>
      <c r="I307" s="28"/>
      <c r="J307" s="3"/>
      <c r="K307" s="28"/>
      <c r="L307" s="3"/>
      <c r="M307" s="55"/>
      <c r="N307" s="3"/>
      <c r="O307" s="3"/>
      <c r="P307" s="46"/>
      <c r="Q307" s="46"/>
      <c r="R307" s="46"/>
      <c r="S307" s="46"/>
      <c r="T307" s="46"/>
      <c r="U307" s="46"/>
      <c r="V307" s="46"/>
      <c r="W307" s="46"/>
      <c r="X307" s="46"/>
      <c r="Y307" s="46"/>
      <c r="Z307" s="46"/>
      <c r="AA307" s="46"/>
      <c r="AB307" s="3"/>
    </row>
    <row r="308" spans="1:28" ht="3.9" customHeight="1" x14ac:dyDescent="0.25">
      <c r="A308" s="149">
        <f>1</f>
        <v>1</v>
      </c>
      <c r="B308" s="131"/>
      <c r="C308" s="2"/>
      <c r="D308" s="2"/>
      <c r="E308" s="2"/>
      <c r="F308" s="2"/>
      <c r="G308" s="2"/>
      <c r="H308" s="2"/>
      <c r="I308" s="28"/>
      <c r="J308" s="2"/>
      <c r="K308" s="28"/>
      <c r="L308" s="2"/>
      <c r="M308" s="52"/>
      <c r="N308" s="2"/>
      <c r="O308" s="2"/>
      <c r="P308" s="36"/>
      <c r="Q308" s="36"/>
      <c r="R308" s="36"/>
      <c r="S308" s="36"/>
      <c r="T308" s="36"/>
      <c r="U308" s="36"/>
      <c r="V308" s="36"/>
      <c r="W308" s="36"/>
      <c r="X308" s="36"/>
      <c r="Y308" s="36"/>
      <c r="Z308" s="36"/>
      <c r="AA308" s="36"/>
      <c r="AB308" s="2"/>
    </row>
    <row r="309" spans="1:28" ht="8.1" customHeight="1" x14ac:dyDescent="0.25">
      <c r="A309" s="149">
        <f>1</f>
        <v>1</v>
      </c>
      <c r="B309" s="131"/>
      <c r="C309" s="2"/>
      <c r="D309" s="2"/>
      <c r="E309" s="2"/>
      <c r="F309" s="2"/>
      <c r="G309" s="2"/>
      <c r="H309" s="2"/>
      <c r="I309" s="28"/>
      <c r="J309" s="2"/>
      <c r="K309" s="28"/>
      <c r="L309" s="2"/>
      <c r="M309" s="52"/>
      <c r="N309" s="2"/>
      <c r="O309" s="2"/>
      <c r="P309" s="36"/>
      <c r="Q309" s="36"/>
      <c r="R309" s="36"/>
      <c r="S309" s="36"/>
      <c r="T309" s="36"/>
      <c r="U309" s="36"/>
      <c r="V309" s="36"/>
      <c r="W309" s="36"/>
      <c r="X309" s="36"/>
      <c r="Y309" s="36"/>
      <c r="Z309" s="36"/>
      <c r="AA309" s="36"/>
      <c r="AB309" s="2"/>
    </row>
    <row r="310" spans="1:28" ht="3.9" customHeight="1" x14ac:dyDescent="0.25">
      <c r="A310" s="149">
        <f>1</f>
        <v>1</v>
      </c>
      <c r="B310" s="131"/>
      <c r="C310" s="2"/>
      <c r="D310" s="2"/>
      <c r="E310" s="2"/>
      <c r="F310" s="2"/>
      <c r="G310" s="2"/>
      <c r="H310" s="2"/>
      <c r="I310" s="28"/>
      <c r="J310" s="2"/>
      <c r="K310" s="28"/>
      <c r="L310" s="2"/>
      <c r="M310" s="52"/>
      <c r="N310" s="2"/>
      <c r="O310" s="2"/>
      <c r="P310" s="36"/>
      <c r="Q310" s="36"/>
      <c r="R310" s="36"/>
      <c r="S310" s="36"/>
      <c r="T310" s="36"/>
      <c r="U310" s="36"/>
      <c r="V310" s="36"/>
      <c r="W310" s="36"/>
      <c r="X310" s="36"/>
      <c r="Y310" s="36"/>
      <c r="Z310" s="36"/>
      <c r="AA310" s="36"/>
      <c r="AB310" s="2"/>
    </row>
    <row r="311" spans="1:28" s="163" customFormat="1" x14ac:dyDescent="0.25">
      <c r="A311" s="149">
        <f>1</f>
        <v>1</v>
      </c>
      <c r="B311" s="159" t="str">
        <f>структура!$J$12</f>
        <v>ОСНО</v>
      </c>
      <c r="C311" s="158"/>
      <c r="D311" s="158"/>
      <c r="E311" s="160" t="str">
        <f>KPI!$E$94</f>
        <v>БАЛАНС</v>
      </c>
      <c r="F311" s="160"/>
      <c r="G311" s="160" t="str">
        <f>IF($E311="","",INDEX(KPI!$G:$G,SUMIFS(KPI!$B:$B,KPI!$E:$E,$E311)))</f>
        <v>тыс.руб.</v>
      </c>
      <c r="H311" s="160"/>
      <c r="I311" s="161"/>
      <c r="J311" s="160" t="str">
        <f>структура!$AL$13</f>
        <v>контроль</v>
      </c>
      <c r="K311" s="161"/>
      <c r="L311" s="160"/>
      <c r="M311" s="180">
        <f>SUM($O311:$AB311)</f>
        <v>5.0022208597511053E-12</v>
      </c>
      <c r="N311" s="158"/>
      <c r="O311" s="158"/>
      <c r="P311" s="162">
        <f>IF(P$1="",0,P321+P331-P341-P351)</f>
        <v>9.0949470177292824E-13</v>
      </c>
      <c r="Q311" s="162">
        <f t="shared" ref="Q311:AA317" si="99">IF(Q$1="",0,Q321+Q331-Q341-Q351)</f>
        <v>4.0927261579781771E-12</v>
      </c>
      <c r="R311" s="162">
        <f t="shared" si="99"/>
        <v>3.637978807091713E-12</v>
      </c>
      <c r="S311" s="162">
        <f t="shared" si="99"/>
        <v>-3.1832314562052488E-12</v>
      </c>
      <c r="T311" s="162">
        <f t="shared" si="99"/>
        <v>-1.3642420526593924E-12</v>
      </c>
      <c r="U311" s="162">
        <f t="shared" si="99"/>
        <v>1.8189894035458565E-12</v>
      </c>
      <c r="V311" s="162">
        <f t="shared" si="99"/>
        <v>-9.0949470177292824E-13</v>
      </c>
      <c r="W311" s="162">
        <f t="shared" si="99"/>
        <v>0</v>
      </c>
      <c r="X311" s="162">
        <f t="shared" si="99"/>
        <v>0</v>
      </c>
      <c r="Y311" s="162">
        <f t="shared" si="99"/>
        <v>0</v>
      </c>
      <c r="Z311" s="162">
        <f t="shared" si="99"/>
        <v>0</v>
      </c>
      <c r="AA311" s="162">
        <f t="shared" si="99"/>
        <v>0</v>
      </c>
      <c r="AB311" s="158"/>
    </row>
    <row r="312" spans="1:28" s="163" customFormat="1" ht="3.9" customHeight="1" x14ac:dyDescent="0.25">
      <c r="A312" s="149">
        <f>1</f>
        <v>1</v>
      </c>
      <c r="B312" s="164"/>
      <c r="C312" s="158"/>
      <c r="D312" s="158"/>
      <c r="E312" s="158"/>
      <c r="F312" s="158"/>
      <c r="G312" s="158"/>
      <c r="H312" s="158"/>
      <c r="I312" s="165"/>
      <c r="J312" s="158"/>
      <c r="K312" s="165"/>
      <c r="L312" s="158"/>
      <c r="M312" s="166"/>
      <c r="N312" s="158"/>
      <c r="O312" s="158"/>
      <c r="P312" s="167"/>
      <c r="Q312" s="167"/>
      <c r="R312" s="167"/>
      <c r="S312" s="167"/>
      <c r="T312" s="167"/>
      <c r="U312" s="167"/>
      <c r="V312" s="167"/>
      <c r="W312" s="167"/>
      <c r="X312" s="167"/>
      <c r="Y312" s="167"/>
      <c r="Z312" s="167"/>
      <c r="AA312" s="167"/>
      <c r="AB312" s="158"/>
    </row>
    <row r="313" spans="1:28" s="163" customFormat="1" x14ac:dyDescent="0.25">
      <c r="A313" s="149">
        <f>1</f>
        <v>1</v>
      </c>
      <c r="B313" s="159" t="str">
        <f>структура!$J$13</f>
        <v>УСН(6%)</v>
      </c>
      <c r="C313" s="158"/>
      <c r="D313" s="158"/>
      <c r="E313" s="160" t="str">
        <f>E311</f>
        <v>БАЛАНС</v>
      </c>
      <c r="F313" s="160"/>
      <c r="G313" s="160" t="str">
        <f>IF($E313="","",INDEX(KPI!$G:$G,SUMIFS(KPI!$B:$B,KPI!$E:$E,$E313)))</f>
        <v>тыс.руб.</v>
      </c>
      <c r="H313" s="160"/>
      <c r="I313" s="161"/>
      <c r="J313" s="160" t="str">
        <f>структура!$AL$13</f>
        <v>контроль</v>
      </c>
      <c r="K313" s="161"/>
      <c r="L313" s="160"/>
      <c r="M313" s="180">
        <f>SUM($O313:$AB313)</f>
        <v>6.3664629124104977E-12</v>
      </c>
      <c r="N313" s="158"/>
      <c r="O313" s="158"/>
      <c r="P313" s="162">
        <f>IF(P$1="",0,P323+P333-P343-P353)</f>
        <v>-2.9558577807620168E-12</v>
      </c>
      <c r="Q313" s="162">
        <f t="shared" si="99"/>
        <v>-4.3200998334214091E-12</v>
      </c>
      <c r="R313" s="162">
        <f t="shared" si="99"/>
        <v>1.3642420526593924E-12</v>
      </c>
      <c r="S313" s="162">
        <f t="shared" si="99"/>
        <v>-3.1832314562052488E-12</v>
      </c>
      <c r="T313" s="162">
        <f t="shared" si="99"/>
        <v>5.9117155615240335E-12</v>
      </c>
      <c r="U313" s="162">
        <f t="shared" si="99"/>
        <v>1.4097167877480388E-11</v>
      </c>
      <c r="V313" s="162">
        <f t="shared" si="99"/>
        <v>-4.5474735088646412E-12</v>
      </c>
      <c r="W313" s="162">
        <f t="shared" si="99"/>
        <v>0</v>
      </c>
      <c r="X313" s="162">
        <f t="shared" si="99"/>
        <v>0</v>
      </c>
      <c r="Y313" s="162">
        <f t="shared" si="99"/>
        <v>0</v>
      </c>
      <c r="Z313" s="162">
        <f t="shared" si="99"/>
        <v>0</v>
      </c>
      <c r="AA313" s="162">
        <f t="shared" si="99"/>
        <v>0</v>
      </c>
      <c r="AB313" s="158"/>
    </row>
    <row r="314" spans="1:28" s="163" customFormat="1" ht="3.9" customHeight="1" x14ac:dyDescent="0.25">
      <c r="A314" s="149">
        <f>1</f>
        <v>1</v>
      </c>
      <c r="B314" s="164"/>
      <c r="C314" s="158"/>
      <c r="D314" s="158"/>
      <c r="E314" s="158"/>
      <c r="F314" s="158"/>
      <c r="G314" s="158"/>
      <c r="H314" s="158"/>
      <c r="I314" s="165"/>
      <c r="J314" s="158"/>
      <c r="K314" s="165"/>
      <c r="L314" s="158"/>
      <c r="M314" s="166"/>
      <c r="N314" s="158"/>
      <c r="O314" s="158"/>
      <c r="P314" s="167"/>
      <c r="Q314" s="167"/>
      <c r="R314" s="167"/>
      <c r="S314" s="167"/>
      <c r="T314" s="167"/>
      <c r="U314" s="167"/>
      <c r="V314" s="167"/>
      <c r="W314" s="167"/>
      <c r="X314" s="167"/>
      <c r="Y314" s="167"/>
      <c r="Z314" s="167"/>
      <c r="AA314" s="167"/>
      <c r="AB314" s="158"/>
    </row>
    <row r="315" spans="1:28" s="163" customFormat="1" x14ac:dyDescent="0.25">
      <c r="A315" s="149">
        <f>1</f>
        <v>1</v>
      </c>
      <c r="B315" s="159" t="str">
        <f>структура!$J$14</f>
        <v>УСН(15%)</v>
      </c>
      <c r="C315" s="158"/>
      <c r="D315" s="158"/>
      <c r="E315" s="160" t="str">
        <f>E311</f>
        <v>БАЛАНС</v>
      </c>
      <c r="F315" s="160"/>
      <c r="G315" s="160" t="str">
        <f>IF($E315="","",INDEX(KPI!$G:$G,SUMIFS(KPI!$B:$B,KPI!$E:$E,$E315)))</f>
        <v>тыс.руб.</v>
      </c>
      <c r="H315" s="160"/>
      <c r="I315" s="161"/>
      <c r="J315" s="160" t="str">
        <f>структура!$AL$13</f>
        <v>контроль</v>
      </c>
      <c r="K315" s="161"/>
      <c r="L315" s="160"/>
      <c r="M315" s="180">
        <f>SUM($O315:$AB315)</f>
        <v>-2.7512214728631079E-11</v>
      </c>
      <c r="N315" s="158"/>
      <c r="O315" s="158"/>
      <c r="P315" s="162">
        <f>IF(P$1="",0,P325+P335-P345-P355)</f>
        <v>-2.2737367544323206E-13</v>
      </c>
      <c r="Q315" s="162">
        <f t="shared" si="99"/>
        <v>-3.637978807091713E-12</v>
      </c>
      <c r="R315" s="162">
        <f t="shared" si="99"/>
        <v>-9.0949470177292824E-12</v>
      </c>
      <c r="S315" s="162">
        <f t="shared" si="99"/>
        <v>1.3642420526593924E-12</v>
      </c>
      <c r="T315" s="162">
        <f t="shared" si="99"/>
        <v>-7.2759576141834259E-12</v>
      </c>
      <c r="U315" s="162">
        <f t="shared" si="99"/>
        <v>-4.0927261579781771E-12</v>
      </c>
      <c r="V315" s="162">
        <f t="shared" si="99"/>
        <v>-4.5474735088646412E-12</v>
      </c>
      <c r="W315" s="162">
        <f t="shared" si="99"/>
        <v>0</v>
      </c>
      <c r="X315" s="162">
        <f t="shared" si="99"/>
        <v>0</v>
      </c>
      <c r="Y315" s="162">
        <f t="shared" si="99"/>
        <v>0</v>
      </c>
      <c r="Z315" s="162">
        <f t="shared" si="99"/>
        <v>0</v>
      </c>
      <c r="AA315" s="162">
        <f t="shared" si="99"/>
        <v>0</v>
      </c>
      <c r="AB315" s="158"/>
    </row>
    <row r="316" spans="1:28" s="163" customFormat="1" ht="3.9" customHeight="1" x14ac:dyDescent="0.25">
      <c r="A316" s="149">
        <f>1</f>
        <v>1</v>
      </c>
      <c r="B316" s="164"/>
      <c r="C316" s="158"/>
      <c r="D316" s="158"/>
      <c r="E316" s="158"/>
      <c r="F316" s="158"/>
      <c r="G316" s="158"/>
      <c r="H316" s="158"/>
      <c r="I316" s="165"/>
      <c r="J316" s="158"/>
      <c r="K316" s="165"/>
      <c r="L316" s="158"/>
      <c r="M316" s="166"/>
      <c r="N316" s="158"/>
      <c r="O316" s="158"/>
      <c r="P316" s="167"/>
      <c r="Q316" s="167"/>
      <c r="R316" s="167"/>
      <c r="S316" s="167"/>
      <c r="T316" s="167"/>
      <c r="U316" s="167"/>
      <c r="V316" s="167"/>
      <c r="W316" s="167"/>
      <c r="X316" s="167"/>
      <c r="Y316" s="167"/>
      <c r="Z316" s="167"/>
      <c r="AA316" s="167"/>
      <c r="AB316" s="158"/>
    </row>
    <row r="317" spans="1:28" s="163" customFormat="1" x14ac:dyDescent="0.25">
      <c r="A317" s="149">
        <f>1</f>
        <v>1</v>
      </c>
      <c r="B317" s="159" t="str">
        <f>структура!$J$15</f>
        <v>УСН(6%)-ИП</v>
      </c>
      <c r="C317" s="158"/>
      <c r="D317" s="158"/>
      <c r="E317" s="160" t="str">
        <f>E311</f>
        <v>БАЛАНС</v>
      </c>
      <c r="F317" s="160"/>
      <c r="G317" s="160" t="str">
        <f>IF($E317="","",INDEX(KPI!$G:$G,SUMIFS(KPI!$B:$B,KPI!$E:$E,$E317)))</f>
        <v>тыс.руб.</v>
      </c>
      <c r="H317" s="160"/>
      <c r="I317" s="161"/>
      <c r="J317" s="160" t="str">
        <f>структура!$AL$13</f>
        <v>контроль</v>
      </c>
      <c r="K317" s="161"/>
      <c r="L317" s="160"/>
      <c r="M317" s="180">
        <f>SUM($O317:$AB317)</f>
        <v>-2.432898327242583E-11</v>
      </c>
      <c r="N317" s="158"/>
      <c r="O317" s="158"/>
      <c r="P317" s="162">
        <f>IF(P$1="",0,P327+P337-P347-P357)</f>
        <v>0</v>
      </c>
      <c r="Q317" s="162">
        <f t="shared" si="99"/>
        <v>3.637978807091713E-12</v>
      </c>
      <c r="R317" s="162">
        <f t="shared" si="99"/>
        <v>3.865352482534945E-12</v>
      </c>
      <c r="S317" s="162">
        <f t="shared" si="99"/>
        <v>-3.637978807091713E-12</v>
      </c>
      <c r="T317" s="162">
        <f t="shared" si="99"/>
        <v>-8.6401996668428183E-12</v>
      </c>
      <c r="U317" s="162">
        <f t="shared" si="99"/>
        <v>-4.5474735088646412E-13</v>
      </c>
      <c r="V317" s="162">
        <f t="shared" si="99"/>
        <v>-1.9099388737231493E-11</v>
      </c>
      <c r="W317" s="162">
        <f t="shared" si="99"/>
        <v>0</v>
      </c>
      <c r="X317" s="162">
        <f t="shared" si="99"/>
        <v>0</v>
      </c>
      <c r="Y317" s="162">
        <f t="shared" si="99"/>
        <v>0</v>
      </c>
      <c r="Z317" s="162">
        <f t="shared" si="99"/>
        <v>0</v>
      </c>
      <c r="AA317" s="162">
        <f t="shared" si="99"/>
        <v>0</v>
      </c>
      <c r="AB317" s="158"/>
    </row>
    <row r="318" spans="1:28" s="163" customFormat="1" ht="3.9" customHeight="1" x14ac:dyDescent="0.25">
      <c r="A318" s="149">
        <f>1</f>
        <v>1</v>
      </c>
      <c r="B318" s="164"/>
      <c r="C318" s="158"/>
      <c r="D318" s="158"/>
      <c r="E318" s="168"/>
      <c r="F318" s="158"/>
      <c r="G318" s="168"/>
      <c r="H318" s="158"/>
      <c r="I318" s="165"/>
      <c r="J318" s="158"/>
      <c r="K318" s="165"/>
      <c r="L318" s="158"/>
      <c r="M318" s="169"/>
      <c r="N318" s="158"/>
      <c r="O318" s="158"/>
      <c r="P318" s="167"/>
      <c r="Q318" s="167"/>
      <c r="R318" s="167"/>
      <c r="S318" s="167"/>
      <c r="T318" s="167"/>
      <c r="U318" s="167"/>
      <c r="V318" s="167"/>
      <c r="W318" s="167"/>
      <c r="X318" s="167"/>
      <c r="Y318" s="167"/>
      <c r="Z318" s="167"/>
      <c r="AA318" s="167"/>
      <c r="AB318" s="158"/>
    </row>
    <row r="319" spans="1:28" ht="8.1" customHeight="1" x14ac:dyDescent="0.25">
      <c r="A319" s="149">
        <f>1</f>
        <v>1</v>
      </c>
      <c r="B319" s="131"/>
      <c r="C319" s="2"/>
      <c r="D319" s="2"/>
      <c r="E319" s="2"/>
      <c r="F319" s="2"/>
      <c r="G319" s="2"/>
      <c r="H319" s="2"/>
      <c r="I319" s="28"/>
      <c r="J319" s="2"/>
      <c r="K319" s="28"/>
      <c r="L319" s="2"/>
      <c r="M319" s="52"/>
      <c r="N319" s="2"/>
      <c r="O319" s="2"/>
      <c r="P319" s="36"/>
      <c r="Q319" s="36"/>
      <c r="R319" s="36"/>
      <c r="S319" s="36"/>
      <c r="T319" s="36"/>
      <c r="U319" s="36"/>
      <c r="V319" s="36"/>
      <c r="W319" s="36"/>
      <c r="X319" s="36"/>
      <c r="Y319" s="36"/>
      <c r="Z319" s="36"/>
      <c r="AA319" s="36"/>
      <c r="AB319" s="2"/>
    </row>
    <row r="320" spans="1:28" ht="3.9" customHeight="1" x14ac:dyDescent="0.25">
      <c r="A320" s="149">
        <f>1</f>
        <v>1</v>
      </c>
      <c r="B320" s="131"/>
      <c r="C320" s="2"/>
      <c r="D320" s="2"/>
      <c r="E320" s="2"/>
      <c r="F320" s="2"/>
      <c r="G320" s="2"/>
      <c r="H320" s="2"/>
      <c r="I320" s="28"/>
      <c r="J320" s="2"/>
      <c r="K320" s="28"/>
      <c r="L320" s="2"/>
      <c r="M320" s="52"/>
      <c r="N320" s="2"/>
      <c r="O320" s="2"/>
      <c r="P320" s="36"/>
      <c r="Q320" s="36"/>
      <c r="R320" s="36"/>
      <c r="S320" s="36"/>
      <c r="T320" s="36"/>
      <c r="U320" s="36"/>
      <c r="V320" s="36"/>
      <c r="W320" s="36"/>
      <c r="X320" s="36"/>
      <c r="Y320" s="36"/>
      <c r="Z320" s="36"/>
      <c r="AA320" s="36"/>
      <c r="AB320" s="2"/>
    </row>
    <row r="321" spans="1:28" s="5" customFormat="1" x14ac:dyDescent="0.25">
      <c r="A321" s="150">
        <f>1</f>
        <v>1</v>
      </c>
      <c r="B321" s="129" t="str">
        <f>структура!$J$12</f>
        <v>ОСНО</v>
      </c>
      <c r="C321" s="3"/>
      <c r="D321" s="3"/>
      <c r="E321" s="89" t="str">
        <f>KPI!$E$92</f>
        <v>ВНЕОБОРОТНЫЕ АКТИВЫ</v>
      </c>
      <c r="F321" s="89"/>
      <c r="G321" s="89" t="str">
        <f>IF($E321="","",INDEX(KPI!$G:$G,SUMIFS(KPI!$B:$B,KPI!$E:$E,$E321)))</f>
        <v>тыс.руб.</v>
      </c>
      <c r="H321" s="89"/>
      <c r="I321" s="90"/>
      <c r="J321" s="89"/>
      <c r="K321" s="90"/>
      <c r="L321" s="89"/>
      <c r="M321" s="92"/>
      <c r="N321" s="3"/>
      <c r="O321" s="3"/>
      <c r="P321" s="93">
        <f>IF(P$1="",0,IF(1+операции!P$421=0,0,капитал!$J$20+(капитал!$M$102+капитал!$M$109)/(1+операции!P$421)-P$117))</f>
        <v>23979.791552380953</v>
      </c>
      <c r="Q321" s="93">
        <f>IF(Q$1="",0,P321-Q$117)</f>
        <v>22050.937404761906</v>
      </c>
      <c r="R321" s="93">
        <f t="shared" ref="R321:AA321" si="100">IF(R$1="",0,Q321-R$117)</f>
        <v>20122.083257142858</v>
      </c>
      <c r="S321" s="93">
        <f t="shared" si="100"/>
        <v>18193.229109523811</v>
      </c>
      <c r="T321" s="93">
        <f t="shared" si="100"/>
        <v>16264.374961904763</v>
      </c>
      <c r="U321" s="93">
        <f t="shared" si="100"/>
        <v>14482.187480952382</v>
      </c>
      <c r="V321" s="93">
        <f t="shared" si="100"/>
        <v>12700</v>
      </c>
      <c r="W321" s="93">
        <f t="shared" si="100"/>
        <v>0</v>
      </c>
      <c r="X321" s="93">
        <f t="shared" si="100"/>
        <v>0</v>
      </c>
      <c r="Y321" s="93">
        <f t="shared" si="100"/>
        <v>0</v>
      </c>
      <c r="Z321" s="93">
        <f t="shared" si="100"/>
        <v>0</v>
      </c>
      <c r="AA321" s="93">
        <f t="shared" si="100"/>
        <v>0</v>
      </c>
      <c r="AB321" s="3"/>
    </row>
    <row r="322" spans="1:28" s="5" customFormat="1" ht="3.9" customHeight="1" x14ac:dyDescent="0.25">
      <c r="A322" s="150">
        <f>1</f>
        <v>1</v>
      </c>
      <c r="B322" s="128"/>
      <c r="C322" s="3"/>
      <c r="D322" s="3"/>
      <c r="E322" s="3"/>
      <c r="F322" s="3"/>
      <c r="G322" s="3"/>
      <c r="H322" s="3"/>
      <c r="I322" s="28"/>
      <c r="J322" s="3"/>
      <c r="K322" s="28"/>
      <c r="L322" s="3"/>
      <c r="M322" s="55"/>
      <c r="N322" s="3"/>
      <c r="O322" s="3"/>
      <c r="P322" s="46"/>
      <c r="Q322" s="46"/>
      <c r="R322" s="46"/>
      <c r="S322" s="46"/>
      <c r="T322" s="46"/>
      <c r="U322" s="46"/>
      <c r="V322" s="46"/>
      <c r="W322" s="46"/>
      <c r="X322" s="46"/>
      <c r="Y322" s="46"/>
      <c r="Z322" s="46"/>
      <c r="AA322" s="46"/>
      <c r="AB322" s="3"/>
    </row>
    <row r="323" spans="1:28" s="5" customFormat="1" x14ac:dyDescent="0.25">
      <c r="A323" s="150">
        <f>1</f>
        <v>1</v>
      </c>
      <c r="B323" s="129" t="str">
        <f>структура!$J$13</f>
        <v>УСН(6%)</v>
      </c>
      <c r="C323" s="3"/>
      <c r="D323" s="3"/>
      <c r="E323" s="89" t="str">
        <f>E321</f>
        <v>ВНЕОБОРОТНЫЕ АКТИВЫ</v>
      </c>
      <c r="F323" s="89"/>
      <c r="G323" s="89" t="str">
        <f>IF($E323="","",INDEX(KPI!$G:$G,SUMIFS(KPI!$B:$B,KPI!$E:$E,$E323)))</f>
        <v>тыс.руб.</v>
      </c>
      <c r="H323" s="89"/>
      <c r="I323" s="90"/>
      <c r="J323" s="89"/>
      <c r="K323" s="90"/>
      <c r="L323" s="89"/>
      <c r="M323" s="92"/>
      <c r="N323" s="3"/>
      <c r="O323" s="3"/>
      <c r="P323" s="93">
        <f>IF(P$1="",0,капитал!$J$20+капитал!$M$102+капитал!$M$109-P119)</f>
        <v>26235.749862857141</v>
      </c>
      <c r="Q323" s="93">
        <f t="shared" ref="Q323:AA323" si="101">IF(Q$1="",0,P323-Q119)</f>
        <v>23921.124885714282</v>
      </c>
      <c r="R323" s="93">
        <f t="shared" si="101"/>
        <v>21606.499908571423</v>
      </c>
      <c r="S323" s="93">
        <f t="shared" si="101"/>
        <v>19291.874931428563</v>
      </c>
      <c r="T323" s="93">
        <f t="shared" si="101"/>
        <v>16977.249954285704</v>
      </c>
      <c r="U323" s="93">
        <f t="shared" si="101"/>
        <v>14838.624977142847</v>
      </c>
      <c r="V323" s="93">
        <f t="shared" si="101"/>
        <v>12699.999999999989</v>
      </c>
      <c r="W323" s="93">
        <f t="shared" si="101"/>
        <v>0</v>
      </c>
      <c r="X323" s="93">
        <f t="shared" si="101"/>
        <v>0</v>
      </c>
      <c r="Y323" s="93">
        <f t="shared" si="101"/>
        <v>0</v>
      </c>
      <c r="Z323" s="93">
        <f t="shared" si="101"/>
        <v>0</v>
      </c>
      <c r="AA323" s="93">
        <f t="shared" si="101"/>
        <v>0</v>
      </c>
      <c r="AB323" s="3"/>
    </row>
    <row r="324" spans="1:28" s="5" customFormat="1" ht="3.9" customHeight="1" x14ac:dyDescent="0.25">
      <c r="A324" s="150">
        <f>1</f>
        <v>1</v>
      </c>
      <c r="B324" s="128"/>
      <c r="C324" s="3"/>
      <c r="D324" s="3"/>
      <c r="E324" s="3"/>
      <c r="F324" s="3"/>
      <c r="G324" s="3"/>
      <c r="H324" s="3"/>
      <c r="I324" s="28"/>
      <c r="J324" s="3"/>
      <c r="K324" s="28"/>
      <c r="L324" s="3"/>
      <c r="M324" s="55"/>
      <c r="N324" s="3"/>
      <c r="O324" s="3"/>
      <c r="P324" s="46"/>
      <c r="Q324" s="46"/>
      <c r="R324" s="46"/>
      <c r="S324" s="46"/>
      <c r="T324" s="46"/>
      <c r="U324" s="46"/>
      <c r="V324" s="46"/>
      <c r="W324" s="46"/>
      <c r="X324" s="46"/>
      <c r="Y324" s="46"/>
      <c r="Z324" s="46"/>
      <c r="AA324" s="46"/>
      <c r="AB324" s="3"/>
    </row>
    <row r="325" spans="1:28" s="5" customFormat="1" x14ac:dyDescent="0.25">
      <c r="A325" s="150">
        <f>1</f>
        <v>1</v>
      </c>
      <c r="B325" s="129" t="str">
        <f>структура!$J$14</f>
        <v>УСН(15%)</v>
      </c>
      <c r="C325" s="3"/>
      <c r="D325" s="3"/>
      <c r="E325" s="89" t="str">
        <f>E321</f>
        <v>ВНЕОБОРОТНЫЕ АКТИВЫ</v>
      </c>
      <c r="F325" s="89"/>
      <c r="G325" s="89" t="str">
        <f>IF($E325="","",INDEX(KPI!$G:$G,SUMIFS(KPI!$B:$B,KPI!$E:$E,$E325)))</f>
        <v>тыс.руб.</v>
      </c>
      <c r="H325" s="89"/>
      <c r="I325" s="90"/>
      <c r="J325" s="89"/>
      <c r="K325" s="90"/>
      <c r="L325" s="89"/>
      <c r="M325" s="92"/>
      <c r="N325" s="3"/>
      <c r="O325" s="3"/>
      <c r="P325" s="93">
        <f>IF(P$1="",0,капитал!$J$20+капитал!$M$102+капитал!$M$109-P121)</f>
        <v>26235.749862857141</v>
      </c>
      <c r="Q325" s="93">
        <f t="shared" ref="Q325:AA325" si="102">IF(Q$1="",0,P325-Q121)</f>
        <v>23921.124885714282</v>
      </c>
      <c r="R325" s="93">
        <f t="shared" si="102"/>
        <v>21606.499908571423</v>
      </c>
      <c r="S325" s="93">
        <f t="shared" si="102"/>
        <v>19291.874931428563</v>
      </c>
      <c r="T325" s="93">
        <f t="shared" si="102"/>
        <v>16977.249954285704</v>
      </c>
      <c r="U325" s="93">
        <f t="shared" si="102"/>
        <v>14838.624977142847</v>
      </c>
      <c r="V325" s="93">
        <f t="shared" si="102"/>
        <v>12699.999999999989</v>
      </c>
      <c r="W325" s="93">
        <f t="shared" si="102"/>
        <v>0</v>
      </c>
      <c r="X325" s="93">
        <f t="shared" si="102"/>
        <v>0</v>
      </c>
      <c r="Y325" s="93">
        <f t="shared" si="102"/>
        <v>0</v>
      </c>
      <c r="Z325" s="93">
        <f t="shared" si="102"/>
        <v>0</v>
      </c>
      <c r="AA325" s="93">
        <f t="shared" si="102"/>
        <v>0</v>
      </c>
      <c r="AB325" s="3"/>
    </row>
    <row r="326" spans="1:28" s="5" customFormat="1" ht="3.9" customHeight="1" x14ac:dyDescent="0.25">
      <c r="A326" s="150">
        <f>1</f>
        <v>1</v>
      </c>
      <c r="B326" s="128"/>
      <c r="C326" s="3"/>
      <c r="D326" s="3"/>
      <c r="E326" s="3"/>
      <c r="F326" s="3"/>
      <c r="G326" s="3"/>
      <c r="H326" s="3"/>
      <c r="I326" s="28"/>
      <c r="J326" s="3"/>
      <c r="K326" s="28"/>
      <c r="L326" s="3"/>
      <c r="M326" s="55"/>
      <c r="N326" s="3"/>
      <c r="O326" s="3"/>
      <c r="P326" s="46"/>
      <c r="Q326" s="46"/>
      <c r="R326" s="46"/>
      <c r="S326" s="46"/>
      <c r="T326" s="46"/>
      <c r="U326" s="46"/>
      <c r="V326" s="46"/>
      <c r="W326" s="46"/>
      <c r="X326" s="46"/>
      <c r="Y326" s="46"/>
      <c r="Z326" s="46"/>
      <c r="AA326" s="46"/>
      <c r="AB326" s="3"/>
    </row>
    <row r="327" spans="1:28" s="5" customFormat="1" x14ac:dyDescent="0.25">
      <c r="A327" s="150">
        <f>1</f>
        <v>1</v>
      </c>
      <c r="B327" s="129" t="str">
        <f>структура!$J$15</f>
        <v>УСН(6%)-ИП</v>
      </c>
      <c r="C327" s="3"/>
      <c r="D327" s="3"/>
      <c r="E327" s="89" t="str">
        <f>E321</f>
        <v>ВНЕОБОРОТНЫЕ АКТИВЫ</v>
      </c>
      <c r="F327" s="89"/>
      <c r="G327" s="89" t="str">
        <f>IF($E327="","",INDEX(KPI!$G:$G,SUMIFS(KPI!$B:$B,KPI!$E:$E,$E327)))</f>
        <v>тыс.руб.</v>
      </c>
      <c r="H327" s="89"/>
      <c r="I327" s="90"/>
      <c r="J327" s="89"/>
      <c r="K327" s="90"/>
      <c r="L327" s="89"/>
      <c r="M327" s="92"/>
      <c r="N327" s="3"/>
      <c r="O327" s="3"/>
      <c r="P327" s="93">
        <f>IF(P$1="",0,капитал!$J$20+капитал!$M$102+капитал!$M$109-P123)</f>
        <v>26235.749862857141</v>
      </c>
      <c r="Q327" s="93">
        <f t="shared" ref="Q327:AA327" si="103">IF(Q$1="",0,P327-Q123)</f>
        <v>23921.124885714282</v>
      </c>
      <c r="R327" s="93">
        <f t="shared" si="103"/>
        <v>21606.499908571423</v>
      </c>
      <c r="S327" s="93">
        <f t="shared" si="103"/>
        <v>19291.874931428563</v>
      </c>
      <c r="T327" s="93">
        <f t="shared" si="103"/>
        <v>16977.249954285704</v>
      </c>
      <c r="U327" s="93">
        <f t="shared" si="103"/>
        <v>14838.624977142847</v>
      </c>
      <c r="V327" s="93">
        <f t="shared" si="103"/>
        <v>12699.999999999989</v>
      </c>
      <c r="W327" s="93">
        <f t="shared" si="103"/>
        <v>0</v>
      </c>
      <c r="X327" s="93">
        <f t="shared" si="103"/>
        <v>0</v>
      </c>
      <c r="Y327" s="93">
        <f t="shared" si="103"/>
        <v>0</v>
      </c>
      <c r="Z327" s="93">
        <f t="shared" si="103"/>
        <v>0</v>
      </c>
      <c r="AA327" s="93">
        <f t="shared" si="103"/>
        <v>0</v>
      </c>
      <c r="AB327" s="3"/>
    </row>
    <row r="328" spans="1:28" ht="3.9" customHeight="1" x14ac:dyDescent="0.25">
      <c r="A328" s="149">
        <f>1</f>
        <v>1</v>
      </c>
      <c r="B328" s="131"/>
      <c r="C328" s="2"/>
      <c r="D328" s="2"/>
      <c r="E328" s="118"/>
      <c r="F328" s="2"/>
      <c r="G328" s="118"/>
      <c r="H328" s="2"/>
      <c r="I328" s="28"/>
      <c r="J328" s="2"/>
      <c r="K328" s="28"/>
      <c r="L328" s="2"/>
      <c r="M328" s="139"/>
      <c r="N328" s="2"/>
      <c r="O328" s="2"/>
      <c r="P328" s="36"/>
      <c r="Q328" s="36"/>
      <c r="R328" s="36"/>
      <c r="S328" s="36"/>
      <c r="T328" s="36"/>
      <c r="U328" s="36"/>
      <c r="V328" s="36"/>
      <c r="W328" s="36"/>
      <c r="X328" s="36"/>
      <c r="Y328" s="36"/>
      <c r="Z328" s="36"/>
      <c r="AA328" s="36"/>
      <c r="AB328" s="2"/>
    </row>
    <row r="329" spans="1:28" ht="8.1" customHeight="1" x14ac:dyDescent="0.25">
      <c r="A329" s="149">
        <f>1</f>
        <v>1</v>
      </c>
      <c r="B329" s="131"/>
      <c r="C329" s="2"/>
      <c r="D329" s="2"/>
      <c r="E329" s="2"/>
      <c r="F329" s="2"/>
      <c r="G329" s="2"/>
      <c r="H329" s="2"/>
      <c r="I329" s="28"/>
      <c r="J329" s="2"/>
      <c r="K329" s="28"/>
      <c r="L329" s="2"/>
      <c r="M329" s="52"/>
      <c r="N329" s="2"/>
      <c r="O329" s="2"/>
      <c r="P329" s="36"/>
      <c r="Q329" s="36"/>
      <c r="R329" s="36"/>
      <c r="S329" s="36"/>
      <c r="T329" s="36"/>
      <c r="U329" s="36"/>
      <c r="V329" s="36"/>
      <c r="W329" s="36"/>
      <c r="X329" s="36"/>
      <c r="Y329" s="36"/>
      <c r="Z329" s="36"/>
      <c r="AA329" s="36"/>
      <c r="AB329" s="2"/>
    </row>
    <row r="330" spans="1:28" ht="3.9" customHeight="1" x14ac:dyDescent="0.25">
      <c r="A330" s="149">
        <f>1</f>
        <v>1</v>
      </c>
      <c r="B330" s="131"/>
      <c r="C330" s="2"/>
      <c r="D330" s="2"/>
      <c r="E330" s="2"/>
      <c r="F330" s="2"/>
      <c r="G330" s="2"/>
      <c r="H330" s="2"/>
      <c r="I330" s="28"/>
      <c r="J330" s="2"/>
      <c r="K330" s="28"/>
      <c r="L330" s="2"/>
      <c r="M330" s="52"/>
      <c r="N330" s="2"/>
      <c r="O330" s="2"/>
      <c r="P330" s="36"/>
      <c r="Q330" s="36"/>
      <c r="R330" s="36"/>
      <c r="S330" s="36"/>
      <c r="T330" s="36"/>
      <c r="U330" s="36"/>
      <c r="V330" s="36"/>
      <c r="W330" s="36"/>
      <c r="X330" s="36"/>
      <c r="Y330" s="36"/>
      <c r="Z330" s="36"/>
      <c r="AA330" s="36"/>
      <c r="AB330" s="2"/>
    </row>
    <row r="331" spans="1:28" s="5" customFormat="1" x14ac:dyDescent="0.25">
      <c r="A331" s="150">
        <f>1</f>
        <v>1</v>
      </c>
      <c r="B331" s="129" t="str">
        <f>структура!$J$12</f>
        <v>ОСНО</v>
      </c>
      <c r="C331" s="3"/>
      <c r="D331" s="3"/>
      <c r="E331" s="146" t="str">
        <f>KPI!$E$93</f>
        <v>ДЕНЕЖНЫЕ СРЕДСТВА</v>
      </c>
      <c r="F331" s="146"/>
      <c r="G331" s="146" t="str">
        <f>IF($E331="","",INDEX(KPI!$G:$G,SUMIFS(KPI!$B:$B,KPI!$E:$E,$E331)))</f>
        <v>тыс.руб.</v>
      </c>
      <c r="H331" s="146"/>
      <c r="I331" s="177"/>
      <c r="J331" s="146"/>
      <c r="K331" s="177"/>
      <c r="L331" s="146"/>
      <c r="M331" s="178"/>
      <c r="N331" s="3"/>
      <c r="O331" s="3"/>
      <c r="P331" s="179">
        <f>IF(P$1="",0,P175)</f>
        <v>8982.365254571665</v>
      </c>
      <c r="Q331" s="179">
        <f t="shared" ref="Q331:AA331" si="104">IF(Q$1="",0,P331+Q175)</f>
        <v>13345.250440983578</v>
      </c>
      <c r="R331" s="179">
        <f t="shared" si="104"/>
        <v>18508.807855857031</v>
      </c>
      <c r="S331" s="179">
        <f t="shared" si="104"/>
        <v>24038.809739192016</v>
      </c>
      <c r="T331" s="179">
        <f t="shared" si="104"/>
        <v>30164.410190988547</v>
      </c>
      <c r="U331" s="179">
        <f t="shared" si="104"/>
        <v>37448.899471246616</v>
      </c>
      <c r="V331" s="179">
        <f t="shared" si="104"/>
        <v>46219.141413171339</v>
      </c>
      <c r="W331" s="179">
        <f t="shared" si="104"/>
        <v>0</v>
      </c>
      <c r="X331" s="179">
        <f t="shared" si="104"/>
        <v>0</v>
      </c>
      <c r="Y331" s="179">
        <f t="shared" si="104"/>
        <v>0</v>
      </c>
      <c r="Z331" s="179">
        <f t="shared" si="104"/>
        <v>0</v>
      </c>
      <c r="AA331" s="179">
        <f t="shared" si="104"/>
        <v>0</v>
      </c>
      <c r="AB331" s="3"/>
    </row>
    <row r="332" spans="1:28" s="5" customFormat="1" ht="3.9" customHeight="1" x14ac:dyDescent="0.25">
      <c r="A332" s="150">
        <f>1</f>
        <v>1</v>
      </c>
      <c r="B332" s="128"/>
      <c r="C332" s="3"/>
      <c r="D332" s="3"/>
      <c r="E332" s="3"/>
      <c r="F332" s="3"/>
      <c r="G332" s="3"/>
      <c r="H332" s="3"/>
      <c r="I332" s="28"/>
      <c r="J332" s="3"/>
      <c r="K332" s="28"/>
      <c r="L332" s="3"/>
      <c r="M332" s="55"/>
      <c r="N332" s="3"/>
      <c r="O332" s="3"/>
      <c r="P332" s="46"/>
      <c r="Q332" s="46"/>
      <c r="R332" s="46"/>
      <c r="S332" s="46"/>
      <c r="T332" s="46"/>
      <c r="U332" s="46"/>
      <c r="V332" s="46"/>
      <c r="W332" s="46"/>
      <c r="X332" s="46"/>
      <c r="Y332" s="46"/>
      <c r="Z332" s="46"/>
      <c r="AA332" s="46"/>
      <c r="AB332" s="3"/>
    </row>
    <row r="333" spans="1:28" s="5" customFormat="1" x14ac:dyDescent="0.25">
      <c r="A333" s="150">
        <f>1</f>
        <v>1</v>
      </c>
      <c r="B333" s="129" t="str">
        <f>структура!$J$13</f>
        <v>УСН(6%)</v>
      </c>
      <c r="C333" s="3"/>
      <c r="D333" s="3"/>
      <c r="E333" s="146" t="str">
        <f>E331</f>
        <v>ДЕНЕЖНЫЕ СРЕДСТВА</v>
      </c>
      <c r="F333" s="146"/>
      <c r="G333" s="146" t="str">
        <f>IF($E333="","",INDEX(KPI!$G:$G,SUMIFS(KPI!$B:$B,KPI!$E:$E,$E333)))</f>
        <v>тыс.руб.</v>
      </c>
      <c r="H333" s="146"/>
      <c r="I333" s="177"/>
      <c r="J333" s="146"/>
      <c r="K333" s="177"/>
      <c r="L333" s="146"/>
      <c r="M333" s="178"/>
      <c r="N333" s="3"/>
      <c r="O333" s="3"/>
      <c r="P333" s="179">
        <f>IF(P$1="",0,P177)</f>
        <v>6340.6361145716655</v>
      </c>
      <c r="Q333" s="179">
        <f t="shared" ref="Q333:AA333" si="105">IF(Q$1="",0,P333+Q177)</f>
        <v>12712.577334527949</v>
      </c>
      <c r="R333" s="179">
        <f t="shared" si="105"/>
        <v>20045.664782945772</v>
      </c>
      <c r="S333" s="179">
        <f t="shared" si="105"/>
        <v>28042.846772132827</v>
      </c>
      <c r="T333" s="179">
        <f t="shared" si="105"/>
        <v>36848.238765166039</v>
      </c>
      <c r="U333" s="179">
        <f t="shared" si="105"/>
        <v>47059.56508666079</v>
      </c>
      <c r="V333" s="179">
        <f t="shared" si="105"/>
        <v>59216.615179309374</v>
      </c>
      <c r="W333" s="179">
        <f t="shared" si="105"/>
        <v>0</v>
      </c>
      <c r="X333" s="179">
        <f t="shared" si="105"/>
        <v>0</v>
      </c>
      <c r="Y333" s="179">
        <f t="shared" si="105"/>
        <v>0</v>
      </c>
      <c r="Z333" s="179">
        <f t="shared" si="105"/>
        <v>0</v>
      </c>
      <c r="AA333" s="179">
        <f t="shared" si="105"/>
        <v>0</v>
      </c>
      <c r="AB333" s="3"/>
    </row>
    <row r="334" spans="1:28" s="5" customFormat="1" ht="3.9" customHeight="1" x14ac:dyDescent="0.25">
      <c r="A334" s="150">
        <f>1</f>
        <v>1</v>
      </c>
      <c r="B334" s="128"/>
      <c r="C334" s="3"/>
      <c r="D334" s="3"/>
      <c r="E334" s="3"/>
      <c r="F334" s="3"/>
      <c r="G334" s="3"/>
      <c r="H334" s="3"/>
      <c r="I334" s="28"/>
      <c r="J334" s="3"/>
      <c r="K334" s="28"/>
      <c r="L334" s="3"/>
      <c r="M334" s="55"/>
      <c r="N334" s="3"/>
      <c r="O334" s="3"/>
      <c r="P334" s="46"/>
      <c r="Q334" s="46"/>
      <c r="R334" s="46"/>
      <c r="S334" s="46"/>
      <c r="T334" s="46"/>
      <c r="U334" s="46"/>
      <c r="V334" s="46"/>
      <c r="W334" s="46"/>
      <c r="X334" s="46"/>
      <c r="Y334" s="46"/>
      <c r="Z334" s="46"/>
      <c r="AA334" s="46"/>
      <c r="AB334" s="3"/>
    </row>
    <row r="335" spans="1:28" s="5" customFormat="1" x14ac:dyDescent="0.25">
      <c r="A335" s="150">
        <f>1</f>
        <v>1</v>
      </c>
      <c r="B335" s="129" t="str">
        <f>структура!$J$14</f>
        <v>УСН(15%)</v>
      </c>
      <c r="C335" s="3"/>
      <c r="D335" s="3"/>
      <c r="E335" s="146" t="str">
        <f>E331</f>
        <v>ДЕНЕЖНЫЕ СРЕДСТВА</v>
      </c>
      <c r="F335" s="146"/>
      <c r="G335" s="146" t="str">
        <f>IF($E335="","",INDEX(KPI!$G:$G,SUMIFS(KPI!$B:$B,KPI!$E:$E,$E335)))</f>
        <v>тыс.руб.</v>
      </c>
      <c r="H335" s="146"/>
      <c r="I335" s="177"/>
      <c r="J335" s="146"/>
      <c r="K335" s="177"/>
      <c r="L335" s="146"/>
      <c r="M335" s="178"/>
      <c r="N335" s="3"/>
      <c r="O335" s="3"/>
      <c r="P335" s="179">
        <f>IF(P$1="",0,P179)</f>
        <v>6340.6361145716655</v>
      </c>
      <c r="Q335" s="179">
        <f t="shared" ref="Q335:AA335" si="106">IF(Q$1="",0,P335+Q179)</f>
        <v>12198.233255957583</v>
      </c>
      <c r="R335" s="179">
        <f t="shared" si="106"/>
        <v>18955.215250805039</v>
      </c>
      <c r="S335" s="179">
        <f t="shared" si="106"/>
        <v>26258.335830998651</v>
      </c>
      <c r="T335" s="179">
        <f t="shared" si="106"/>
        <v>34284.134504499954</v>
      </c>
      <c r="U335" s="179">
        <f t="shared" si="106"/>
        <v>43620.3749189628</v>
      </c>
      <c r="V335" s="179">
        <f t="shared" si="106"/>
        <v>54734.681917810252</v>
      </c>
      <c r="W335" s="179">
        <f t="shared" si="106"/>
        <v>0</v>
      </c>
      <c r="X335" s="179">
        <f t="shared" si="106"/>
        <v>0</v>
      </c>
      <c r="Y335" s="179">
        <f t="shared" si="106"/>
        <v>0</v>
      </c>
      <c r="Z335" s="179">
        <f t="shared" si="106"/>
        <v>0</v>
      </c>
      <c r="AA335" s="179">
        <f t="shared" si="106"/>
        <v>0</v>
      </c>
      <c r="AB335" s="3"/>
    </row>
    <row r="336" spans="1:28" s="5" customFormat="1" ht="3.9" customHeight="1" x14ac:dyDescent="0.25">
      <c r="A336" s="150">
        <f>1</f>
        <v>1</v>
      </c>
      <c r="B336" s="128"/>
      <c r="C336" s="3"/>
      <c r="D336" s="3"/>
      <c r="E336" s="3"/>
      <c r="F336" s="3"/>
      <c r="G336" s="3"/>
      <c r="H336" s="3"/>
      <c r="I336" s="28"/>
      <c r="J336" s="3"/>
      <c r="K336" s="28"/>
      <c r="L336" s="3"/>
      <c r="M336" s="55"/>
      <c r="N336" s="3"/>
      <c r="O336" s="3"/>
      <c r="P336" s="46"/>
      <c r="Q336" s="46"/>
      <c r="R336" s="46"/>
      <c r="S336" s="46"/>
      <c r="T336" s="46"/>
      <c r="U336" s="46"/>
      <c r="V336" s="46"/>
      <c r="W336" s="46"/>
      <c r="X336" s="46"/>
      <c r="Y336" s="46"/>
      <c r="Z336" s="46"/>
      <c r="AA336" s="46"/>
      <c r="AB336" s="3"/>
    </row>
    <row r="337" spans="1:28" s="5" customFormat="1" x14ac:dyDescent="0.25">
      <c r="A337" s="150">
        <f>1</f>
        <v>1</v>
      </c>
      <c r="B337" s="129" t="str">
        <f>структура!$J$15</f>
        <v>УСН(6%)-ИП</v>
      </c>
      <c r="C337" s="3"/>
      <c r="D337" s="3"/>
      <c r="E337" s="146" t="str">
        <f>E331</f>
        <v>ДЕНЕЖНЫЕ СРЕДСТВА</v>
      </c>
      <c r="F337" s="146"/>
      <c r="G337" s="146" t="str">
        <f>IF($E337="","",INDEX(KPI!$G:$G,SUMIFS(KPI!$B:$B,KPI!$E:$E,$E337)))</f>
        <v>тыс.руб.</v>
      </c>
      <c r="H337" s="146"/>
      <c r="I337" s="177"/>
      <c r="J337" s="146"/>
      <c r="K337" s="177"/>
      <c r="L337" s="146"/>
      <c r="M337" s="178"/>
      <c r="N337" s="3"/>
      <c r="O337" s="3"/>
      <c r="P337" s="179">
        <f>IF(P$1="",0,P181)</f>
        <v>6340.6361145716655</v>
      </c>
      <c r="Q337" s="179">
        <f t="shared" ref="Q337:AA337" si="107">IF(Q$1="",0,P337+Q181)</f>
        <v>13136.909369143334</v>
      </c>
      <c r="R337" s="179">
        <f t="shared" si="107"/>
        <v>20913.332352176541</v>
      </c>
      <c r="S337" s="179">
        <f t="shared" si="107"/>
        <v>29382.916379825132</v>
      </c>
      <c r="T337" s="179">
        <f t="shared" si="107"/>
        <v>38679.152657473722</v>
      </c>
      <c r="U337" s="179">
        <f t="shared" si="107"/>
        <v>48890.478978968473</v>
      </c>
      <c r="V337" s="179">
        <f t="shared" si="107"/>
        <v>61047.529071617057</v>
      </c>
      <c r="W337" s="179">
        <f t="shared" si="107"/>
        <v>0</v>
      </c>
      <c r="X337" s="179">
        <f t="shared" si="107"/>
        <v>0</v>
      </c>
      <c r="Y337" s="179">
        <f t="shared" si="107"/>
        <v>0</v>
      </c>
      <c r="Z337" s="179">
        <f t="shared" si="107"/>
        <v>0</v>
      </c>
      <c r="AA337" s="179">
        <f t="shared" si="107"/>
        <v>0</v>
      </c>
      <c r="AB337" s="3"/>
    </row>
    <row r="338" spans="1:28" ht="3.9" customHeight="1" x14ac:dyDescent="0.25">
      <c r="A338" s="149">
        <f>1</f>
        <v>1</v>
      </c>
      <c r="B338" s="131"/>
      <c r="C338" s="2"/>
      <c r="D338" s="2"/>
      <c r="E338" s="119"/>
      <c r="F338" s="2"/>
      <c r="G338" s="119"/>
      <c r="H338" s="2"/>
      <c r="I338" s="28"/>
      <c r="J338" s="2"/>
      <c r="K338" s="28"/>
      <c r="L338" s="2"/>
      <c r="M338" s="142"/>
      <c r="N338" s="2"/>
      <c r="O338" s="2"/>
      <c r="P338" s="36"/>
      <c r="Q338" s="36"/>
      <c r="R338" s="36"/>
      <c r="S338" s="36"/>
      <c r="T338" s="36"/>
      <c r="U338" s="36"/>
      <c r="V338" s="36"/>
      <c r="W338" s="36"/>
      <c r="X338" s="36"/>
      <c r="Y338" s="36"/>
      <c r="Z338" s="36"/>
      <c r="AA338" s="36"/>
      <c r="AB338" s="2"/>
    </row>
    <row r="339" spans="1:28" ht="8.1" customHeight="1" x14ac:dyDescent="0.25">
      <c r="A339" s="149">
        <f>1</f>
        <v>1</v>
      </c>
      <c r="B339" s="131"/>
      <c r="C339" s="2"/>
      <c r="D339" s="2"/>
      <c r="E339" s="2"/>
      <c r="F339" s="2"/>
      <c r="G339" s="2"/>
      <c r="H339" s="2"/>
      <c r="I339" s="28"/>
      <c r="J339" s="2"/>
      <c r="K339" s="28"/>
      <c r="L339" s="2"/>
      <c r="M339" s="52"/>
      <c r="N339" s="2"/>
      <c r="O339" s="2"/>
      <c r="P339" s="36"/>
      <c r="Q339" s="36"/>
      <c r="R339" s="36"/>
      <c r="S339" s="36"/>
      <c r="T339" s="36"/>
      <c r="U339" s="36"/>
      <c r="V339" s="36"/>
      <c r="W339" s="36"/>
      <c r="X339" s="36"/>
      <c r="Y339" s="36"/>
      <c r="Z339" s="36"/>
      <c r="AA339" s="36"/>
      <c r="AB339" s="2"/>
    </row>
    <row r="340" spans="1:28" ht="3.9" customHeight="1" x14ac:dyDescent="0.25">
      <c r="A340" s="149">
        <f>1</f>
        <v>1</v>
      </c>
      <c r="B340" s="131"/>
      <c r="C340" s="2"/>
      <c r="D340" s="2"/>
      <c r="E340" s="2"/>
      <c r="F340" s="2"/>
      <c r="G340" s="2"/>
      <c r="H340" s="2"/>
      <c r="I340" s="28"/>
      <c r="J340" s="2"/>
      <c r="K340" s="28"/>
      <c r="L340" s="2"/>
      <c r="M340" s="52"/>
      <c r="N340" s="2"/>
      <c r="O340" s="2"/>
      <c r="P340" s="36"/>
      <c r="Q340" s="36"/>
      <c r="R340" s="36"/>
      <c r="S340" s="36"/>
      <c r="T340" s="36"/>
      <c r="U340" s="36"/>
      <c r="V340" s="36"/>
      <c r="W340" s="36"/>
      <c r="X340" s="36"/>
      <c r="Y340" s="36"/>
      <c r="Z340" s="36"/>
      <c r="AA340" s="36"/>
      <c r="AB340" s="2"/>
    </row>
    <row r="341" spans="1:28" s="5" customFormat="1" x14ac:dyDescent="0.25">
      <c r="A341" s="150">
        <f>1</f>
        <v>1</v>
      </c>
      <c r="B341" s="129" t="str">
        <f>структура!$J$12</f>
        <v>ОСНО</v>
      </c>
      <c r="C341" s="3"/>
      <c r="D341" s="3"/>
      <c r="E341" s="147" t="str">
        <f>KPI!$E$95</f>
        <v>СОБСТВЕННЫЙ КАПИТАЛ</v>
      </c>
      <c r="F341" s="147"/>
      <c r="G341" s="147" t="str">
        <f>IF($E341="","",INDEX(KPI!$G:$G,SUMIFS(KPI!$B:$B,KPI!$E:$E,$E341)))</f>
        <v>тыс.руб.</v>
      </c>
      <c r="H341" s="147"/>
      <c r="I341" s="170"/>
      <c r="J341" s="147"/>
      <c r="K341" s="170"/>
      <c r="L341" s="147"/>
      <c r="M341" s="171"/>
      <c r="N341" s="3"/>
      <c r="O341" s="3"/>
      <c r="P341" s="172">
        <f>IF(P$1="",0,капитал!$J$20+капитал!$M$102+капитал!$M$109+P$137)</f>
        <v>30445.973378792864</v>
      </c>
      <c r="Q341" s="172">
        <f t="shared" ref="Q341:AA341" si="108">IF(Q$1="",0,P341+Q137)</f>
        <v>32700.526917585728</v>
      </c>
      <c r="R341" s="172">
        <f t="shared" si="108"/>
        <v>35608.513608686284</v>
      </c>
      <c r="S341" s="172">
        <f t="shared" si="108"/>
        <v>38978.607662863767</v>
      </c>
      <c r="T341" s="172">
        <f t="shared" si="108"/>
        <v>42899.803217041248</v>
      </c>
      <c r="U341" s="172">
        <f t="shared" si="108"/>
        <v>47894.625156859751</v>
      </c>
      <c r="V341" s="172">
        <f t="shared" si="108"/>
        <v>54218.268777447483</v>
      </c>
      <c r="W341" s="172">
        <f t="shared" si="108"/>
        <v>0</v>
      </c>
      <c r="X341" s="172">
        <f t="shared" si="108"/>
        <v>0</v>
      </c>
      <c r="Y341" s="172">
        <f t="shared" si="108"/>
        <v>0</v>
      </c>
      <c r="Z341" s="172">
        <f t="shared" si="108"/>
        <v>0</v>
      </c>
      <c r="AA341" s="172">
        <f t="shared" si="108"/>
        <v>0</v>
      </c>
      <c r="AB341" s="3"/>
    </row>
    <row r="342" spans="1:28" s="5" customFormat="1" ht="3.9" customHeight="1" x14ac:dyDescent="0.25">
      <c r="A342" s="150">
        <f>1</f>
        <v>1</v>
      </c>
      <c r="B342" s="128"/>
      <c r="C342" s="3"/>
      <c r="D342" s="3"/>
      <c r="E342" s="3"/>
      <c r="F342" s="3"/>
      <c r="G342" s="3"/>
      <c r="H342" s="3"/>
      <c r="I342" s="28"/>
      <c r="J342" s="3"/>
      <c r="K342" s="28"/>
      <c r="L342" s="3"/>
      <c r="M342" s="55"/>
      <c r="N342" s="3"/>
      <c r="O342" s="3"/>
      <c r="P342" s="46"/>
      <c r="Q342" s="46"/>
      <c r="R342" s="46"/>
      <c r="S342" s="46"/>
      <c r="T342" s="46"/>
      <c r="U342" s="46"/>
      <c r="V342" s="46"/>
      <c r="W342" s="46"/>
      <c r="X342" s="46"/>
      <c r="Y342" s="46"/>
      <c r="Z342" s="46"/>
      <c r="AA342" s="46"/>
      <c r="AB342" s="3"/>
    </row>
    <row r="343" spans="1:28" s="5" customFormat="1" x14ac:dyDescent="0.25">
      <c r="A343" s="150">
        <f>1</f>
        <v>1</v>
      </c>
      <c r="B343" s="129" t="str">
        <f>структура!$J$13</f>
        <v>УСН(6%)</v>
      </c>
      <c r="C343" s="3"/>
      <c r="D343" s="3"/>
      <c r="E343" s="147" t="str">
        <f>E341</f>
        <v>СОБСТВЕННЫЙ КАПИТАЛ</v>
      </c>
      <c r="F343" s="147"/>
      <c r="G343" s="147" t="str">
        <f>IF($E343="","",INDEX(KPI!$G:$G,SUMIFS(KPI!$B:$B,KPI!$E:$E,$E343)))</f>
        <v>тыс.руб.</v>
      </c>
      <c r="H343" s="147"/>
      <c r="I343" s="170"/>
      <c r="J343" s="147"/>
      <c r="K343" s="170"/>
      <c r="L343" s="147"/>
      <c r="M343" s="171"/>
      <c r="N343" s="3"/>
      <c r="O343" s="3"/>
      <c r="P343" s="172">
        <f>IF(P$1="",0,капитал!$J$20+капитал!$M$102+капитал!$M$109+P139)</f>
        <v>32069.258582813425</v>
      </c>
      <c r="Q343" s="172">
        <f t="shared" ref="Q343:AA343" si="109">IF(Q$1="",0,P343+Q139)</f>
        <v>36107.57132562685</v>
      </c>
      <c r="R343" s="172">
        <f t="shared" si="109"/>
        <v>41096.967293055655</v>
      </c>
      <c r="S343" s="172">
        <f t="shared" si="109"/>
        <v>46761.082058946005</v>
      </c>
      <c r="T343" s="172">
        <f t="shared" si="109"/>
        <v>53223.343824836353</v>
      </c>
      <c r="U343" s="172">
        <f t="shared" si="109"/>
        <v>61248.53641918824</v>
      </c>
      <c r="V343" s="172">
        <f t="shared" si="109"/>
        <v>71199.888030847826</v>
      </c>
      <c r="W343" s="172">
        <f t="shared" si="109"/>
        <v>0</v>
      </c>
      <c r="X343" s="172">
        <f t="shared" si="109"/>
        <v>0</v>
      </c>
      <c r="Y343" s="172">
        <f t="shared" si="109"/>
        <v>0</v>
      </c>
      <c r="Z343" s="172">
        <f t="shared" si="109"/>
        <v>0</v>
      </c>
      <c r="AA343" s="172">
        <f t="shared" si="109"/>
        <v>0</v>
      </c>
      <c r="AB343" s="3"/>
    </row>
    <row r="344" spans="1:28" s="5" customFormat="1" ht="3.9" customHeight="1" x14ac:dyDescent="0.25">
      <c r="A344" s="150">
        <f>1</f>
        <v>1</v>
      </c>
      <c r="B344" s="128"/>
      <c r="C344" s="3"/>
      <c r="D344" s="3"/>
      <c r="E344" s="3"/>
      <c r="F344" s="3"/>
      <c r="G344" s="3"/>
      <c r="H344" s="3"/>
      <c r="I344" s="28"/>
      <c r="J344" s="3"/>
      <c r="K344" s="28"/>
      <c r="L344" s="3"/>
      <c r="M344" s="55"/>
      <c r="N344" s="3"/>
      <c r="O344" s="3"/>
      <c r="P344" s="46"/>
      <c r="Q344" s="46"/>
      <c r="R344" s="46"/>
      <c r="S344" s="46"/>
      <c r="T344" s="46"/>
      <c r="U344" s="46"/>
      <c r="V344" s="46"/>
      <c r="W344" s="46"/>
      <c r="X344" s="46"/>
      <c r="Y344" s="46"/>
      <c r="Z344" s="46"/>
      <c r="AA344" s="46"/>
      <c r="AB344" s="3"/>
    </row>
    <row r="345" spans="1:28" s="5" customFormat="1" x14ac:dyDescent="0.25">
      <c r="A345" s="150">
        <f>1</f>
        <v>1</v>
      </c>
      <c r="B345" s="129" t="str">
        <f>структура!$J$14</f>
        <v>УСН(15%)</v>
      </c>
      <c r="C345" s="3"/>
      <c r="D345" s="3"/>
      <c r="E345" s="147" t="str">
        <f>E341</f>
        <v>СОБСТВЕННЫЙ КАПИТАЛ</v>
      </c>
      <c r="F345" s="147"/>
      <c r="G345" s="147" t="str">
        <f>IF($E345="","",INDEX(KPI!$G:$G,SUMIFS(KPI!$B:$B,KPI!$E:$E,$E345)))</f>
        <v>тыс.руб.</v>
      </c>
      <c r="H345" s="147"/>
      <c r="I345" s="170"/>
      <c r="J345" s="147"/>
      <c r="K345" s="170"/>
      <c r="L345" s="147"/>
      <c r="M345" s="171"/>
      <c r="N345" s="3"/>
      <c r="O345" s="3"/>
      <c r="P345" s="172">
        <f>IF(P$1="",0,капитал!$J$20+капитал!$M$102+капитал!$M$109+P141)</f>
        <v>31554.914504243057</v>
      </c>
      <c r="Q345" s="172">
        <f t="shared" ref="Q345:AA345" si="110">IF(Q$1="",0,P345+Q141)</f>
        <v>35017.12179348612</v>
      </c>
      <c r="R345" s="172">
        <f t="shared" si="110"/>
        <v>39312.456351921486</v>
      </c>
      <c r="S345" s="172">
        <f t="shared" si="110"/>
        <v>44196.977798279928</v>
      </c>
      <c r="T345" s="172">
        <f t="shared" si="110"/>
        <v>49784.153657138377</v>
      </c>
      <c r="U345" s="172">
        <f t="shared" si="110"/>
        <v>56766.603157689133</v>
      </c>
      <c r="V345" s="172">
        <f t="shared" si="110"/>
        <v>65443.300301220654</v>
      </c>
      <c r="W345" s="172">
        <f t="shared" si="110"/>
        <v>0</v>
      </c>
      <c r="X345" s="172">
        <f t="shared" si="110"/>
        <v>0</v>
      </c>
      <c r="Y345" s="172">
        <f t="shared" si="110"/>
        <v>0</v>
      </c>
      <c r="Z345" s="172">
        <f t="shared" si="110"/>
        <v>0</v>
      </c>
      <c r="AA345" s="172">
        <f t="shared" si="110"/>
        <v>0</v>
      </c>
      <c r="AB345" s="3"/>
    </row>
    <row r="346" spans="1:28" s="5" customFormat="1" ht="3.9" customHeight="1" x14ac:dyDescent="0.25">
      <c r="A346" s="150">
        <f>1</f>
        <v>1</v>
      </c>
      <c r="B346" s="128"/>
      <c r="C346" s="3"/>
      <c r="D346" s="3"/>
      <c r="E346" s="3"/>
      <c r="F346" s="3"/>
      <c r="G346" s="3"/>
      <c r="H346" s="3"/>
      <c r="I346" s="28"/>
      <c r="J346" s="3"/>
      <c r="K346" s="28"/>
      <c r="L346" s="3"/>
      <c r="M346" s="55"/>
      <c r="N346" s="3"/>
      <c r="O346" s="3"/>
      <c r="P346" s="46"/>
      <c r="Q346" s="46"/>
      <c r="R346" s="46"/>
      <c r="S346" s="46"/>
      <c r="T346" s="46"/>
      <c r="U346" s="46"/>
      <c r="V346" s="46"/>
      <c r="W346" s="46"/>
      <c r="X346" s="46"/>
      <c r="Y346" s="46"/>
      <c r="Z346" s="46"/>
      <c r="AA346" s="46"/>
      <c r="AB346" s="3"/>
    </row>
    <row r="347" spans="1:28" s="5" customFormat="1" x14ac:dyDescent="0.25">
      <c r="A347" s="150">
        <f>1</f>
        <v>1</v>
      </c>
      <c r="B347" s="129" t="str">
        <f>структура!$J$15</f>
        <v>УСН(6%)-ИП</v>
      </c>
      <c r="C347" s="3"/>
      <c r="D347" s="3"/>
      <c r="E347" s="147" t="str">
        <f>E341</f>
        <v>СОБСТВЕННЫЙ КАПИТАЛ</v>
      </c>
      <c r="F347" s="147"/>
      <c r="G347" s="147" t="str">
        <f>IF($E347="","",INDEX(KPI!$G:$G,SUMIFS(KPI!$B:$B,KPI!$E:$E,$E347)))</f>
        <v>тыс.руб.</v>
      </c>
      <c r="H347" s="147"/>
      <c r="I347" s="170"/>
      <c r="J347" s="147"/>
      <c r="K347" s="170"/>
      <c r="L347" s="147"/>
      <c r="M347" s="171"/>
      <c r="N347" s="3"/>
      <c r="O347" s="3"/>
      <c r="P347" s="172">
        <f>IF(P$1="",0,капитал!$J$20+капитал!$M$102+капитал!$M$109+P143)</f>
        <v>32493.590617428807</v>
      </c>
      <c r="Q347" s="172">
        <f t="shared" ref="Q347:AA347" si="111">IF(Q$1="",0,P347+Q143)</f>
        <v>36975.238894857612</v>
      </c>
      <c r="R347" s="172">
        <f t="shared" si="111"/>
        <v>42437.03690074796</v>
      </c>
      <c r="S347" s="172">
        <f t="shared" si="111"/>
        <v>48591.995951253695</v>
      </c>
      <c r="T347" s="172">
        <f t="shared" si="111"/>
        <v>55054.25771714405</v>
      </c>
      <c r="U347" s="172">
        <f t="shared" si="111"/>
        <v>63079.450311495937</v>
      </c>
      <c r="V347" s="172">
        <f t="shared" si="111"/>
        <v>73030.801923155523</v>
      </c>
      <c r="W347" s="172">
        <f t="shared" si="111"/>
        <v>0</v>
      </c>
      <c r="X347" s="172">
        <f t="shared" si="111"/>
        <v>0</v>
      </c>
      <c r="Y347" s="172">
        <f t="shared" si="111"/>
        <v>0</v>
      </c>
      <c r="Z347" s="172">
        <f t="shared" si="111"/>
        <v>0</v>
      </c>
      <c r="AA347" s="172">
        <f t="shared" si="111"/>
        <v>0</v>
      </c>
      <c r="AB347" s="3"/>
    </row>
    <row r="348" spans="1:28" ht="3.9" customHeight="1" x14ac:dyDescent="0.25">
      <c r="A348" s="149">
        <f>1</f>
        <v>1</v>
      </c>
      <c r="B348" s="131"/>
      <c r="C348" s="2"/>
      <c r="D348" s="2"/>
      <c r="E348" s="117"/>
      <c r="F348" s="2"/>
      <c r="G348" s="117"/>
      <c r="H348" s="2"/>
      <c r="I348" s="28"/>
      <c r="J348" s="2"/>
      <c r="K348" s="28"/>
      <c r="L348" s="2"/>
      <c r="M348" s="138"/>
      <c r="N348" s="2"/>
      <c r="O348" s="2"/>
      <c r="P348" s="36"/>
      <c r="Q348" s="36"/>
      <c r="R348" s="36"/>
      <c r="S348" s="36"/>
      <c r="T348" s="36"/>
      <c r="U348" s="36"/>
      <c r="V348" s="36"/>
      <c r="W348" s="36"/>
      <c r="X348" s="36"/>
      <c r="Y348" s="36"/>
      <c r="Z348" s="36"/>
      <c r="AA348" s="36"/>
      <c r="AB348" s="2"/>
    </row>
    <row r="349" spans="1:28" ht="8.1" customHeight="1" x14ac:dyDescent="0.25">
      <c r="A349" s="149">
        <f>1</f>
        <v>1</v>
      </c>
      <c r="B349" s="131"/>
      <c r="C349" s="2"/>
      <c r="D349" s="2"/>
      <c r="E349" s="2"/>
      <c r="F349" s="2"/>
      <c r="G349" s="2"/>
      <c r="H349" s="2"/>
      <c r="I349" s="28"/>
      <c r="J349" s="2"/>
      <c r="K349" s="28"/>
      <c r="L349" s="2"/>
      <c r="M349" s="52"/>
      <c r="N349" s="2"/>
      <c r="O349" s="2"/>
      <c r="P349" s="36"/>
      <c r="Q349" s="36"/>
      <c r="R349" s="36"/>
      <c r="S349" s="36"/>
      <c r="T349" s="36"/>
      <c r="U349" s="36"/>
      <c r="V349" s="36"/>
      <c r="W349" s="36"/>
      <c r="X349" s="36"/>
      <c r="Y349" s="36"/>
      <c r="Z349" s="36"/>
      <c r="AA349" s="36"/>
      <c r="AB349" s="2"/>
    </row>
    <row r="350" spans="1:28" ht="3.9" customHeight="1" x14ac:dyDescent="0.25">
      <c r="A350" s="149">
        <f>1</f>
        <v>1</v>
      </c>
      <c r="B350" s="131"/>
      <c r="C350" s="2"/>
      <c r="D350" s="2"/>
      <c r="E350" s="2"/>
      <c r="F350" s="2"/>
      <c r="G350" s="2"/>
      <c r="H350" s="2"/>
      <c r="I350" s="28"/>
      <c r="J350" s="2"/>
      <c r="K350" s="28"/>
      <c r="L350" s="2"/>
      <c r="M350" s="52"/>
      <c r="N350" s="2"/>
      <c r="O350" s="2"/>
      <c r="P350" s="36"/>
      <c r="Q350" s="36"/>
      <c r="R350" s="36"/>
      <c r="S350" s="36"/>
      <c r="T350" s="36"/>
      <c r="U350" s="36"/>
      <c r="V350" s="36"/>
      <c r="W350" s="36"/>
      <c r="X350" s="36"/>
      <c r="Y350" s="36"/>
      <c r="Z350" s="36"/>
      <c r="AA350" s="36"/>
      <c r="AB350" s="2"/>
    </row>
    <row r="351" spans="1:28" s="5" customFormat="1" x14ac:dyDescent="0.25">
      <c r="A351" s="150">
        <f>1</f>
        <v>1</v>
      </c>
      <c r="B351" s="129" t="str">
        <f>структура!$J$12</f>
        <v>ОСНО</v>
      </c>
      <c r="C351" s="3"/>
      <c r="D351" s="3"/>
      <c r="E351" s="89" t="str">
        <f>KPI!$E$96</f>
        <v>КРЕДИТОРСКАЯ ЗАДОЛЖЕННОСТЬ</v>
      </c>
      <c r="F351" s="89"/>
      <c r="G351" s="89" t="str">
        <f>IF($E351="","",INDEX(KPI!$G:$G,SUMIFS(KPI!$B:$B,KPI!$E:$E,$E351)))</f>
        <v>тыс.руб.</v>
      </c>
      <c r="H351" s="89"/>
      <c r="I351" s="90"/>
      <c r="J351" s="89"/>
      <c r="K351" s="90"/>
      <c r="L351" s="89"/>
      <c r="M351" s="92"/>
      <c r="N351" s="3"/>
      <c r="O351" s="3"/>
      <c r="P351" s="93">
        <f>IF(P$1="",0,операции!$P$300-операции!$P$315+SUM(операции!$O$353:P$353)-SUM(операции!$O$368:P$368)+P127+P16*операции!P$421-P107)</f>
        <v>2516.1834281597539</v>
      </c>
      <c r="Q351" s="93">
        <f>IF(Q$1="",0,операции!$P$300-операции!$P$315+SUM(операции!$O$353:Q$353)-SUM(операции!$O$368:Q$368)+Q127+Q16*операции!Q$421-Q107)</f>
        <v>2695.6609281597553</v>
      </c>
      <c r="R351" s="93">
        <f>IF(R$1="",0,операции!$P$300-операции!$P$315+SUM(операции!$O$353:R$353)-SUM(операции!$O$368:R$368)+R127+R16*операции!R$421-R107)</f>
        <v>3022.3775043136011</v>
      </c>
      <c r="S351" s="93">
        <f>IF(S$1="",0,операции!$P$300-операции!$P$315+SUM(операции!$O$353:S$353)-SUM(операции!$O$368:S$368)+S127+S16*операции!S$421-S107)</f>
        <v>3253.4311858520628</v>
      </c>
      <c r="T351" s="93">
        <f>IF(T$1="",0,операции!$P$300-операции!$P$315+SUM(операции!$O$353:T$353)-SUM(операции!$O$368:T$368)+T127+T16*операции!T$421-T107)</f>
        <v>3528.9819358520631</v>
      </c>
      <c r="U351" s="93">
        <f>IF(U$1="",0,операции!$P$300-операции!$P$315+SUM(операции!$O$353:U$353)-SUM(операции!$O$368:U$368)+U127+U16*операции!U$421-U107)</f>
        <v>4036.4617953392426</v>
      </c>
      <c r="V351" s="93">
        <f>IF(V$1="",0,операции!$P$300-операции!$P$315+SUM(операции!$O$353:V$353)-SUM(операции!$O$368:V$368)+V127+V16*операции!V$421-V107)</f>
        <v>4700.8726357238565</v>
      </c>
      <c r="W351" s="93">
        <f>IF(W$1="",0,операции!$P$300-операции!$P$315+SUM(операции!$O$353:W$353)-SUM(операции!$O$368:W$368)+W127+W16*операции!W$421-W107)</f>
        <v>0</v>
      </c>
      <c r="X351" s="93">
        <f>IF(X$1="",0,операции!$P$300-операции!$P$315+SUM(операции!$O$353:X$353)-SUM(операции!$O$368:X$368)+X127+X16*операции!X$421-X107)</f>
        <v>0</v>
      </c>
      <c r="Y351" s="93">
        <f>IF(Y$1="",0,операции!$P$300-операции!$P$315+SUM(операции!$O$353:Y$353)-SUM(операции!$O$368:Y$368)+Y127+Y16*операции!Y$421-Y107)</f>
        <v>0</v>
      </c>
      <c r="Z351" s="93">
        <f>IF(Z$1="",0,операции!$P$300-операции!$P$315+SUM(операции!$O$353:Z$353)-SUM(операции!$O$368:Z$368)+Z127+Z16*операции!Z$421-Z107)</f>
        <v>0</v>
      </c>
      <c r="AA351" s="93">
        <f>IF(AA$1="",0,операции!$P$300-операции!$P$315+SUM(операции!$O$353:AA$353)-SUM(операции!$O$368:AA$368)+AA127+AA16*операции!AA$421-AA107)</f>
        <v>0</v>
      </c>
      <c r="AB351" s="3"/>
    </row>
    <row r="352" spans="1:28" s="5" customFormat="1" ht="3.9" customHeight="1" x14ac:dyDescent="0.25">
      <c r="A352" s="150">
        <f>1</f>
        <v>1</v>
      </c>
      <c r="B352" s="128"/>
      <c r="C352" s="3"/>
      <c r="D352" s="3"/>
      <c r="E352" s="3"/>
      <c r="F352" s="3"/>
      <c r="G352" s="3"/>
      <c r="H352" s="3"/>
      <c r="I352" s="28"/>
      <c r="J352" s="3"/>
      <c r="K352" s="28"/>
      <c r="L352" s="3"/>
      <c r="M352" s="55"/>
      <c r="N352" s="3"/>
      <c r="O352" s="3"/>
      <c r="P352" s="46"/>
      <c r="Q352" s="46"/>
      <c r="R352" s="46"/>
      <c r="S352" s="46"/>
      <c r="T352" s="46"/>
      <c r="U352" s="46"/>
      <c r="V352" s="46"/>
      <c r="W352" s="46"/>
      <c r="X352" s="46"/>
      <c r="Y352" s="46"/>
      <c r="Z352" s="46"/>
      <c r="AA352" s="46"/>
      <c r="AB352" s="3"/>
    </row>
    <row r="353" spans="1:28" s="5" customFormat="1" x14ac:dyDescent="0.25">
      <c r="A353" s="150">
        <f>1</f>
        <v>1</v>
      </c>
      <c r="B353" s="129" t="str">
        <f>структура!$J$13</f>
        <v>УСН(6%)</v>
      </c>
      <c r="C353" s="3"/>
      <c r="D353" s="3"/>
      <c r="E353" s="89" t="str">
        <f>E351</f>
        <v>КРЕДИТОРСКАЯ ЗАДОЛЖЕННОСТЬ</v>
      </c>
      <c r="F353" s="89"/>
      <c r="G353" s="89" t="str">
        <f>IF($E353="","",INDEX(KPI!$G:$G,SUMIFS(KPI!$B:$B,KPI!$E:$E,$E353)))</f>
        <v>тыс.руб.</v>
      </c>
      <c r="H353" s="89"/>
      <c r="I353" s="90"/>
      <c r="J353" s="89"/>
      <c r="K353" s="90"/>
      <c r="L353" s="89"/>
      <c r="M353" s="92"/>
      <c r="N353" s="3"/>
      <c r="O353" s="3"/>
      <c r="P353" s="93">
        <f>IF(P$1="",0,операции!$P$300-операции!$P$315+P129+SUM(операции!$O$353:P$353)-SUM(операции!$O$368:P$368))</f>
        <v>507.12739461538445</v>
      </c>
      <c r="Q353" s="93">
        <f>IF(Q$1="",0,операции!$P$300-операции!$P$315+Q129+SUM(операции!$O$353:Q$353)-SUM(операции!$O$368:Q$368))</f>
        <v>526.1308946153847</v>
      </c>
      <c r="R353" s="93">
        <f>IF(R$1="",0,операции!$P$300-операции!$P$315+R129+SUM(операции!$O$353:R$353)-SUM(операции!$O$368:R$368))</f>
        <v>555.19739846153834</v>
      </c>
      <c r="S353" s="93">
        <f>IF(S$1="",0,операции!$P$300-операции!$P$315+S129+SUM(операции!$O$353:S$353)-SUM(операции!$O$368:S$368))</f>
        <v>573.63964461538444</v>
      </c>
      <c r="T353" s="93">
        <f>IF(T$1="",0,операции!$P$300-операции!$P$315+T129+SUM(операции!$O$353:T$353)-SUM(операции!$O$368:T$368))</f>
        <v>602.1448946153846</v>
      </c>
      <c r="U353" s="93">
        <f>IF(U$1="",0,операции!$P$300-операции!$P$315+U129+SUM(операции!$O$353:U$353)-SUM(операции!$O$368:U$368))</f>
        <v>649.65364461538456</v>
      </c>
      <c r="V353" s="93">
        <f>IF(V$1="",0,операции!$P$300-операции!$P$315+V129+SUM(операции!$O$353:V$353)-SUM(операции!$O$368:V$368))</f>
        <v>716.72714846153849</v>
      </c>
      <c r="W353" s="93">
        <f>IF(W$1="",0,операции!$P$300-операции!$P$315+W129+SUM(операции!$O$353:W$353)-SUM(операции!$O$368:W$368))</f>
        <v>0</v>
      </c>
      <c r="X353" s="93">
        <f>IF(X$1="",0,операции!$P$300-операции!$P$315+X129+SUM(операции!$O$353:X$353)-SUM(операции!$O$368:X$368))</f>
        <v>0</v>
      </c>
      <c r="Y353" s="93">
        <f>IF(Y$1="",0,операции!$P$300-операции!$P$315+Y129+SUM(операции!$O$353:Y$353)-SUM(операции!$O$368:Y$368))</f>
        <v>0</v>
      </c>
      <c r="Z353" s="93">
        <f>IF(Z$1="",0,операции!$P$300-операции!$P$315+Z129+SUM(операции!$O$353:Z$353)-SUM(операции!$O$368:Z$368))</f>
        <v>0</v>
      </c>
      <c r="AA353" s="93">
        <f>IF(AA$1="",0,операции!$P$300-операции!$P$315+AA129+SUM(операции!$O$353:AA$353)-SUM(операции!$O$368:AA$368))</f>
        <v>0</v>
      </c>
      <c r="AB353" s="3"/>
    </row>
    <row r="354" spans="1:28" s="5" customFormat="1" ht="3.9" customHeight="1" x14ac:dyDescent="0.25">
      <c r="A354" s="150">
        <f>1</f>
        <v>1</v>
      </c>
      <c r="B354" s="128"/>
      <c r="C354" s="3"/>
      <c r="D354" s="3"/>
      <c r="E354" s="3"/>
      <c r="F354" s="3"/>
      <c r="G354" s="3"/>
      <c r="H354" s="3"/>
      <c r="I354" s="28"/>
      <c r="J354" s="3"/>
      <c r="K354" s="28"/>
      <c r="L354" s="3"/>
      <c r="M354" s="55"/>
      <c r="N354" s="3"/>
      <c r="O354" s="3"/>
      <c r="P354" s="46"/>
      <c r="Q354" s="46"/>
      <c r="R354" s="46"/>
      <c r="S354" s="46"/>
      <c r="T354" s="46"/>
      <c r="U354" s="46"/>
      <c r="V354" s="46"/>
      <c r="W354" s="46"/>
      <c r="X354" s="46"/>
      <c r="Y354" s="46"/>
      <c r="Z354" s="46"/>
      <c r="AA354" s="46"/>
      <c r="AB354" s="3"/>
    </row>
    <row r="355" spans="1:28" s="5" customFormat="1" x14ac:dyDescent="0.25">
      <c r="A355" s="150">
        <f>1</f>
        <v>1</v>
      </c>
      <c r="B355" s="129" t="str">
        <f>структура!$J$14</f>
        <v>УСН(15%)</v>
      </c>
      <c r="C355" s="3"/>
      <c r="D355" s="3"/>
      <c r="E355" s="89" t="str">
        <f>E351</f>
        <v>КРЕДИТОРСКАЯ ЗАДОЛЖЕННОСТЬ</v>
      </c>
      <c r="F355" s="89"/>
      <c r="G355" s="89" t="str">
        <f>IF($E355="","",INDEX(KPI!$G:$G,SUMIFS(KPI!$B:$B,KPI!$E:$E,$E355)))</f>
        <v>тыс.руб.</v>
      </c>
      <c r="H355" s="89"/>
      <c r="I355" s="90"/>
      <c r="J355" s="89"/>
      <c r="K355" s="90"/>
      <c r="L355" s="89"/>
      <c r="M355" s="92"/>
      <c r="N355" s="3"/>
      <c r="O355" s="3"/>
      <c r="P355" s="93">
        <f>IF(P$1="",0,операции!$P$300-операции!$P$315+P131+SUM(операции!$O$353:P$353)-SUM(операции!$O$368:P$368))</f>
        <v>1021.4714731857496</v>
      </c>
      <c r="Q355" s="93">
        <f>IF(Q$1="",0,операции!$P$300-операции!$P$315+Q131+SUM(операции!$O$353:Q$353)-SUM(операции!$O$368:Q$368))</f>
        <v>1102.2363481857501</v>
      </c>
      <c r="R355" s="93">
        <f>IF(R$1="",0,операции!$P$300-операции!$P$315+R131+SUM(операции!$O$353:R$353)-SUM(операции!$O$368:R$368))</f>
        <v>1249.2588074549803</v>
      </c>
      <c r="S355" s="93">
        <f>IF(S$1="",0,операции!$P$300-операции!$P$315+S131+SUM(операции!$O$353:S$353)-SUM(операции!$O$368:S$368))</f>
        <v>1353.2329641472884</v>
      </c>
      <c r="T355" s="93">
        <f>IF(T$1="",0,операции!$P$300-операции!$P$315+T131+SUM(операции!$O$353:T$353)-SUM(операции!$O$368:T$368))</f>
        <v>1477.2308016472889</v>
      </c>
      <c r="U355" s="93">
        <f>IF(U$1="",0,операции!$P$300-операции!$P$315+U131+SUM(операции!$O$353:U$353)-SUM(операции!$O$368:U$368))</f>
        <v>1692.3967384165194</v>
      </c>
      <c r="V355" s="93">
        <f>IF(V$1="",0,операции!$P$300-операции!$P$315+V131+SUM(операции!$O$353:V$353)-SUM(операции!$O$368:V$368))</f>
        <v>1991.381616589596</v>
      </c>
      <c r="W355" s="93">
        <f>IF(W$1="",0,операции!$P$300-операции!$P$315+W131+SUM(операции!$O$353:W$353)-SUM(операции!$O$368:W$368))</f>
        <v>0</v>
      </c>
      <c r="X355" s="93">
        <f>IF(X$1="",0,операции!$P$300-операции!$P$315+X131+SUM(операции!$O$353:X$353)-SUM(операции!$O$368:X$368))</f>
        <v>0</v>
      </c>
      <c r="Y355" s="93">
        <f>IF(Y$1="",0,операции!$P$300-операции!$P$315+Y131+SUM(операции!$O$353:Y$353)-SUM(операции!$O$368:Y$368))</f>
        <v>0</v>
      </c>
      <c r="Z355" s="93">
        <f>IF(Z$1="",0,операции!$P$300-операции!$P$315+Z131+SUM(операции!$O$353:Z$353)-SUM(операции!$O$368:Z$368))</f>
        <v>0</v>
      </c>
      <c r="AA355" s="93">
        <f>IF(AA$1="",0,операции!$P$300-операции!$P$315+AA131+SUM(операции!$O$353:AA$353)-SUM(операции!$O$368:AA$368))</f>
        <v>0</v>
      </c>
      <c r="AB355" s="3"/>
    </row>
    <row r="356" spans="1:28" s="5" customFormat="1" ht="3.9" customHeight="1" x14ac:dyDescent="0.25">
      <c r="A356" s="150">
        <f>1</f>
        <v>1</v>
      </c>
      <c r="B356" s="128"/>
      <c r="C356" s="3"/>
      <c r="D356" s="3"/>
      <c r="E356" s="3"/>
      <c r="F356" s="3"/>
      <c r="G356" s="3"/>
      <c r="H356" s="3"/>
      <c r="I356" s="28"/>
      <c r="J356" s="3"/>
      <c r="K356" s="28"/>
      <c r="L356" s="3"/>
      <c r="M356" s="55"/>
      <c r="N356" s="3"/>
      <c r="O356" s="3"/>
      <c r="P356" s="46"/>
      <c r="Q356" s="46"/>
      <c r="R356" s="46"/>
      <c r="S356" s="46"/>
      <c r="T356" s="46"/>
      <c r="U356" s="46"/>
      <c r="V356" s="46"/>
      <c r="W356" s="46"/>
      <c r="X356" s="46"/>
      <c r="Y356" s="46"/>
      <c r="Z356" s="46"/>
      <c r="AA356" s="46"/>
      <c r="AB356" s="3"/>
    </row>
    <row r="357" spans="1:28" s="5" customFormat="1" x14ac:dyDescent="0.25">
      <c r="A357" s="150">
        <f>1</f>
        <v>1</v>
      </c>
      <c r="B357" s="129" t="str">
        <f>структура!$J$15</f>
        <v>УСН(6%)-ИП</v>
      </c>
      <c r="C357" s="3"/>
      <c r="D357" s="3"/>
      <c r="E357" s="89" t="str">
        <f>E351</f>
        <v>КРЕДИТОРСКАЯ ЗАДОЛЖЕННОСТЬ</v>
      </c>
      <c r="F357" s="89"/>
      <c r="G357" s="89" t="str">
        <f>IF($E357="","",INDEX(KPI!$G:$G,SUMIFS(KPI!$B:$B,KPI!$E:$E,$E357)))</f>
        <v>тыс.руб.</v>
      </c>
      <c r="H357" s="89"/>
      <c r="I357" s="90"/>
      <c r="J357" s="89"/>
      <c r="K357" s="90"/>
      <c r="L357" s="89"/>
      <c r="M357" s="92"/>
      <c r="N357" s="3"/>
      <c r="O357" s="3"/>
      <c r="P357" s="93">
        <f>IF(P$1="",0,операции!$P$300-операции!$P$315+P133+SUM(операции!$O$353:P$353)-SUM(операции!$O$368:P$368))</f>
        <v>82.795360000000073</v>
      </c>
      <c r="Q357" s="93">
        <f>IF(Q$1="",0,операции!$P$300-операции!$P$315+Q133+SUM(операции!$O$353:Q$353)-SUM(операции!$O$368:Q$368))</f>
        <v>82.795360000000073</v>
      </c>
      <c r="R357" s="93">
        <f>IF(R$1="",0,операции!$P$300-операции!$P$315+R133+SUM(операции!$O$353:R$353)-SUM(операции!$O$368:R$368))</f>
        <v>82.795359999999846</v>
      </c>
      <c r="S357" s="93">
        <f>IF(S$1="",0,операции!$P$300-операции!$P$315+S133+SUM(операции!$O$353:S$353)-SUM(операции!$O$368:S$368))</f>
        <v>82.795360000000073</v>
      </c>
      <c r="T357" s="93">
        <f>IF(T$1="",0,операции!$P$300-операции!$P$315+T133+SUM(операции!$O$353:T$353)-SUM(операции!$O$368:T$368))</f>
        <v>602.1448946153846</v>
      </c>
      <c r="U357" s="93">
        <f>IF(U$1="",0,операции!$P$300-операции!$P$315+U133+SUM(операции!$O$353:U$353)-SUM(операции!$O$368:U$368))</f>
        <v>649.65364461538456</v>
      </c>
      <c r="V357" s="93">
        <f>IF(V$1="",0,операции!$P$300-операции!$P$315+V133+SUM(операции!$O$353:V$353)-SUM(операции!$O$368:V$368))</f>
        <v>716.72714846153849</v>
      </c>
      <c r="W357" s="93">
        <f>IF(W$1="",0,операции!$P$300-операции!$P$315+W133+SUM(операции!$O$353:W$353)-SUM(операции!$O$368:W$368))</f>
        <v>0</v>
      </c>
      <c r="X357" s="93">
        <f>IF(X$1="",0,операции!$P$300-операции!$P$315+X133+SUM(операции!$O$353:X$353)-SUM(операции!$O$368:X$368))</f>
        <v>0</v>
      </c>
      <c r="Y357" s="93">
        <f>IF(Y$1="",0,операции!$P$300-операции!$P$315+Y133+SUM(операции!$O$353:Y$353)-SUM(операции!$O$368:Y$368))</f>
        <v>0</v>
      </c>
      <c r="Z357" s="93">
        <f>IF(Z$1="",0,операции!$P$300-операции!$P$315+Z133+SUM(операции!$O$353:Z$353)-SUM(операции!$O$368:Z$368))</f>
        <v>0</v>
      </c>
      <c r="AA357" s="93">
        <f>IF(AA$1="",0,операции!$P$300-операции!$P$315+AA133+SUM(операции!$O$353:AA$353)-SUM(операции!$O$368:AA$368))</f>
        <v>0</v>
      </c>
      <c r="AB357" s="3"/>
    </row>
    <row r="358" spans="1:28" ht="3.9" customHeight="1" x14ac:dyDescent="0.25">
      <c r="A358" s="149">
        <f>1</f>
        <v>1</v>
      </c>
      <c r="B358" s="131"/>
      <c r="C358" s="2"/>
      <c r="D358" s="2"/>
      <c r="E358" s="118"/>
      <c r="F358" s="2"/>
      <c r="G358" s="118"/>
      <c r="H358" s="2"/>
      <c r="I358" s="28"/>
      <c r="J358" s="2"/>
      <c r="K358" s="28"/>
      <c r="L358" s="2"/>
      <c r="M358" s="139"/>
      <c r="N358" s="2"/>
      <c r="O358" s="2"/>
      <c r="P358" s="36"/>
      <c r="Q358" s="36"/>
      <c r="R358" s="36"/>
      <c r="S358" s="36"/>
      <c r="T358" s="36"/>
      <c r="U358" s="36"/>
      <c r="V358" s="36"/>
      <c r="W358" s="36"/>
      <c r="X358" s="36"/>
      <c r="Y358" s="36"/>
      <c r="Z358" s="36"/>
      <c r="AA358" s="36"/>
      <c r="AB358" s="2"/>
    </row>
    <row r="359" spans="1:28" x14ac:dyDescent="0.25">
      <c r="A359" s="149">
        <f>1</f>
        <v>1</v>
      </c>
      <c r="B359" s="131"/>
      <c r="C359" s="2"/>
      <c r="D359" s="2"/>
      <c r="E359" s="2"/>
      <c r="F359" s="2"/>
      <c r="G359" s="2"/>
      <c r="H359" s="2"/>
      <c r="I359" s="28"/>
      <c r="J359" s="2"/>
      <c r="K359" s="28"/>
      <c r="L359" s="2"/>
      <c r="M359" s="52"/>
      <c r="N359" s="2"/>
      <c r="O359" s="2"/>
      <c r="P359" s="36"/>
      <c r="Q359" s="36"/>
      <c r="R359" s="36"/>
      <c r="S359" s="36"/>
      <c r="T359" s="36"/>
      <c r="U359" s="36"/>
      <c r="V359" s="36"/>
      <c r="W359" s="36"/>
      <c r="X359" s="36"/>
      <c r="Y359" s="36"/>
      <c r="Z359" s="36"/>
      <c r="AA359" s="36"/>
      <c r="AB359" s="2"/>
    </row>
    <row r="360" spans="1:28" x14ac:dyDescent="0.25">
      <c r="A360" s="149">
        <f>1</f>
        <v>1</v>
      </c>
      <c r="B360" s="131"/>
      <c r="C360" s="2"/>
      <c r="D360" s="2"/>
      <c r="E360" s="2"/>
      <c r="F360" s="2"/>
      <c r="G360" s="2"/>
      <c r="H360" s="2"/>
      <c r="I360" s="28"/>
      <c r="J360" s="2"/>
      <c r="K360" s="28"/>
      <c r="L360" s="2"/>
      <c r="M360" s="52"/>
      <c r="N360" s="2"/>
      <c r="O360" s="2"/>
      <c r="P360" s="36"/>
      <c r="Q360" s="36"/>
      <c r="R360" s="36"/>
      <c r="S360" s="36"/>
      <c r="T360" s="36"/>
      <c r="U360" s="36"/>
      <c r="V360" s="36"/>
      <c r="W360" s="36"/>
      <c r="X360" s="36"/>
      <c r="Y360" s="36"/>
      <c r="Z360" s="36"/>
      <c r="AA360" s="36"/>
      <c r="AB360" s="2"/>
    </row>
    <row r="361" spans="1:28" x14ac:dyDescent="0.25">
      <c r="A361" s="149">
        <f>1</f>
        <v>1</v>
      </c>
      <c r="B361" s="131"/>
      <c r="C361" s="2"/>
      <c r="D361" s="2"/>
      <c r="E361" s="2"/>
      <c r="F361" s="2"/>
      <c r="G361" s="2"/>
      <c r="H361" s="2"/>
      <c r="I361" s="28"/>
      <c r="J361" s="2"/>
      <c r="K361" s="28"/>
      <c r="L361" s="2"/>
      <c r="M361" s="52"/>
      <c r="N361" s="2"/>
      <c r="O361" s="2"/>
      <c r="P361" s="36"/>
      <c r="Q361" s="36"/>
      <c r="R361" s="36"/>
      <c r="S361" s="36"/>
      <c r="T361" s="36"/>
      <c r="U361" s="36"/>
      <c r="V361" s="36"/>
      <c r="W361" s="36"/>
      <c r="X361" s="36"/>
      <c r="Y361" s="36"/>
      <c r="Z361" s="36"/>
      <c r="AA361" s="36"/>
      <c r="AB361" s="2"/>
    </row>
    <row r="362" spans="1:28" x14ac:dyDescent="0.25">
      <c r="A362" s="149">
        <f>1</f>
        <v>1</v>
      </c>
      <c r="B362" s="131"/>
      <c r="C362" s="2"/>
      <c r="D362" s="2"/>
      <c r="E362" s="2"/>
      <c r="F362" s="2"/>
      <c r="G362" s="2"/>
      <c r="H362" s="2"/>
      <c r="I362" s="28"/>
      <c r="J362" s="2"/>
      <c r="K362" s="28"/>
      <c r="L362" s="2"/>
      <c r="M362" s="52"/>
      <c r="N362" s="2"/>
      <c r="O362" s="2"/>
      <c r="P362" s="36"/>
      <c r="Q362" s="36"/>
      <c r="R362" s="36"/>
      <c r="S362" s="36"/>
      <c r="T362" s="36"/>
      <c r="U362" s="36"/>
      <c r="V362" s="36"/>
      <c r="W362" s="36"/>
      <c r="X362" s="36"/>
      <c r="Y362" s="36"/>
      <c r="Z362" s="36"/>
      <c r="AA362" s="36"/>
      <c r="AB362" s="2"/>
    </row>
    <row r="363" spans="1:28" x14ac:dyDescent="0.25">
      <c r="A363" s="149">
        <f>1</f>
        <v>1</v>
      </c>
      <c r="B363" s="131"/>
      <c r="C363" s="2"/>
      <c r="D363" s="2"/>
      <c r="E363" s="2"/>
      <c r="F363" s="2"/>
      <c r="G363" s="2"/>
      <c r="H363" s="2"/>
      <c r="I363" s="28"/>
      <c r="J363" s="2"/>
      <c r="K363" s="28"/>
      <c r="L363" s="2"/>
      <c r="M363" s="52"/>
      <c r="N363" s="2"/>
      <c r="O363" s="2"/>
      <c r="P363" s="36"/>
      <c r="Q363" s="36"/>
      <c r="R363" s="36"/>
      <c r="S363" s="36"/>
      <c r="T363" s="36"/>
      <c r="U363" s="36"/>
      <c r="V363" s="36"/>
      <c r="W363" s="36"/>
      <c r="X363" s="36"/>
      <c r="Y363" s="36"/>
      <c r="Z363" s="36"/>
      <c r="AA363" s="36"/>
      <c r="AB363" s="2"/>
    </row>
    <row r="364" spans="1:28" x14ac:dyDescent="0.25">
      <c r="A364" s="149">
        <f>1</f>
        <v>1</v>
      </c>
      <c r="B364" s="131"/>
      <c r="C364" s="2"/>
      <c r="D364" s="2"/>
      <c r="E364" s="2"/>
      <c r="F364" s="2"/>
      <c r="G364" s="2"/>
      <c r="H364" s="2"/>
      <c r="I364" s="28"/>
      <c r="J364" s="2"/>
      <c r="K364" s="28"/>
      <c r="L364" s="2"/>
      <c r="M364" s="52"/>
      <c r="N364" s="2"/>
      <c r="O364" s="2"/>
      <c r="P364" s="36"/>
      <c r="Q364" s="36"/>
      <c r="R364" s="36"/>
      <c r="S364" s="36"/>
      <c r="T364" s="36"/>
      <c r="U364" s="36"/>
      <c r="V364" s="36"/>
      <c r="W364" s="36"/>
      <c r="X364" s="36"/>
      <c r="Y364" s="36"/>
      <c r="Z364" s="36"/>
      <c r="AA364" s="36"/>
      <c r="AB364" s="2"/>
    </row>
    <row r="365" spans="1:28" x14ac:dyDescent="0.25">
      <c r="A365" s="149">
        <f>1</f>
        <v>1</v>
      </c>
      <c r="B365" s="131"/>
      <c r="C365" s="2"/>
      <c r="D365" s="2"/>
      <c r="E365" s="2"/>
      <c r="F365" s="2"/>
      <c r="G365" s="2"/>
      <c r="H365" s="2"/>
      <c r="I365" s="28"/>
      <c r="J365" s="2"/>
      <c r="K365" s="28"/>
      <c r="L365" s="2"/>
      <c r="M365" s="52"/>
      <c r="N365" s="2"/>
      <c r="O365" s="2"/>
      <c r="P365" s="36"/>
      <c r="Q365" s="36"/>
      <c r="R365" s="36"/>
      <c r="S365" s="36"/>
      <c r="T365" s="36"/>
      <c r="U365" s="36"/>
      <c r="V365" s="36"/>
      <c r="W365" s="36"/>
      <c r="X365" s="36"/>
      <c r="Y365" s="36"/>
      <c r="Z365" s="36"/>
      <c r="AA365" s="36"/>
      <c r="AB365" s="2"/>
    </row>
    <row r="366" spans="1:28" x14ac:dyDescent="0.25">
      <c r="A366" s="149">
        <f>1</f>
        <v>1</v>
      </c>
      <c r="B366" s="131"/>
      <c r="C366" s="2"/>
      <c r="D366" s="2"/>
      <c r="E366" s="2"/>
      <c r="F366" s="2"/>
      <c r="G366" s="2"/>
      <c r="H366" s="2"/>
      <c r="I366" s="28"/>
      <c r="J366" s="2"/>
      <c r="K366" s="28"/>
      <c r="L366" s="2"/>
      <c r="M366" s="52"/>
      <c r="N366" s="2"/>
      <c r="O366" s="2"/>
      <c r="P366" s="36"/>
      <c r="Q366" s="36"/>
      <c r="R366" s="36"/>
      <c r="S366" s="36"/>
      <c r="T366" s="36"/>
      <c r="U366" s="36"/>
      <c r="V366" s="36"/>
      <c r="W366" s="36"/>
      <c r="X366" s="36"/>
      <c r="Y366" s="36"/>
      <c r="Z366" s="36"/>
      <c r="AA366" s="36"/>
      <c r="AB366" s="2"/>
    </row>
    <row r="367" spans="1:28" x14ac:dyDescent="0.25">
      <c r="A367" s="149">
        <f>1</f>
        <v>1</v>
      </c>
      <c r="B367" s="131"/>
      <c r="C367" s="2"/>
      <c r="D367" s="2"/>
      <c r="E367" s="2"/>
      <c r="F367" s="2"/>
      <c r="G367" s="2"/>
      <c r="H367" s="2"/>
      <c r="I367" s="28"/>
      <c r="J367" s="2"/>
      <c r="K367" s="28"/>
      <c r="L367" s="2"/>
      <c r="M367" s="52"/>
      <c r="N367" s="2"/>
      <c r="O367" s="2"/>
      <c r="P367" s="36"/>
      <c r="Q367" s="36"/>
      <c r="R367" s="36"/>
      <c r="S367" s="36"/>
      <c r="T367" s="36"/>
      <c r="U367" s="36"/>
      <c r="V367" s="36"/>
      <c r="W367" s="36"/>
      <c r="X367" s="36"/>
      <c r="Y367" s="36"/>
      <c r="Z367" s="36"/>
      <c r="AA367" s="36"/>
      <c r="AB367" s="2"/>
    </row>
    <row r="368" spans="1:28" x14ac:dyDescent="0.25">
      <c r="A368" s="149">
        <f>1</f>
        <v>1</v>
      </c>
      <c r="B368" s="131"/>
      <c r="C368" s="2"/>
      <c r="D368" s="2"/>
      <c r="E368" s="2"/>
      <c r="F368" s="2"/>
      <c r="G368" s="2"/>
      <c r="H368" s="2"/>
      <c r="I368" s="28"/>
      <c r="J368" s="2"/>
      <c r="K368" s="28"/>
      <c r="L368" s="2"/>
      <c r="M368" s="52"/>
      <c r="N368" s="2"/>
      <c r="O368" s="2"/>
      <c r="P368" s="36"/>
      <c r="Q368" s="36"/>
      <c r="R368" s="36"/>
      <c r="S368" s="36"/>
      <c r="T368" s="36"/>
      <c r="U368" s="36"/>
      <c r="V368" s="36"/>
      <c r="W368" s="36"/>
      <c r="X368" s="36"/>
      <c r="Y368" s="36"/>
      <c r="Z368" s="36"/>
      <c r="AA368" s="36"/>
      <c r="AB368" s="2"/>
    </row>
    <row r="369" spans="1:28" x14ac:dyDescent="0.25">
      <c r="A369" s="149">
        <f>1</f>
        <v>1</v>
      </c>
      <c r="B369" s="131"/>
      <c r="C369" s="2"/>
      <c r="D369" s="2"/>
      <c r="E369" s="2"/>
      <c r="F369" s="2"/>
      <c r="G369" s="2"/>
      <c r="H369" s="2"/>
      <c r="I369" s="28"/>
      <c r="J369" s="2"/>
      <c r="K369" s="28"/>
      <c r="L369" s="2"/>
      <c r="M369" s="52"/>
      <c r="N369" s="2"/>
      <c r="O369" s="2"/>
      <c r="P369" s="36"/>
      <c r="Q369" s="36"/>
      <c r="R369" s="36"/>
      <c r="S369" s="36"/>
      <c r="T369" s="36"/>
      <c r="U369" s="36"/>
      <c r="V369" s="36"/>
      <c r="W369" s="36"/>
      <c r="X369" s="36"/>
      <c r="Y369" s="36"/>
      <c r="Z369" s="36"/>
      <c r="AA369" s="36"/>
      <c r="AB369" s="2"/>
    </row>
    <row r="370" spans="1:28" x14ac:dyDescent="0.25">
      <c r="A370" s="149">
        <f>1</f>
        <v>1</v>
      </c>
      <c r="B370" s="131"/>
      <c r="C370" s="2"/>
      <c r="D370" s="2"/>
      <c r="E370" s="2"/>
      <c r="F370" s="2"/>
      <c r="G370" s="2"/>
      <c r="H370" s="2"/>
      <c r="I370" s="28"/>
      <c r="J370" s="2"/>
      <c r="K370" s="28"/>
      <c r="L370" s="2"/>
      <c r="M370" s="52"/>
      <c r="N370" s="2"/>
      <c r="O370" s="2"/>
      <c r="P370" s="36"/>
      <c r="Q370" s="36"/>
      <c r="R370" s="36"/>
      <c r="S370" s="36"/>
      <c r="T370" s="36"/>
      <c r="U370" s="36"/>
      <c r="V370" s="36"/>
      <c r="W370" s="36"/>
      <c r="X370" s="36"/>
      <c r="Y370" s="36"/>
      <c r="Z370" s="36"/>
      <c r="AA370" s="36"/>
      <c r="AB370" s="2"/>
    </row>
    <row r="371" spans="1:28" x14ac:dyDescent="0.25">
      <c r="P371" s="57"/>
      <c r="Q371" s="57"/>
      <c r="R371" s="57"/>
      <c r="S371" s="57"/>
      <c r="T371" s="57"/>
      <c r="U371" s="57"/>
      <c r="V371" s="57"/>
      <c r="W371" s="57"/>
      <c r="X371" s="57"/>
      <c r="Y371" s="57"/>
      <c r="Z371" s="57"/>
      <c r="AA371" s="57"/>
    </row>
  </sheetData>
  <autoFilter ref="A8:B370"/>
  <conditionalFormatting sqref="A2:XFD2 A3:B6 F3:XFD4 F5:F6 H5:XFD6 E1:XFD1 A7:XFD1048576">
    <cfRule type="cellIs" dxfId="10798" priority="2473" operator="equal">
      <formula>0</formula>
    </cfRule>
  </conditionalFormatting>
  <conditionalFormatting sqref="P16:AA16">
    <cfRule type="expression" dxfId="10797" priority="2329">
      <formula>P$1=""</formula>
    </cfRule>
  </conditionalFormatting>
  <conditionalFormatting sqref="P18:AA18">
    <cfRule type="expression" dxfId="10796" priority="2328">
      <formula>P$1=""</formula>
    </cfRule>
  </conditionalFormatting>
  <conditionalFormatting sqref="P20:AA20">
    <cfRule type="expression" dxfId="10795" priority="2327">
      <formula>P$1=""</formula>
    </cfRule>
  </conditionalFormatting>
  <conditionalFormatting sqref="P22:AA22">
    <cfRule type="expression" dxfId="10794" priority="2326">
      <formula>P$1=""</formula>
    </cfRule>
  </conditionalFormatting>
  <conditionalFormatting sqref="P26:AA26">
    <cfRule type="expression" dxfId="10793" priority="2325">
      <formula>P$1=""</formula>
    </cfRule>
  </conditionalFormatting>
  <conditionalFormatting sqref="P28:AA28">
    <cfRule type="expression" dxfId="10792" priority="2324">
      <formula>P$1=""</formula>
    </cfRule>
  </conditionalFormatting>
  <conditionalFormatting sqref="P30:AA30">
    <cfRule type="expression" dxfId="10791" priority="2323">
      <formula>P$1=""</formula>
    </cfRule>
  </conditionalFormatting>
  <conditionalFormatting sqref="P32:AA32">
    <cfRule type="expression" dxfId="10790" priority="2322">
      <formula>P$1=""</formula>
    </cfRule>
  </conditionalFormatting>
  <conditionalFormatting sqref="P36:AA36">
    <cfRule type="expression" dxfId="10789" priority="2321">
      <formula>P$1=""</formula>
    </cfRule>
  </conditionalFormatting>
  <conditionalFormatting sqref="P38:AA38">
    <cfRule type="expression" dxfId="10788" priority="2320">
      <formula>P$1=""</formula>
    </cfRule>
  </conditionalFormatting>
  <conditionalFormatting sqref="P40:AA40">
    <cfRule type="expression" dxfId="10787" priority="2319">
      <formula>P$1=""</formula>
    </cfRule>
  </conditionalFormatting>
  <conditionalFormatting sqref="P42:AA42">
    <cfRule type="expression" dxfId="10786" priority="2318">
      <formula>P$1=""</formula>
    </cfRule>
  </conditionalFormatting>
  <conditionalFormatting sqref="P42:AA42 P40:AA40 P38:AA38">
    <cfRule type="expression" dxfId="10785" priority="2317">
      <formula>P$1=""</formula>
    </cfRule>
  </conditionalFormatting>
  <conditionalFormatting sqref="P46:AA46">
    <cfRule type="expression" dxfId="10784" priority="2316">
      <formula>P$1=""</formula>
    </cfRule>
  </conditionalFormatting>
  <conditionalFormatting sqref="P48:AA48">
    <cfRule type="expression" dxfId="10783" priority="2315">
      <formula>P$1=""</formula>
    </cfRule>
  </conditionalFormatting>
  <conditionalFormatting sqref="P50:AA50">
    <cfRule type="expression" dxfId="10782" priority="2314">
      <formula>P$1=""</formula>
    </cfRule>
  </conditionalFormatting>
  <conditionalFormatting sqref="P52:AA52">
    <cfRule type="expression" dxfId="10781" priority="2313">
      <formula>P$1=""</formula>
    </cfRule>
  </conditionalFormatting>
  <conditionalFormatting sqref="P52:AA52 P50:AA50 P48:AA48">
    <cfRule type="expression" dxfId="10780" priority="2312">
      <formula>P$1=""</formula>
    </cfRule>
  </conditionalFormatting>
  <conditionalFormatting sqref="P52:AA52 P50:AA50 P48:AA48">
    <cfRule type="expression" dxfId="10779" priority="2311">
      <formula>P$1=""</formula>
    </cfRule>
  </conditionalFormatting>
  <conditionalFormatting sqref="P56:AA56">
    <cfRule type="expression" dxfId="10778" priority="2310">
      <formula>P$1=""</formula>
    </cfRule>
  </conditionalFormatting>
  <conditionalFormatting sqref="P58:AA58">
    <cfRule type="expression" dxfId="10777" priority="2309">
      <formula>P$1=""</formula>
    </cfRule>
  </conditionalFormatting>
  <conditionalFormatting sqref="P60:AA60">
    <cfRule type="expression" dxfId="10776" priority="2308">
      <formula>P$1=""</formula>
    </cfRule>
  </conditionalFormatting>
  <conditionalFormatting sqref="P62:AA62">
    <cfRule type="expression" dxfId="10775" priority="2307">
      <formula>P$1=""</formula>
    </cfRule>
  </conditionalFormatting>
  <conditionalFormatting sqref="P62:AA62 P60:AA60 P58:AA58">
    <cfRule type="expression" dxfId="10774" priority="2306">
      <formula>P$1=""</formula>
    </cfRule>
  </conditionalFormatting>
  <conditionalFormatting sqref="P62:AA62 P60:AA60 P58:AA58">
    <cfRule type="expression" dxfId="10773" priority="2305">
      <formula>P$1=""</formula>
    </cfRule>
  </conditionalFormatting>
  <conditionalFormatting sqref="P62:AA62 P60:AA60 P58:AA58">
    <cfRule type="expression" dxfId="10772" priority="2304">
      <formula>P$1=""</formula>
    </cfRule>
  </conditionalFormatting>
  <conditionalFormatting sqref="P66:AA66">
    <cfRule type="expression" dxfId="10771" priority="2303">
      <formula>P$1=""</formula>
    </cfRule>
  </conditionalFormatting>
  <conditionalFormatting sqref="P68:AA68">
    <cfRule type="expression" dxfId="10770" priority="2302">
      <formula>P$1=""</formula>
    </cfRule>
  </conditionalFormatting>
  <conditionalFormatting sqref="P70:AA70">
    <cfRule type="expression" dxfId="10769" priority="2301">
      <formula>P$1=""</formula>
    </cfRule>
  </conditionalFormatting>
  <conditionalFormatting sqref="P72:AA72">
    <cfRule type="expression" dxfId="10768" priority="2300">
      <formula>P$1=""</formula>
    </cfRule>
  </conditionalFormatting>
  <conditionalFormatting sqref="P72:AA72 P70:AA70 P68:AA68">
    <cfRule type="expression" dxfId="10767" priority="2299">
      <formula>P$1=""</formula>
    </cfRule>
  </conditionalFormatting>
  <conditionalFormatting sqref="P72:AA72 P70:AA70 P68:AA68">
    <cfRule type="expression" dxfId="10766" priority="2298">
      <formula>P$1=""</formula>
    </cfRule>
  </conditionalFormatting>
  <conditionalFormatting sqref="P72:AA72 P70:AA70 P68:AA68">
    <cfRule type="expression" dxfId="10765" priority="2297">
      <formula>P$1=""</formula>
    </cfRule>
  </conditionalFormatting>
  <conditionalFormatting sqref="P72:AA72 P70:AA70 P68:AA68">
    <cfRule type="expression" dxfId="10764" priority="2296">
      <formula>P$1=""</formula>
    </cfRule>
  </conditionalFormatting>
  <conditionalFormatting sqref="P76:AA76">
    <cfRule type="expression" dxfId="10763" priority="2295">
      <formula>P$1=""</formula>
    </cfRule>
  </conditionalFormatting>
  <conditionalFormatting sqref="P78:AA78">
    <cfRule type="expression" dxfId="10762" priority="2294">
      <formula>P$1=""</formula>
    </cfRule>
  </conditionalFormatting>
  <conditionalFormatting sqref="P80:AA80">
    <cfRule type="expression" dxfId="10761" priority="2293">
      <formula>P$1=""</formula>
    </cfRule>
  </conditionalFormatting>
  <conditionalFormatting sqref="P82:AA82">
    <cfRule type="expression" dxfId="10760" priority="2292">
      <formula>P$1=""</formula>
    </cfRule>
  </conditionalFormatting>
  <conditionalFormatting sqref="P82:AA82 P80:AA80 P78:AA78">
    <cfRule type="expression" dxfId="10759" priority="2291">
      <formula>P$1=""</formula>
    </cfRule>
  </conditionalFormatting>
  <conditionalFormatting sqref="P82:AA82 P80:AA80 P78:AA78">
    <cfRule type="expression" dxfId="10758" priority="2290">
      <formula>P$1=""</formula>
    </cfRule>
  </conditionalFormatting>
  <conditionalFormatting sqref="P82:AA82 P80:AA80 P78:AA78">
    <cfRule type="expression" dxfId="10757" priority="2289">
      <formula>P$1=""</formula>
    </cfRule>
  </conditionalFormatting>
  <conditionalFormatting sqref="P82:AA82 P80:AA80 P78:AA78">
    <cfRule type="expression" dxfId="10756" priority="2288">
      <formula>P$1=""</formula>
    </cfRule>
  </conditionalFormatting>
  <conditionalFormatting sqref="P82:AA82 P80:AA80 P78:AA78">
    <cfRule type="expression" dxfId="10755" priority="2287">
      <formula>P$1=""</formula>
    </cfRule>
  </conditionalFormatting>
  <conditionalFormatting sqref="P85:AA85">
    <cfRule type="expression" dxfId="10754" priority="2286">
      <formula>P$1=""</formula>
    </cfRule>
  </conditionalFormatting>
  <conditionalFormatting sqref="P87:AA87">
    <cfRule type="expression" dxfId="10753" priority="2285">
      <formula>P$1=""</formula>
    </cfRule>
  </conditionalFormatting>
  <conditionalFormatting sqref="P89:AA89">
    <cfRule type="expression" dxfId="10752" priority="2284">
      <formula>P$1=""</formula>
    </cfRule>
  </conditionalFormatting>
  <conditionalFormatting sqref="P91:AA91">
    <cfRule type="expression" dxfId="10751" priority="2283">
      <formula>P$1=""</formula>
    </cfRule>
  </conditionalFormatting>
  <conditionalFormatting sqref="P91:AA91 P89:AA89 P87:AA87">
    <cfRule type="expression" dxfId="10750" priority="2282">
      <formula>P$1=""</formula>
    </cfRule>
  </conditionalFormatting>
  <conditionalFormatting sqref="P91:AA91 P89:AA89 P87:AA87">
    <cfRule type="expression" dxfId="10749" priority="2281">
      <formula>P$1=""</formula>
    </cfRule>
  </conditionalFormatting>
  <conditionalFormatting sqref="P91:AA91 P89:AA89 P87:AA87">
    <cfRule type="expression" dxfId="10748" priority="2280">
      <formula>P$1=""</formula>
    </cfRule>
  </conditionalFormatting>
  <conditionalFormatting sqref="P91:AA91 P89:AA89 P87:AA87">
    <cfRule type="expression" dxfId="10747" priority="2279">
      <formula>P$1=""</formula>
    </cfRule>
  </conditionalFormatting>
  <conditionalFormatting sqref="P95:AA95">
    <cfRule type="expression" dxfId="10746" priority="2278">
      <formula>P$1=""</formula>
    </cfRule>
  </conditionalFormatting>
  <conditionalFormatting sqref="P97:AA97">
    <cfRule type="expression" dxfId="10745" priority="2277">
      <formula>P$1=""</formula>
    </cfRule>
  </conditionalFormatting>
  <conditionalFormatting sqref="P99:AA99">
    <cfRule type="expression" dxfId="10744" priority="2276">
      <formula>P$1=""</formula>
    </cfRule>
  </conditionalFormatting>
  <conditionalFormatting sqref="P101:AA101">
    <cfRule type="expression" dxfId="10743" priority="2275">
      <formula>P$1=""</formula>
    </cfRule>
  </conditionalFormatting>
  <conditionalFormatting sqref="P101:AA101 P99:AA99 P97:AA97">
    <cfRule type="expression" dxfId="10742" priority="2274">
      <formula>P$1=""</formula>
    </cfRule>
  </conditionalFormatting>
  <conditionalFormatting sqref="P101:AA101 P99:AA99 P97:AA97">
    <cfRule type="expression" dxfId="10741" priority="2273">
      <formula>P$1=""</formula>
    </cfRule>
  </conditionalFormatting>
  <conditionalFormatting sqref="P101:AA101 P99:AA99 P97:AA97">
    <cfRule type="expression" dxfId="10740" priority="2272">
      <formula>P$1=""</formula>
    </cfRule>
  </conditionalFormatting>
  <conditionalFormatting sqref="P101:AA101 P99:AA99 P97:AA97">
    <cfRule type="expression" dxfId="10739" priority="2271">
      <formula>P$1=""</formula>
    </cfRule>
  </conditionalFormatting>
  <conditionalFormatting sqref="P101:AA101 P99:AA99 P97:AA97">
    <cfRule type="expression" dxfId="10738" priority="2270">
      <formula>P$1=""</formula>
    </cfRule>
  </conditionalFormatting>
  <conditionalFormatting sqref="P105:AA105">
    <cfRule type="expression" dxfId="10737" priority="2269">
      <formula>P$1=""</formula>
    </cfRule>
  </conditionalFormatting>
  <conditionalFormatting sqref="P107:AA107">
    <cfRule type="expression" dxfId="10736" priority="2268">
      <formula>P$1=""</formula>
    </cfRule>
  </conditionalFormatting>
  <conditionalFormatting sqref="P109:AA109">
    <cfRule type="expression" dxfId="10735" priority="2267">
      <formula>P$1=""</formula>
    </cfRule>
  </conditionalFormatting>
  <conditionalFormatting sqref="P111:AA111">
    <cfRule type="expression" dxfId="10734" priority="2266">
      <formula>P$1=""</formula>
    </cfRule>
  </conditionalFormatting>
  <conditionalFormatting sqref="P107:AA107 P109:AA109 P111:AA111">
    <cfRule type="expression" dxfId="10733" priority="2265">
      <formula>P$1=""</formula>
    </cfRule>
  </conditionalFormatting>
  <conditionalFormatting sqref="P107:AA107 P109:AA109 P111:AA111">
    <cfRule type="expression" dxfId="10732" priority="2264">
      <formula>P$1=""</formula>
    </cfRule>
  </conditionalFormatting>
  <conditionalFormatting sqref="P107:AA107 P109:AA109 P111:AA111">
    <cfRule type="expression" dxfId="10731" priority="2263">
      <formula>P$1=""</formula>
    </cfRule>
  </conditionalFormatting>
  <conditionalFormatting sqref="P107:AA107 P109:AA109 P111:AA111">
    <cfRule type="expression" dxfId="10730" priority="2262">
      <formula>P$1=""</formula>
    </cfRule>
  </conditionalFormatting>
  <conditionalFormatting sqref="P107:AA107 P109:AA109 P111:AA111">
    <cfRule type="expression" dxfId="10729" priority="2261">
      <formula>P$1=""</formula>
    </cfRule>
  </conditionalFormatting>
  <conditionalFormatting sqref="P111:AA111 P109:AA109">
    <cfRule type="expression" dxfId="10728" priority="2260">
      <formula>P$1=""</formula>
    </cfRule>
  </conditionalFormatting>
  <conditionalFormatting sqref="P117:AA117">
    <cfRule type="expression" dxfId="10727" priority="2259">
      <formula>P$1=""</formula>
    </cfRule>
  </conditionalFormatting>
  <conditionalFormatting sqref="P119:AA119">
    <cfRule type="expression" dxfId="10726" priority="2258">
      <formula>P$1=""</formula>
    </cfRule>
  </conditionalFormatting>
  <conditionalFormatting sqref="P121:AA121">
    <cfRule type="expression" dxfId="10725" priority="2257">
      <formula>P$1=""</formula>
    </cfRule>
  </conditionalFormatting>
  <conditionalFormatting sqref="P123:AA123">
    <cfRule type="expression" dxfId="10724" priority="2256">
      <formula>P$1=""</formula>
    </cfRule>
  </conditionalFormatting>
  <conditionalFormatting sqref="P119:AA119 P121:AA121 P123:AA123">
    <cfRule type="expression" dxfId="10723" priority="2255">
      <formula>P$1=""</formula>
    </cfRule>
  </conditionalFormatting>
  <conditionalFormatting sqref="P119:AA119 P121:AA121 P123:AA123">
    <cfRule type="expression" dxfId="10722" priority="2254">
      <formula>P$1=""</formula>
    </cfRule>
  </conditionalFormatting>
  <conditionalFormatting sqref="P119:AA119 P121:AA121 P123:AA123">
    <cfRule type="expression" dxfId="10721" priority="2253">
      <formula>P$1=""</formula>
    </cfRule>
  </conditionalFormatting>
  <conditionalFormatting sqref="P119:AA119 P121:AA121 P123:AA123">
    <cfRule type="expression" dxfId="10720" priority="2252">
      <formula>P$1=""</formula>
    </cfRule>
  </conditionalFormatting>
  <conditionalFormatting sqref="P119:AA119 P121:AA121 P123:AA123">
    <cfRule type="expression" dxfId="10719" priority="2251">
      <formula>P$1=""</formula>
    </cfRule>
  </conditionalFormatting>
  <conditionalFormatting sqref="P123:AA123 P121:AA121">
    <cfRule type="expression" dxfId="10718" priority="2250">
      <formula>P$1=""</formula>
    </cfRule>
  </conditionalFormatting>
  <conditionalFormatting sqref="P32:AA32 P30:AA30 P28:AA28">
    <cfRule type="expression" dxfId="10717" priority="2249">
      <formula>P$1=""</formula>
    </cfRule>
  </conditionalFormatting>
  <conditionalFormatting sqref="P119:AA119">
    <cfRule type="expression" dxfId="10716" priority="2248">
      <formula>P$1=""</formula>
    </cfRule>
  </conditionalFormatting>
  <conditionalFormatting sqref="P123:AA123 P121:AA121">
    <cfRule type="expression" dxfId="10715" priority="2247">
      <formula>P$1=""</formula>
    </cfRule>
  </conditionalFormatting>
  <conditionalFormatting sqref="P123:AA123 P121:AA121">
    <cfRule type="expression" dxfId="10714" priority="2246">
      <formula>P$1=""</formula>
    </cfRule>
  </conditionalFormatting>
  <conditionalFormatting sqref="P127:AA127">
    <cfRule type="expression" dxfId="10713" priority="2245">
      <formula>P$1=""</formula>
    </cfRule>
  </conditionalFormatting>
  <conditionalFormatting sqref="P129:AA129">
    <cfRule type="expression" dxfId="10712" priority="2244">
      <formula>P$1=""</formula>
    </cfRule>
  </conditionalFormatting>
  <conditionalFormatting sqref="P131:AA131">
    <cfRule type="expression" dxfId="10711" priority="2243">
      <formula>P$1=""</formula>
    </cfRule>
  </conditionalFormatting>
  <conditionalFormatting sqref="P133:AA133">
    <cfRule type="expression" dxfId="10710" priority="2242">
      <formula>P$1=""</formula>
    </cfRule>
  </conditionalFormatting>
  <conditionalFormatting sqref="P131:AA131 P129:AA129 P133:AA133">
    <cfRule type="expression" dxfId="10709" priority="2241">
      <formula>P$1=""</formula>
    </cfRule>
  </conditionalFormatting>
  <conditionalFormatting sqref="P131:AA131 P129:AA129 P133:AA133">
    <cfRule type="expression" dxfId="10708" priority="2240">
      <formula>P$1=""</formula>
    </cfRule>
  </conditionalFormatting>
  <conditionalFormatting sqref="P131:AA131 P129:AA129 P133:AA133">
    <cfRule type="expression" dxfId="10707" priority="2239">
      <formula>P$1=""</formula>
    </cfRule>
  </conditionalFormatting>
  <conditionalFormatting sqref="P131:AA131 P129:AA129 P133:AA133">
    <cfRule type="expression" dxfId="10706" priority="2238">
      <formula>P$1=""</formula>
    </cfRule>
  </conditionalFormatting>
  <conditionalFormatting sqref="P131:AA131 P129:AA129 P133:AA133">
    <cfRule type="expression" dxfId="10705" priority="2237">
      <formula>P$1=""</formula>
    </cfRule>
  </conditionalFormatting>
  <conditionalFormatting sqref="P131:AA131 P133:AA133">
    <cfRule type="expression" dxfId="10704" priority="2236">
      <formula>P$1=""</formula>
    </cfRule>
  </conditionalFormatting>
  <conditionalFormatting sqref="P129:AA129">
    <cfRule type="expression" dxfId="10703" priority="2235">
      <formula>P$1=""</formula>
    </cfRule>
  </conditionalFormatting>
  <conditionalFormatting sqref="P131:AA131 P133:AA133">
    <cfRule type="expression" dxfId="10702" priority="2234">
      <formula>P$1=""</formula>
    </cfRule>
  </conditionalFormatting>
  <conditionalFormatting sqref="P131:AA131 P133:AA133">
    <cfRule type="expression" dxfId="10701" priority="2233">
      <formula>P$1=""</formula>
    </cfRule>
  </conditionalFormatting>
  <conditionalFormatting sqref="P133:AA133">
    <cfRule type="expression" dxfId="10700" priority="2232">
      <formula>P$1=""</formula>
    </cfRule>
  </conditionalFormatting>
  <conditionalFormatting sqref="P133:AA133">
    <cfRule type="expression" dxfId="10699" priority="2231">
      <formula>P$1=""</formula>
    </cfRule>
  </conditionalFormatting>
  <conditionalFormatting sqref="P133:AA133">
    <cfRule type="expression" dxfId="10698" priority="2230">
      <formula>P$1=""</formula>
    </cfRule>
  </conditionalFormatting>
  <conditionalFormatting sqref="P133:AA133">
    <cfRule type="expression" dxfId="10697" priority="2229">
      <formula>P$1=""</formula>
    </cfRule>
  </conditionalFormatting>
  <conditionalFormatting sqref="P137:AA137">
    <cfRule type="expression" dxfId="10696" priority="2228">
      <formula>P$1=""</formula>
    </cfRule>
  </conditionalFormatting>
  <conditionalFormatting sqref="P139:AA139">
    <cfRule type="expression" dxfId="10695" priority="2227">
      <formula>P$1=""</formula>
    </cfRule>
  </conditionalFormatting>
  <conditionalFormatting sqref="P141:AA141">
    <cfRule type="expression" dxfId="10694" priority="2226">
      <formula>P$1=""</formula>
    </cfRule>
  </conditionalFormatting>
  <conditionalFormatting sqref="P143:AA143">
    <cfRule type="expression" dxfId="10693" priority="2225">
      <formula>P$1=""</formula>
    </cfRule>
  </conditionalFormatting>
  <conditionalFormatting sqref="P139:AA139 P141:AA141 P143:AA143">
    <cfRule type="expression" dxfId="10692" priority="2224">
      <formula>P$1=""</formula>
    </cfRule>
  </conditionalFormatting>
  <conditionalFormatting sqref="P139:AA139 P141:AA141 P143:AA143">
    <cfRule type="expression" dxfId="10691" priority="2223">
      <formula>P$1=""</formula>
    </cfRule>
  </conditionalFormatting>
  <conditionalFormatting sqref="P139:AA139 P141:AA141 P143:AA143">
    <cfRule type="expression" dxfId="10690" priority="2222">
      <formula>P$1=""</formula>
    </cfRule>
  </conditionalFormatting>
  <conditionalFormatting sqref="P139:AA139 P141:AA141 P143:AA143">
    <cfRule type="expression" dxfId="10689" priority="2221">
      <formula>P$1=""</formula>
    </cfRule>
  </conditionalFormatting>
  <conditionalFormatting sqref="P139:AA139 P141:AA141 P143:AA143">
    <cfRule type="expression" dxfId="10688" priority="2220">
      <formula>P$1=""</formula>
    </cfRule>
  </conditionalFormatting>
  <conditionalFormatting sqref="P141:AA141 P143:AA143">
    <cfRule type="expression" dxfId="10687" priority="2219">
      <formula>P$1=""</formula>
    </cfRule>
  </conditionalFormatting>
  <conditionalFormatting sqref="P139:AA139">
    <cfRule type="expression" dxfId="10686" priority="2218">
      <formula>P$1=""</formula>
    </cfRule>
  </conditionalFormatting>
  <conditionalFormatting sqref="P141:AA141 P143:AA143">
    <cfRule type="expression" dxfId="10685" priority="2217">
      <formula>P$1=""</formula>
    </cfRule>
  </conditionalFormatting>
  <conditionalFormatting sqref="P141:AA141 P143:AA143">
    <cfRule type="expression" dxfId="10684" priority="2216">
      <formula>P$1=""</formula>
    </cfRule>
  </conditionalFormatting>
  <conditionalFormatting sqref="P143:AA143">
    <cfRule type="expression" dxfId="10683" priority="2215">
      <formula>P$1=""</formula>
    </cfRule>
  </conditionalFormatting>
  <conditionalFormatting sqref="P143:AA143">
    <cfRule type="expression" dxfId="10682" priority="2214">
      <formula>P$1=""</formula>
    </cfRule>
  </conditionalFormatting>
  <conditionalFormatting sqref="P143:AA143">
    <cfRule type="expression" dxfId="10681" priority="2213">
      <formula>P$1=""</formula>
    </cfRule>
  </conditionalFormatting>
  <conditionalFormatting sqref="P143:AA143">
    <cfRule type="expression" dxfId="10680" priority="2212">
      <formula>P$1=""</formula>
    </cfRule>
  </conditionalFormatting>
  <conditionalFormatting sqref="P137:AA137">
    <cfRule type="expression" dxfId="10679" priority="2211">
      <formula>P$1=""</formula>
    </cfRule>
  </conditionalFormatting>
  <conditionalFormatting sqref="P137:AA137">
    <cfRule type="expression" dxfId="10678" priority="2210">
      <formula>P$1=""</formula>
    </cfRule>
  </conditionalFormatting>
  <conditionalFormatting sqref="P137:AA137">
    <cfRule type="expression" dxfId="10677" priority="2209">
      <formula>P$1=""</formula>
    </cfRule>
  </conditionalFormatting>
  <conditionalFormatting sqref="P137:AA137">
    <cfRule type="expression" dxfId="10676" priority="2208">
      <formula>P$1=""</formula>
    </cfRule>
  </conditionalFormatting>
  <conditionalFormatting sqref="P137:AA137">
    <cfRule type="expression" dxfId="10675" priority="2207">
      <formula>P$1=""</formula>
    </cfRule>
  </conditionalFormatting>
  <conditionalFormatting sqref="P137:AA137">
    <cfRule type="expression" dxfId="10674" priority="2206">
      <formula>P$1=""</formula>
    </cfRule>
  </conditionalFormatting>
  <conditionalFormatting sqref="P137:AA137">
    <cfRule type="expression" dxfId="10673" priority="2205">
      <formula>P$1=""</formula>
    </cfRule>
  </conditionalFormatting>
  <conditionalFormatting sqref="P143:AA143 P141:AA141">
    <cfRule type="expression" dxfId="10672" priority="2204">
      <formula>P$1=""</formula>
    </cfRule>
  </conditionalFormatting>
  <conditionalFormatting sqref="P143:AA143 P141:AA141">
    <cfRule type="expression" dxfId="10671" priority="2203">
      <formula>P$1=""</formula>
    </cfRule>
  </conditionalFormatting>
  <conditionalFormatting sqref="P155:AA155">
    <cfRule type="expression" dxfId="10670" priority="2202">
      <formula>P$1=""</formula>
    </cfRule>
  </conditionalFormatting>
  <conditionalFormatting sqref="P157:AA157">
    <cfRule type="expression" dxfId="10669" priority="2201">
      <formula>P$1=""</formula>
    </cfRule>
  </conditionalFormatting>
  <conditionalFormatting sqref="P159:AA159">
    <cfRule type="expression" dxfId="10668" priority="2200">
      <formula>P$1=""</formula>
    </cfRule>
  </conditionalFormatting>
  <conditionalFormatting sqref="P161:AA161">
    <cfRule type="expression" dxfId="10667" priority="2199">
      <formula>P$1=""</formula>
    </cfRule>
  </conditionalFormatting>
  <conditionalFormatting sqref="P157:AA157 P159:AA159 P161:AA161">
    <cfRule type="expression" dxfId="10666" priority="2198">
      <formula>P$1=""</formula>
    </cfRule>
  </conditionalFormatting>
  <conditionalFormatting sqref="P157:AA157 P159:AA159 P161:AA161">
    <cfRule type="expression" dxfId="10665" priority="2197">
      <formula>P$1=""</formula>
    </cfRule>
  </conditionalFormatting>
  <conditionalFormatting sqref="P157:AA157 P159:AA159 P161:AA161">
    <cfRule type="expression" dxfId="10664" priority="2196">
      <formula>P$1=""</formula>
    </cfRule>
  </conditionalFormatting>
  <conditionalFormatting sqref="P157:AA157 P159:AA159 P161:AA161">
    <cfRule type="expression" dxfId="10663" priority="2195">
      <formula>P$1=""</formula>
    </cfRule>
  </conditionalFormatting>
  <conditionalFormatting sqref="P157:AA157 P159:AA159 P161:AA161">
    <cfRule type="expression" dxfId="10662" priority="2194">
      <formula>P$1=""</formula>
    </cfRule>
  </conditionalFormatting>
  <conditionalFormatting sqref="P159:AA159 P161:AA161">
    <cfRule type="expression" dxfId="10661" priority="2193">
      <formula>P$1=""</formula>
    </cfRule>
  </conditionalFormatting>
  <conditionalFormatting sqref="P157:AA157">
    <cfRule type="expression" dxfId="10660" priority="2192">
      <formula>P$1=""</formula>
    </cfRule>
  </conditionalFormatting>
  <conditionalFormatting sqref="P159:AA159 P161:AA161">
    <cfRule type="expression" dxfId="10659" priority="2191">
      <formula>P$1=""</formula>
    </cfRule>
  </conditionalFormatting>
  <conditionalFormatting sqref="P159:AA159 P161:AA161">
    <cfRule type="expression" dxfId="10658" priority="2190">
      <formula>P$1=""</formula>
    </cfRule>
  </conditionalFormatting>
  <conditionalFormatting sqref="P161:AA161">
    <cfRule type="expression" dxfId="10657" priority="2189">
      <formula>P$1=""</formula>
    </cfRule>
  </conditionalFormatting>
  <conditionalFormatting sqref="P161:AA161">
    <cfRule type="expression" dxfId="10656" priority="2188">
      <formula>P$1=""</formula>
    </cfRule>
  </conditionalFormatting>
  <conditionalFormatting sqref="P161:AA161">
    <cfRule type="expression" dxfId="10655" priority="2187">
      <formula>P$1=""</formula>
    </cfRule>
  </conditionalFormatting>
  <conditionalFormatting sqref="P161:AA161">
    <cfRule type="expression" dxfId="10654" priority="2186">
      <formula>P$1=""</formula>
    </cfRule>
  </conditionalFormatting>
  <conditionalFormatting sqref="P155:AA155">
    <cfRule type="expression" dxfId="10653" priority="2185">
      <formula>P$1=""</formula>
    </cfRule>
  </conditionalFormatting>
  <conditionalFormatting sqref="P155:AA155">
    <cfRule type="expression" dxfId="10652" priority="2184">
      <formula>P$1=""</formula>
    </cfRule>
  </conditionalFormatting>
  <conditionalFormatting sqref="P155:AA155">
    <cfRule type="expression" dxfId="10651" priority="2183">
      <formula>P$1=""</formula>
    </cfRule>
  </conditionalFormatting>
  <conditionalFormatting sqref="P155:AA155">
    <cfRule type="expression" dxfId="10650" priority="2182">
      <formula>P$1=""</formula>
    </cfRule>
  </conditionalFormatting>
  <conditionalFormatting sqref="P155:AA155">
    <cfRule type="expression" dxfId="10649" priority="2181">
      <formula>P$1=""</formula>
    </cfRule>
  </conditionalFormatting>
  <conditionalFormatting sqref="P155:AA155">
    <cfRule type="expression" dxfId="10648" priority="2180">
      <formula>P$1=""</formula>
    </cfRule>
  </conditionalFormatting>
  <conditionalFormatting sqref="P155:AA155">
    <cfRule type="expression" dxfId="10647" priority="2179">
      <formula>P$1=""</formula>
    </cfRule>
  </conditionalFormatting>
  <conditionalFormatting sqref="P161:AA161 P159:AA159">
    <cfRule type="expression" dxfId="10646" priority="2178">
      <formula>P$1=""</formula>
    </cfRule>
  </conditionalFormatting>
  <conditionalFormatting sqref="P161:AA161 P159:AA159">
    <cfRule type="expression" dxfId="10645" priority="2177">
      <formula>P$1=""</formula>
    </cfRule>
  </conditionalFormatting>
  <conditionalFormatting sqref="P161:AA161 P159:AA159">
    <cfRule type="expression" dxfId="10644" priority="2176">
      <formula>P$1=""</formula>
    </cfRule>
  </conditionalFormatting>
  <conditionalFormatting sqref="P161:AA161 P159:AA159">
    <cfRule type="expression" dxfId="10643" priority="2175">
      <formula>P$1=""</formula>
    </cfRule>
  </conditionalFormatting>
  <conditionalFormatting sqref="P165:AA165">
    <cfRule type="expression" dxfId="10642" priority="2174">
      <formula>P$1=""</formula>
    </cfRule>
  </conditionalFormatting>
  <conditionalFormatting sqref="P167:AA167">
    <cfRule type="expression" dxfId="10641" priority="2173">
      <formula>P$1=""</formula>
    </cfRule>
  </conditionalFormatting>
  <conditionalFormatting sqref="P169:AA169">
    <cfRule type="expression" dxfId="10640" priority="2172">
      <formula>P$1=""</formula>
    </cfRule>
  </conditionalFormatting>
  <conditionalFormatting sqref="P171:AA171">
    <cfRule type="expression" dxfId="10639" priority="2171">
      <formula>P$1=""</formula>
    </cfRule>
  </conditionalFormatting>
  <conditionalFormatting sqref="P167:AA167 P169:AA169 P171:AA171">
    <cfRule type="expression" dxfId="10638" priority="2170">
      <formula>P$1=""</formula>
    </cfRule>
  </conditionalFormatting>
  <conditionalFormatting sqref="P167:AA167 P169:AA169 P171:AA171">
    <cfRule type="expression" dxfId="10637" priority="2169">
      <formula>P$1=""</formula>
    </cfRule>
  </conditionalFormatting>
  <conditionalFormatting sqref="P167:AA167 P169:AA169 P171:AA171">
    <cfRule type="expression" dxfId="10636" priority="2168">
      <formula>P$1=""</formula>
    </cfRule>
  </conditionalFormatting>
  <conditionalFormatting sqref="P167:AA167 P169:AA169 P171:AA171">
    <cfRule type="expression" dxfId="10635" priority="2167">
      <formula>P$1=""</formula>
    </cfRule>
  </conditionalFormatting>
  <conditionalFormatting sqref="P167:AA167 P169:AA169 P171:AA171">
    <cfRule type="expression" dxfId="10634" priority="2166">
      <formula>P$1=""</formula>
    </cfRule>
  </conditionalFormatting>
  <conditionalFormatting sqref="P169:AA169 P171:AA171">
    <cfRule type="expression" dxfId="10633" priority="2165">
      <formula>P$1=""</formula>
    </cfRule>
  </conditionalFormatting>
  <conditionalFormatting sqref="P167:AA167">
    <cfRule type="expression" dxfId="10632" priority="2164">
      <formula>P$1=""</formula>
    </cfRule>
  </conditionalFormatting>
  <conditionalFormatting sqref="P169:AA169 P171:AA171">
    <cfRule type="expression" dxfId="10631" priority="2163">
      <formula>P$1=""</formula>
    </cfRule>
  </conditionalFormatting>
  <conditionalFormatting sqref="P169:AA169 P171:AA171">
    <cfRule type="expression" dxfId="10630" priority="2162">
      <formula>P$1=""</formula>
    </cfRule>
  </conditionalFormatting>
  <conditionalFormatting sqref="P171:AA171">
    <cfRule type="expression" dxfId="10629" priority="2161">
      <formula>P$1=""</formula>
    </cfRule>
  </conditionalFormatting>
  <conditionalFormatting sqref="P171:AA171">
    <cfRule type="expression" dxfId="10628" priority="2160">
      <formula>P$1=""</formula>
    </cfRule>
  </conditionalFormatting>
  <conditionalFormatting sqref="P171:AA171">
    <cfRule type="expression" dxfId="10627" priority="2159">
      <formula>P$1=""</formula>
    </cfRule>
  </conditionalFormatting>
  <conditionalFormatting sqref="P171:AA171">
    <cfRule type="expression" dxfId="10626" priority="2158">
      <formula>P$1=""</formula>
    </cfRule>
  </conditionalFormatting>
  <conditionalFormatting sqref="P165:AA165">
    <cfRule type="expression" dxfId="10625" priority="2157">
      <formula>P$1=""</formula>
    </cfRule>
  </conditionalFormatting>
  <conditionalFormatting sqref="P165:AA165">
    <cfRule type="expression" dxfId="10624" priority="2156">
      <formula>P$1=""</formula>
    </cfRule>
  </conditionalFormatting>
  <conditionalFormatting sqref="P165:AA165">
    <cfRule type="expression" dxfId="10623" priority="2155">
      <formula>P$1=""</formula>
    </cfRule>
  </conditionalFormatting>
  <conditionalFormatting sqref="P165:AA165">
    <cfRule type="expression" dxfId="10622" priority="2154">
      <formula>P$1=""</formula>
    </cfRule>
  </conditionalFormatting>
  <conditionalFormatting sqref="P165:AA165">
    <cfRule type="expression" dxfId="10621" priority="2153">
      <formula>P$1=""</formula>
    </cfRule>
  </conditionalFormatting>
  <conditionalFormatting sqref="P165:AA165">
    <cfRule type="expression" dxfId="10620" priority="2152">
      <formula>P$1=""</formula>
    </cfRule>
  </conditionalFormatting>
  <conditionalFormatting sqref="P165:AA165">
    <cfRule type="expression" dxfId="10619" priority="2151">
      <formula>P$1=""</formula>
    </cfRule>
  </conditionalFormatting>
  <conditionalFormatting sqref="P169:AA169 P171:AA171">
    <cfRule type="expression" dxfId="10618" priority="2150">
      <formula>P$1=""</formula>
    </cfRule>
  </conditionalFormatting>
  <conditionalFormatting sqref="P169:AA169 P171:AA171">
    <cfRule type="expression" dxfId="10617" priority="2149">
      <formula>P$1=""</formula>
    </cfRule>
  </conditionalFormatting>
  <conditionalFormatting sqref="P169:AA169 P171:AA171">
    <cfRule type="expression" dxfId="10616" priority="2148">
      <formula>P$1=""</formula>
    </cfRule>
  </conditionalFormatting>
  <conditionalFormatting sqref="P169:AA169 P171:AA171">
    <cfRule type="expression" dxfId="10615" priority="2147">
      <formula>P$1=""</formula>
    </cfRule>
  </conditionalFormatting>
  <conditionalFormatting sqref="P171 P169 P167">
    <cfRule type="expression" dxfId="10614" priority="2146">
      <formula>P$1=""</formula>
    </cfRule>
  </conditionalFormatting>
  <conditionalFormatting sqref="P171 P169 P167">
    <cfRule type="expression" dxfId="10613" priority="2145">
      <formula>P$1=""</formula>
    </cfRule>
  </conditionalFormatting>
  <conditionalFormatting sqref="P171 P169 P167">
    <cfRule type="expression" dxfId="10612" priority="2144">
      <formula>P$1=""</formula>
    </cfRule>
  </conditionalFormatting>
  <conditionalFormatting sqref="P171 P169 P167">
    <cfRule type="expression" dxfId="10611" priority="2143">
      <formula>P$1=""</formula>
    </cfRule>
  </conditionalFormatting>
  <conditionalFormatting sqref="P171 P169 P167">
    <cfRule type="expression" dxfId="10610" priority="2142">
      <formula>P$1=""</formula>
    </cfRule>
  </conditionalFormatting>
  <conditionalFormatting sqref="P171 P169 P167">
    <cfRule type="expression" dxfId="10609" priority="2141">
      <formula>P$1=""</formula>
    </cfRule>
  </conditionalFormatting>
  <conditionalFormatting sqref="P171 P169 P167">
    <cfRule type="expression" dxfId="10608" priority="2140">
      <formula>P$1=""</formula>
    </cfRule>
  </conditionalFormatting>
  <conditionalFormatting sqref="P171 P169 P167">
    <cfRule type="expression" dxfId="10607" priority="2139">
      <formula>P$1=""</formula>
    </cfRule>
  </conditionalFormatting>
  <conditionalFormatting sqref="Q167:AA167">
    <cfRule type="expression" dxfId="10606" priority="2138">
      <formula>Q$1=""</formula>
    </cfRule>
  </conditionalFormatting>
  <conditionalFormatting sqref="Q167:AA167">
    <cfRule type="expression" dxfId="10605" priority="2137">
      <formula>Q$1=""</formula>
    </cfRule>
  </conditionalFormatting>
  <conditionalFormatting sqref="Q167:AA167">
    <cfRule type="expression" dxfId="10604" priority="2136">
      <formula>Q$1=""</formula>
    </cfRule>
  </conditionalFormatting>
  <conditionalFormatting sqref="Q167:AA167">
    <cfRule type="expression" dxfId="10603" priority="2135">
      <formula>Q$1=""</formula>
    </cfRule>
  </conditionalFormatting>
  <conditionalFormatting sqref="Q167:AA167">
    <cfRule type="expression" dxfId="10602" priority="2134">
      <formula>Q$1=""</formula>
    </cfRule>
  </conditionalFormatting>
  <conditionalFormatting sqref="Q167:AA167">
    <cfRule type="expression" dxfId="10601" priority="2133">
      <formula>Q$1=""</formula>
    </cfRule>
  </conditionalFormatting>
  <conditionalFormatting sqref="Q167:AA167">
    <cfRule type="expression" dxfId="10600" priority="2132">
      <formula>Q$1=""</formula>
    </cfRule>
  </conditionalFormatting>
  <conditionalFormatting sqref="Q167:AA167">
    <cfRule type="expression" dxfId="10599" priority="2131">
      <formula>Q$1=""</formula>
    </cfRule>
  </conditionalFormatting>
  <conditionalFormatting sqref="Q169:AA169 Q171:AA171">
    <cfRule type="expression" dxfId="10598" priority="2130">
      <formula>Q$1=""</formula>
    </cfRule>
  </conditionalFormatting>
  <conditionalFormatting sqref="Q169:AA169 Q171:AA171">
    <cfRule type="expression" dxfId="10597" priority="2129">
      <formula>Q$1=""</formula>
    </cfRule>
  </conditionalFormatting>
  <conditionalFormatting sqref="Q169:AA169 Q171:AA171">
    <cfRule type="expression" dxfId="10596" priority="2128">
      <formula>Q$1=""</formula>
    </cfRule>
  </conditionalFormatting>
  <conditionalFormatting sqref="Q169:AA169 Q171:AA171">
    <cfRule type="expression" dxfId="10595" priority="2127">
      <formula>Q$1=""</formula>
    </cfRule>
  </conditionalFormatting>
  <conditionalFormatting sqref="Q169:AA169 Q171:AA171">
    <cfRule type="expression" dxfId="10594" priority="2126">
      <formula>Q$1=""</formula>
    </cfRule>
  </conditionalFormatting>
  <conditionalFormatting sqref="Q169:AA169 Q171:AA171">
    <cfRule type="expression" dxfId="10593" priority="2125">
      <formula>Q$1=""</formula>
    </cfRule>
  </conditionalFormatting>
  <conditionalFormatting sqref="Q169:AA169 Q171:AA171">
    <cfRule type="expression" dxfId="10592" priority="2124">
      <formula>Q$1=""</formula>
    </cfRule>
  </conditionalFormatting>
  <conditionalFormatting sqref="Q169:AA169 Q171:AA171">
    <cfRule type="expression" dxfId="10591" priority="2123">
      <formula>Q$1=""</formula>
    </cfRule>
  </conditionalFormatting>
  <conditionalFormatting sqref="Q169:AA169 Q171:AA171">
    <cfRule type="expression" dxfId="10590" priority="2122">
      <formula>Q$1=""</formula>
    </cfRule>
  </conditionalFormatting>
  <conditionalFormatting sqref="Q169:AA169 Q171:AA171">
    <cfRule type="expression" dxfId="10589" priority="2121">
      <formula>Q$1=""</formula>
    </cfRule>
  </conditionalFormatting>
  <conditionalFormatting sqref="P175:AA175">
    <cfRule type="expression" dxfId="10588" priority="2120">
      <formula>P$1=""</formula>
    </cfRule>
  </conditionalFormatting>
  <conditionalFormatting sqref="P177:AA177">
    <cfRule type="expression" dxfId="10587" priority="2119">
      <formula>P$1=""</formula>
    </cfRule>
  </conditionalFormatting>
  <conditionalFormatting sqref="P179:AA179">
    <cfRule type="expression" dxfId="10586" priority="2118">
      <formula>P$1=""</formula>
    </cfRule>
  </conditionalFormatting>
  <conditionalFormatting sqref="P181:AA181">
    <cfRule type="expression" dxfId="10585" priority="2117">
      <formula>P$1=""</formula>
    </cfRule>
  </conditionalFormatting>
  <conditionalFormatting sqref="P177:AA177 P179:AA179 P181:AA181">
    <cfRule type="expression" dxfId="10584" priority="2116">
      <formula>P$1=""</formula>
    </cfRule>
  </conditionalFormatting>
  <conditionalFormatting sqref="P177:AA177 P179:AA179 P181:AA181">
    <cfRule type="expression" dxfId="10583" priority="2115">
      <formula>P$1=""</formula>
    </cfRule>
  </conditionalFormatting>
  <conditionalFormatting sqref="P177:AA177 P179:AA179 P181:AA181">
    <cfRule type="expression" dxfId="10582" priority="2114">
      <formula>P$1=""</formula>
    </cfRule>
  </conditionalFormatting>
  <conditionalFormatting sqref="P177:AA177 P179:AA179 P181:AA181">
    <cfRule type="expression" dxfId="10581" priority="2113">
      <formula>P$1=""</formula>
    </cfRule>
  </conditionalFormatting>
  <conditionalFormatting sqref="P177:AA177 P179:AA179 P181:AA181">
    <cfRule type="expression" dxfId="10580" priority="2112">
      <formula>P$1=""</formula>
    </cfRule>
  </conditionalFormatting>
  <conditionalFormatting sqref="P179:AA179 P181:AA181">
    <cfRule type="expression" dxfId="10579" priority="2111">
      <formula>P$1=""</formula>
    </cfRule>
  </conditionalFormatting>
  <conditionalFormatting sqref="P177:AA177">
    <cfRule type="expression" dxfId="10578" priority="2110">
      <formula>P$1=""</formula>
    </cfRule>
  </conditionalFormatting>
  <conditionalFormatting sqref="P179:AA179 P181:AA181">
    <cfRule type="expression" dxfId="10577" priority="2109">
      <formula>P$1=""</formula>
    </cfRule>
  </conditionalFormatting>
  <conditionalFormatting sqref="P179:AA179 P181:AA181">
    <cfRule type="expression" dxfId="10576" priority="2108">
      <formula>P$1=""</formula>
    </cfRule>
  </conditionalFormatting>
  <conditionalFormatting sqref="P181:AA181">
    <cfRule type="expression" dxfId="10575" priority="2107">
      <formula>P$1=""</formula>
    </cfRule>
  </conditionalFormatting>
  <conditionalFormatting sqref="P181:AA181">
    <cfRule type="expression" dxfId="10574" priority="2106">
      <formula>P$1=""</formula>
    </cfRule>
  </conditionalFormatting>
  <conditionalFormatting sqref="P181:AA181">
    <cfRule type="expression" dxfId="10573" priority="2105">
      <formula>P$1=""</formula>
    </cfRule>
  </conditionalFormatting>
  <conditionalFormatting sqref="P181:AA181">
    <cfRule type="expression" dxfId="10572" priority="2104">
      <formula>P$1=""</formula>
    </cfRule>
  </conditionalFormatting>
  <conditionalFormatting sqref="P175:AA175">
    <cfRule type="expression" dxfId="10571" priority="2103">
      <formula>P$1=""</formula>
    </cfRule>
  </conditionalFormatting>
  <conditionalFormatting sqref="P175:AA175">
    <cfRule type="expression" dxfId="10570" priority="2102">
      <formula>P$1=""</formula>
    </cfRule>
  </conditionalFormatting>
  <conditionalFormatting sqref="P175:AA175">
    <cfRule type="expression" dxfId="10569" priority="2101">
      <formula>P$1=""</formula>
    </cfRule>
  </conditionalFormatting>
  <conditionalFormatting sqref="P175:AA175">
    <cfRule type="expression" dxfId="10568" priority="2100">
      <formula>P$1=""</formula>
    </cfRule>
  </conditionalFormatting>
  <conditionalFormatting sqref="P175:AA175">
    <cfRule type="expression" dxfId="10567" priority="2099">
      <formula>P$1=""</formula>
    </cfRule>
  </conditionalFormatting>
  <conditionalFormatting sqref="P175:AA175">
    <cfRule type="expression" dxfId="10566" priority="2098">
      <formula>P$1=""</formula>
    </cfRule>
  </conditionalFormatting>
  <conditionalFormatting sqref="P175:AA175">
    <cfRule type="expression" dxfId="10565" priority="2097">
      <formula>P$1=""</formula>
    </cfRule>
  </conditionalFormatting>
  <conditionalFormatting sqref="P179:AA179 P181:AA181">
    <cfRule type="expression" dxfId="10564" priority="2096">
      <formula>P$1=""</formula>
    </cfRule>
  </conditionalFormatting>
  <conditionalFormatting sqref="P179:AA179 P181:AA181">
    <cfRule type="expression" dxfId="10563" priority="2095">
      <formula>P$1=""</formula>
    </cfRule>
  </conditionalFormatting>
  <conditionalFormatting sqref="P179:AA179 P181:AA181">
    <cfRule type="expression" dxfId="10562" priority="2094">
      <formula>P$1=""</formula>
    </cfRule>
  </conditionalFormatting>
  <conditionalFormatting sqref="P179:AA179 P181:AA181">
    <cfRule type="expression" dxfId="10561" priority="2093">
      <formula>P$1=""</formula>
    </cfRule>
  </conditionalFormatting>
  <conditionalFormatting sqref="P177:AA177 P179:AA179 P181:AA181">
    <cfRule type="expression" dxfId="10560" priority="2092">
      <formula>P$1=""</formula>
    </cfRule>
  </conditionalFormatting>
  <conditionalFormatting sqref="P177:AA177 P179:AA179 P181:AA181">
    <cfRule type="expression" dxfId="10559" priority="2091">
      <formula>P$1=""</formula>
    </cfRule>
  </conditionalFormatting>
  <conditionalFormatting sqref="P177:AA177 P179:AA179 P181:AA181">
    <cfRule type="expression" dxfId="10558" priority="2090">
      <formula>P$1=""</formula>
    </cfRule>
  </conditionalFormatting>
  <conditionalFormatting sqref="P177:AA177 P179:AA179 P181:AA181">
    <cfRule type="expression" dxfId="10557" priority="2089">
      <formula>P$1=""</formula>
    </cfRule>
  </conditionalFormatting>
  <conditionalFormatting sqref="P177:AA177 P179:AA179 P181:AA181">
    <cfRule type="expression" dxfId="10556" priority="2088">
      <formula>P$1=""</formula>
    </cfRule>
  </conditionalFormatting>
  <conditionalFormatting sqref="P177:AA177 P179:AA179 P181:AA181">
    <cfRule type="expression" dxfId="10555" priority="2087">
      <formula>P$1=""</formula>
    </cfRule>
  </conditionalFormatting>
  <conditionalFormatting sqref="P177:AA177 P179:AA179 P181:AA181">
    <cfRule type="expression" dxfId="10554" priority="2086">
      <formula>P$1=""</formula>
    </cfRule>
  </conditionalFormatting>
  <conditionalFormatting sqref="P177:AA177 P179:AA179 P181:AA181">
    <cfRule type="expression" dxfId="10553" priority="2085">
      <formula>P$1=""</formula>
    </cfRule>
  </conditionalFormatting>
  <conditionalFormatting sqref="Q177:AA177">
    <cfRule type="expression" dxfId="10552" priority="2084">
      <formula>Q$1=""</formula>
    </cfRule>
  </conditionalFormatting>
  <conditionalFormatting sqref="Q177:AA177">
    <cfRule type="expression" dxfId="10551" priority="2083">
      <formula>Q$1=""</formula>
    </cfRule>
  </conditionalFormatting>
  <conditionalFormatting sqref="Q177:AA177">
    <cfRule type="expression" dxfId="10550" priority="2082">
      <formula>Q$1=""</formula>
    </cfRule>
  </conditionalFormatting>
  <conditionalFormatting sqref="Q177:AA177">
    <cfRule type="expression" dxfId="10549" priority="2081">
      <formula>Q$1=""</formula>
    </cfRule>
  </conditionalFormatting>
  <conditionalFormatting sqref="Q177:AA177">
    <cfRule type="expression" dxfId="10548" priority="2080">
      <formula>Q$1=""</formula>
    </cfRule>
  </conditionalFormatting>
  <conditionalFormatting sqref="Q177:AA177">
    <cfRule type="expression" dxfId="10547" priority="2079">
      <formula>Q$1=""</formula>
    </cfRule>
  </conditionalFormatting>
  <conditionalFormatting sqref="Q177:AA177">
    <cfRule type="expression" dxfId="10546" priority="2078">
      <formula>Q$1=""</formula>
    </cfRule>
  </conditionalFormatting>
  <conditionalFormatting sqref="Q177:AA177">
    <cfRule type="expression" dxfId="10545" priority="2077">
      <formula>Q$1=""</formula>
    </cfRule>
  </conditionalFormatting>
  <conditionalFormatting sqref="Q179:AA179 Q181:AA181">
    <cfRule type="expression" dxfId="10544" priority="2076">
      <formula>Q$1=""</formula>
    </cfRule>
  </conditionalFormatting>
  <conditionalFormatting sqref="Q179:AA179 Q181:AA181">
    <cfRule type="expression" dxfId="10543" priority="2075">
      <formula>Q$1=""</formula>
    </cfRule>
  </conditionalFormatting>
  <conditionalFormatting sqref="Q179:AA179 Q181:AA181">
    <cfRule type="expression" dxfId="10542" priority="2074">
      <formula>Q$1=""</formula>
    </cfRule>
  </conditionalFormatting>
  <conditionalFormatting sqref="Q179:AA179 Q181:AA181">
    <cfRule type="expression" dxfId="10541" priority="2073">
      <formula>Q$1=""</formula>
    </cfRule>
  </conditionalFormatting>
  <conditionalFormatting sqref="Q179:AA179 Q181:AA181">
    <cfRule type="expression" dxfId="10540" priority="2072">
      <formula>Q$1=""</formula>
    </cfRule>
  </conditionalFormatting>
  <conditionalFormatting sqref="Q179:AA179 Q181:AA181">
    <cfRule type="expression" dxfId="10539" priority="2071">
      <formula>Q$1=""</formula>
    </cfRule>
  </conditionalFormatting>
  <conditionalFormatting sqref="Q179:AA179 Q181:AA181">
    <cfRule type="expression" dxfId="10538" priority="2070">
      <formula>Q$1=""</formula>
    </cfRule>
  </conditionalFormatting>
  <conditionalFormatting sqref="Q179:AA179 Q181:AA181">
    <cfRule type="expression" dxfId="10537" priority="2069">
      <formula>Q$1=""</formula>
    </cfRule>
  </conditionalFormatting>
  <conditionalFormatting sqref="Q179:AA179 Q181:AA181">
    <cfRule type="expression" dxfId="10536" priority="2068">
      <formula>Q$1=""</formula>
    </cfRule>
  </conditionalFormatting>
  <conditionalFormatting sqref="Q179:AA179 Q181:AA181">
    <cfRule type="expression" dxfId="10535" priority="2067">
      <formula>Q$1=""</formula>
    </cfRule>
  </conditionalFormatting>
  <conditionalFormatting sqref="P175:AA175 P179:AA179 P181:AA181">
    <cfRule type="expression" dxfId="10534" priority="2066">
      <formula>P$1=""</formula>
    </cfRule>
  </conditionalFormatting>
  <conditionalFormatting sqref="P175:AA175">
    <cfRule type="expression" dxfId="10533" priority="2065">
      <formula>P$1=""</formula>
    </cfRule>
  </conditionalFormatting>
  <conditionalFormatting sqref="P175:AA175">
    <cfRule type="expression" dxfId="10532" priority="2064">
      <formula>P$1=""</formula>
    </cfRule>
  </conditionalFormatting>
  <conditionalFormatting sqref="P175:AA175">
    <cfRule type="expression" dxfId="10531" priority="2063">
      <formula>P$1=""</formula>
    </cfRule>
  </conditionalFormatting>
  <conditionalFormatting sqref="P175:AA175">
    <cfRule type="expression" dxfId="10530" priority="2062">
      <formula>P$1=""</formula>
    </cfRule>
  </conditionalFormatting>
  <conditionalFormatting sqref="P175:AA175">
    <cfRule type="expression" dxfId="10529" priority="2061">
      <formula>P$1=""</formula>
    </cfRule>
  </conditionalFormatting>
  <conditionalFormatting sqref="P175:AA175 P179:AA179 P181:AA181">
    <cfRule type="expression" dxfId="10528" priority="2060">
      <formula>P$1=""</formula>
    </cfRule>
  </conditionalFormatting>
  <conditionalFormatting sqref="P175:AA175">
    <cfRule type="expression" dxfId="10527" priority="2059">
      <formula>P$1=""</formula>
    </cfRule>
  </conditionalFormatting>
  <conditionalFormatting sqref="P175:AA175">
    <cfRule type="expression" dxfId="10526" priority="2058">
      <formula>P$1=""</formula>
    </cfRule>
  </conditionalFormatting>
  <conditionalFormatting sqref="P175:AA175">
    <cfRule type="expression" dxfId="10525" priority="2057">
      <formula>P$1=""</formula>
    </cfRule>
  </conditionalFormatting>
  <conditionalFormatting sqref="P175:AA175">
    <cfRule type="expression" dxfId="10524" priority="2056">
      <formula>P$1=""</formula>
    </cfRule>
  </conditionalFormatting>
  <conditionalFormatting sqref="P175:AA175">
    <cfRule type="expression" dxfId="10523" priority="2055">
      <formula>P$1=""</formula>
    </cfRule>
  </conditionalFormatting>
  <conditionalFormatting sqref="P175:AA175">
    <cfRule type="expression" dxfId="10522" priority="2054">
      <formula>P$1=""</formula>
    </cfRule>
  </conditionalFormatting>
  <conditionalFormatting sqref="P175:AA175">
    <cfRule type="expression" dxfId="10521" priority="2053">
      <formula>P$1=""</formula>
    </cfRule>
  </conditionalFormatting>
  <conditionalFormatting sqref="P175:AA175">
    <cfRule type="expression" dxfId="10520" priority="2052">
      <formula>P$1=""</formula>
    </cfRule>
  </conditionalFormatting>
  <conditionalFormatting sqref="P311:AA311">
    <cfRule type="expression" dxfId="10519" priority="2051">
      <formula>P$1=""</formula>
    </cfRule>
  </conditionalFormatting>
  <conditionalFormatting sqref="P313:AA313">
    <cfRule type="expression" dxfId="10518" priority="2050">
      <formula>P$1=""</formula>
    </cfRule>
  </conditionalFormatting>
  <conditionalFormatting sqref="P315:AA315">
    <cfRule type="expression" dxfId="10517" priority="2049">
      <formula>P$1=""</formula>
    </cfRule>
  </conditionalFormatting>
  <conditionalFormatting sqref="P317:AA317">
    <cfRule type="expression" dxfId="10516" priority="2048">
      <formula>P$1=""</formula>
    </cfRule>
  </conditionalFormatting>
  <conditionalFormatting sqref="P313:AA313 P315:AA315 P317:AA317">
    <cfRule type="expression" dxfId="10515" priority="2047">
      <formula>P$1=""</formula>
    </cfRule>
  </conditionalFormatting>
  <conditionalFormatting sqref="P313:AA313 P315:AA315 P317:AA317">
    <cfRule type="expression" dxfId="10514" priority="2046">
      <formula>P$1=""</formula>
    </cfRule>
  </conditionalFormatting>
  <conditionalFormatting sqref="P313:AA313 P315:AA315 P317:AA317">
    <cfRule type="expression" dxfId="10513" priority="2045">
      <formula>P$1=""</formula>
    </cfRule>
  </conditionalFormatting>
  <conditionalFormatting sqref="P313:AA313 P315:AA315 P317:AA317">
    <cfRule type="expression" dxfId="10512" priority="2044">
      <formula>P$1=""</formula>
    </cfRule>
  </conditionalFormatting>
  <conditionalFormatting sqref="P313:AA313 P315:AA315 P317:AA317">
    <cfRule type="expression" dxfId="10511" priority="2043">
      <formula>P$1=""</formula>
    </cfRule>
  </conditionalFormatting>
  <conditionalFormatting sqref="P315:AA315 P317:AA317">
    <cfRule type="expression" dxfId="10510" priority="2042">
      <formula>P$1=""</formula>
    </cfRule>
  </conditionalFormatting>
  <conditionalFormatting sqref="P313:AA313">
    <cfRule type="expression" dxfId="10509" priority="2041">
      <formula>P$1=""</formula>
    </cfRule>
  </conditionalFormatting>
  <conditionalFormatting sqref="P315:AA315 P317:AA317">
    <cfRule type="expression" dxfId="10508" priority="2040">
      <formula>P$1=""</formula>
    </cfRule>
  </conditionalFormatting>
  <conditionalFormatting sqref="P315:AA315 P317:AA317">
    <cfRule type="expression" dxfId="10507" priority="2039">
      <formula>P$1=""</formula>
    </cfRule>
  </conditionalFormatting>
  <conditionalFormatting sqref="P317:AA317">
    <cfRule type="expression" dxfId="10506" priority="2038">
      <formula>P$1=""</formula>
    </cfRule>
  </conditionalFormatting>
  <conditionalFormatting sqref="P317:AA317">
    <cfRule type="expression" dxfId="10505" priority="2037">
      <formula>P$1=""</formula>
    </cfRule>
  </conditionalFormatting>
  <conditionalFormatting sqref="P317:AA317">
    <cfRule type="expression" dxfId="10504" priority="2036">
      <formula>P$1=""</formula>
    </cfRule>
  </conditionalFormatting>
  <conditionalFormatting sqref="P317:AA317">
    <cfRule type="expression" dxfId="10503" priority="2035">
      <formula>P$1=""</formula>
    </cfRule>
  </conditionalFormatting>
  <conditionalFormatting sqref="P311:AA311">
    <cfRule type="expression" dxfId="10502" priority="2034">
      <formula>P$1=""</formula>
    </cfRule>
  </conditionalFormatting>
  <conditionalFormatting sqref="P311:AA311">
    <cfRule type="expression" dxfId="10501" priority="2033">
      <formula>P$1=""</formula>
    </cfRule>
  </conditionalFormatting>
  <conditionalFormatting sqref="P311:AA311">
    <cfRule type="expression" dxfId="10500" priority="2032">
      <formula>P$1=""</formula>
    </cfRule>
  </conditionalFormatting>
  <conditionalFormatting sqref="P311:AA311">
    <cfRule type="expression" dxfId="10499" priority="2031">
      <formula>P$1=""</formula>
    </cfRule>
  </conditionalFormatting>
  <conditionalFormatting sqref="P311:AA311">
    <cfRule type="expression" dxfId="10498" priority="2030">
      <formula>P$1=""</formula>
    </cfRule>
  </conditionalFormatting>
  <conditionalFormatting sqref="P311:AA311">
    <cfRule type="expression" dxfId="10497" priority="2029">
      <formula>P$1=""</formula>
    </cfRule>
  </conditionalFormatting>
  <conditionalFormatting sqref="P311:AA311">
    <cfRule type="expression" dxfId="10496" priority="2028">
      <formula>P$1=""</formula>
    </cfRule>
  </conditionalFormatting>
  <conditionalFormatting sqref="P317:AA317 P315:AA315">
    <cfRule type="expression" dxfId="10495" priority="2027">
      <formula>P$1=""</formula>
    </cfRule>
  </conditionalFormatting>
  <conditionalFormatting sqref="P317:AA317 P315:AA315">
    <cfRule type="expression" dxfId="10494" priority="2026">
      <formula>P$1=""</formula>
    </cfRule>
  </conditionalFormatting>
  <conditionalFormatting sqref="P317:AA317 P315:AA315">
    <cfRule type="expression" dxfId="10493" priority="2025">
      <formula>P$1=""</formula>
    </cfRule>
  </conditionalFormatting>
  <conditionalFormatting sqref="P317:AA317 P315:AA315">
    <cfRule type="expression" dxfId="10492" priority="2024">
      <formula>P$1=""</formula>
    </cfRule>
  </conditionalFormatting>
  <conditionalFormatting sqref="P321:AA321">
    <cfRule type="expression" dxfId="10491" priority="2023">
      <formula>P$1=""</formula>
    </cfRule>
  </conditionalFormatting>
  <conditionalFormatting sqref="P323:AA323">
    <cfRule type="expression" dxfId="10490" priority="2022">
      <formula>P$1=""</formula>
    </cfRule>
  </conditionalFormatting>
  <conditionalFormatting sqref="P325:AA325">
    <cfRule type="expression" dxfId="10489" priority="2021">
      <formula>P$1=""</formula>
    </cfRule>
  </conditionalFormatting>
  <conditionalFormatting sqref="P327:AA327">
    <cfRule type="expression" dxfId="10488" priority="2020">
      <formula>P$1=""</formula>
    </cfRule>
  </conditionalFormatting>
  <conditionalFormatting sqref="P323:AA323 P325:AA325 P327:AA327">
    <cfRule type="expression" dxfId="10487" priority="2019">
      <formula>P$1=""</formula>
    </cfRule>
  </conditionalFormatting>
  <conditionalFormatting sqref="P323:AA323 P325:AA325 P327:AA327">
    <cfRule type="expression" dxfId="10486" priority="2018">
      <formula>P$1=""</formula>
    </cfRule>
  </conditionalFormatting>
  <conditionalFormatting sqref="P323:AA323 P325:AA325 P327:AA327">
    <cfRule type="expression" dxfId="10485" priority="2017">
      <formula>P$1=""</formula>
    </cfRule>
  </conditionalFormatting>
  <conditionalFormatting sqref="P323:AA323 P325:AA325 P327:AA327">
    <cfRule type="expression" dxfId="10484" priority="2016">
      <formula>P$1=""</formula>
    </cfRule>
  </conditionalFormatting>
  <conditionalFormatting sqref="P323:AA323 P325:AA325 P327:AA327">
    <cfRule type="expression" dxfId="10483" priority="2015">
      <formula>P$1=""</formula>
    </cfRule>
  </conditionalFormatting>
  <conditionalFormatting sqref="P325:AA325 P327:AA327">
    <cfRule type="expression" dxfId="10482" priority="2014">
      <formula>P$1=""</formula>
    </cfRule>
  </conditionalFormatting>
  <conditionalFormatting sqref="P323:AA323">
    <cfRule type="expression" dxfId="10481" priority="2013">
      <formula>P$1=""</formula>
    </cfRule>
  </conditionalFormatting>
  <conditionalFormatting sqref="P325:AA325 P327:AA327">
    <cfRule type="expression" dxfId="10480" priority="2012">
      <formula>P$1=""</formula>
    </cfRule>
  </conditionalFormatting>
  <conditionalFormatting sqref="P325:AA325 P327:AA327">
    <cfRule type="expression" dxfId="10479" priority="2011">
      <formula>P$1=""</formula>
    </cfRule>
  </conditionalFormatting>
  <conditionalFormatting sqref="P327:AA327">
    <cfRule type="expression" dxfId="10478" priority="2010">
      <formula>P$1=""</formula>
    </cfRule>
  </conditionalFormatting>
  <conditionalFormatting sqref="P327:AA327">
    <cfRule type="expression" dxfId="10477" priority="2009">
      <formula>P$1=""</formula>
    </cfRule>
  </conditionalFormatting>
  <conditionalFormatting sqref="P327:AA327">
    <cfRule type="expression" dxfId="10476" priority="2008">
      <formula>P$1=""</formula>
    </cfRule>
  </conditionalFormatting>
  <conditionalFormatting sqref="P327:AA327">
    <cfRule type="expression" dxfId="10475" priority="2007">
      <formula>P$1=""</formula>
    </cfRule>
  </conditionalFormatting>
  <conditionalFormatting sqref="P321:AA321">
    <cfRule type="expression" dxfId="10474" priority="2006">
      <formula>P$1=""</formula>
    </cfRule>
  </conditionalFormatting>
  <conditionalFormatting sqref="P321:AA321">
    <cfRule type="expression" dxfId="10473" priority="2005">
      <formula>P$1=""</formula>
    </cfRule>
  </conditionalFormatting>
  <conditionalFormatting sqref="P321:AA321">
    <cfRule type="expression" dxfId="10472" priority="2004">
      <formula>P$1=""</formula>
    </cfRule>
  </conditionalFormatting>
  <conditionalFormatting sqref="P321:AA321">
    <cfRule type="expression" dxfId="10471" priority="2003">
      <formula>P$1=""</formula>
    </cfRule>
  </conditionalFormatting>
  <conditionalFormatting sqref="P321:AA321">
    <cfRule type="expression" dxfId="10470" priority="2002">
      <formula>P$1=""</formula>
    </cfRule>
  </conditionalFormatting>
  <conditionalFormatting sqref="P321:AA321">
    <cfRule type="expression" dxfId="10469" priority="2001">
      <formula>P$1=""</formula>
    </cfRule>
  </conditionalFormatting>
  <conditionalFormatting sqref="P321:AA321">
    <cfRule type="expression" dxfId="10468" priority="2000">
      <formula>P$1=""</formula>
    </cfRule>
  </conditionalFormatting>
  <conditionalFormatting sqref="P325:AA325 P327:AA327">
    <cfRule type="expression" dxfId="10467" priority="1999">
      <formula>P$1=""</formula>
    </cfRule>
  </conditionalFormatting>
  <conditionalFormatting sqref="P325:AA325 P327:AA327">
    <cfRule type="expression" dxfId="10466" priority="1998">
      <formula>P$1=""</formula>
    </cfRule>
  </conditionalFormatting>
  <conditionalFormatting sqref="P325:AA325 P327:AA327">
    <cfRule type="expression" dxfId="10465" priority="1997">
      <formula>P$1=""</formula>
    </cfRule>
  </conditionalFormatting>
  <conditionalFormatting sqref="P325:AA325 P327:AA327">
    <cfRule type="expression" dxfId="10464" priority="1996">
      <formula>P$1=""</formula>
    </cfRule>
  </conditionalFormatting>
  <conditionalFormatting sqref="P325 P327 P323:AA323">
    <cfRule type="expression" dxfId="10463" priority="1995">
      <formula>P$1=""</formula>
    </cfRule>
  </conditionalFormatting>
  <conditionalFormatting sqref="P325 P327 P323:AA323">
    <cfRule type="expression" dxfId="10462" priority="1994">
      <formula>P$1=""</formula>
    </cfRule>
  </conditionalFormatting>
  <conditionalFormatting sqref="P325 P327 P323:AA323">
    <cfRule type="expression" dxfId="10461" priority="1993">
      <formula>P$1=""</formula>
    </cfRule>
  </conditionalFormatting>
  <conditionalFormatting sqref="P325 P327 P323:AA323">
    <cfRule type="expression" dxfId="10460" priority="1992">
      <formula>P$1=""</formula>
    </cfRule>
  </conditionalFormatting>
  <conditionalFormatting sqref="P325 P327 P323:AA323">
    <cfRule type="expression" dxfId="10459" priority="1991">
      <formula>P$1=""</formula>
    </cfRule>
  </conditionalFormatting>
  <conditionalFormatting sqref="P325 P327 P323:AA323">
    <cfRule type="expression" dxfId="10458" priority="1990">
      <formula>P$1=""</formula>
    </cfRule>
  </conditionalFormatting>
  <conditionalFormatting sqref="P325 P327 P323:AA323">
    <cfRule type="expression" dxfId="10457" priority="1989">
      <formula>P$1=""</formula>
    </cfRule>
  </conditionalFormatting>
  <conditionalFormatting sqref="P325 P327 P323:AA323">
    <cfRule type="expression" dxfId="10456" priority="1988">
      <formula>P$1=""</formula>
    </cfRule>
  </conditionalFormatting>
  <conditionalFormatting sqref="Q323:AA323">
    <cfRule type="expression" dxfId="10455" priority="1987">
      <formula>Q$1=""</formula>
    </cfRule>
  </conditionalFormatting>
  <conditionalFormatting sqref="Q323:AA323">
    <cfRule type="expression" dxfId="10454" priority="1986">
      <formula>Q$1=""</formula>
    </cfRule>
  </conditionalFormatting>
  <conditionalFormatting sqref="Q323:AA323">
    <cfRule type="expression" dxfId="10453" priority="1985">
      <formula>Q$1=""</formula>
    </cfRule>
  </conditionalFormatting>
  <conditionalFormatting sqref="Q323:AA323">
    <cfRule type="expression" dxfId="10452" priority="1984">
      <formula>Q$1=""</formula>
    </cfRule>
  </conditionalFormatting>
  <conditionalFormatting sqref="Q323:AA323">
    <cfRule type="expression" dxfId="10451" priority="1983">
      <formula>Q$1=""</formula>
    </cfRule>
  </conditionalFormatting>
  <conditionalFormatting sqref="Q323:AA323">
    <cfRule type="expression" dxfId="10450" priority="1982">
      <formula>Q$1=""</formula>
    </cfRule>
  </conditionalFormatting>
  <conditionalFormatting sqref="Q323:AA323">
    <cfRule type="expression" dxfId="10449" priority="1981">
      <formula>Q$1=""</formula>
    </cfRule>
  </conditionalFormatting>
  <conditionalFormatting sqref="Q323:AA323">
    <cfRule type="expression" dxfId="10448" priority="1980">
      <formula>Q$1=""</formula>
    </cfRule>
  </conditionalFormatting>
  <conditionalFormatting sqref="Q325:AA325 Q327:AA327">
    <cfRule type="expression" dxfId="10447" priority="1979">
      <formula>Q$1=""</formula>
    </cfRule>
  </conditionalFormatting>
  <conditionalFormatting sqref="Q325:AA325 Q327:AA327">
    <cfRule type="expression" dxfId="10446" priority="1978">
      <formula>Q$1=""</formula>
    </cfRule>
  </conditionalFormatting>
  <conditionalFormatting sqref="Q325:AA325 Q327:AA327">
    <cfRule type="expression" dxfId="10445" priority="1977">
      <formula>Q$1=""</formula>
    </cfRule>
  </conditionalFormatting>
  <conditionalFormatting sqref="Q325:AA325 Q327:AA327">
    <cfRule type="expression" dxfId="10444" priority="1976">
      <formula>Q$1=""</formula>
    </cfRule>
  </conditionalFormatting>
  <conditionalFormatting sqref="Q325:AA325 Q327:AA327">
    <cfRule type="expression" dxfId="10443" priority="1975">
      <formula>Q$1=""</formula>
    </cfRule>
  </conditionalFormatting>
  <conditionalFormatting sqref="Q325:AA325 Q327:AA327">
    <cfRule type="expression" dxfId="10442" priority="1974">
      <formula>Q$1=""</formula>
    </cfRule>
  </conditionalFormatting>
  <conditionalFormatting sqref="Q325:AA325 Q327:AA327">
    <cfRule type="expression" dxfId="10441" priority="1973">
      <formula>Q$1=""</formula>
    </cfRule>
  </conditionalFormatting>
  <conditionalFormatting sqref="Q325:AA325 Q327:AA327">
    <cfRule type="expression" dxfId="10440" priority="1972">
      <formula>Q$1=""</formula>
    </cfRule>
  </conditionalFormatting>
  <conditionalFormatting sqref="Q325:AA325 Q327:AA327">
    <cfRule type="expression" dxfId="10439" priority="1971">
      <formula>Q$1=""</formula>
    </cfRule>
  </conditionalFormatting>
  <conditionalFormatting sqref="Q325:AA325 Q327:AA327">
    <cfRule type="expression" dxfId="10438" priority="1970">
      <formula>Q$1=""</formula>
    </cfRule>
  </conditionalFormatting>
  <conditionalFormatting sqref="P331:AA331">
    <cfRule type="expression" dxfId="10437" priority="1969">
      <formula>P$1=""</formula>
    </cfRule>
  </conditionalFormatting>
  <conditionalFormatting sqref="P333:AA333">
    <cfRule type="expression" dxfId="10436" priority="1968">
      <formula>P$1=""</formula>
    </cfRule>
  </conditionalFormatting>
  <conditionalFormatting sqref="P335:AA335">
    <cfRule type="expression" dxfId="10435" priority="1967">
      <formula>P$1=""</formula>
    </cfRule>
  </conditionalFormatting>
  <conditionalFormatting sqref="P337:AA337">
    <cfRule type="expression" dxfId="10434" priority="1966">
      <formula>P$1=""</formula>
    </cfRule>
  </conditionalFormatting>
  <conditionalFormatting sqref="P333:AA333 P335:AA335 P337:AA337">
    <cfRule type="expression" dxfId="10433" priority="1965">
      <formula>P$1=""</formula>
    </cfRule>
  </conditionalFormatting>
  <conditionalFormatting sqref="P333:AA333 P335:AA335 P337:AA337">
    <cfRule type="expression" dxfId="10432" priority="1964">
      <formula>P$1=""</formula>
    </cfRule>
  </conditionalFormatting>
  <conditionalFormatting sqref="P333:AA333 P335:AA335 P337:AA337">
    <cfRule type="expression" dxfId="10431" priority="1963">
      <formula>P$1=""</formula>
    </cfRule>
  </conditionalFormatting>
  <conditionalFormatting sqref="P333:AA333 P335:AA335 P337:AA337">
    <cfRule type="expression" dxfId="10430" priority="1962">
      <formula>P$1=""</formula>
    </cfRule>
  </conditionalFormatting>
  <conditionalFormatting sqref="P333:AA333 P335:AA335 P337:AA337">
    <cfRule type="expression" dxfId="10429" priority="1961">
      <formula>P$1=""</formula>
    </cfRule>
  </conditionalFormatting>
  <conditionalFormatting sqref="P335:AA335 P337:AA337">
    <cfRule type="expression" dxfId="10428" priority="1960">
      <formula>P$1=""</formula>
    </cfRule>
  </conditionalFormatting>
  <conditionalFormatting sqref="P333:AA333">
    <cfRule type="expression" dxfId="10427" priority="1959">
      <formula>P$1=""</formula>
    </cfRule>
  </conditionalFormatting>
  <conditionalFormatting sqref="P335:AA335 P337:AA337">
    <cfRule type="expression" dxfId="10426" priority="1958">
      <formula>P$1=""</formula>
    </cfRule>
  </conditionalFormatting>
  <conditionalFormatting sqref="P335:AA335 P337:AA337">
    <cfRule type="expression" dxfId="10425" priority="1957">
      <formula>P$1=""</formula>
    </cfRule>
  </conditionalFormatting>
  <conditionalFormatting sqref="P337:AA337">
    <cfRule type="expression" dxfId="10424" priority="1956">
      <formula>P$1=""</formula>
    </cfRule>
  </conditionalFormatting>
  <conditionalFormatting sqref="P337:AA337">
    <cfRule type="expression" dxfId="10423" priority="1955">
      <formula>P$1=""</formula>
    </cfRule>
  </conditionalFormatting>
  <conditionalFormatting sqref="P337:AA337">
    <cfRule type="expression" dxfId="10422" priority="1954">
      <formula>P$1=""</formula>
    </cfRule>
  </conditionalFormatting>
  <conditionalFormatting sqref="P337:AA337">
    <cfRule type="expression" dxfId="10421" priority="1953">
      <formula>P$1=""</formula>
    </cfRule>
  </conditionalFormatting>
  <conditionalFormatting sqref="P331:AA331">
    <cfRule type="expression" dxfId="10420" priority="1952">
      <formula>P$1=""</formula>
    </cfRule>
  </conditionalFormatting>
  <conditionalFormatting sqref="P331:AA331">
    <cfRule type="expression" dxfId="10419" priority="1951">
      <formula>P$1=""</formula>
    </cfRule>
  </conditionalFormatting>
  <conditionalFormatting sqref="P331:AA331">
    <cfRule type="expression" dxfId="10418" priority="1950">
      <formula>P$1=""</formula>
    </cfRule>
  </conditionalFormatting>
  <conditionalFormatting sqref="P331:AA331">
    <cfRule type="expression" dxfId="10417" priority="1949">
      <formula>P$1=""</formula>
    </cfRule>
  </conditionalFormatting>
  <conditionalFormatting sqref="P331:AA331">
    <cfRule type="expression" dxfId="10416" priority="1948">
      <formula>P$1=""</formula>
    </cfRule>
  </conditionalFormatting>
  <conditionalFormatting sqref="P331:AA331">
    <cfRule type="expression" dxfId="10415" priority="1947">
      <formula>P$1=""</formula>
    </cfRule>
  </conditionalFormatting>
  <conditionalFormatting sqref="P331:AA331">
    <cfRule type="expression" dxfId="10414" priority="1946">
      <formula>P$1=""</formula>
    </cfRule>
  </conditionalFormatting>
  <conditionalFormatting sqref="P335:AA335 P337:AA337">
    <cfRule type="expression" dxfId="10413" priority="1945">
      <formula>P$1=""</formula>
    </cfRule>
  </conditionalFormatting>
  <conditionalFormatting sqref="P335:AA335 P337:AA337">
    <cfRule type="expression" dxfId="10412" priority="1944">
      <formula>P$1=""</formula>
    </cfRule>
  </conditionalFormatting>
  <conditionalFormatting sqref="P335:AA335 P337:AA337">
    <cfRule type="expression" dxfId="10411" priority="1943">
      <formula>P$1=""</formula>
    </cfRule>
  </conditionalFormatting>
  <conditionalFormatting sqref="P335:AA335 P337:AA337">
    <cfRule type="expression" dxfId="10410" priority="1942">
      <formula>P$1=""</formula>
    </cfRule>
  </conditionalFormatting>
  <conditionalFormatting sqref="P333:AA333 P335:AA335 P337:AA337">
    <cfRule type="expression" dxfId="10409" priority="1941">
      <formula>P$1=""</formula>
    </cfRule>
  </conditionalFormatting>
  <conditionalFormatting sqref="P333:AA333 P335:AA335 P337:AA337">
    <cfRule type="expression" dxfId="10408" priority="1940">
      <formula>P$1=""</formula>
    </cfRule>
  </conditionalFormatting>
  <conditionalFormatting sqref="P333:AA333 P335:AA335 P337:AA337">
    <cfRule type="expression" dxfId="10407" priority="1939">
      <formula>P$1=""</formula>
    </cfRule>
  </conditionalFormatting>
  <conditionalFormatting sqref="P333:AA333 P335:AA335 P337:AA337">
    <cfRule type="expression" dxfId="10406" priority="1938">
      <formula>P$1=""</formula>
    </cfRule>
  </conditionalFormatting>
  <conditionalFormatting sqref="P333:AA333 P335:AA335 P337:AA337">
    <cfRule type="expression" dxfId="10405" priority="1937">
      <formula>P$1=""</formula>
    </cfRule>
  </conditionalFormatting>
  <conditionalFormatting sqref="P333:AA333 P335:AA335 P337:AA337">
    <cfRule type="expression" dxfId="10404" priority="1936">
      <formula>P$1=""</formula>
    </cfRule>
  </conditionalFormatting>
  <conditionalFormatting sqref="P333:AA333 P335:AA335 P337:AA337">
    <cfRule type="expression" dxfId="10403" priority="1935">
      <formula>P$1=""</formula>
    </cfRule>
  </conditionalFormatting>
  <conditionalFormatting sqref="P333:AA333 P335:AA335 P337:AA337">
    <cfRule type="expression" dxfId="10402" priority="1934">
      <formula>P$1=""</formula>
    </cfRule>
  </conditionalFormatting>
  <conditionalFormatting sqref="Q333:AA333">
    <cfRule type="expression" dxfId="10401" priority="1933">
      <formula>Q$1=""</formula>
    </cfRule>
  </conditionalFormatting>
  <conditionalFormatting sqref="Q333:AA333">
    <cfRule type="expression" dxfId="10400" priority="1932">
      <formula>Q$1=""</formula>
    </cfRule>
  </conditionalFormatting>
  <conditionalFormatting sqref="Q333:AA333">
    <cfRule type="expression" dxfId="10399" priority="1931">
      <formula>Q$1=""</formula>
    </cfRule>
  </conditionalFormatting>
  <conditionalFormatting sqref="Q333:AA333">
    <cfRule type="expression" dxfId="10398" priority="1930">
      <formula>Q$1=""</formula>
    </cfRule>
  </conditionalFormatting>
  <conditionalFormatting sqref="Q333:AA333">
    <cfRule type="expression" dxfId="10397" priority="1929">
      <formula>Q$1=""</formula>
    </cfRule>
  </conditionalFormatting>
  <conditionalFormatting sqref="Q333:AA333">
    <cfRule type="expression" dxfId="10396" priority="1928">
      <formula>Q$1=""</formula>
    </cfRule>
  </conditionalFormatting>
  <conditionalFormatting sqref="Q333:AA333">
    <cfRule type="expression" dxfId="10395" priority="1927">
      <formula>Q$1=""</formula>
    </cfRule>
  </conditionalFormatting>
  <conditionalFormatting sqref="Q333:AA333">
    <cfRule type="expression" dxfId="10394" priority="1926">
      <formula>Q$1=""</formula>
    </cfRule>
  </conditionalFormatting>
  <conditionalFormatting sqref="Q335:AA335 Q337:AA337">
    <cfRule type="expression" dxfId="10393" priority="1925">
      <formula>Q$1=""</formula>
    </cfRule>
  </conditionalFormatting>
  <conditionalFormatting sqref="Q335:AA335 Q337:AA337">
    <cfRule type="expression" dxfId="10392" priority="1924">
      <formula>Q$1=""</formula>
    </cfRule>
  </conditionalFormatting>
  <conditionalFormatting sqref="Q335:AA335 Q337:AA337">
    <cfRule type="expression" dxfId="10391" priority="1923">
      <formula>Q$1=""</formula>
    </cfRule>
  </conditionalFormatting>
  <conditionalFormatting sqref="Q335:AA335 Q337:AA337">
    <cfRule type="expression" dxfId="10390" priority="1922">
      <formula>Q$1=""</formula>
    </cfRule>
  </conditionalFormatting>
  <conditionalFormatting sqref="Q335:AA335 Q337:AA337">
    <cfRule type="expression" dxfId="10389" priority="1921">
      <formula>Q$1=""</formula>
    </cfRule>
  </conditionalFormatting>
  <conditionalFormatting sqref="Q335:AA335 Q337:AA337">
    <cfRule type="expression" dxfId="10388" priority="1920">
      <formula>Q$1=""</formula>
    </cfRule>
  </conditionalFormatting>
  <conditionalFormatting sqref="Q335:AA335 Q337:AA337">
    <cfRule type="expression" dxfId="10387" priority="1919">
      <formula>Q$1=""</formula>
    </cfRule>
  </conditionalFormatting>
  <conditionalFormatting sqref="Q335:AA335 Q337:AA337">
    <cfRule type="expression" dxfId="10386" priority="1918">
      <formula>Q$1=""</formula>
    </cfRule>
  </conditionalFormatting>
  <conditionalFormatting sqref="Q335:AA335 Q337:AA337">
    <cfRule type="expression" dxfId="10385" priority="1917">
      <formula>Q$1=""</formula>
    </cfRule>
  </conditionalFormatting>
  <conditionalFormatting sqref="Q335:AA335 Q337:AA337">
    <cfRule type="expression" dxfId="10384" priority="1916">
      <formula>Q$1=""</formula>
    </cfRule>
  </conditionalFormatting>
  <conditionalFormatting sqref="P335:AA335 P337:AA337 P331:AA331">
    <cfRule type="expression" dxfId="10383" priority="1915">
      <formula>P$1=""</formula>
    </cfRule>
  </conditionalFormatting>
  <conditionalFormatting sqref="P331:AA331">
    <cfRule type="expression" dxfId="10382" priority="1914">
      <formula>P$1=""</formula>
    </cfRule>
  </conditionalFormatting>
  <conditionalFormatting sqref="P331:AA331">
    <cfRule type="expression" dxfId="10381" priority="1913">
      <formula>P$1=""</formula>
    </cfRule>
  </conditionalFormatting>
  <conditionalFormatting sqref="P331:AA331">
    <cfRule type="expression" dxfId="10380" priority="1912">
      <formula>P$1=""</formula>
    </cfRule>
  </conditionalFormatting>
  <conditionalFormatting sqref="P331:AA331">
    <cfRule type="expression" dxfId="10379" priority="1911">
      <formula>P$1=""</formula>
    </cfRule>
  </conditionalFormatting>
  <conditionalFormatting sqref="P331:AA331">
    <cfRule type="expression" dxfId="10378" priority="1910">
      <formula>P$1=""</formula>
    </cfRule>
  </conditionalFormatting>
  <conditionalFormatting sqref="P335:AA335 P337:AA337 P331:AA331">
    <cfRule type="expression" dxfId="10377" priority="1909">
      <formula>P$1=""</formula>
    </cfRule>
  </conditionalFormatting>
  <conditionalFormatting sqref="P331:AA331">
    <cfRule type="expression" dxfId="10376" priority="1908">
      <formula>P$1=""</formula>
    </cfRule>
  </conditionalFormatting>
  <conditionalFormatting sqref="P331:AA331">
    <cfRule type="expression" dxfId="10375" priority="1907">
      <formula>P$1=""</formula>
    </cfRule>
  </conditionalFormatting>
  <conditionalFormatting sqref="P331:AA331">
    <cfRule type="expression" dxfId="10374" priority="1906">
      <formula>P$1=""</formula>
    </cfRule>
  </conditionalFormatting>
  <conditionalFormatting sqref="P331:AA331">
    <cfRule type="expression" dxfId="10373" priority="1905">
      <formula>P$1=""</formula>
    </cfRule>
  </conditionalFormatting>
  <conditionalFormatting sqref="P331:AA331">
    <cfRule type="expression" dxfId="10372" priority="1904">
      <formula>P$1=""</formula>
    </cfRule>
  </conditionalFormatting>
  <conditionalFormatting sqref="P331:AA331">
    <cfRule type="expression" dxfId="10371" priority="1903">
      <formula>P$1=""</formula>
    </cfRule>
  </conditionalFormatting>
  <conditionalFormatting sqref="P331:AA331">
    <cfRule type="expression" dxfId="10370" priority="1902">
      <formula>P$1=""</formula>
    </cfRule>
  </conditionalFormatting>
  <conditionalFormatting sqref="P331:AA331">
    <cfRule type="expression" dxfId="10369" priority="1901">
      <formula>P$1=""</formula>
    </cfRule>
  </conditionalFormatting>
  <conditionalFormatting sqref="P152:AA152">
    <cfRule type="expression" dxfId="10368" priority="1900">
      <formula>P$1=""</formula>
    </cfRule>
  </conditionalFormatting>
  <conditionalFormatting sqref="P152:AA152">
    <cfRule type="expression" dxfId="10367" priority="1899">
      <formula>P$1=""</formula>
    </cfRule>
  </conditionalFormatting>
  <conditionalFormatting sqref="P152:AA152">
    <cfRule type="expression" dxfId="10366" priority="1898">
      <formula>P$1=""</formula>
    </cfRule>
  </conditionalFormatting>
  <conditionalFormatting sqref="P152:AA152">
    <cfRule type="expression" dxfId="10365" priority="1897">
      <formula>P$1=""</formula>
    </cfRule>
  </conditionalFormatting>
  <conditionalFormatting sqref="P152:AA152">
    <cfRule type="expression" dxfId="10364" priority="1896">
      <formula>P$1=""</formula>
    </cfRule>
  </conditionalFormatting>
  <conditionalFormatting sqref="P152:AA152">
    <cfRule type="expression" dxfId="10363" priority="1895">
      <formula>P$1=""</formula>
    </cfRule>
  </conditionalFormatting>
  <conditionalFormatting sqref="P152:AA152">
    <cfRule type="expression" dxfId="10362" priority="1894">
      <formula>P$1=""</formula>
    </cfRule>
  </conditionalFormatting>
  <conditionalFormatting sqref="P152:AA152">
    <cfRule type="expression" dxfId="10361" priority="1893">
      <formula>P$1=""</formula>
    </cfRule>
  </conditionalFormatting>
  <conditionalFormatting sqref="P321:AA321">
    <cfRule type="expression" dxfId="10360" priority="1892">
      <formula>P$1=""</formula>
    </cfRule>
  </conditionalFormatting>
  <conditionalFormatting sqref="P321:AA321">
    <cfRule type="expression" dxfId="10359" priority="1891">
      <formula>P$1=""</formula>
    </cfRule>
  </conditionalFormatting>
  <conditionalFormatting sqref="P321:AA321">
    <cfRule type="expression" dxfId="10358" priority="1890">
      <formula>P$1=""</formula>
    </cfRule>
  </conditionalFormatting>
  <conditionalFormatting sqref="P321:AA321">
    <cfRule type="expression" dxfId="10357" priority="1889">
      <formula>P$1=""</formula>
    </cfRule>
  </conditionalFormatting>
  <conditionalFormatting sqref="P321:AA321">
    <cfRule type="expression" dxfId="10356" priority="1888">
      <formula>P$1=""</formula>
    </cfRule>
  </conditionalFormatting>
  <conditionalFormatting sqref="P321:AA321">
    <cfRule type="expression" dxfId="10355" priority="1887">
      <formula>P$1=""</formula>
    </cfRule>
  </conditionalFormatting>
  <conditionalFormatting sqref="P321:AA321">
    <cfRule type="expression" dxfId="10354" priority="1886">
      <formula>P$1=""</formula>
    </cfRule>
  </conditionalFormatting>
  <conditionalFormatting sqref="P321:AA321">
    <cfRule type="expression" dxfId="10353" priority="1885">
      <formula>P$1=""</formula>
    </cfRule>
  </conditionalFormatting>
  <conditionalFormatting sqref="P323:AA323">
    <cfRule type="expression" dxfId="10352" priority="1884">
      <formula>P$1=""</formula>
    </cfRule>
  </conditionalFormatting>
  <conditionalFormatting sqref="P323:AA323">
    <cfRule type="expression" dxfId="10351" priority="1883">
      <formula>P$1=""</formula>
    </cfRule>
  </conditionalFormatting>
  <conditionalFormatting sqref="P323:AA323">
    <cfRule type="expression" dxfId="10350" priority="1882">
      <formula>P$1=""</formula>
    </cfRule>
  </conditionalFormatting>
  <conditionalFormatting sqref="P323:AA323">
    <cfRule type="expression" dxfId="10349" priority="1881">
      <formula>P$1=""</formula>
    </cfRule>
  </conditionalFormatting>
  <conditionalFormatting sqref="P323:AA323">
    <cfRule type="expression" dxfId="10348" priority="1880">
      <formula>P$1=""</formula>
    </cfRule>
  </conditionalFormatting>
  <conditionalFormatting sqref="P323:AA323">
    <cfRule type="expression" dxfId="10347" priority="1879">
      <formula>P$1=""</formula>
    </cfRule>
  </conditionalFormatting>
  <conditionalFormatting sqref="P323:AA323">
    <cfRule type="expression" dxfId="10346" priority="1878">
      <formula>P$1=""</formula>
    </cfRule>
  </conditionalFormatting>
  <conditionalFormatting sqref="P323:AA323">
    <cfRule type="expression" dxfId="10345" priority="1877">
      <formula>P$1=""</formula>
    </cfRule>
  </conditionalFormatting>
  <conditionalFormatting sqref="P323:AA323">
    <cfRule type="expression" dxfId="10344" priority="1876">
      <formula>P$1=""</formula>
    </cfRule>
  </conditionalFormatting>
  <conditionalFormatting sqref="P323:AA323">
    <cfRule type="expression" dxfId="10343" priority="1875">
      <formula>P$1=""</formula>
    </cfRule>
  </conditionalFormatting>
  <conditionalFormatting sqref="P323:AA323">
    <cfRule type="expression" dxfId="10342" priority="1874">
      <formula>P$1=""</formula>
    </cfRule>
  </conditionalFormatting>
  <conditionalFormatting sqref="P323:AA323">
    <cfRule type="expression" dxfId="10341" priority="1873">
      <formula>P$1=""</formula>
    </cfRule>
  </conditionalFormatting>
  <conditionalFormatting sqref="P323:AA323">
    <cfRule type="expression" dxfId="10340" priority="1872">
      <formula>P$1=""</formula>
    </cfRule>
  </conditionalFormatting>
  <conditionalFormatting sqref="P323:AA323">
    <cfRule type="expression" dxfId="10339" priority="1871">
      <formula>P$1=""</formula>
    </cfRule>
  </conditionalFormatting>
  <conditionalFormatting sqref="P323:AA323">
    <cfRule type="expression" dxfId="10338" priority="1870">
      <formula>P$1=""</formula>
    </cfRule>
  </conditionalFormatting>
  <conditionalFormatting sqref="P323:AA323">
    <cfRule type="expression" dxfId="10337" priority="1869">
      <formula>P$1=""</formula>
    </cfRule>
  </conditionalFormatting>
  <conditionalFormatting sqref="P327 P325">
    <cfRule type="expression" dxfId="10336" priority="1868">
      <formula>P$1=""</formula>
    </cfRule>
  </conditionalFormatting>
  <conditionalFormatting sqref="P327 P325">
    <cfRule type="expression" dxfId="10335" priority="1867">
      <formula>P$1=""</formula>
    </cfRule>
  </conditionalFormatting>
  <conditionalFormatting sqref="P327 P325">
    <cfRule type="expression" dxfId="10334" priority="1866">
      <formula>P$1=""</formula>
    </cfRule>
  </conditionalFormatting>
  <conditionalFormatting sqref="P327 P325">
    <cfRule type="expression" dxfId="10333" priority="1865">
      <formula>P$1=""</formula>
    </cfRule>
  </conditionalFormatting>
  <conditionalFormatting sqref="P327 P325">
    <cfRule type="expression" dxfId="10332" priority="1864">
      <formula>P$1=""</formula>
    </cfRule>
  </conditionalFormatting>
  <conditionalFormatting sqref="P327 P325">
    <cfRule type="expression" dxfId="10331" priority="1863">
      <formula>P$1=""</formula>
    </cfRule>
  </conditionalFormatting>
  <conditionalFormatting sqref="P327 P325">
    <cfRule type="expression" dxfId="10330" priority="1862">
      <formula>P$1=""</formula>
    </cfRule>
  </conditionalFormatting>
  <conditionalFormatting sqref="P327 P325">
    <cfRule type="expression" dxfId="10329" priority="1861">
      <formula>P$1=""</formula>
    </cfRule>
  </conditionalFormatting>
  <conditionalFormatting sqref="P327 P325">
    <cfRule type="expression" dxfId="10328" priority="1860">
      <formula>P$1=""</formula>
    </cfRule>
  </conditionalFormatting>
  <conditionalFormatting sqref="P327 P325">
    <cfRule type="expression" dxfId="10327" priority="1859">
      <formula>P$1=""</formula>
    </cfRule>
  </conditionalFormatting>
  <conditionalFormatting sqref="P327 P325">
    <cfRule type="expression" dxfId="10326" priority="1858">
      <formula>P$1=""</formula>
    </cfRule>
  </conditionalFormatting>
  <conditionalFormatting sqref="P327 P325">
    <cfRule type="expression" dxfId="10325" priority="1857">
      <formula>P$1=""</formula>
    </cfRule>
  </conditionalFormatting>
  <conditionalFormatting sqref="P327 P325">
    <cfRule type="expression" dxfId="10324" priority="1856">
      <formula>P$1=""</formula>
    </cfRule>
  </conditionalFormatting>
  <conditionalFormatting sqref="P327 P325">
    <cfRule type="expression" dxfId="10323" priority="1855">
      <formula>P$1=""</formula>
    </cfRule>
  </conditionalFormatting>
  <conditionalFormatting sqref="P327 P325">
    <cfRule type="expression" dxfId="10322" priority="1854">
      <formula>P$1=""</formula>
    </cfRule>
  </conditionalFormatting>
  <conditionalFormatting sqref="P327 P325">
    <cfRule type="expression" dxfId="10321" priority="1853">
      <formula>P$1=""</formula>
    </cfRule>
  </conditionalFormatting>
  <conditionalFormatting sqref="P327 P325">
    <cfRule type="expression" dxfId="10320" priority="1852">
      <formula>P$1=""</formula>
    </cfRule>
  </conditionalFormatting>
  <conditionalFormatting sqref="P327 P325">
    <cfRule type="expression" dxfId="10319" priority="1851">
      <formula>P$1=""</formula>
    </cfRule>
  </conditionalFormatting>
  <conditionalFormatting sqref="Q327:AA327 Q325:AA325">
    <cfRule type="expression" dxfId="10318" priority="1850">
      <formula>Q$1=""</formula>
    </cfRule>
  </conditionalFormatting>
  <conditionalFormatting sqref="Q327:AA327 Q325:AA325">
    <cfRule type="expression" dxfId="10317" priority="1849">
      <formula>Q$1=""</formula>
    </cfRule>
  </conditionalFormatting>
  <conditionalFormatting sqref="Q327:AA327 Q325:AA325">
    <cfRule type="expression" dxfId="10316" priority="1848">
      <formula>Q$1=""</formula>
    </cfRule>
  </conditionalFormatting>
  <conditionalFormatting sqref="Q327:AA327 Q325:AA325">
    <cfRule type="expression" dxfId="10315" priority="1847">
      <formula>Q$1=""</formula>
    </cfRule>
  </conditionalFormatting>
  <conditionalFormatting sqref="Q327:AA327 Q325:AA325">
    <cfRule type="expression" dxfId="10314" priority="1846">
      <formula>Q$1=""</formula>
    </cfRule>
  </conditionalFormatting>
  <conditionalFormatting sqref="Q327:AA327 Q325:AA325">
    <cfRule type="expression" dxfId="10313" priority="1845">
      <formula>Q$1=""</formula>
    </cfRule>
  </conditionalFormatting>
  <conditionalFormatting sqref="Q327:AA327 Q325:AA325">
    <cfRule type="expression" dxfId="10312" priority="1844">
      <formula>Q$1=""</formula>
    </cfRule>
  </conditionalFormatting>
  <conditionalFormatting sqref="Q327:AA327 Q325:AA325">
    <cfRule type="expression" dxfId="10311" priority="1843">
      <formula>Q$1=""</formula>
    </cfRule>
  </conditionalFormatting>
  <conditionalFormatting sqref="Q327:AA327 Q325:AA325">
    <cfRule type="expression" dxfId="10310" priority="1842">
      <formula>Q$1=""</formula>
    </cfRule>
  </conditionalFormatting>
  <conditionalFormatting sqref="Q327:AA327 Q325:AA325">
    <cfRule type="expression" dxfId="10309" priority="1841">
      <formula>Q$1=""</formula>
    </cfRule>
  </conditionalFormatting>
  <conditionalFormatting sqref="Q327:AA327 Q325:AA325">
    <cfRule type="expression" dxfId="10308" priority="1840">
      <formula>Q$1=""</formula>
    </cfRule>
  </conditionalFormatting>
  <conditionalFormatting sqref="Q327:AA327 Q325:AA325">
    <cfRule type="expression" dxfId="10307" priority="1839">
      <formula>Q$1=""</formula>
    </cfRule>
  </conditionalFormatting>
  <conditionalFormatting sqref="Q327:AA327 Q325:AA325">
    <cfRule type="expression" dxfId="10306" priority="1838">
      <formula>Q$1=""</formula>
    </cfRule>
  </conditionalFormatting>
  <conditionalFormatting sqref="Q327:AA327 Q325:AA325">
    <cfRule type="expression" dxfId="10305" priority="1837">
      <formula>Q$1=""</formula>
    </cfRule>
  </conditionalFormatting>
  <conditionalFormatting sqref="Q327:AA327 Q325:AA325">
    <cfRule type="expression" dxfId="10304" priority="1836">
      <formula>Q$1=""</formula>
    </cfRule>
  </conditionalFormatting>
  <conditionalFormatting sqref="Q327:AA327 Q325:AA325">
    <cfRule type="expression" dxfId="10303" priority="1835">
      <formula>Q$1=""</formula>
    </cfRule>
  </conditionalFormatting>
  <conditionalFormatting sqref="Q327:AA327 Q325:AA325">
    <cfRule type="expression" dxfId="10302" priority="1834">
      <formula>Q$1=""</formula>
    </cfRule>
  </conditionalFormatting>
  <conditionalFormatting sqref="Q327:AA327 Q325:AA325">
    <cfRule type="expression" dxfId="10301" priority="1833">
      <formula>Q$1=""</formula>
    </cfRule>
  </conditionalFormatting>
  <conditionalFormatting sqref="Q327:AA327 Q325:AA325">
    <cfRule type="expression" dxfId="10300" priority="1832">
      <formula>Q$1=""</formula>
    </cfRule>
  </conditionalFormatting>
  <conditionalFormatting sqref="Q327:AA327 Q325:AA325">
    <cfRule type="expression" dxfId="10299" priority="1831">
      <formula>Q$1=""</formula>
    </cfRule>
  </conditionalFormatting>
  <conditionalFormatting sqref="Q327:AA327 Q325:AA325">
    <cfRule type="expression" dxfId="10298" priority="1830">
      <formula>Q$1=""</formula>
    </cfRule>
  </conditionalFormatting>
  <conditionalFormatting sqref="Q327:AA327 Q325:AA325">
    <cfRule type="expression" dxfId="10297" priority="1829">
      <formula>Q$1=""</formula>
    </cfRule>
  </conditionalFormatting>
  <conditionalFormatting sqref="Q327:AA327 Q325:AA325">
    <cfRule type="expression" dxfId="10296" priority="1828">
      <formula>Q$1=""</formula>
    </cfRule>
  </conditionalFormatting>
  <conditionalFormatting sqref="Q327:AA327 Q325:AA325">
    <cfRule type="expression" dxfId="10295" priority="1827">
      <formula>Q$1=""</formula>
    </cfRule>
  </conditionalFormatting>
  <conditionalFormatting sqref="Q327:AA327 Q325:AA325">
    <cfRule type="expression" dxfId="10294" priority="1826">
      <formula>Q$1=""</formula>
    </cfRule>
  </conditionalFormatting>
  <conditionalFormatting sqref="Q327:AA327 Q325:AA325">
    <cfRule type="expression" dxfId="10293" priority="1825">
      <formula>Q$1=""</formula>
    </cfRule>
  </conditionalFormatting>
  <conditionalFormatting sqref="Q327:AA327 Q325:AA325">
    <cfRule type="expression" dxfId="10292" priority="1824">
      <formula>Q$1=""</formula>
    </cfRule>
  </conditionalFormatting>
  <conditionalFormatting sqref="Q327:AA327 Q325:AA325">
    <cfRule type="expression" dxfId="10291" priority="1823">
      <formula>Q$1=""</formula>
    </cfRule>
  </conditionalFormatting>
  <conditionalFormatting sqref="Q327:AA327 Q325:AA325">
    <cfRule type="expression" dxfId="10290" priority="1822">
      <formula>Q$1=""</formula>
    </cfRule>
  </conditionalFormatting>
  <conditionalFormatting sqref="Q327:AA327 Q325:AA325">
    <cfRule type="expression" dxfId="10289" priority="1821">
      <formula>Q$1=""</formula>
    </cfRule>
  </conditionalFormatting>
  <conditionalFormatting sqref="Q327:AA327 Q325:AA325">
    <cfRule type="expression" dxfId="10288" priority="1820">
      <formula>Q$1=""</formula>
    </cfRule>
  </conditionalFormatting>
  <conditionalFormatting sqref="Q327:AA327 Q325:AA325">
    <cfRule type="expression" dxfId="10287" priority="1819">
      <formula>Q$1=""</formula>
    </cfRule>
  </conditionalFormatting>
  <conditionalFormatting sqref="Q327:AA327 Q325:AA325">
    <cfRule type="expression" dxfId="10286" priority="1818">
      <formula>Q$1=""</formula>
    </cfRule>
  </conditionalFormatting>
  <conditionalFormatting sqref="Q327:AA327 Q325:AA325">
    <cfRule type="expression" dxfId="10285" priority="1817">
      <formula>Q$1=""</formula>
    </cfRule>
  </conditionalFormatting>
  <conditionalFormatting sqref="P337 P335 P333">
    <cfRule type="expression" dxfId="10284" priority="1816">
      <formula>P$1=""</formula>
    </cfRule>
  </conditionalFormatting>
  <conditionalFormatting sqref="P337 P335 P333">
    <cfRule type="expression" dxfId="10283" priority="1815">
      <formula>P$1=""</formula>
    </cfRule>
  </conditionalFormatting>
  <conditionalFormatting sqref="P337 P335 P333">
    <cfRule type="expression" dxfId="10282" priority="1814">
      <formula>P$1=""</formula>
    </cfRule>
  </conditionalFormatting>
  <conditionalFormatting sqref="P337 P335 P333">
    <cfRule type="expression" dxfId="10281" priority="1813">
      <formula>P$1=""</formula>
    </cfRule>
  </conditionalFormatting>
  <conditionalFormatting sqref="P337 P335 P333">
    <cfRule type="expression" dxfId="10280" priority="1812">
      <formula>P$1=""</formula>
    </cfRule>
  </conditionalFormatting>
  <conditionalFormatting sqref="P337 P335 P333">
    <cfRule type="expression" dxfId="10279" priority="1811">
      <formula>P$1=""</formula>
    </cfRule>
  </conditionalFormatting>
  <conditionalFormatting sqref="P337 P335 P333">
    <cfRule type="expression" dxfId="10278" priority="1810">
      <formula>P$1=""</formula>
    </cfRule>
  </conditionalFormatting>
  <conditionalFormatting sqref="P337 P335 P333">
    <cfRule type="expression" dxfId="10277" priority="1809">
      <formula>P$1=""</formula>
    </cfRule>
  </conditionalFormatting>
  <conditionalFormatting sqref="P333">
    <cfRule type="expression" dxfId="10276" priority="1808">
      <formula>P$1=""</formula>
    </cfRule>
  </conditionalFormatting>
  <conditionalFormatting sqref="P337 P335 P333">
    <cfRule type="expression" dxfId="10275" priority="1807">
      <formula>P$1=""</formula>
    </cfRule>
  </conditionalFormatting>
  <conditionalFormatting sqref="P337 P335 P333">
    <cfRule type="expression" dxfId="10274" priority="1806">
      <formula>P$1=""</formula>
    </cfRule>
  </conditionalFormatting>
  <conditionalFormatting sqref="P337 P335 P333">
    <cfRule type="expression" dxfId="10273" priority="1805">
      <formula>P$1=""</formula>
    </cfRule>
  </conditionalFormatting>
  <conditionalFormatting sqref="P337 P335 P333">
    <cfRule type="expression" dxfId="10272" priority="1804">
      <formula>P$1=""</formula>
    </cfRule>
  </conditionalFormatting>
  <conditionalFormatting sqref="P337 P335 P333">
    <cfRule type="expression" dxfId="10271" priority="1803">
      <formula>P$1=""</formula>
    </cfRule>
  </conditionalFormatting>
  <conditionalFormatting sqref="P333">
    <cfRule type="expression" dxfId="10270" priority="1802">
      <formula>P$1=""</formula>
    </cfRule>
  </conditionalFormatting>
  <conditionalFormatting sqref="P337 P335 P333">
    <cfRule type="expression" dxfId="10269" priority="1801">
      <formula>P$1=""</formula>
    </cfRule>
  </conditionalFormatting>
  <conditionalFormatting sqref="P337 P335 P333">
    <cfRule type="expression" dxfId="10268" priority="1800">
      <formula>P$1=""</formula>
    </cfRule>
  </conditionalFormatting>
  <conditionalFormatting sqref="P337 P335 P333">
    <cfRule type="expression" dxfId="10267" priority="1799">
      <formula>P$1=""</formula>
    </cfRule>
  </conditionalFormatting>
  <conditionalFormatting sqref="P337 P335 P333">
    <cfRule type="expression" dxfId="10266" priority="1798">
      <formula>P$1=""</formula>
    </cfRule>
  </conditionalFormatting>
  <conditionalFormatting sqref="P337 P335 P333">
    <cfRule type="expression" dxfId="10265" priority="1797">
      <formula>P$1=""</formula>
    </cfRule>
  </conditionalFormatting>
  <conditionalFormatting sqref="P337 P335 P333">
    <cfRule type="expression" dxfId="10264" priority="1796">
      <formula>P$1=""</formula>
    </cfRule>
  </conditionalFormatting>
  <conditionalFormatting sqref="P337 P335 P333">
    <cfRule type="expression" dxfId="10263" priority="1795">
      <formula>P$1=""</formula>
    </cfRule>
  </conditionalFormatting>
  <conditionalFormatting sqref="P337 P335 P333">
    <cfRule type="expression" dxfId="10262" priority="1794">
      <formula>P$1=""</formula>
    </cfRule>
  </conditionalFormatting>
  <conditionalFormatting sqref="Q337:AA337 Q335:AA335 Q333:AA333">
    <cfRule type="expression" dxfId="10261" priority="1793">
      <formula>Q$1=""</formula>
    </cfRule>
  </conditionalFormatting>
  <conditionalFormatting sqref="Q337:AA337 Q335:AA335 Q333:AA333">
    <cfRule type="expression" dxfId="10260" priority="1792">
      <formula>Q$1=""</formula>
    </cfRule>
  </conditionalFormatting>
  <conditionalFormatting sqref="Q337:AA337 Q335:AA335 Q333:AA333">
    <cfRule type="expression" dxfId="10259" priority="1791">
      <formula>Q$1=""</formula>
    </cfRule>
  </conditionalFormatting>
  <conditionalFormatting sqref="Q337:AA337 Q335:AA335 Q333:AA333">
    <cfRule type="expression" dxfId="10258" priority="1790">
      <formula>Q$1=""</formula>
    </cfRule>
  </conditionalFormatting>
  <conditionalFormatting sqref="Q337:AA337 Q335:AA335 Q333:AA333">
    <cfRule type="expression" dxfId="10257" priority="1789">
      <formula>Q$1=""</formula>
    </cfRule>
  </conditionalFormatting>
  <conditionalFormatting sqref="Q337:AA337 Q335:AA335 Q333:AA333">
    <cfRule type="expression" dxfId="10256" priority="1788">
      <formula>Q$1=""</formula>
    </cfRule>
  </conditionalFormatting>
  <conditionalFormatting sqref="Q337:AA337 Q335:AA335 Q333:AA333">
    <cfRule type="expression" dxfId="10255" priority="1787">
      <formula>Q$1=""</formula>
    </cfRule>
  </conditionalFormatting>
  <conditionalFormatting sqref="Q337:AA337 Q335:AA335 Q333:AA333">
    <cfRule type="expression" dxfId="10254" priority="1786">
      <formula>Q$1=""</formula>
    </cfRule>
  </conditionalFormatting>
  <conditionalFormatting sqref="Q333:AA333">
    <cfRule type="expression" dxfId="10253" priority="1785">
      <formula>Q$1=""</formula>
    </cfRule>
  </conditionalFormatting>
  <conditionalFormatting sqref="Q337:AA337 Q335:AA335 Q333:AA333">
    <cfRule type="expression" dxfId="10252" priority="1784">
      <formula>Q$1=""</formula>
    </cfRule>
  </conditionalFormatting>
  <conditionalFormatting sqref="Q337:AA337 Q335:AA335 Q333:AA333">
    <cfRule type="expression" dxfId="10251" priority="1783">
      <formula>Q$1=""</formula>
    </cfRule>
  </conditionalFormatting>
  <conditionalFormatting sqref="Q337:AA337 Q335:AA335 Q333:AA333">
    <cfRule type="expression" dxfId="10250" priority="1782">
      <formula>Q$1=""</formula>
    </cfRule>
  </conditionalFormatting>
  <conditionalFormatting sqref="Q337:AA337 Q335:AA335 Q333:AA333">
    <cfRule type="expression" dxfId="10249" priority="1781">
      <formula>Q$1=""</formula>
    </cfRule>
  </conditionalFormatting>
  <conditionalFormatting sqref="Q337:AA337 Q335:AA335 Q333:AA333">
    <cfRule type="expression" dxfId="10248" priority="1780">
      <formula>Q$1=""</formula>
    </cfRule>
  </conditionalFormatting>
  <conditionalFormatting sqref="Q333:AA333">
    <cfRule type="expression" dxfId="10247" priority="1779">
      <formula>Q$1=""</formula>
    </cfRule>
  </conditionalFormatting>
  <conditionalFormatting sqref="Q337:AA337 Q335:AA335 Q333:AA333">
    <cfRule type="expression" dxfId="10246" priority="1778">
      <formula>Q$1=""</formula>
    </cfRule>
  </conditionalFormatting>
  <conditionalFormatting sqref="Q337:AA337 Q335:AA335 Q333:AA333">
    <cfRule type="expression" dxfId="10245" priority="1777">
      <formula>Q$1=""</formula>
    </cfRule>
  </conditionalFormatting>
  <conditionalFormatting sqref="Q337:AA337 Q335:AA335 Q333:AA333">
    <cfRule type="expression" dxfId="10244" priority="1776">
      <formula>Q$1=""</formula>
    </cfRule>
  </conditionalFormatting>
  <conditionalFormatting sqref="Q337:AA337 Q335:AA335 Q333:AA333">
    <cfRule type="expression" dxfId="10243" priority="1775">
      <formula>Q$1=""</formula>
    </cfRule>
  </conditionalFormatting>
  <conditionalFormatting sqref="Q337:AA337 Q335:AA335 Q333:AA333">
    <cfRule type="expression" dxfId="10242" priority="1774">
      <formula>Q$1=""</formula>
    </cfRule>
  </conditionalFormatting>
  <conditionalFormatting sqref="Q337:AA337 Q335:AA335 Q333:AA333">
    <cfRule type="expression" dxfId="10241" priority="1773">
      <formula>Q$1=""</formula>
    </cfRule>
  </conditionalFormatting>
  <conditionalFormatting sqref="Q337:AA337 Q335:AA335 Q333:AA333">
    <cfRule type="expression" dxfId="10240" priority="1772">
      <formula>Q$1=""</formula>
    </cfRule>
  </conditionalFormatting>
  <conditionalFormatting sqref="Q337:AA337 Q335:AA335 Q333:AA333">
    <cfRule type="expression" dxfId="10239" priority="1771">
      <formula>Q$1=""</formula>
    </cfRule>
  </conditionalFormatting>
  <conditionalFormatting sqref="Q337:AA337 Q335:AA335 Q333:AA333">
    <cfRule type="expression" dxfId="10238" priority="1770">
      <formula>Q$1=""</formula>
    </cfRule>
  </conditionalFormatting>
  <conditionalFormatting sqref="Q337:AA337 Q335:AA335 Q333:AA333">
    <cfRule type="expression" dxfId="10237" priority="1769">
      <formula>Q$1=""</formula>
    </cfRule>
  </conditionalFormatting>
  <conditionalFormatting sqref="Q337:AA337 Q335:AA335 Q333:AA333">
    <cfRule type="expression" dxfId="10236" priority="1768">
      <formula>Q$1=""</formula>
    </cfRule>
  </conditionalFormatting>
  <conditionalFormatting sqref="Q337:AA337 Q335:AA335 Q333:AA333">
    <cfRule type="expression" dxfId="10235" priority="1767">
      <formula>Q$1=""</formula>
    </cfRule>
  </conditionalFormatting>
  <conditionalFormatting sqref="Q337:AA337 Q335:AA335 Q333:AA333">
    <cfRule type="expression" dxfId="10234" priority="1766">
      <formula>Q$1=""</formula>
    </cfRule>
  </conditionalFormatting>
  <conditionalFormatting sqref="Q337:AA337 Q335:AA335 Q333:AA333">
    <cfRule type="expression" dxfId="10233" priority="1765">
      <formula>Q$1=""</formula>
    </cfRule>
  </conditionalFormatting>
  <conditionalFormatting sqref="Q337:AA337 Q335:AA335 Q333:AA333">
    <cfRule type="expression" dxfId="10232" priority="1764">
      <formula>Q$1=""</formula>
    </cfRule>
  </conditionalFormatting>
  <conditionalFormatting sqref="Q337:AA337 Q335:AA335 Q333:AA333">
    <cfRule type="expression" dxfId="10231" priority="1763">
      <formula>Q$1=""</formula>
    </cfRule>
  </conditionalFormatting>
  <conditionalFormatting sqref="Q333:AA333">
    <cfRule type="expression" dxfId="10230" priority="1762">
      <formula>Q$1=""</formula>
    </cfRule>
  </conditionalFormatting>
  <conditionalFormatting sqref="Q337:AA337 Q335:AA335 Q333:AA333">
    <cfRule type="expression" dxfId="10229" priority="1761">
      <formula>Q$1=""</formula>
    </cfRule>
  </conditionalFormatting>
  <conditionalFormatting sqref="Q337:AA337 Q335:AA335 Q333:AA333">
    <cfRule type="expression" dxfId="10228" priority="1760">
      <formula>Q$1=""</formula>
    </cfRule>
  </conditionalFormatting>
  <conditionalFormatting sqref="Q337:AA337 Q335:AA335 Q333:AA333">
    <cfRule type="expression" dxfId="10227" priority="1759">
      <formula>Q$1=""</formula>
    </cfRule>
  </conditionalFormatting>
  <conditionalFormatting sqref="Q337:AA337 Q335:AA335 Q333:AA333">
    <cfRule type="expression" dxfId="10226" priority="1758">
      <formula>Q$1=""</formula>
    </cfRule>
  </conditionalFormatting>
  <conditionalFormatting sqref="Q337:AA337 Q335:AA335 Q333:AA333">
    <cfRule type="expression" dxfId="10225" priority="1757">
      <formula>Q$1=""</formula>
    </cfRule>
  </conditionalFormatting>
  <conditionalFormatting sqref="Q333:AA333">
    <cfRule type="expression" dxfId="10224" priority="1756">
      <formula>Q$1=""</formula>
    </cfRule>
  </conditionalFormatting>
  <conditionalFormatting sqref="Q337:AA337 Q335:AA335 Q333:AA333">
    <cfRule type="expression" dxfId="10223" priority="1755">
      <formula>Q$1=""</formula>
    </cfRule>
  </conditionalFormatting>
  <conditionalFormatting sqref="Q337:AA337 Q335:AA335 Q333:AA333">
    <cfRule type="expression" dxfId="10222" priority="1754">
      <formula>Q$1=""</formula>
    </cfRule>
  </conditionalFormatting>
  <conditionalFormatting sqref="Q337:AA337 Q335:AA335 Q333:AA333">
    <cfRule type="expression" dxfId="10221" priority="1753">
      <formula>Q$1=""</formula>
    </cfRule>
  </conditionalFormatting>
  <conditionalFormatting sqref="Q337:AA337 Q335:AA335 Q333:AA333">
    <cfRule type="expression" dxfId="10220" priority="1752">
      <formula>Q$1=""</formula>
    </cfRule>
  </conditionalFormatting>
  <conditionalFormatting sqref="Q337:AA337 Q335:AA335 Q333:AA333">
    <cfRule type="expression" dxfId="10219" priority="1751">
      <formula>Q$1=""</formula>
    </cfRule>
  </conditionalFormatting>
  <conditionalFormatting sqref="Q337:AA337 Q335:AA335 Q333:AA333">
    <cfRule type="expression" dxfId="10218" priority="1750">
      <formula>Q$1=""</formula>
    </cfRule>
  </conditionalFormatting>
  <conditionalFormatting sqref="Q337:AA337 Q335:AA335 Q333:AA333">
    <cfRule type="expression" dxfId="10217" priority="1749">
      <formula>Q$1=""</formula>
    </cfRule>
  </conditionalFormatting>
  <conditionalFormatting sqref="Q337:AA337 Q335:AA335 Q333:AA333">
    <cfRule type="expression" dxfId="10216" priority="1748">
      <formula>Q$1=""</formula>
    </cfRule>
  </conditionalFormatting>
  <conditionalFormatting sqref="P337 P335 P333">
    <cfRule type="expression" dxfId="10215" priority="1747">
      <formula>P$1=""</formula>
    </cfRule>
  </conditionalFormatting>
  <conditionalFormatting sqref="P337 P335 P333">
    <cfRule type="expression" dxfId="10214" priority="1746">
      <formula>P$1=""</formula>
    </cfRule>
  </conditionalFormatting>
  <conditionalFormatting sqref="P337 P335 P333">
    <cfRule type="expression" dxfId="10213" priority="1745">
      <formula>P$1=""</formula>
    </cfRule>
  </conditionalFormatting>
  <conditionalFormatting sqref="P337 P335 P333">
    <cfRule type="expression" dxfId="10212" priority="1744">
      <formula>P$1=""</formula>
    </cfRule>
  </conditionalFormatting>
  <conditionalFormatting sqref="P337 P335 P333">
    <cfRule type="expression" dxfId="10211" priority="1743">
      <formula>P$1=""</formula>
    </cfRule>
  </conditionalFormatting>
  <conditionalFormatting sqref="P337 P335 P333">
    <cfRule type="expression" dxfId="10210" priority="1742">
      <formula>P$1=""</formula>
    </cfRule>
  </conditionalFormatting>
  <conditionalFormatting sqref="P337 P335 P333">
    <cfRule type="expression" dxfId="10209" priority="1741">
      <formula>P$1=""</formula>
    </cfRule>
  </conditionalFormatting>
  <conditionalFormatting sqref="P337 P335 P333">
    <cfRule type="expression" dxfId="10208" priority="1740">
      <formula>P$1=""</formula>
    </cfRule>
  </conditionalFormatting>
  <conditionalFormatting sqref="P333">
    <cfRule type="expression" dxfId="10207" priority="1739">
      <formula>P$1=""</formula>
    </cfRule>
  </conditionalFormatting>
  <conditionalFormatting sqref="P337 P335 P333">
    <cfRule type="expression" dxfId="10206" priority="1738">
      <formula>P$1=""</formula>
    </cfRule>
  </conditionalFormatting>
  <conditionalFormatting sqref="P337 P335 P333">
    <cfRule type="expression" dxfId="10205" priority="1737">
      <formula>P$1=""</formula>
    </cfRule>
  </conditionalFormatting>
  <conditionalFormatting sqref="P337 P335 P333">
    <cfRule type="expression" dxfId="10204" priority="1736">
      <formula>P$1=""</formula>
    </cfRule>
  </conditionalFormatting>
  <conditionalFormatting sqref="P337 P335 P333">
    <cfRule type="expression" dxfId="10203" priority="1735">
      <formula>P$1=""</formula>
    </cfRule>
  </conditionalFormatting>
  <conditionalFormatting sqref="P337 P335 P333">
    <cfRule type="expression" dxfId="10202" priority="1734">
      <formula>P$1=""</formula>
    </cfRule>
  </conditionalFormatting>
  <conditionalFormatting sqref="P333">
    <cfRule type="expression" dxfId="10201" priority="1733">
      <formula>P$1=""</formula>
    </cfRule>
  </conditionalFormatting>
  <conditionalFormatting sqref="P337 P335 P333">
    <cfRule type="expression" dxfId="10200" priority="1732">
      <formula>P$1=""</formula>
    </cfRule>
  </conditionalFormatting>
  <conditionalFormatting sqref="P337 P335 P333">
    <cfRule type="expression" dxfId="10199" priority="1731">
      <formula>P$1=""</formula>
    </cfRule>
  </conditionalFormatting>
  <conditionalFormatting sqref="P337 P335 P333">
    <cfRule type="expression" dxfId="10198" priority="1730">
      <formula>P$1=""</formula>
    </cfRule>
  </conditionalFormatting>
  <conditionalFormatting sqref="P337 P335 P333">
    <cfRule type="expression" dxfId="10197" priority="1729">
      <formula>P$1=""</formula>
    </cfRule>
  </conditionalFormatting>
  <conditionalFormatting sqref="P337 P335 P333">
    <cfRule type="expression" dxfId="10196" priority="1728">
      <formula>P$1=""</formula>
    </cfRule>
  </conditionalFormatting>
  <conditionalFormatting sqref="P337 P335 P333">
    <cfRule type="expression" dxfId="10195" priority="1727">
      <formula>P$1=""</formula>
    </cfRule>
  </conditionalFormatting>
  <conditionalFormatting sqref="P337 P335 P333">
    <cfRule type="expression" dxfId="10194" priority="1726">
      <formula>P$1=""</formula>
    </cfRule>
  </conditionalFormatting>
  <conditionalFormatting sqref="P337 P335 P333">
    <cfRule type="expression" dxfId="10193" priority="1725">
      <formula>P$1=""</formula>
    </cfRule>
  </conditionalFormatting>
  <conditionalFormatting sqref="Q337:AA337 Q335:AA335 Q333:AA333">
    <cfRule type="expression" dxfId="10192" priority="1724">
      <formula>Q$1=""</formula>
    </cfRule>
  </conditionalFormatting>
  <conditionalFormatting sqref="Q337:AA337 Q335:AA335 Q333:AA333">
    <cfRule type="expression" dxfId="10191" priority="1723">
      <formula>Q$1=""</formula>
    </cfRule>
  </conditionalFormatting>
  <conditionalFormatting sqref="Q337:AA337 Q335:AA335 Q333:AA333">
    <cfRule type="expression" dxfId="10190" priority="1722">
      <formula>Q$1=""</formula>
    </cfRule>
  </conditionalFormatting>
  <conditionalFormatting sqref="Q337:AA337 Q335:AA335 Q333:AA333">
    <cfRule type="expression" dxfId="10189" priority="1721">
      <formula>Q$1=""</formula>
    </cfRule>
  </conditionalFormatting>
  <conditionalFormatting sqref="Q337:AA337 Q335:AA335 Q333:AA333">
    <cfRule type="expression" dxfId="10188" priority="1720">
      <formula>Q$1=""</formula>
    </cfRule>
  </conditionalFormatting>
  <conditionalFormatting sqref="Q337:AA337 Q335:AA335 Q333:AA333">
    <cfRule type="expression" dxfId="10187" priority="1719">
      <formula>Q$1=""</formula>
    </cfRule>
  </conditionalFormatting>
  <conditionalFormatting sqref="Q337:AA337 Q335:AA335 Q333:AA333">
    <cfRule type="expression" dxfId="10186" priority="1718">
      <formula>Q$1=""</formula>
    </cfRule>
  </conditionalFormatting>
  <conditionalFormatting sqref="Q337:AA337 Q335:AA335 Q333:AA333">
    <cfRule type="expression" dxfId="10185" priority="1717">
      <formula>Q$1=""</formula>
    </cfRule>
  </conditionalFormatting>
  <conditionalFormatting sqref="Q333:AA333">
    <cfRule type="expression" dxfId="10184" priority="1716">
      <formula>Q$1=""</formula>
    </cfRule>
  </conditionalFormatting>
  <conditionalFormatting sqref="Q337:AA337 Q335:AA335 Q333:AA333">
    <cfRule type="expression" dxfId="10183" priority="1715">
      <formula>Q$1=""</formula>
    </cfRule>
  </conditionalFormatting>
  <conditionalFormatting sqref="Q337:AA337 Q335:AA335 Q333:AA333">
    <cfRule type="expression" dxfId="10182" priority="1714">
      <formula>Q$1=""</formula>
    </cfRule>
  </conditionalFormatting>
  <conditionalFormatting sqref="Q337:AA337 Q335:AA335 Q333:AA333">
    <cfRule type="expression" dxfId="10181" priority="1713">
      <formula>Q$1=""</formula>
    </cfRule>
  </conditionalFormatting>
  <conditionalFormatting sqref="Q337:AA337 Q335:AA335 Q333:AA333">
    <cfRule type="expression" dxfId="10180" priority="1712">
      <formula>Q$1=""</formula>
    </cfRule>
  </conditionalFormatting>
  <conditionalFormatting sqref="Q337:AA337 Q335:AA335 Q333:AA333">
    <cfRule type="expression" dxfId="10179" priority="1711">
      <formula>Q$1=""</formula>
    </cfRule>
  </conditionalFormatting>
  <conditionalFormatting sqref="Q333:AA333">
    <cfRule type="expression" dxfId="10178" priority="1710">
      <formula>Q$1=""</formula>
    </cfRule>
  </conditionalFormatting>
  <conditionalFormatting sqref="Q337:AA337 Q335:AA335 Q333:AA333">
    <cfRule type="expression" dxfId="10177" priority="1709">
      <formula>Q$1=""</formula>
    </cfRule>
  </conditionalFormatting>
  <conditionalFormatting sqref="Q337:AA337 Q335:AA335 Q333:AA333">
    <cfRule type="expression" dxfId="10176" priority="1708">
      <formula>Q$1=""</formula>
    </cfRule>
  </conditionalFormatting>
  <conditionalFormatting sqref="Q337:AA337 Q335:AA335 Q333:AA333">
    <cfRule type="expression" dxfId="10175" priority="1707">
      <formula>Q$1=""</formula>
    </cfRule>
  </conditionalFormatting>
  <conditionalFormatting sqref="Q337:AA337 Q335:AA335 Q333:AA333">
    <cfRule type="expression" dxfId="10174" priority="1706">
      <formula>Q$1=""</formula>
    </cfRule>
  </conditionalFormatting>
  <conditionalFormatting sqref="Q337:AA337 Q335:AA335 Q333:AA333">
    <cfRule type="expression" dxfId="10173" priority="1705">
      <formula>Q$1=""</formula>
    </cfRule>
  </conditionalFormatting>
  <conditionalFormatting sqref="Q337:AA337 Q335:AA335 Q333:AA333">
    <cfRule type="expression" dxfId="10172" priority="1704">
      <formula>Q$1=""</formula>
    </cfRule>
  </conditionalFormatting>
  <conditionalFormatting sqref="Q337:AA337 Q335:AA335 Q333:AA333">
    <cfRule type="expression" dxfId="10171" priority="1703">
      <formula>Q$1=""</formula>
    </cfRule>
  </conditionalFormatting>
  <conditionalFormatting sqref="Q337:AA337 Q335:AA335 Q333:AA333">
    <cfRule type="expression" dxfId="10170" priority="1702">
      <formula>Q$1=""</formula>
    </cfRule>
  </conditionalFormatting>
  <conditionalFormatting sqref="Q337:AA337 Q335:AA335 Q333:AA333">
    <cfRule type="expression" dxfId="10169" priority="1701">
      <formula>Q$1=""</formula>
    </cfRule>
  </conditionalFormatting>
  <conditionalFormatting sqref="Q337:AA337 Q335:AA335 Q333:AA333">
    <cfRule type="expression" dxfId="10168" priority="1700">
      <formula>Q$1=""</formula>
    </cfRule>
  </conditionalFormatting>
  <conditionalFormatting sqref="Q337:AA337 Q335:AA335 Q333:AA333">
    <cfRule type="expression" dxfId="10167" priority="1699">
      <formula>Q$1=""</formula>
    </cfRule>
  </conditionalFormatting>
  <conditionalFormatting sqref="Q337:AA337 Q335:AA335 Q333:AA333">
    <cfRule type="expression" dxfId="10166" priority="1698">
      <formula>Q$1=""</formula>
    </cfRule>
  </conditionalFormatting>
  <conditionalFormatting sqref="Q337:AA337 Q335:AA335 Q333:AA333">
    <cfRule type="expression" dxfId="10165" priority="1697">
      <formula>Q$1=""</formula>
    </cfRule>
  </conditionalFormatting>
  <conditionalFormatting sqref="Q337:AA337 Q335:AA335 Q333:AA333">
    <cfRule type="expression" dxfId="10164" priority="1696">
      <formula>Q$1=""</formula>
    </cfRule>
  </conditionalFormatting>
  <conditionalFormatting sqref="Q337:AA337 Q335:AA335 Q333:AA333">
    <cfRule type="expression" dxfId="10163" priority="1695">
      <formula>Q$1=""</formula>
    </cfRule>
  </conditionalFormatting>
  <conditionalFormatting sqref="Q337:AA337 Q335:AA335 Q333:AA333">
    <cfRule type="expression" dxfId="10162" priority="1694">
      <formula>Q$1=""</formula>
    </cfRule>
  </conditionalFormatting>
  <conditionalFormatting sqref="Q333:AA333">
    <cfRule type="expression" dxfId="10161" priority="1693">
      <formula>Q$1=""</formula>
    </cfRule>
  </conditionalFormatting>
  <conditionalFormatting sqref="Q337:AA337 Q335:AA335 Q333:AA333">
    <cfRule type="expression" dxfId="10160" priority="1692">
      <formula>Q$1=""</formula>
    </cfRule>
  </conditionalFormatting>
  <conditionalFormatting sqref="Q337:AA337 Q335:AA335 Q333:AA333">
    <cfRule type="expression" dxfId="10159" priority="1691">
      <formula>Q$1=""</formula>
    </cfRule>
  </conditionalFormatting>
  <conditionalFormatting sqref="Q337:AA337 Q335:AA335 Q333:AA333">
    <cfRule type="expression" dxfId="10158" priority="1690">
      <formula>Q$1=""</formula>
    </cfRule>
  </conditionalFormatting>
  <conditionalFormatting sqref="Q337:AA337 Q335:AA335 Q333:AA333">
    <cfRule type="expression" dxfId="10157" priority="1689">
      <formula>Q$1=""</formula>
    </cfRule>
  </conditionalFormatting>
  <conditionalFormatting sqref="Q337:AA337 Q335:AA335 Q333:AA333">
    <cfRule type="expression" dxfId="10156" priority="1688">
      <formula>Q$1=""</formula>
    </cfRule>
  </conditionalFormatting>
  <conditionalFormatting sqref="Q333:AA333">
    <cfRule type="expression" dxfId="10155" priority="1687">
      <formula>Q$1=""</formula>
    </cfRule>
  </conditionalFormatting>
  <conditionalFormatting sqref="Q337:AA337 Q335:AA335 Q333:AA333">
    <cfRule type="expression" dxfId="10154" priority="1686">
      <formula>Q$1=""</formula>
    </cfRule>
  </conditionalFormatting>
  <conditionalFormatting sqref="Q337:AA337 Q335:AA335 Q333:AA333">
    <cfRule type="expression" dxfId="10153" priority="1685">
      <formula>Q$1=""</formula>
    </cfRule>
  </conditionalFormatting>
  <conditionalFormatting sqref="Q337:AA337 Q335:AA335 Q333:AA333">
    <cfRule type="expression" dxfId="10152" priority="1684">
      <formula>Q$1=""</formula>
    </cfRule>
  </conditionalFormatting>
  <conditionalFormatting sqref="Q337:AA337 Q335:AA335 Q333:AA333">
    <cfRule type="expression" dxfId="10151" priority="1683">
      <formula>Q$1=""</formula>
    </cfRule>
  </conditionalFormatting>
  <conditionalFormatting sqref="Q337:AA337 Q335:AA335 Q333:AA333">
    <cfRule type="expression" dxfId="10150" priority="1682">
      <formula>Q$1=""</formula>
    </cfRule>
  </conditionalFormatting>
  <conditionalFormatting sqref="Q337:AA337 Q335:AA335 Q333:AA333">
    <cfRule type="expression" dxfId="10149" priority="1681">
      <formula>Q$1=""</formula>
    </cfRule>
  </conditionalFormatting>
  <conditionalFormatting sqref="Q337:AA337 Q335:AA335 Q333:AA333">
    <cfRule type="expression" dxfId="10148" priority="1680">
      <formula>Q$1=""</formula>
    </cfRule>
  </conditionalFormatting>
  <conditionalFormatting sqref="Q337:AA337 Q335:AA335 Q333:AA333">
    <cfRule type="expression" dxfId="10147" priority="1679">
      <formula>Q$1=""</formula>
    </cfRule>
  </conditionalFormatting>
  <conditionalFormatting sqref="P341:AA341">
    <cfRule type="expression" dxfId="10146" priority="1678">
      <formula>P$1=""</formula>
    </cfRule>
  </conditionalFormatting>
  <conditionalFormatting sqref="P343:AA343">
    <cfRule type="expression" dxfId="10145" priority="1677">
      <formula>P$1=""</formula>
    </cfRule>
  </conditionalFormatting>
  <conditionalFormatting sqref="P345:AA345">
    <cfRule type="expression" dxfId="10144" priority="1676">
      <formula>P$1=""</formula>
    </cfRule>
  </conditionalFormatting>
  <conditionalFormatting sqref="P347:AA347">
    <cfRule type="expression" dxfId="10143" priority="1675">
      <formula>P$1=""</formula>
    </cfRule>
  </conditionalFormatting>
  <conditionalFormatting sqref="P343:AA343 P345:AA345 P347:AA347">
    <cfRule type="expression" dxfId="10142" priority="1674">
      <formula>P$1=""</formula>
    </cfRule>
  </conditionalFormatting>
  <conditionalFormatting sqref="P343:AA343 P345:AA345 P347:AA347">
    <cfRule type="expression" dxfId="10141" priority="1673">
      <formula>P$1=""</formula>
    </cfRule>
  </conditionalFormatting>
  <conditionalFormatting sqref="P343:AA343 P345:AA345 P347:AA347">
    <cfRule type="expression" dxfId="10140" priority="1672">
      <formula>P$1=""</formula>
    </cfRule>
  </conditionalFormatting>
  <conditionalFormatting sqref="P343:AA343 P345:AA345 P347:AA347">
    <cfRule type="expression" dxfId="10139" priority="1671">
      <formula>P$1=""</formula>
    </cfRule>
  </conditionalFormatting>
  <conditionalFormatting sqref="P343:AA343 P345:AA345 P347:AA347">
    <cfRule type="expression" dxfId="10138" priority="1670">
      <formula>P$1=""</formula>
    </cfRule>
  </conditionalFormatting>
  <conditionalFormatting sqref="P345:AA345 P347:AA347">
    <cfRule type="expression" dxfId="10137" priority="1669">
      <formula>P$1=""</formula>
    </cfRule>
  </conditionalFormatting>
  <conditionalFormatting sqref="P343:AA343">
    <cfRule type="expression" dxfId="10136" priority="1668">
      <formula>P$1=""</formula>
    </cfRule>
  </conditionalFormatting>
  <conditionalFormatting sqref="P345:AA345 P347:AA347">
    <cfRule type="expression" dxfId="10135" priority="1667">
      <formula>P$1=""</formula>
    </cfRule>
  </conditionalFormatting>
  <conditionalFormatting sqref="P345:AA345 P347:AA347">
    <cfRule type="expression" dxfId="10134" priority="1666">
      <formula>P$1=""</formula>
    </cfRule>
  </conditionalFormatting>
  <conditionalFormatting sqref="P347:AA347">
    <cfRule type="expression" dxfId="10133" priority="1665">
      <formula>P$1=""</formula>
    </cfRule>
  </conditionalFormatting>
  <conditionalFormatting sqref="P347:AA347">
    <cfRule type="expression" dxfId="10132" priority="1664">
      <formula>P$1=""</formula>
    </cfRule>
  </conditionalFormatting>
  <conditionalFormatting sqref="P347:AA347">
    <cfRule type="expression" dxfId="10131" priority="1663">
      <formula>P$1=""</formula>
    </cfRule>
  </conditionalFormatting>
  <conditionalFormatting sqref="P347:AA347">
    <cfRule type="expression" dxfId="10130" priority="1662">
      <formula>P$1=""</formula>
    </cfRule>
  </conditionalFormatting>
  <conditionalFormatting sqref="P341:AA341">
    <cfRule type="expression" dxfId="10129" priority="1661">
      <formula>P$1=""</formula>
    </cfRule>
  </conditionalFormatting>
  <conditionalFormatting sqref="P341:AA341">
    <cfRule type="expression" dxfId="10128" priority="1660">
      <formula>P$1=""</formula>
    </cfRule>
  </conditionalFormatting>
  <conditionalFormatting sqref="P341:AA341">
    <cfRule type="expression" dxfId="10127" priority="1659">
      <formula>P$1=""</formula>
    </cfRule>
  </conditionalFormatting>
  <conditionalFormatting sqref="P341:AA341">
    <cfRule type="expression" dxfId="10126" priority="1658">
      <formula>P$1=""</formula>
    </cfRule>
  </conditionalFormatting>
  <conditionalFormatting sqref="P341:AA341">
    <cfRule type="expression" dxfId="10125" priority="1657">
      <formula>P$1=""</formula>
    </cfRule>
  </conditionalFormatting>
  <conditionalFormatting sqref="P341:AA341">
    <cfRule type="expression" dxfId="10124" priority="1656">
      <formula>P$1=""</formula>
    </cfRule>
  </conditionalFormatting>
  <conditionalFormatting sqref="P341:AA341">
    <cfRule type="expression" dxfId="10123" priority="1655">
      <formula>P$1=""</formula>
    </cfRule>
  </conditionalFormatting>
  <conditionalFormatting sqref="P345:AA345 P347:AA347">
    <cfRule type="expression" dxfId="10122" priority="1654">
      <formula>P$1=""</formula>
    </cfRule>
  </conditionalFormatting>
  <conditionalFormatting sqref="P345:AA345 P347:AA347">
    <cfRule type="expression" dxfId="10121" priority="1653">
      <formula>P$1=""</formula>
    </cfRule>
  </conditionalFormatting>
  <conditionalFormatting sqref="P345:AA345 P347:AA347">
    <cfRule type="expression" dxfId="10120" priority="1652">
      <formula>P$1=""</formula>
    </cfRule>
  </conditionalFormatting>
  <conditionalFormatting sqref="P345:AA345 P347:AA347">
    <cfRule type="expression" dxfId="10119" priority="1651">
      <formula>P$1=""</formula>
    </cfRule>
  </conditionalFormatting>
  <conditionalFormatting sqref="P343:AA343 P345 P347">
    <cfRule type="expression" dxfId="10118" priority="1650">
      <formula>P$1=""</formula>
    </cfRule>
  </conditionalFormatting>
  <conditionalFormatting sqref="P343:AA343 P345 P347">
    <cfRule type="expression" dxfId="10117" priority="1649">
      <formula>P$1=""</formula>
    </cfRule>
  </conditionalFormatting>
  <conditionalFormatting sqref="P343:AA343 P345 P347">
    <cfRule type="expression" dxfId="10116" priority="1648">
      <formula>P$1=""</formula>
    </cfRule>
  </conditionalFormatting>
  <conditionalFormatting sqref="P343:AA343 P345 P347">
    <cfRule type="expression" dxfId="10115" priority="1647">
      <formula>P$1=""</formula>
    </cfRule>
  </conditionalFormatting>
  <conditionalFormatting sqref="P343:AA343 P345 P347">
    <cfRule type="expression" dxfId="10114" priority="1646">
      <formula>P$1=""</formula>
    </cfRule>
  </conditionalFormatting>
  <conditionalFormatting sqref="P343:AA343 P345 P347">
    <cfRule type="expression" dxfId="10113" priority="1645">
      <formula>P$1=""</formula>
    </cfRule>
  </conditionalFormatting>
  <conditionalFormatting sqref="P343:AA343 P345 P347">
    <cfRule type="expression" dxfId="10112" priority="1644">
      <formula>P$1=""</formula>
    </cfRule>
  </conditionalFormatting>
  <conditionalFormatting sqref="P343:AA343 P345 P347">
    <cfRule type="expression" dxfId="10111" priority="1643">
      <formula>P$1=""</formula>
    </cfRule>
  </conditionalFormatting>
  <conditionalFormatting sqref="Q343:AA343">
    <cfRule type="expression" dxfId="10110" priority="1642">
      <formula>Q$1=""</formula>
    </cfRule>
  </conditionalFormatting>
  <conditionalFormatting sqref="Q343:AA343">
    <cfRule type="expression" dxfId="10109" priority="1641">
      <formula>Q$1=""</formula>
    </cfRule>
  </conditionalFormatting>
  <conditionalFormatting sqref="Q343:AA343">
    <cfRule type="expression" dxfId="10108" priority="1640">
      <formula>Q$1=""</formula>
    </cfRule>
  </conditionalFormatting>
  <conditionalFormatting sqref="Q343:AA343">
    <cfRule type="expression" dxfId="10107" priority="1639">
      <formula>Q$1=""</formula>
    </cfRule>
  </conditionalFormatting>
  <conditionalFormatting sqref="Q343:AA343">
    <cfRule type="expression" dxfId="10106" priority="1638">
      <formula>Q$1=""</formula>
    </cfRule>
  </conditionalFormatting>
  <conditionalFormatting sqref="Q343:AA343">
    <cfRule type="expression" dxfId="10105" priority="1637">
      <formula>Q$1=""</formula>
    </cfRule>
  </conditionalFormatting>
  <conditionalFormatting sqref="Q343:AA343">
    <cfRule type="expression" dxfId="10104" priority="1636">
      <formula>Q$1=""</formula>
    </cfRule>
  </conditionalFormatting>
  <conditionalFormatting sqref="Q343:AA343">
    <cfRule type="expression" dxfId="10103" priority="1635">
      <formula>Q$1=""</formula>
    </cfRule>
  </conditionalFormatting>
  <conditionalFormatting sqref="Q345:AA345 Q347:AA347">
    <cfRule type="expression" dxfId="10102" priority="1634">
      <formula>Q$1=""</formula>
    </cfRule>
  </conditionalFormatting>
  <conditionalFormatting sqref="Q345:AA345 Q347:AA347">
    <cfRule type="expression" dxfId="10101" priority="1633">
      <formula>Q$1=""</formula>
    </cfRule>
  </conditionalFormatting>
  <conditionalFormatting sqref="Q345:AA345 Q347:AA347">
    <cfRule type="expression" dxfId="10100" priority="1632">
      <formula>Q$1=""</formula>
    </cfRule>
  </conditionalFormatting>
  <conditionalFormatting sqref="Q345:AA345 Q347:AA347">
    <cfRule type="expression" dxfId="10099" priority="1631">
      <formula>Q$1=""</formula>
    </cfRule>
  </conditionalFormatting>
  <conditionalFormatting sqref="Q345:AA345 Q347:AA347">
    <cfRule type="expression" dxfId="10098" priority="1630">
      <formula>Q$1=""</formula>
    </cfRule>
  </conditionalFormatting>
  <conditionalFormatting sqref="Q345:AA345 Q347:AA347">
    <cfRule type="expression" dxfId="10097" priority="1629">
      <formula>Q$1=""</formula>
    </cfRule>
  </conditionalFormatting>
  <conditionalFormatting sqref="Q345:AA345 Q347:AA347">
    <cfRule type="expression" dxfId="10096" priority="1628">
      <formula>Q$1=""</formula>
    </cfRule>
  </conditionalFormatting>
  <conditionalFormatting sqref="Q345:AA345 Q347:AA347">
    <cfRule type="expression" dxfId="10095" priority="1627">
      <formula>Q$1=""</formula>
    </cfRule>
  </conditionalFormatting>
  <conditionalFormatting sqref="Q345:AA345 Q347:AA347">
    <cfRule type="expression" dxfId="10094" priority="1626">
      <formula>Q$1=""</formula>
    </cfRule>
  </conditionalFormatting>
  <conditionalFormatting sqref="Q345:AA345 Q347:AA347">
    <cfRule type="expression" dxfId="10093" priority="1625">
      <formula>Q$1=""</formula>
    </cfRule>
  </conditionalFormatting>
  <conditionalFormatting sqref="P341:AA341">
    <cfRule type="expression" dxfId="10092" priority="1624">
      <formula>P$1=""</formula>
    </cfRule>
  </conditionalFormatting>
  <conditionalFormatting sqref="P341:AA341">
    <cfRule type="expression" dxfId="10091" priority="1623">
      <formula>P$1=""</formula>
    </cfRule>
  </conditionalFormatting>
  <conditionalFormatting sqref="P341:AA341">
    <cfRule type="expression" dxfId="10090" priority="1622">
      <formula>P$1=""</formula>
    </cfRule>
  </conditionalFormatting>
  <conditionalFormatting sqref="P341:AA341">
    <cfRule type="expression" dxfId="10089" priority="1621">
      <formula>P$1=""</formula>
    </cfRule>
  </conditionalFormatting>
  <conditionalFormatting sqref="P341:AA341">
    <cfRule type="expression" dxfId="10088" priority="1620">
      <formula>P$1=""</formula>
    </cfRule>
  </conditionalFormatting>
  <conditionalFormatting sqref="P341:AA341">
    <cfRule type="expression" dxfId="10087" priority="1619">
      <formula>P$1=""</formula>
    </cfRule>
  </conditionalFormatting>
  <conditionalFormatting sqref="P341:AA341">
    <cfRule type="expression" dxfId="10086" priority="1618">
      <formula>P$1=""</formula>
    </cfRule>
  </conditionalFormatting>
  <conditionalFormatting sqref="P341:AA341">
    <cfRule type="expression" dxfId="10085" priority="1617">
      <formula>P$1=""</formula>
    </cfRule>
  </conditionalFormatting>
  <conditionalFormatting sqref="P343:AA343">
    <cfRule type="expression" dxfId="10084" priority="1616">
      <formula>P$1=""</formula>
    </cfRule>
  </conditionalFormatting>
  <conditionalFormatting sqref="P343:AA343">
    <cfRule type="expression" dxfId="10083" priority="1615">
      <formula>P$1=""</formula>
    </cfRule>
  </conditionalFormatting>
  <conditionalFormatting sqref="P343:AA343">
    <cfRule type="expression" dxfId="10082" priority="1614">
      <formula>P$1=""</formula>
    </cfRule>
  </conditionalFormatting>
  <conditionalFormatting sqref="P343:AA343">
    <cfRule type="expression" dxfId="10081" priority="1613">
      <formula>P$1=""</formula>
    </cfRule>
  </conditionalFormatting>
  <conditionalFormatting sqref="P343:AA343">
    <cfRule type="expression" dxfId="10080" priority="1612">
      <formula>P$1=""</formula>
    </cfRule>
  </conditionalFormatting>
  <conditionalFormatting sqref="P343:AA343">
    <cfRule type="expression" dxfId="10079" priority="1611">
      <formula>P$1=""</formula>
    </cfRule>
  </conditionalFormatting>
  <conditionalFormatting sqref="P343:AA343">
    <cfRule type="expression" dxfId="10078" priority="1610">
      <formula>P$1=""</formula>
    </cfRule>
  </conditionalFormatting>
  <conditionalFormatting sqref="P343:AA343">
    <cfRule type="expression" dxfId="10077" priority="1609">
      <formula>P$1=""</formula>
    </cfRule>
  </conditionalFormatting>
  <conditionalFormatting sqref="P343:AA343">
    <cfRule type="expression" dxfId="10076" priority="1608">
      <formula>P$1=""</formula>
    </cfRule>
  </conditionalFormatting>
  <conditionalFormatting sqref="P343:AA343">
    <cfRule type="expression" dxfId="10075" priority="1607">
      <formula>P$1=""</formula>
    </cfRule>
  </conditionalFormatting>
  <conditionalFormatting sqref="P343:AA343">
    <cfRule type="expression" dxfId="10074" priority="1606">
      <formula>P$1=""</formula>
    </cfRule>
  </conditionalFormatting>
  <conditionalFormatting sqref="P343:AA343">
    <cfRule type="expression" dxfId="10073" priority="1605">
      <formula>P$1=""</formula>
    </cfRule>
  </conditionalFormatting>
  <conditionalFormatting sqref="P343:AA343">
    <cfRule type="expression" dxfId="10072" priority="1604">
      <formula>P$1=""</formula>
    </cfRule>
  </conditionalFormatting>
  <conditionalFormatting sqref="P343:AA343">
    <cfRule type="expression" dxfId="10071" priority="1603">
      <formula>P$1=""</formula>
    </cfRule>
  </conditionalFormatting>
  <conditionalFormatting sqref="P343:AA343">
    <cfRule type="expression" dxfId="10070" priority="1602">
      <formula>P$1=""</formula>
    </cfRule>
  </conditionalFormatting>
  <conditionalFormatting sqref="P343:AA343">
    <cfRule type="expression" dxfId="10069" priority="1601">
      <formula>P$1=""</formula>
    </cfRule>
  </conditionalFormatting>
  <conditionalFormatting sqref="P347 P345">
    <cfRule type="expression" dxfId="10068" priority="1600">
      <formula>P$1=""</formula>
    </cfRule>
  </conditionalFormatting>
  <conditionalFormatting sqref="P347 P345">
    <cfRule type="expression" dxfId="10067" priority="1599">
      <formula>P$1=""</formula>
    </cfRule>
  </conditionalFormatting>
  <conditionalFormatting sqref="P347 P345">
    <cfRule type="expression" dxfId="10066" priority="1598">
      <formula>P$1=""</formula>
    </cfRule>
  </conditionalFormatting>
  <conditionalFormatting sqref="P347 P345">
    <cfRule type="expression" dxfId="10065" priority="1597">
      <formula>P$1=""</formula>
    </cfRule>
  </conditionalFormatting>
  <conditionalFormatting sqref="P347 P345">
    <cfRule type="expression" dxfId="10064" priority="1596">
      <formula>P$1=""</formula>
    </cfRule>
  </conditionalFormatting>
  <conditionalFormatting sqref="P347 P345">
    <cfRule type="expression" dxfId="10063" priority="1595">
      <formula>P$1=""</formula>
    </cfRule>
  </conditionalFormatting>
  <conditionalFormatting sqref="P347 P345">
    <cfRule type="expression" dxfId="10062" priority="1594">
      <formula>P$1=""</formula>
    </cfRule>
  </conditionalFormatting>
  <conditionalFormatting sqref="P347 P345">
    <cfRule type="expression" dxfId="10061" priority="1593">
      <formula>P$1=""</formula>
    </cfRule>
  </conditionalFormatting>
  <conditionalFormatting sqref="P347 P345">
    <cfRule type="expression" dxfId="10060" priority="1592">
      <formula>P$1=""</formula>
    </cfRule>
  </conditionalFormatting>
  <conditionalFormatting sqref="P347 P345">
    <cfRule type="expression" dxfId="10059" priority="1591">
      <formula>P$1=""</formula>
    </cfRule>
  </conditionalFormatting>
  <conditionalFormatting sqref="P347 P345">
    <cfRule type="expression" dxfId="10058" priority="1590">
      <formula>P$1=""</formula>
    </cfRule>
  </conditionalFormatting>
  <conditionalFormatting sqref="P347 P345">
    <cfRule type="expression" dxfId="10057" priority="1589">
      <formula>P$1=""</formula>
    </cfRule>
  </conditionalFormatting>
  <conditionalFormatting sqref="P347 P345">
    <cfRule type="expression" dxfId="10056" priority="1588">
      <formula>P$1=""</formula>
    </cfRule>
  </conditionalFormatting>
  <conditionalFormatting sqref="P347 P345">
    <cfRule type="expression" dxfId="10055" priority="1587">
      <formula>P$1=""</formula>
    </cfRule>
  </conditionalFormatting>
  <conditionalFormatting sqref="P347 P345">
    <cfRule type="expression" dxfId="10054" priority="1586">
      <formula>P$1=""</formula>
    </cfRule>
  </conditionalFormatting>
  <conditionalFormatting sqref="P347 P345">
    <cfRule type="expression" dxfId="10053" priority="1585">
      <formula>P$1=""</formula>
    </cfRule>
  </conditionalFormatting>
  <conditionalFormatting sqref="P347 P345">
    <cfRule type="expression" dxfId="10052" priority="1584">
      <formula>P$1=""</formula>
    </cfRule>
  </conditionalFormatting>
  <conditionalFormatting sqref="P347 P345">
    <cfRule type="expression" dxfId="10051" priority="1583">
      <formula>P$1=""</formula>
    </cfRule>
  </conditionalFormatting>
  <conditionalFormatting sqref="Q347:AA347 Q345:AA345">
    <cfRule type="expression" dxfId="10050" priority="1582">
      <formula>Q$1=""</formula>
    </cfRule>
  </conditionalFormatting>
  <conditionalFormatting sqref="Q347:AA347 Q345:AA345">
    <cfRule type="expression" dxfId="10049" priority="1581">
      <formula>Q$1=""</formula>
    </cfRule>
  </conditionalFormatting>
  <conditionalFormatting sqref="Q347:AA347 Q345:AA345">
    <cfRule type="expression" dxfId="10048" priority="1580">
      <formula>Q$1=""</formula>
    </cfRule>
  </conditionalFormatting>
  <conditionalFormatting sqref="Q347:AA347 Q345:AA345">
    <cfRule type="expression" dxfId="10047" priority="1579">
      <formula>Q$1=""</formula>
    </cfRule>
  </conditionalFormatting>
  <conditionalFormatting sqref="Q347:AA347 Q345:AA345">
    <cfRule type="expression" dxfId="10046" priority="1578">
      <formula>Q$1=""</formula>
    </cfRule>
  </conditionalFormatting>
  <conditionalFormatting sqref="Q347:AA347 Q345:AA345">
    <cfRule type="expression" dxfId="10045" priority="1577">
      <formula>Q$1=""</formula>
    </cfRule>
  </conditionalFormatting>
  <conditionalFormatting sqref="Q347:AA347 Q345:AA345">
    <cfRule type="expression" dxfId="10044" priority="1576">
      <formula>Q$1=""</formula>
    </cfRule>
  </conditionalFormatting>
  <conditionalFormatting sqref="Q347:AA347 Q345:AA345">
    <cfRule type="expression" dxfId="10043" priority="1575">
      <formula>Q$1=""</formula>
    </cfRule>
  </conditionalFormatting>
  <conditionalFormatting sqref="Q347:AA347 Q345:AA345">
    <cfRule type="expression" dxfId="10042" priority="1574">
      <formula>Q$1=""</formula>
    </cfRule>
  </conditionalFormatting>
  <conditionalFormatting sqref="Q347:AA347 Q345:AA345">
    <cfRule type="expression" dxfId="10041" priority="1573">
      <formula>Q$1=""</formula>
    </cfRule>
  </conditionalFormatting>
  <conditionalFormatting sqref="Q347:AA347 Q345:AA345">
    <cfRule type="expression" dxfId="10040" priority="1572">
      <formula>Q$1=""</formula>
    </cfRule>
  </conditionalFormatting>
  <conditionalFormatting sqref="Q347:AA347 Q345:AA345">
    <cfRule type="expression" dxfId="10039" priority="1571">
      <formula>Q$1=""</formula>
    </cfRule>
  </conditionalFormatting>
  <conditionalFormatting sqref="Q347:AA347 Q345:AA345">
    <cfRule type="expression" dxfId="10038" priority="1570">
      <formula>Q$1=""</formula>
    </cfRule>
  </conditionalFormatting>
  <conditionalFormatting sqref="Q347:AA347 Q345:AA345">
    <cfRule type="expression" dxfId="10037" priority="1569">
      <formula>Q$1=""</formula>
    </cfRule>
  </conditionalFormatting>
  <conditionalFormatting sqref="Q347:AA347 Q345:AA345">
    <cfRule type="expression" dxfId="10036" priority="1568">
      <formula>Q$1=""</formula>
    </cfRule>
  </conditionalFormatting>
  <conditionalFormatting sqref="Q347:AA347 Q345:AA345">
    <cfRule type="expression" dxfId="10035" priority="1567">
      <formula>Q$1=""</formula>
    </cfRule>
  </conditionalFormatting>
  <conditionalFormatting sqref="Q347:AA347 Q345:AA345">
    <cfRule type="expression" dxfId="10034" priority="1566">
      <formula>Q$1=""</formula>
    </cfRule>
  </conditionalFormatting>
  <conditionalFormatting sqref="Q347:AA347 Q345:AA345">
    <cfRule type="expression" dxfId="10033" priority="1565">
      <formula>Q$1=""</formula>
    </cfRule>
  </conditionalFormatting>
  <conditionalFormatting sqref="Q347:AA347 Q345:AA345">
    <cfRule type="expression" dxfId="10032" priority="1564">
      <formula>Q$1=""</formula>
    </cfRule>
  </conditionalFormatting>
  <conditionalFormatting sqref="Q347:AA347 Q345:AA345">
    <cfRule type="expression" dxfId="10031" priority="1563">
      <formula>Q$1=""</formula>
    </cfRule>
  </conditionalFormatting>
  <conditionalFormatting sqref="Q347:AA347 Q345:AA345">
    <cfRule type="expression" dxfId="10030" priority="1562">
      <formula>Q$1=""</formula>
    </cfRule>
  </conditionalFormatting>
  <conditionalFormatting sqref="Q347:AA347 Q345:AA345">
    <cfRule type="expression" dxfId="10029" priority="1561">
      <formula>Q$1=""</formula>
    </cfRule>
  </conditionalFormatting>
  <conditionalFormatting sqref="Q347:AA347 Q345:AA345">
    <cfRule type="expression" dxfId="10028" priority="1560">
      <formula>Q$1=""</formula>
    </cfRule>
  </conditionalFormatting>
  <conditionalFormatting sqref="Q347:AA347 Q345:AA345">
    <cfRule type="expression" dxfId="10027" priority="1559">
      <formula>Q$1=""</formula>
    </cfRule>
  </conditionalFormatting>
  <conditionalFormatting sqref="Q347:AA347 Q345:AA345">
    <cfRule type="expression" dxfId="10026" priority="1558">
      <formula>Q$1=""</formula>
    </cfRule>
  </conditionalFormatting>
  <conditionalFormatting sqref="Q347:AA347 Q345:AA345">
    <cfRule type="expression" dxfId="10025" priority="1557">
      <formula>Q$1=""</formula>
    </cfRule>
  </conditionalFormatting>
  <conditionalFormatting sqref="Q347:AA347 Q345:AA345">
    <cfRule type="expression" dxfId="10024" priority="1556">
      <formula>Q$1=""</formula>
    </cfRule>
  </conditionalFormatting>
  <conditionalFormatting sqref="Q347:AA347 Q345:AA345">
    <cfRule type="expression" dxfId="10023" priority="1555">
      <formula>Q$1=""</formula>
    </cfRule>
  </conditionalFormatting>
  <conditionalFormatting sqref="Q347:AA347 Q345:AA345">
    <cfRule type="expression" dxfId="10022" priority="1554">
      <formula>Q$1=""</formula>
    </cfRule>
  </conditionalFormatting>
  <conditionalFormatting sqref="Q347:AA347 Q345:AA345">
    <cfRule type="expression" dxfId="10021" priority="1553">
      <formula>Q$1=""</formula>
    </cfRule>
  </conditionalFormatting>
  <conditionalFormatting sqref="Q347:AA347 Q345:AA345">
    <cfRule type="expression" dxfId="10020" priority="1552">
      <formula>Q$1=""</formula>
    </cfRule>
  </conditionalFormatting>
  <conditionalFormatting sqref="Q347:AA347 Q345:AA345">
    <cfRule type="expression" dxfId="10019" priority="1551">
      <formula>Q$1=""</formula>
    </cfRule>
  </conditionalFormatting>
  <conditionalFormatting sqref="Q347:AA347 Q345:AA345">
    <cfRule type="expression" dxfId="10018" priority="1550">
      <formula>Q$1=""</formula>
    </cfRule>
  </conditionalFormatting>
  <conditionalFormatting sqref="Q347:AA347 Q345:AA345">
    <cfRule type="expression" dxfId="10017" priority="1549">
      <formula>Q$1=""</formula>
    </cfRule>
  </conditionalFormatting>
  <conditionalFormatting sqref="P341:AA341">
    <cfRule type="expression" dxfId="10016" priority="1548">
      <formula>P$1=""</formula>
    </cfRule>
  </conditionalFormatting>
  <conditionalFormatting sqref="P341:AA341">
    <cfRule type="expression" dxfId="10015" priority="1547">
      <formula>P$1=""</formula>
    </cfRule>
  </conditionalFormatting>
  <conditionalFormatting sqref="P341:AA341">
    <cfRule type="expression" dxfId="10014" priority="1546">
      <formula>P$1=""</formula>
    </cfRule>
  </conditionalFormatting>
  <conditionalFormatting sqref="P341:AA341">
    <cfRule type="expression" dxfId="10013" priority="1545">
      <formula>P$1=""</formula>
    </cfRule>
  </conditionalFormatting>
  <conditionalFormatting sqref="P341:AA341">
    <cfRule type="expression" dxfId="10012" priority="1544">
      <formula>P$1=""</formula>
    </cfRule>
  </conditionalFormatting>
  <conditionalFormatting sqref="P341:AA341">
    <cfRule type="expression" dxfId="10011" priority="1543">
      <formula>P$1=""</formula>
    </cfRule>
  </conditionalFormatting>
  <conditionalFormatting sqref="P341:AA341">
    <cfRule type="expression" dxfId="10010" priority="1542">
      <formula>P$1=""</formula>
    </cfRule>
  </conditionalFormatting>
  <conditionalFormatting sqref="P341:AA341">
    <cfRule type="expression" dxfId="10009" priority="1541">
      <formula>P$1=""</formula>
    </cfRule>
  </conditionalFormatting>
  <conditionalFormatting sqref="P341:AA341">
    <cfRule type="expression" dxfId="10008" priority="1540">
      <formula>P$1=""</formula>
    </cfRule>
  </conditionalFormatting>
  <conditionalFormatting sqref="P341:AA341">
    <cfRule type="expression" dxfId="10007" priority="1539">
      <formula>P$1=""</formula>
    </cfRule>
  </conditionalFormatting>
  <conditionalFormatting sqref="P341:AA341">
    <cfRule type="expression" dxfId="10006" priority="1538">
      <formula>P$1=""</formula>
    </cfRule>
  </conditionalFormatting>
  <conditionalFormatting sqref="P341:AA341">
    <cfRule type="expression" dxfId="10005" priority="1537">
      <formula>P$1=""</formula>
    </cfRule>
  </conditionalFormatting>
  <conditionalFormatting sqref="P341:AA341">
    <cfRule type="expression" dxfId="10004" priority="1536">
      <formula>P$1=""</formula>
    </cfRule>
  </conditionalFormatting>
  <conditionalFormatting sqref="P341:AA341">
    <cfRule type="expression" dxfId="10003" priority="1535">
      <formula>P$1=""</formula>
    </cfRule>
  </conditionalFormatting>
  <conditionalFormatting sqref="P341:AA341">
    <cfRule type="expression" dxfId="10002" priority="1534">
      <formula>P$1=""</formula>
    </cfRule>
  </conditionalFormatting>
  <conditionalFormatting sqref="P341:AA341">
    <cfRule type="expression" dxfId="10001" priority="1533">
      <formula>P$1=""</formula>
    </cfRule>
  </conditionalFormatting>
  <conditionalFormatting sqref="P351:AA351">
    <cfRule type="expression" dxfId="10000" priority="1532">
      <formula>P$1=""</formula>
    </cfRule>
  </conditionalFormatting>
  <conditionalFormatting sqref="P353:AA353">
    <cfRule type="expression" dxfId="9999" priority="1531">
      <formula>P$1=""</formula>
    </cfRule>
  </conditionalFormatting>
  <conditionalFormatting sqref="P355:AA355">
    <cfRule type="expression" dxfId="9998" priority="1530">
      <formula>P$1=""</formula>
    </cfRule>
  </conditionalFormatting>
  <conditionalFormatting sqref="P357:AA357">
    <cfRule type="expression" dxfId="9997" priority="1529">
      <formula>P$1=""</formula>
    </cfRule>
  </conditionalFormatting>
  <conditionalFormatting sqref="P353:AA353 P355:AA355 P357:AA357">
    <cfRule type="expression" dxfId="9996" priority="1528">
      <formula>P$1=""</formula>
    </cfRule>
  </conditionalFormatting>
  <conditionalFormatting sqref="P353:AA353 P355:AA355 P357:AA357">
    <cfRule type="expression" dxfId="9995" priority="1527">
      <formula>P$1=""</formula>
    </cfRule>
  </conditionalFormatting>
  <conditionalFormatting sqref="P353:AA353 P355:AA355 P357:AA357">
    <cfRule type="expression" dxfId="9994" priority="1526">
      <formula>P$1=""</formula>
    </cfRule>
  </conditionalFormatting>
  <conditionalFormatting sqref="P353:AA353 P355:AA355 P357:AA357">
    <cfRule type="expression" dxfId="9993" priority="1525">
      <formula>P$1=""</formula>
    </cfRule>
  </conditionalFormatting>
  <conditionalFormatting sqref="P353:AA353 P355:AA355 P357:AA357">
    <cfRule type="expression" dxfId="9992" priority="1524">
      <formula>P$1=""</formula>
    </cfRule>
  </conditionalFormatting>
  <conditionalFormatting sqref="P355:AA355 P357:AA357">
    <cfRule type="expression" dxfId="9991" priority="1523">
      <formula>P$1=""</formula>
    </cfRule>
  </conditionalFormatting>
  <conditionalFormatting sqref="P353:AA353">
    <cfRule type="expression" dxfId="9990" priority="1522">
      <formula>P$1=""</formula>
    </cfRule>
  </conditionalFormatting>
  <conditionalFormatting sqref="P355:AA355 P357:AA357">
    <cfRule type="expression" dxfId="9989" priority="1521">
      <formula>P$1=""</formula>
    </cfRule>
  </conditionalFormatting>
  <conditionalFormatting sqref="P355:AA355 P357:AA357">
    <cfRule type="expression" dxfId="9988" priority="1520">
      <formula>P$1=""</formula>
    </cfRule>
  </conditionalFormatting>
  <conditionalFormatting sqref="P357:AA357">
    <cfRule type="expression" dxfId="9987" priority="1519">
      <formula>P$1=""</formula>
    </cfRule>
  </conditionalFormatting>
  <conditionalFormatting sqref="P357:AA357">
    <cfRule type="expression" dxfId="9986" priority="1518">
      <formula>P$1=""</formula>
    </cfRule>
  </conditionalFormatting>
  <conditionalFormatting sqref="P357:AA357">
    <cfRule type="expression" dxfId="9985" priority="1517">
      <formula>P$1=""</formula>
    </cfRule>
  </conditionalFormatting>
  <conditionalFormatting sqref="P357:AA357">
    <cfRule type="expression" dxfId="9984" priority="1516">
      <formula>P$1=""</formula>
    </cfRule>
  </conditionalFormatting>
  <conditionalFormatting sqref="P351:AA351">
    <cfRule type="expression" dxfId="9983" priority="1515">
      <formula>P$1=""</formula>
    </cfRule>
  </conditionalFormatting>
  <conditionalFormatting sqref="P351:AA351">
    <cfRule type="expression" dxfId="9982" priority="1514">
      <formula>P$1=""</formula>
    </cfRule>
  </conditionalFormatting>
  <conditionalFormatting sqref="P351:AA351">
    <cfRule type="expression" dxfId="9981" priority="1513">
      <formula>P$1=""</formula>
    </cfRule>
  </conditionalFormatting>
  <conditionalFormatting sqref="P351:AA351">
    <cfRule type="expression" dxfId="9980" priority="1512">
      <formula>P$1=""</formula>
    </cfRule>
  </conditionalFormatting>
  <conditionalFormatting sqref="P351:AA351">
    <cfRule type="expression" dxfId="9979" priority="1511">
      <formula>P$1=""</formula>
    </cfRule>
  </conditionalFormatting>
  <conditionalFormatting sqref="P351:AA351">
    <cfRule type="expression" dxfId="9978" priority="1510">
      <formula>P$1=""</formula>
    </cfRule>
  </conditionalFormatting>
  <conditionalFormatting sqref="P351:AA351">
    <cfRule type="expression" dxfId="9977" priority="1509">
      <formula>P$1=""</formula>
    </cfRule>
  </conditionalFormatting>
  <conditionalFormatting sqref="P355:AA355 P357:AA357">
    <cfRule type="expression" dxfId="9976" priority="1508">
      <formula>P$1=""</formula>
    </cfRule>
  </conditionalFormatting>
  <conditionalFormatting sqref="P355:AA355 P357:AA357">
    <cfRule type="expression" dxfId="9975" priority="1507">
      <formula>P$1=""</formula>
    </cfRule>
  </conditionalFormatting>
  <conditionalFormatting sqref="P355:AA355 P357:AA357">
    <cfRule type="expression" dxfId="9974" priority="1506">
      <formula>P$1=""</formula>
    </cfRule>
  </conditionalFormatting>
  <conditionalFormatting sqref="P355:AA355 P357:AA357">
    <cfRule type="expression" dxfId="9973" priority="1505">
      <formula>P$1=""</formula>
    </cfRule>
  </conditionalFormatting>
  <conditionalFormatting sqref="P353:AA353 P355:AA355 P357:AA357">
    <cfRule type="expression" dxfId="9972" priority="1504">
      <formula>P$1=""</formula>
    </cfRule>
  </conditionalFormatting>
  <conditionalFormatting sqref="P353:AA353 P355:AA355 P357:AA357">
    <cfRule type="expression" dxfId="9971" priority="1503">
      <formula>P$1=""</formula>
    </cfRule>
  </conditionalFormatting>
  <conditionalFormatting sqref="P353:AA353 P355:AA355 P357:AA357">
    <cfRule type="expression" dxfId="9970" priority="1502">
      <formula>P$1=""</formula>
    </cfRule>
  </conditionalFormatting>
  <conditionalFormatting sqref="P353:AA353 P355:AA355 P357:AA357">
    <cfRule type="expression" dxfId="9969" priority="1501">
      <formula>P$1=""</formula>
    </cfRule>
  </conditionalFormatting>
  <conditionalFormatting sqref="P353:AA353 P355:AA355 P357:AA357">
    <cfRule type="expression" dxfId="9968" priority="1500">
      <formula>P$1=""</formula>
    </cfRule>
  </conditionalFormatting>
  <conditionalFormatting sqref="P353:AA353 P355:AA355 P357:AA357">
    <cfRule type="expression" dxfId="9967" priority="1499">
      <formula>P$1=""</formula>
    </cfRule>
  </conditionalFormatting>
  <conditionalFormatting sqref="P353:AA353 P355:AA355 P357:AA357">
    <cfRule type="expression" dxfId="9966" priority="1498">
      <formula>P$1=""</formula>
    </cfRule>
  </conditionalFormatting>
  <conditionalFormatting sqref="P353:AA353 P355:AA355 P357:AA357">
    <cfRule type="expression" dxfId="9965" priority="1497">
      <formula>P$1=""</formula>
    </cfRule>
  </conditionalFormatting>
  <conditionalFormatting sqref="Q353:AA353">
    <cfRule type="expression" dxfId="9964" priority="1496">
      <formula>Q$1=""</formula>
    </cfRule>
  </conditionalFormatting>
  <conditionalFormatting sqref="Q353:AA353">
    <cfRule type="expression" dxfId="9963" priority="1495">
      <formula>Q$1=""</formula>
    </cfRule>
  </conditionalFormatting>
  <conditionalFormatting sqref="Q353:AA353">
    <cfRule type="expression" dxfId="9962" priority="1494">
      <formula>Q$1=""</formula>
    </cfRule>
  </conditionalFormatting>
  <conditionalFormatting sqref="Q353:AA353">
    <cfRule type="expression" dxfId="9961" priority="1493">
      <formula>Q$1=""</formula>
    </cfRule>
  </conditionalFormatting>
  <conditionalFormatting sqref="Q353:AA353">
    <cfRule type="expression" dxfId="9960" priority="1492">
      <formula>Q$1=""</formula>
    </cfRule>
  </conditionalFormatting>
  <conditionalFormatting sqref="Q353:AA353">
    <cfRule type="expression" dxfId="9959" priority="1491">
      <formula>Q$1=""</formula>
    </cfRule>
  </conditionalFormatting>
  <conditionalFormatting sqref="Q353:AA353">
    <cfRule type="expression" dxfId="9958" priority="1490">
      <formula>Q$1=""</formula>
    </cfRule>
  </conditionalFormatting>
  <conditionalFormatting sqref="Q353:AA353">
    <cfRule type="expression" dxfId="9957" priority="1489">
      <formula>Q$1=""</formula>
    </cfRule>
  </conditionalFormatting>
  <conditionalFormatting sqref="Q355:AA355 Q357:AA357">
    <cfRule type="expression" dxfId="9956" priority="1488">
      <formula>Q$1=""</formula>
    </cfRule>
  </conditionalFormatting>
  <conditionalFormatting sqref="Q355:AA355 Q357:AA357">
    <cfRule type="expression" dxfId="9955" priority="1487">
      <formula>Q$1=""</formula>
    </cfRule>
  </conditionalFormatting>
  <conditionalFormatting sqref="Q355:AA355 Q357:AA357">
    <cfRule type="expression" dxfId="9954" priority="1486">
      <formula>Q$1=""</formula>
    </cfRule>
  </conditionalFormatting>
  <conditionalFormatting sqref="Q355:AA355 Q357:AA357">
    <cfRule type="expression" dxfId="9953" priority="1485">
      <formula>Q$1=""</formula>
    </cfRule>
  </conditionalFormatting>
  <conditionalFormatting sqref="Q355:AA355 Q357:AA357">
    <cfRule type="expression" dxfId="9952" priority="1484">
      <formula>Q$1=""</formula>
    </cfRule>
  </conditionalFormatting>
  <conditionalFormatting sqref="Q355:AA355 Q357:AA357">
    <cfRule type="expression" dxfId="9951" priority="1483">
      <formula>Q$1=""</formula>
    </cfRule>
  </conditionalFormatting>
  <conditionalFormatting sqref="Q355:AA355 Q357:AA357">
    <cfRule type="expression" dxfId="9950" priority="1482">
      <formula>Q$1=""</formula>
    </cfRule>
  </conditionalFormatting>
  <conditionalFormatting sqref="Q355:AA355 Q357:AA357">
    <cfRule type="expression" dxfId="9949" priority="1481">
      <formula>Q$1=""</formula>
    </cfRule>
  </conditionalFormatting>
  <conditionalFormatting sqref="Q355:AA355 Q357:AA357">
    <cfRule type="expression" dxfId="9948" priority="1480">
      <formula>Q$1=""</formula>
    </cfRule>
  </conditionalFormatting>
  <conditionalFormatting sqref="Q355:AA355 Q357:AA357">
    <cfRule type="expression" dxfId="9947" priority="1479">
      <formula>Q$1=""</formula>
    </cfRule>
  </conditionalFormatting>
  <conditionalFormatting sqref="P351:AA351">
    <cfRule type="expression" dxfId="9946" priority="1478">
      <formula>P$1=""</formula>
    </cfRule>
  </conditionalFormatting>
  <conditionalFormatting sqref="P351:AA351">
    <cfRule type="expression" dxfId="9945" priority="1477">
      <formula>P$1=""</formula>
    </cfRule>
  </conditionalFormatting>
  <conditionalFormatting sqref="P351:AA351">
    <cfRule type="expression" dxfId="9944" priority="1476">
      <formula>P$1=""</formula>
    </cfRule>
  </conditionalFormatting>
  <conditionalFormatting sqref="P351:AA351">
    <cfRule type="expression" dxfId="9943" priority="1475">
      <formula>P$1=""</formula>
    </cfRule>
  </conditionalFormatting>
  <conditionalFormatting sqref="P351:AA351">
    <cfRule type="expression" dxfId="9942" priority="1474">
      <formula>P$1=""</formula>
    </cfRule>
  </conditionalFormatting>
  <conditionalFormatting sqref="P351:AA351">
    <cfRule type="expression" dxfId="9941" priority="1473">
      <formula>P$1=""</formula>
    </cfRule>
  </conditionalFormatting>
  <conditionalFormatting sqref="P351:AA351">
    <cfRule type="expression" dxfId="9940" priority="1472">
      <formula>P$1=""</formula>
    </cfRule>
  </conditionalFormatting>
  <conditionalFormatting sqref="P351:AA351">
    <cfRule type="expression" dxfId="9939" priority="1471">
      <formula>P$1=""</formula>
    </cfRule>
  </conditionalFormatting>
  <conditionalFormatting sqref="P353:AA353">
    <cfRule type="expression" dxfId="9938" priority="1470">
      <formula>P$1=""</formula>
    </cfRule>
  </conditionalFormatting>
  <conditionalFormatting sqref="P353:AA353">
    <cfRule type="expression" dxfId="9937" priority="1469">
      <formula>P$1=""</formula>
    </cfRule>
  </conditionalFormatting>
  <conditionalFormatting sqref="P353:AA353">
    <cfRule type="expression" dxfId="9936" priority="1468">
      <formula>P$1=""</formula>
    </cfRule>
  </conditionalFormatting>
  <conditionalFormatting sqref="P353:AA353">
    <cfRule type="expression" dxfId="9935" priority="1467">
      <formula>P$1=""</formula>
    </cfRule>
  </conditionalFormatting>
  <conditionalFormatting sqref="P353:AA353">
    <cfRule type="expression" dxfId="9934" priority="1466">
      <formula>P$1=""</formula>
    </cfRule>
  </conditionalFormatting>
  <conditionalFormatting sqref="P353:AA353">
    <cfRule type="expression" dxfId="9933" priority="1465">
      <formula>P$1=""</formula>
    </cfRule>
  </conditionalFormatting>
  <conditionalFormatting sqref="P353:AA353">
    <cfRule type="expression" dxfId="9932" priority="1464">
      <formula>P$1=""</formula>
    </cfRule>
  </conditionalFormatting>
  <conditionalFormatting sqref="P353:AA353">
    <cfRule type="expression" dxfId="9931" priority="1463">
      <formula>P$1=""</formula>
    </cfRule>
  </conditionalFormatting>
  <conditionalFormatting sqref="P353:AA353">
    <cfRule type="expression" dxfId="9930" priority="1462">
      <formula>P$1=""</formula>
    </cfRule>
  </conditionalFormatting>
  <conditionalFormatting sqref="P353:AA353">
    <cfRule type="expression" dxfId="9929" priority="1461">
      <formula>P$1=""</formula>
    </cfRule>
  </conditionalFormatting>
  <conditionalFormatting sqref="P353:AA353">
    <cfRule type="expression" dxfId="9928" priority="1460">
      <formula>P$1=""</formula>
    </cfRule>
  </conditionalFormatting>
  <conditionalFormatting sqref="P353:AA353">
    <cfRule type="expression" dxfId="9927" priority="1459">
      <formula>P$1=""</formula>
    </cfRule>
  </conditionalFormatting>
  <conditionalFormatting sqref="P353:AA353">
    <cfRule type="expression" dxfId="9926" priority="1458">
      <formula>P$1=""</formula>
    </cfRule>
  </conditionalFormatting>
  <conditionalFormatting sqref="P353:AA353">
    <cfRule type="expression" dxfId="9925" priority="1457">
      <formula>P$1=""</formula>
    </cfRule>
  </conditionalFormatting>
  <conditionalFormatting sqref="P353:AA353">
    <cfRule type="expression" dxfId="9924" priority="1456">
      <formula>P$1=""</formula>
    </cfRule>
  </conditionalFormatting>
  <conditionalFormatting sqref="P353:AA353">
    <cfRule type="expression" dxfId="9923" priority="1455">
      <formula>P$1=""</formula>
    </cfRule>
  </conditionalFormatting>
  <conditionalFormatting sqref="P357:AA357 P355:AA355">
    <cfRule type="expression" dxfId="9922" priority="1454">
      <formula>P$1=""</formula>
    </cfRule>
  </conditionalFormatting>
  <conditionalFormatting sqref="P357:AA357 P355:AA355">
    <cfRule type="expression" dxfId="9921" priority="1453">
      <formula>P$1=""</formula>
    </cfRule>
  </conditionalFormatting>
  <conditionalFormatting sqref="P357:AA357 P355:AA355">
    <cfRule type="expression" dxfId="9920" priority="1452">
      <formula>P$1=""</formula>
    </cfRule>
  </conditionalFormatting>
  <conditionalFormatting sqref="P357:AA357 P355:AA355">
    <cfRule type="expression" dxfId="9919" priority="1451">
      <formula>P$1=""</formula>
    </cfRule>
  </conditionalFormatting>
  <conditionalFormatting sqref="P357:AA357 P355:AA355">
    <cfRule type="expression" dxfId="9918" priority="1450">
      <formula>P$1=""</formula>
    </cfRule>
  </conditionalFormatting>
  <conditionalFormatting sqref="P357:AA357 P355:AA355">
    <cfRule type="expression" dxfId="9917" priority="1449">
      <formula>P$1=""</formula>
    </cfRule>
  </conditionalFormatting>
  <conditionalFormatting sqref="P357:AA357 P355:AA355">
    <cfRule type="expression" dxfId="9916" priority="1448">
      <formula>P$1=""</formula>
    </cfRule>
  </conditionalFormatting>
  <conditionalFormatting sqref="P357:AA357 P355:AA355">
    <cfRule type="expression" dxfId="9915" priority="1447">
      <formula>P$1=""</formula>
    </cfRule>
  </conditionalFormatting>
  <conditionalFormatting sqref="P357:AA357 P355:AA355">
    <cfRule type="expression" dxfId="9914" priority="1446">
      <formula>P$1=""</formula>
    </cfRule>
  </conditionalFormatting>
  <conditionalFormatting sqref="P357:AA357 P355:AA355">
    <cfRule type="expression" dxfId="9913" priority="1445">
      <formula>P$1=""</formula>
    </cfRule>
  </conditionalFormatting>
  <conditionalFormatting sqref="P357:AA357 P355:AA355">
    <cfRule type="expression" dxfId="9912" priority="1444">
      <formula>P$1=""</formula>
    </cfRule>
  </conditionalFormatting>
  <conditionalFormatting sqref="P357:AA357 P355:AA355">
    <cfRule type="expression" dxfId="9911" priority="1443">
      <formula>P$1=""</formula>
    </cfRule>
  </conditionalFormatting>
  <conditionalFormatting sqref="P357:AA357 P355:AA355">
    <cfRule type="expression" dxfId="9910" priority="1442">
      <formula>P$1=""</formula>
    </cfRule>
  </conditionalFormatting>
  <conditionalFormatting sqref="P357:AA357 P355:AA355">
    <cfRule type="expression" dxfId="9909" priority="1441">
      <formula>P$1=""</formula>
    </cfRule>
  </conditionalFormatting>
  <conditionalFormatting sqref="P357:AA357 P355:AA355">
    <cfRule type="expression" dxfId="9908" priority="1440">
      <formula>P$1=""</formula>
    </cfRule>
  </conditionalFormatting>
  <conditionalFormatting sqref="P357:AA357 P355:AA355">
    <cfRule type="expression" dxfId="9907" priority="1439">
      <formula>P$1=""</formula>
    </cfRule>
  </conditionalFormatting>
  <conditionalFormatting sqref="P357:AA357 P355:AA355">
    <cfRule type="expression" dxfId="9906" priority="1438">
      <formula>P$1=""</formula>
    </cfRule>
  </conditionalFormatting>
  <conditionalFormatting sqref="P357:AA357 P355:AA355">
    <cfRule type="expression" dxfId="9905" priority="1437">
      <formula>P$1=""</formula>
    </cfRule>
  </conditionalFormatting>
  <conditionalFormatting sqref="Q357:AA357 Q355:AA355">
    <cfRule type="expression" dxfId="9904" priority="1436">
      <formula>Q$1=""</formula>
    </cfRule>
  </conditionalFormatting>
  <conditionalFormatting sqref="Q357:AA357 Q355:AA355">
    <cfRule type="expression" dxfId="9903" priority="1435">
      <formula>Q$1=""</formula>
    </cfRule>
  </conditionalFormatting>
  <conditionalFormatting sqref="Q357:AA357 Q355:AA355">
    <cfRule type="expression" dxfId="9902" priority="1434">
      <formula>Q$1=""</formula>
    </cfRule>
  </conditionalFormatting>
  <conditionalFormatting sqref="Q357:AA357 Q355:AA355">
    <cfRule type="expression" dxfId="9901" priority="1433">
      <formula>Q$1=""</formula>
    </cfRule>
  </conditionalFormatting>
  <conditionalFormatting sqref="Q357:AA357 Q355:AA355">
    <cfRule type="expression" dxfId="9900" priority="1432">
      <formula>Q$1=""</formula>
    </cfRule>
  </conditionalFormatting>
  <conditionalFormatting sqref="Q357:AA357 Q355:AA355">
    <cfRule type="expression" dxfId="9899" priority="1431">
      <formula>Q$1=""</formula>
    </cfRule>
  </conditionalFormatting>
  <conditionalFormatting sqref="Q357:AA357 Q355:AA355">
    <cfRule type="expression" dxfId="9898" priority="1430">
      <formula>Q$1=""</formula>
    </cfRule>
  </conditionalFormatting>
  <conditionalFormatting sqref="Q357:AA357 Q355:AA355">
    <cfRule type="expression" dxfId="9897" priority="1429">
      <formula>Q$1=""</formula>
    </cfRule>
  </conditionalFormatting>
  <conditionalFormatting sqref="Q357:AA357 Q355:AA355">
    <cfRule type="expression" dxfId="9896" priority="1428">
      <formula>Q$1=""</formula>
    </cfRule>
  </conditionalFormatting>
  <conditionalFormatting sqref="Q357:AA357 Q355:AA355">
    <cfRule type="expression" dxfId="9895" priority="1427">
      <formula>Q$1=""</formula>
    </cfRule>
  </conditionalFormatting>
  <conditionalFormatting sqref="Q357:AA357 Q355:AA355">
    <cfRule type="expression" dxfId="9894" priority="1426">
      <formula>Q$1=""</formula>
    </cfRule>
  </conditionalFormatting>
  <conditionalFormatting sqref="Q357:AA357 Q355:AA355">
    <cfRule type="expression" dxfId="9893" priority="1425">
      <formula>Q$1=""</formula>
    </cfRule>
  </conditionalFormatting>
  <conditionalFormatting sqref="Q357:AA357 Q355:AA355">
    <cfRule type="expression" dxfId="9892" priority="1424">
      <formula>Q$1=""</formula>
    </cfRule>
  </conditionalFormatting>
  <conditionalFormatting sqref="Q357:AA357 Q355:AA355">
    <cfRule type="expression" dxfId="9891" priority="1423">
      <formula>Q$1=""</formula>
    </cfRule>
  </conditionalFormatting>
  <conditionalFormatting sqref="Q357:AA357 Q355:AA355">
    <cfRule type="expression" dxfId="9890" priority="1422">
      <formula>Q$1=""</formula>
    </cfRule>
  </conditionalFormatting>
  <conditionalFormatting sqref="Q357:AA357 Q355:AA355">
    <cfRule type="expression" dxfId="9889" priority="1421">
      <formula>Q$1=""</formula>
    </cfRule>
  </conditionalFormatting>
  <conditionalFormatting sqref="Q357:AA357 Q355:AA355">
    <cfRule type="expression" dxfId="9888" priority="1420">
      <formula>Q$1=""</formula>
    </cfRule>
  </conditionalFormatting>
  <conditionalFormatting sqref="Q357:AA357 Q355:AA355">
    <cfRule type="expression" dxfId="9887" priority="1419">
      <formula>Q$1=""</formula>
    </cfRule>
  </conditionalFormatting>
  <conditionalFormatting sqref="Q357:AA357 Q355:AA355">
    <cfRule type="expression" dxfId="9886" priority="1418">
      <formula>Q$1=""</formula>
    </cfRule>
  </conditionalFormatting>
  <conditionalFormatting sqref="Q357:AA357 Q355:AA355">
    <cfRule type="expression" dxfId="9885" priority="1417">
      <formula>Q$1=""</formula>
    </cfRule>
  </conditionalFormatting>
  <conditionalFormatting sqref="Q357:AA357 Q355:AA355">
    <cfRule type="expression" dxfId="9884" priority="1416">
      <formula>Q$1=""</formula>
    </cfRule>
  </conditionalFormatting>
  <conditionalFormatting sqref="Q357:AA357 Q355:AA355">
    <cfRule type="expression" dxfId="9883" priority="1415">
      <formula>Q$1=""</formula>
    </cfRule>
  </conditionalFormatting>
  <conditionalFormatting sqref="Q357:AA357 Q355:AA355">
    <cfRule type="expression" dxfId="9882" priority="1414">
      <formula>Q$1=""</formula>
    </cfRule>
  </conditionalFormatting>
  <conditionalFormatting sqref="Q357:AA357 Q355:AA355">
    <cfRule type="expression" dxfId="9881" priority="1413">
      <formula>Q$1=""</formula>
    </cfRule>
  </conditionalFormatting>
  <conditionalFormatting sqref="Q357:AA357 Q355:AA355">
    <cfRule type="expression" dxfId="9880" priority="1412">
      <formula>Q$1=""</formula>
    </cfRule>
  </conditionalFormatting>
  <conditionalFormatting sqref="Q357:AA357 Q355:AA355">
    <cfRule type="expression" dxfId="9879" priority="1411">
      <formula>Q$1=""</formula>
    </cfRule>
  </conditionalFormatting>
  <conditionalFormatting sqref="Q357:AA357 Q355:AA355">
    <cfRule type="expression" dxfId="9878" priority="1410">
      <formula>Q$1=""</formula>
    </cfRule>
  </conditionalFormatting>
  <conditionalFormatting sqref="Q357:AA357 Q355:AA355">
    <cfRule type="expression" dxfId="9877" priority="1409">
      <formula>Q$1=""</formula>
    </cfRule>
  </conditionalFormatting>
  <conditionalFormatting sqref="Q357:AA357 Q355:AA355">
    <cfRule type="expression" dxfId="9876" priority="1408">
      <formula>Q$1=""</formula>
    </cfRule>
  </conditionalFormatting>
  <conditionalFormatting sqref="Q357:AA357 Q355:AA355">
    <cfRule type="expression" dxfId="9875" priority="1407">
      <formula>Q$1=""</formula>
    </cfRule>
  </conditionalFormatting>
  <conditionalFormatting sqref="Q357:AA357 Q355:AA355">
    <cfRule type="expression" dxfId="9874" priority="1406">
      <formula>Q$1=""</formula>
    </cfRule>
  </conditionalFormatting>
  <conditionalFormatting sqref="Q357:AA357 Q355:AA355">
    <cfRule type="expression" dxfId="9873" priority="1405">
      <formula>Q$1=""</formula>
    </cfRule>
  </conditionalFormatting>
  <conditionalFormatting sqref="Q357:AA357 Q355:AA355">
    <cfRule type="expression" dxfId="9872" priority="1404">
      <formula>Q$1=""</formula>
    </cfRule>
  </conditionalFormatting>
  <conditionalFormatting sqref="Q357:AA357 Q355:AA355">
    <cfRule type="expression" dxfId="9871" priority="1403">
      <formula>Q$1=""</formula>
    </cfRule>
  </conditionalFormatting>
  <conditionalFormatting sqref="P351:AA351">
    <cfRule type="expression" dxfId="9870" priority="1402">
      <formula>P$1=""</formula>
    </cfRule>
  </conditionalFormatting>
  <conditionalFormatting sqref="P351:AA351">
    <cfRule type="expression" dxfId="9869" priority="1401">
      <formula>P$1=""</formula>
    </cfRule>
  </conditionalFormatting>
  <conditionalFormatting sqref="P351:AA351">
    <cfRule type="expression" dxfId="9868" priority="1400">
      <formula>P$1=""</formula>
    </cfRule>
  </conditionalFormatting>
  <conditionalFormatting sqref="P351:AA351">
    <cfRule type="expression" dxfId="9867" priority="1399">
      <formula>P$1=""</formula>
    </cfRule>
  </conditionalFormatting>
  <conditionalFormatting sqref="P351:AA351">
    <cfRule type="expression" dxfId="9866" priority="1398">
      <formula>P$1=""</formula>
    </cfRule>
  </conditionalFormatting>
  <conditionalFormatting sqref="P351:AA351">
    <cfRule type="expression" dxfId="9865" priority="1397">
      <formula>P$1=""</formula>
    </cfRule>
  </conditionalFormatting>
  <conditionalFormatting sqref="P351:AA351">
    <cfRule type="expression" dxfId="9864" priority="1396">
      <formula>P$1=""</formula>
    </cfRule>
  </conditionalFormatting>
  <conditionalFormatting sqref="P351:AA351">
    <cfRule type="expression" dxfId="9863" priority="1395">
      <formula>P$1=""</formula>
    </cfRule>
  </conditionalFormatting>
  <conditionalFormatting sqref="P351:AA351">
    <cfRule type="expression" dxfId="9862" priority="1394">
      <formula>P$1=""</formula>
    </cfRule>
  </conditionalFormatting>
  <conditionalFormatting sqref="P351:AA351">
    <cfRule type="expression" dxfId="9861" priority="1393">
      <formula>P$1=""</formula>
    </cfRule>
  </conditionalFormatting>
  <conditionalFormatting sqref="P351:AA351">
    <cfRule type="expression" dxfId="9860" priority="1392">
      <formula>P$1=""</formula>
    </cfRule>
  </conditionalFormatting>
  <conditionalFormatting sqref="P351:AA351">
    <cfRule type="expression" dxfId="9859" priority="1391">
      <formula>P$1=""</formula>
    </cfRule>
  </conditionalFormatting>
  <conditionalFormatting sqref="P351:AA351">
    <cfRule type="expression" dxfId="9858" priority="1390">
      <formula>P$1=""</formula>
    </cfRule>
  </conditionalFormatting>
  <conditionalFormatting sqref="P351:AA351">
    <cfRule type="expression" dxfId="9857" priority="1389">
      <formula>P$1=""</formula>
    </cfRule>
  </conditionalFormatting>
  <conditionalFormatting sqref="P351:AA351">
    <cfRule type="expression" dxfId="9856" priority="1388">
      <formula>P$1=""</formula>
    </cfRule>
  </conditionalFormatting>
  <conditionalFormatting sqref="P351:AA351">
    <cfRule type="expression" dxfId="9855" priority="1387">
      <formula>P$1=""</formula>
    </cfRule>
  </conditionalFormatting>
  <conditionalFormatting sqref="P317:AA317 P315:AA315 P313:AA313">
    <cfRule type="expression" dxfId="9854" priority="1386">
      <formula>P$1=""</formula>
    </cfRule>
  </conditionalFormatting>
  <conditionalFormatting sqref="P317:AA317 P315:AA315 P313:AA313">
    <cfRule type="expression" dxfId="9853" priority="1385">
      <formula>P$1=""</formula>
    </cfRule>
  </conditionalFormatting>
  <conditionalFormatting sqref="P317:AA317 P315:AA315 P313:AA313">
    <cfRule type="expression" dxfId="9852" priority="1384">
      <formula>P$1=""</formula>
    </cfRule>
  </conditionalFormatting>
  <conditionalFormatting sqref="P317:AA317 P315:AA315 P313:AA313">
    <cfRule type="expression" dxfId="9851" priority="1383">
      <formula>P$1=""</formula>
    </cfRule>
  </conditionalFormatting>
  <conditionalFormatting sqref="P317:AA317 P315:AA315 P313:AA313">
    <cfRule type="expression" dxfId="9850" priority="1382">
      <formula>P$1=""</formula>
    </cfRule>
  </conditionalFormatting>
  <conditionalFormatting sqref="P317:AA317 P315:AA315 P313:AA313">
    <cfRule type="expression" dxfId="9849" priority="1381">
      <formula>P$1=""</formula>
    </cfRule>
  </conditionalFormatting>
  <conditionalFormatting sqref="P317:AA317 P315:AA315 P313:AA313">
    <cfRule type="expression" dxfId="9848" priority="1380">
      <formula>P$1=""</formula>
    </cfRule>
  </conditionalFormatting>
  <conditionalFormatting sqref="P317:AA317 P315:AA315 P313:AA313">
    <cfRule type="expression" dxfId="9847" priority="1379">
      <formula>P$1=""</formula>
    </cfRule>
  </conditionalFormatting>
  <conditionalFormatting sqref="Q347:AA347 Q345:AA345 Q343:AA343">
    <cfRule type="expression" dxfId="9846" priority="1378">
      <formula>Q$1=""</formula>
    </cfRule>
  </conditionalFormatting>
  <conditionalFormatting sqref="Q347:AA347 Q345:AA345 Q343:AA343">
    <cfRule type="expression" dxfId="9845" priority="1377">
      <formula>Q$1=""</formula>
    </cfRule>
  </conditionalFormatting>
  <conditionalFormatting sqref="Q347:AA347 Q345:AA345 Q343:AA343">
    <cfRule type="expression" dxfId="9844" priority="1376">
      <formula>Q$1=""</formula>
    </cfRule>
  </conditionalFormatting>
  <conditionalFormatting sqref="Q347:AA347 Q345:AA345 Q343:AA343">
    <cfRule type="expression" dxfId="9843" priority="1375">
      <formula>Q$1=""</formula>
    </cfRule>
  </conditionalFormatting>
  <conditionalFormatting sqref="Q347:AA347 Q345:AA345 Q343:AA343">
    <cfRule type="expression" dxfId="9842" priority="1374">
      <formula>Q$1=""</formula>
    </cfRule>
  </conditionalFormatting>
  <conditionalFormatting sqref="Q347:AA347 Q345:AA345 Q343:AA343">
    <cfRule type="expression" dxfId="9841" priority="1373">
      <formula>Q$1=""</formula>
    </cfRule>
  </conditionalFormatting>
  <conditionalFormatting sqref="Q347:AA347 Q345:AA345 Q343:AA343">
    <cfRule type="expression" dxfId="9840" priority="1372">
      <formula>Q$1=""</formula>
    </cfRule>
  </conditionalFormatting>
  <conditionalFormatting sqref="Q347:AA347 Q345:AA345 Q343:AA343">
    <cfRule type="expression" dxfId="9839" priority="1371">
      <formula>Q$1=""</formula>
    </cfRule>
  </conditionalFormatting>
  <conditionalFormatting sqref="Q347:AA347 Q345:AA345 Q343:AA343">
    <cfRule type="expression" dxfId="9838" priority="1370">
      <formula>Q$1=""</formula>
    </cfRule>
  </conditionalFormatting>
  <conditionalFormatting sqref="Q347:AA347 Q345:AA345 Q343:AA343">
    <cfRule type="expression" dxfId="9837" priority="1369">
      <formula>Q$1=""</formula>
    </cfRule>
  </conditionalFormatting>
  <conditionalFormatting sqref="Q347:AA347 Q345:AA345 Q343:AA343">
    <cfRule type="expression" dxfId="9836" priority="1368">
      <formula>Q$1=""</formula>
    </cfRule>
  </conditionalFormatting>
  <conditionalFormatting sqref="Q347:AA347 Q345:AA345 Q343:AA343">
    <cfRule type="expression" dxfId="9835" priority="1367">
      <formula>Q$1=""</formula>
    </cfRule>
  </conditionalFormatting>
  <conditionalFormatting sqref="Q347:AA347 Q345:AA345 Q343:AA343">
    <cfRule type="expression" dxfId="9834" priority="1366">
      <formula>Q$1=""</formula>
    </cfRule>
  </conditionalFormatting>
  <conditionalFormatting sqref="Q347:AA347 Q345:AA345 Q343:AA343">
    <cfRule type="expression" dxfId="9833" priority="1365">
      <formula>Q$1=""</formula>
    </cfRule>
  </conditionalFormatting>
  <conditionalFormatting sqref="Q347:AA347 Q345:AA345 Q343:AA343">
    <cfRule type="expression" dxfId="9832" priority="1364">
      <formula>Q$1=""</formula>
    </cfRule>
  </conditionalFormatting>
  <conditionalFormatting sqref="Q347:AA347 Q345:AA345 Q343:AA343">
    <cfRule type="expression" dxfId="9831" priority="1363">
      <formula>Q$1=""</formula>
    </cfRule>
  </conditionalFormatting>
  <conditionalFormatting sqref="Q347:AA347 Q345:AA345 Q343:AA343">
    <cfRule type="expression" dxfId="9830" priority="1362">
      <formula>Q$1=""</formula>
    </cfRule>
  </conditionalFormatting>
  <conditionalFormatting sqref="Q347:AA347 Q345:AA345 Q343:AA343">
    <cfRule type="expression" dxfId="9829" priority="1361">
      <formula>Q$1=""</formula>
    </cfRule>
  </conditionalFormatting>
  <conditionalFormatting sqref="Q347:AA347 Q345:AA345 Q343:AA343">
    <cfRule type="expression" dxfId="9828" priority="1360">
      <formula>Q$1=""</formula>
    </cfRule>
  </conditionalFormatting>
  <conditionalFormatting sqref="Q347:AA347 Q345:AA345 Q343:AA343">
    <cfRule type="expression" dxfId="9827" priority="1359">
      <formula>Q$1=""</formula>
    </cfRule>
  </conditionalFormatting>
  <conditionalFormatting sqref="Q347:AA347 Q345:AA345 Q343:AA343">
    <cfRule type="expression" dxfId="9826" priority="1358">
      <formula>Q$1=""</formula>
    </cfRule>
  </conditionalFormatting>
  <conditionalFormatting sqref="Q347:AA347 Q345:AA345 Q343:AA343">
    <cfRule type="expression" dxfId="9825" priority="1357">
      <formula>Q$1=""</formula>
    </cfRule>
  </conditionalFormatting>
  <conditionalFormatting sqref="Q347:AA347 Q345:AA345 Q343:AA343">
    <cfRule type="expression" dxfId="9824" priority="1356">
      <formula>Q$1=""</formula>
    </cfRule>
  </conditionalFormatting>
  <conditionalFormatting sqref="Q347:AA347 Q345:AA345 Q343:AA343">
    <cfRule type="expression" dxfId="9823" priority="1355">
      <formula>Q$1=""</formula>
    </cfRule>
  </conditionalFormatting>
  <conditionalFormatting sqref="Q347:AA347 Q345:AA345 Q343:AA343">
    <cfRule type="expression" dxfId="9822" priority="1354">
      <formula>Q$1=""</formula>
    </cfRule>
  </conditionalFormatting>
  <conditionalFormatting sqref="Q347:AA347 Q345:AA345 Q343:AA343">
    <cfRule type="expression" dxfId="9821" priority="1353">
      <formula>Q$1=""</formula>
    </cfRule>
  </conditionalFormatting>
  <conditionalFormatting sqref="Q347:AA347 Q345:AA345 Q343:AA343">
    <cfRule type="expression" dxfId="9820" priority="1352">
      <formula>Q$1=""</formula>
    </cfRule>
  </conditionalFormatting>
  <conditionalFormatting sqref="Q347:AA347 Q345:AA345 Q343:AA343">
    <cfRule type="expression" dxfId="9819" priority="1351">
      <formula>Q$1=""</formula>
    </cfRule>
  </conditionalFormatting>
  <conditionalFormatting sqref="Q347:AA347 Q345:AA345 Q343:AA343">
    <cfRule type="expression" dxfId="9818" priority="1350">
      <formula>Q$1=""</formula>
    </cfRule>
  </conditionalFormatting>
  <conditionalFormatting sqref="Q347:AA347 Q345:AA345 Q343:AA343">
    <cfRule type="expression" dxfId="9817" priority="1349">
      <formula>Q$1=""</formula>
    </cfRule>
  </conditionalFormatting>
  <conditionalFormatting sqref="Q347:AA347 Q345:AA345 Q343:AA343">
    <cfRule type="expression" dxfId="9816" priority="1348">
      <formula>Q$1=""</formula>
    </cfRule>
  </conditionalFormatting>
  <conditionalFormatting sqref="Q347:AA347 Q345:AA345 Q343:AA343">
    <cfRule type="expression" dxfId="9815" priority="1347">
      <formula>Q$1=""</formula>
    </cfRule>
  </conditionalFormatting>
  <conditionalFormatting sqref="P347 P345">
    <cfRule type="expression" dxfId="9814" priority="1346">
      <formula>P$1=""</formula>
    </cfRule>
  </conditionalFormatting>
  <conditionalFormatting sqref="P347 P345">
    <cfRule type="expression" dxfId="9813" priority="1345">
      <formula>P$1=""</formula>
    </cfRule>
  </conditionalFormatting>
  <conditionalFormatting sqref="P347 P345">
    <cfRule type="expression" dxfId="9812" priority="1344">
      <formula>P$1=""</formula>
    </cfRule>
  </conditionalFormatting>
  <conditionalFormatting sqref="P347 P345">
    <cfRule type="expression" dxfId="9811" priority="1343">
      <formula>P$1=""</formula>
    </cfRule>
  </conditionalFormatting>
  <conditionalFormatting sqref="P347 P345">
    <cfRule type="expression" dxfId="9810" priority="1342">
      <formula>P$1=""</formula>
    </cfRule>
  </conditionalFormatting>
  <conditionalFormatting sqref="P347 P345">
    <cfRule type="expression" dxfId="9809" priority="1341">
      <formula>P$1=""</formula>
    </cfRule>
  </conditionalFormatting>
  <conditionalFormatting sqref="P347 P345">
    <cfRule type="expression" dxfId="9808" priority="1340">
      <formula>P$1=""</formula>
    </cfRule>
  </conditionalFormatting>
  <conditionalFormatting sqref="P347 P345">
    <cfRule type="expression" dxfId="9807" priority="1339">
      <formula>P$1=""</formula>
    </cfRule>
  </conditionalFormatting>
  <conditionalFormatting sqref="P347 P345">
    <cfRule type="expression" dxfId="9806" priority="1338">
      <formula>P$1=""</formula>
    </cfRule>
  </conditionalFormatting>
  <conditionalFormatting sqref="P347 P345">
    <cfRule type="expression" dxfId="9805" priority="1337">
      <formula>P$1=""</formula>
    </cfRule>
  </conditionalFormatting>
  <conditionalFormatting sqref="P347 P345">
    <cfRule type="expression" dxfId="9804" priority="1336">
      <formula>P$1=""</formula>
    </cfRule>
  </conditionalFormatting>
  <conditionalFormatting sqref="P347 P345">
    <cfRule type="expression" dxfId="9803" priority="1335">
      <formula>P$1=""</formula>
    </cfRule>
  </conditionalFormatting>
  <conditionalFormatting sqref="P347 P345">
    <cfRule type="expression" dxfId="9802" priority="1334">
      <formula>P$1=""</formula>
    </cfRule>
  </conditionalFormatting>
  <conditionalFormatting sqref="P347 P345">
    <cfRule type="expression" dxfId="9801" priority="1333">
      <formula>P$1=""</formula>
    </cfRule>
  </conditionalFormatting>
  <conditionalFormatting sqref="P347 P345">
    <cfRule type="expression" dxfId="9800" priority="1332">
      <formula>P$1=""</formula>
    </cfRule>
  </conditionalFormatting>
  <conditionalFormatting sqref="P347 P345">
    <cfRule type="expression" dxfId="9799" priority="1331">
      <formula>P$1=""</formula>
    </cfRule>
  </conditionalFormatting>
  <conditionalFormatting sqref="P347 P345">
    <cfRule type="expression" dxfId="9798" priority="1330">
      <formula>P$1=""</formula>
    </cfRule>
  </conditionalFormatting>
  <conditionalFormatting sqref="P347 P345">
    <cfRule type="expression" dxfId="9797" priority="1329">
      <formula>P$1=""</formula>
    </cfRule>
  </conditionalFormatting>
  <conditionalFormatting sqref="P353:AA353">
    <cfRule type="expression" dxfId="9796" priority="1328">
      <formula>P$1=""</formula>
    </cfRule>
  </conditionalFormatting>
  <conditionalFormatting sqref="P353:AA353">
    <cfRule type="expression" dxfId="9795" priority="1327">
      <formula>P$1=""</formula>
    </cfRule>
  </conditionalFormatting>
  <conditionalFormatting sqref="P353:AA353">
    <cfRule type="expression" dxfId="9794" priority="1326">
      <formula>P$1=""</formula>
    </cfRule>
  </conditionalFormatting>
  <conditionalFormatting sqref="P353:AA353">
    <cfRule type="expression" dxfId="9793" priority="1325">
      <formula>P$1=""</formula>
    </cfRule>
  </conditionalFormatting>
  <conditionalFormatting sqref="P353:AA353">
    <cfRule type="expression" dxfId="9792" priority="1324">
      <formula>P$1=""</formula>
    </cfRule>
  </conditionalFormatting>
  <conditionalFormatting sqref="P353:AA353">
    <cfRule type="expression" dxfId="9791" priority="1323">
      <formula>P$1=""</formula>
    </cfRule>
  </conditionalFormatting>
  <conditionalFormatting sqref="P353:AA353">
    <cfRule type="expression" dxfId="9790" priority="1322">
      <formula>P$1=""</formula>
    </cfRule>
  </conditionalFormatting>
  <conditionalFormatting sqref="P353:AA353">
    <cfRule type="expression" dxfId="9789" priority="1321">
      <formula>P$1=""</formula>
    </cfRule>
  </conditionalFormatting>
  <conditionalFormatting sqref="P353:AA353">
    <cfRule type="expression" dxfId="9788" priority="1320">
      <formula>P$1=""</formula>
    </cfRule>
  </conditionalFormatting>
  <conditionalFormatting sqref="P353:AA353">
    <cfRule type="expression" dxfId="9787" priority="1319">
      <formula>P$1=""</formula>
    </cfRule>
  </conditionalFormatting>
  <conditionalFormatting sqref="P353:AA353">
    <cfRule type="expression" dxfId="9786" priority="1318">
      <formula>P$1=""</formula>
    </cfRule>
  </conditionalFormatting>
  <conditionalFormatting sqref="P353:AA353">
    <cfRule type="expression" dxfId="9785" priority="1317">
      <formula>P$1=""</formula>
    </cfRule>
  </conditionalFormatting>
  <conditionalFormatting sqref="P353:AA353">
    <cfRule type="expression" dxfId="9784" priority="1316">
      <formula>P$1=""</formula>
    </cfRule>
  </conditionalFormatting>
  <conditionalFormatting sqref="P353:AA353">
    <cfRule type="expression" dxfId="9783" priority="1315">
      <formula>P$1=""</formula>
    </cfRule>
  </conditionalFormatting>
  <conditionalFormatting sqref="P353:AA353">
    <cfRule type="expression" dxfId="9782" priority="1314">
      <formula>P$1=""</formula>
    </cfRule>
  </conditionalFormatting>
  <conditionalFormatting sqref="P353:AA353">
    <cfRule type="expression" dxfId="9781" priority="1313">
      <formula>P$1=""</formula>
    </cfRule>
  </conditionalFormatting>
  <conditionalFormatting sqref="P353:AA353">
    <cfRule type="expression" dxfId="9780" priority="1312">
      <formula>P$1=""</formula>
    </cfRule>
  </conditionalFormatting>
  <conditionalFormatting sqref="P353:AA353">
    <cfRule type="expression" dxfId="9779" priority="1311">
      <formula>P$1=""</formula>
    </cfRule>
  </conditionalFormatting>
  <conditionalFormatting sqref="P353:AA353">
    <cfRule type="expression" dxfId="9778" priority="1310">
      <formula>P$1=""</formula>
    </cfRule>
  </conditionalFormatting>
  <conditionalFormatting sqref="P353:AA353">
    <cfRule type="expression" dxfId="9777" priority="1309">
      <formula>P$1=""</formula>
    </cfRule>
  </conditionalFormatting>
  <conditionalFormatting sqref="P353:AA353">
    <cfRule type="expression" dxfId="9776" priority="1308">
      <formula>P$1=""</formula>
    </cfRule>
  </conditionalFormatting>
  <conditionalFormatting sqref="P353:AA353">
    <cfRule type="expression" dxfId="9775" priority="1307">
      <formula>P$1=""</formula>
    </cfRule>
  </conditionalFormatting>
  <conditionalFormatting sqref="P353:AA353">
    <cfRule type="expression" dxfId="9774" priority="1306">
      <formula>P$1=""</formula>
    </cfRule>
  </conditionalFormatting>
  <conditionalFormatting sqref="P353:AA353">
    <cfRule type="expression" dxfId="9773" priority="1305">
      <formula>P$1=""</formula>
    </cfRule>
  </conditionalFormatting>
  <conditionalFormatting sqref="P353:AA353">
    <cfRule type="expression" dxfId="9772" priority="1304">
      <formula>P$1=""</formula>
    </cfRule>
  </conditionalFormatting>
  <conditionalFormatting sqref="P353:AA353">
    <cfRule type="expression" dxfId="9771" priority="1303">
      <formula>P$1=""</formula>
    </cfRule>
  </conditionalFormatting>
  <conditionalFormatting sqref="P353:AA353">
    <cfRule type="expression" dxfId="9770" priority="1302">
      <formula>P$1=""</formula>
    </cfRule>
  </conditionalFormatting>
  <conditionalFormatting sqref="P353:AA353">
    <cfRule type="expression" dxfId="9769" priority="1301">
      <formula>P$1=""</formula>
    </cfRule>
  </conditionalFormatting>
  <conditionalFormatting sqref="P353:AA353">
    <cfRule type="expression" dxfId="9768" priority="1300">
      <formula>P$1=""</formula>
    </cfRule>
  </conditionalFormatting>
  <conditionalFormatting sqref="P353:AA353">
    <cfRule type="expression" dxfId="9767" priority="1299">
      <formula>P$1=""</formula>
    </cfRule>
  </conditionalFormatting>
  <conditionalFormatting sqref="P353:AA353">
    <cfRule type="expression" dxfId="9766" priority="1298">
      <formula>P$1=""</formula>
    </cfRule>
  </conditionalFormatting>
  <conditionalFormatting sqref="P353:AA353">
    <cfRule type="expression" dxfId="9765" priority="1297">
      <formula>P$1=""</formula>
    </cfRule>
  </conditionalFormatting>
  <conditionalFormatting sqref="P353:AA353">
    <cfRule type="expression" dxfId="9764" priority="1296">
      <formula>P$1=""</formula>
    </cfRule>
  </conditionalFormatting>
  <conditionalFormatting sqref="P353:AA353">
    <cfRule type="expression" dxfId="9763" priority="1295">
      <formula>P$1=""</formula>
    </cfRule>
  </conditionalFormatting>
  <conditionalFormatting sqref="P353:AA353">
    <cfRule type="expression" dxfId="9762" priority="1294">
      <formula>P$1=""</formula>
    </cfRule>
  </conditionalFormatting>
  <conditionalFormatting sqref="P353:AA353">
    <cfRule type="expression" dxfId="9761" priority="1293">
      <formula>P$1=""</formula>
    </cfRule>
  </conditionalFormatting>
  <conditionalFormatting sqref="P353:AA353">
    <cfRule type="expression" dxfId="9760" priority="1292">
      <formula>P$1=""</formula>
    </cfRule>
  </conditionalFormatting>
  <conditionalFormatting sqref="P353:AA353">
    <cfRule type="expression" dxfId="9759" priority="1291">
      <formula>P$1=""</formula>
    </cfRule>
  </conditionalFormatting>
  <conditionalFormatting sqref="P353:AA353">
    <cfRule type="expression" dxfId="9758" priority="1290">
      <formula>P$1=""</formula>
    </cfRule>
  </conditionalFormatting>
  <conditionalFormatting sqref="P353:AA353">
    <cfRule type="expression" dxfId="9757" priority="1289">
      <formula>P$1=""</formula>
    </cfRule>
  </conditionalFormatting>
  <conditionalFormatting sqref="P353:AA353">
    <cfRule type="expression" dxfId="9756" priority="1288">
      <formula>P$1=""</formula>
    </cfRule>
  </conditionalFormatting>
  <conditionalFormatting sqref="P353:AA353">
    <cfRule type="expression" dxfId="9755" priority="1287">
      <formula>P$1=""</formula>
    </cfRule>
  </conditionalFormatting>
  <conditionalFormatting sqref="P353:AA353">
    <cfRule type="expression" dxfId="9754" priority="1286">
      <formula>P$1=""</formula>
    </cfRule>
  </conditionalFormatting>
  <conditionalFormatting sqref="P353:AA353">
    <cfRule type="expression" dxfId="9753" priority="1285">
      <formula>P$1=""</formula>
    </cfRule>
  </conditionalFormatting>
  <conditionalFormatting sqref="P353:AA353">
    <cfRule type="expression" dxfId="9752" priority="1284">
      <formula>P$1=""</formula>
    </cfRule>
  </conditionalFormatting>
  <conditionalFormatting sqref="P353:AA353">
    <cfRule type="expression" dxfId="9751" priority="1283">
      <formula>P$1=""</formula>
    </cfRule>
  </conditionalFormatting>
  <conditionalFormatting sqref="P353:AA353">
    <cfRule type="expression" dxfId="9750" priority="1282">
      <formula>P$1=""</formula>
    </cfRule>
  </conditionalFormatting>
  <conditionalFormatting sqref="P353:AA353">
    <cfRule type="expression" dxfId="9749" priority="1281">
      <formula>P$1=""</formula>
    </cfRule>
  </conditionalFormatting>
  <conditionalFormatting sqref="P353:AA353">
    <cfRule type="expression" dxfId="9748" priority="1280">
      <formula>P$1=""</formula>
    </cfRule>
  </conditionalFormatting>
  <conditionalFormatting sqref="P353:AA353">
    <cfRule type="expression" dxfId="9747" priority="1279">
      <formula>P$1=""</formula>
    </cfRule>
  </conditionalFormatting>
  <conditionalFormatting sqref="P353:AA353">
    <cfRule type="expression" dxfId="9746" priority="1278">
      <formula>P$1=""</formula>
    </cfRule>
  </conditionalFormatting>
  <conditionalFormatting sqref="P353:AA353">
    <cfRule type="expression" dxfId="9745" priority="1277">
      <formula>P$1=""</formula>
    </cfRule>
  </conditionalFormatting>
  <conditionalFormatting sqref="P353:AA353">
    <cfRule type="expression" dxfId="9744" priority="1276">
      <formula>P$1=""</formula>
    </cfRule>
  </conditionalFormatting>
  <conditionalFormatting sqref="P353:AA353">
    <cfRule type="expression" dxfId="9743" priority="1275">
      <formula>P$1=""</formula>
    </cfRule>
  </conditionalFormatting>
  <conditionalFormatting sqref="P353:AA353">
    <cfRule type="expression" dxfId="9742" priority="1274">
      <formula>P$1=""</formula>
    </cfRule>
  </conditionalFormatting>
  <conditionalFormatting sqref="P353:AA353">
    <cfRule type="expression" dxfId="9741" priority="1273">
      <formula>P$1=""</formula>
    </cfRule>
  </conditionalFormatting>
  <conditionalFormatting sqref="P353:AA353">
    <cfRule type="expression" dxfId="9740" priority="1272">
      <formula>P$1=""</formula>
    </cfRule>
  </conditionalFormatting>
  <conditionalFormatting sqref="P353:AA353">
    <cfRule type="expression" dxfId="9739" priority="1271">
      <formula>P$1=""</formula>
    </cfRule>
  </conditionalFormatting>
  <conditionalFormatting sqref="P353:AA353">
    <cfRule type="expression" dxfId="9738" priority="1270">
      <formula>P$1=""</formula>
    </cfRule>
  </conditionalFormatting>
  <conditionalFormatting sqref="P353:AA353">
    <cfRule type="expression" dxfId="9737" priority="1269">
      <formula>P$1=""</formula>
    </cfRule>
  </conditionalFormatting>
  <conditionalFormatting sqref="P353:AA353">
    <cfRule type="expression" dxfId="9736" priority="1268">
      <formula>P$1=""</formula>
    </cfRule>
  </conditionalFormatting>
  <conditionalFormatting sqref="P353:AA353">
    <cfRule type="expression" dxfId="9735" priority="1267">
      <formula>P$1=""</formula>
    </cfRule>
  </conditionalFormatting>
  <conditionalFormatting sqref="P353:AA353">
    <cfRule type="expression" dxfId="9734" priority="1266">
      <formula>P$1=""</formula>
    </cfRule>
  </conditionalFormatting>
  <conditionalFormatting sqref="P353:AA353">
    <cfRule type="expression" dxfId="9733" priority="1265">
      <formula>P$1=""</formula>
    </cfRule>
  </conditionalFormatting>
  <conditionalFormatting sqref="P357:AA357 P355:AA355">
    <cfRule type="expression" dxfId="9732" priority="1264">
      <formula>P$1=""</formula>
    </cfRule>
  </conditionalFormatting>
  <conditionalFormatting sqref="P357:AA357 P355:AA355">
    <cfRule type="expression" dxfId="9731" priority="1263">
      <formula>P$1=""</formula>
    </cfRule>
  </conditionalFormatting>
  <conditionalFormatting sqref="Q357:AA357 Q355:AA355">
    <cfRule type="expression" dxfId="9730" priority="1262">
      <formula>Q$1=""</formula>
    </cfRule>
  </conditionalFormatting>
  <conditionalFormatting sqref="Q357:AA357 Q355:AA355">
    <cfRule type="expression" dxfId="9729" priority="1261">
      <formula>Q$1=""</formula>
    </cfRule>
  </conditionalFormatting>
  <conditionalFormatting sqref="Q357:AA357 Q355:AA355">
    <cfRule type="expression" dxfId="9728" priority="1260">
      <formula>Q$1=""</formula>
    </cfRule>
  </conditionalFormatting>
  <conditionalFormatting sqref="Q357:AA357 Q355:AA355">
    <cfRule type="expression" dxfId="9727" priority="1259">
      <formula>Q$1=""</formula>
    </cfRule>
  </conditionalFormatting>
  <conditionalFormatting sqref="Q357:AA357 Q355:AA355">
    <cfRule type="expression" dxfId="9726" priority="1258">
      <formula>Q$1=""</formula>
    </cfRule>
  </conditionalFormatting>
  <conditionalFormatting sqref="Q357:AA357 Q355:AA355">
    <cfRule type="expression" dxfId="9725" priority="1257">
      <formula>Q$1=""</formula>
    </cfRule>
  </conditionalFormatting>
  <conditionalFormatting sqref="Q357:AA357 Q355:AA355">
    <cfRule type="expression" dxfId="9724" priority="1256">
      <formula>Q$1=""</formula>
    </cfRule>
  </conditionalFormatting>
  <conditionalFormatting sqref="Q357:AA357 Q355:AA355">
    <cfRule type="expression" dxfId="9723" priority="1255">
      <formula>Q$1=""</formula>
    </cfRule>
  </conditionalFormatting>
  <conditionalFormatting sqref="P357:AA357 P355:AA355">
    <cfRule type="expression" dxfId="9722" priority="1254">
      <formula>P$1=""</formula>
    </cfRule>
  </conditionalFormatting>
  <conditionalFormatting sqref="P357:AA357 P355:AA355">
    <cfRule type="expression" dxfId="9721" priority="1253">
      <formula>P$1=""</formula>
    </cfRule>
  </conditionalFormatting>
  <conditionalFormatting sqref="P357:AA357 P355:AA355">
    <cfRule type="expression" dxfId="9720" priority="1252">
      <formula>P$1=""</formula>
    </cfRule>
  </conditionalFormatting>
  <conditionalFormatting sqref="P357:AA357 P355:AA355">
    <cfRule type="expression" dxfId="9719" priority="1251">
      <formula>P$1=""</formula>
    </cfRule>
  </conditionalFormatting>
  <conditionalFormatting sqref="P357:AA357 P355:AA355">
    <cfRule type="expression" dxfId="9718" priority="1250">
      <formula>P$1=""</formula>
    </cfRule>
  </conditionalFormatting>
  <conditionalFormatting sqref="P357:AA357 P355:AA355">
    <cfRule type="expression" dxfId="9717" priority="1249">
      <formula>P$1=""</formula>
    </cfRule>
  </conditionalFormatting>
  <conditionalFormatting sqref="P357:AA357 P355:AA355">
    <cfRule type="expression" dxfId="9716" priority="1248">
      <formula>P$1=""</formula>
    </cfRule>
  </conditionalFormatting>
  <conditionalFormatting sqref="P357:AA357 P355:AA355">
    <cfRule type="expression" dxfId="9715" priority="1247">
      <formula>P$1=""</formula>
    </cfRule>
  </conditionalFormatting>
  <conditionalFormatting sqref="P357:AA357 P355:AA355">
    <cfRule type="expression" dxfId="9714" priority="1246">
      <formula>P$1=""</formula>
    </cfRule>
  </conditionalFormatting>
  <conditionalFormatting sqref="P357:AA357 P355:AA355">
    <cfRule type="expression" dxfId="9713" priority="1245">
      <formula>P$1=""</formula>
    </cfRule>
  </conditionalFormatting>
  <conditionalFormatting sqref="P357:AA357 P355:AA355">
    <cfRule type="expression" dxfId="9712" priority="1244">
      <formula>P$1=""</formula>
    </cfRule>
  </conditionalFormatting>
  <conditionalFormatting sqref="P357:AA357 P355:AA355">
    <cfRule type="expression" dxfId="9711" priority="1243">
      <formula>P$1=""</formula>
    </cfRule>
  </conditionalFormatting>
  <conditionalFormatting sqref="P357:AA357 P355:AA355">
    <cfRule type="expression" dxfId="9710" priority="1242">
      <formula>P$1=""</formula>
    </cfRule>
  </conditionalFormatting>
  <conditionalFormatting sqref="P357:AA357 P355:AA355">
    <cfRule type="expression" dxfId="9709" priority="1241">
      <formula>P$1=""</formula>
    </cfRule>
  </conditionalFormatting>
  <conditionalFormatting sqref="P357:AA357 P355:AA355">
    <cfRule type="expression" dxfId="9708" priority="1240">
      <formula>P$1=""</formula>
    </cfRule>
  </conditionalFormatting>
  <conditionalFormatting sqref="P357:AA357 P355:AA355">
    <cfRule type="expression" dxfId="9707" priority="1239">
      <formula>P$1=""</formula>
    </cfRule>
  </conditionalFormatting>
  <conditionalFormatting sqref="P357:AA357 P355:AA355">
    <cfRule type="expression" dxfId="9706" priority="1238">
      <formula>P$1=""</formula>
    </cfRule>
  </conditionalFormatting>
  <conditionalFormatting sqref="P357:AA357 P355:AA355">
    <cfRule type="expression" dxfId="9705" priority="1237">
      <formula>P$1=""</formula>
    </cfRule>
  </conditionalFormatting>
  <conditionalFormatting sqref="P357:AA357 P355:AA355">
    <cfRule type="expression" dxfId="9704" priority="1236">
      <formula>P$1=""</formula>
    </cfRule>
  </conditionalFormatting>
  <conditionalFormatting sqref="P357:AA357 P355:AA355">
    <cfRule type="expression" dxfId="9703" priority="1235">
      <formula>P$1=""</formula>
    </cfRule>
  </conditionalFormatting>
  <conditionalFormatting sqref="P357:AA357 P355:AA355">
    <cfRule type="expression" dxfId="9702" priority="1234">
      <formula>P$1=""</formula>
    </cfRule>
  </conditionalFormatting>
  <conditionalFormatting sqref="P357:AA357 P355:AA355">
    <cfRule type="expression" dxfId="9701" priority="1233">
      <formula>P$1=""</formula>
    </cfRule>
  </conditionalFormatting>
  <conditionalFormatting sqref="P357:AA357 P355:AA355">
    <cfRule type="expression" dxfId="9700" priority="1232">
      <formula>P$1=""</formula>
    </cfRule>
  </conditionalFormatting>
  <conditionalFormatting sqref="P357:AA357 P355:AA355">
    <cfRule type="expression" dxfId="9699" priority="1231">
      <formula>P$1=""</formula>
    </cfRule>
  </conditionalFormatting>
  <conditionalFormatting sqref="P357:AA357 P355:AA355">
    <cfRule type="expression" dxfId="9698" priority="1230">
      <formula>P$1=""</formula>
    </cfRule>
  </conditionalFormatting>
  <conditionalFormatting sqref="P357:AA357 P355:AA355">
    <cfRule type="expression" dxfId="9697" priority="1229">
      <formula>P$1=""</formula>
    </cfRule>
  </conditionalFormatting>
  <conditionalFormatting sqref="P357:AA357 P355:AA355">
    <cfRule type="expression" dxfId="9696" priority="1228">
      <formula>P$1=""</formula>
    </cfRule>
  </conditionalFormatting>
  <conditionalFormatting sqref="P357:AA357 P355:AA355">
    <cfRule type="expression" dxfId="9695" priority="1227">
      <formula>P$1=""</formula>
    </cfRule>
  </conditionalFormatting>
  <conditionalFormatting sqref="P357:AA357 P355:AA355">
    <cfRule type="expression" dxfId="9694" priority="1226">
      <formula>P$1=""</formula>
    </cfRule>
  </conditionalFormatting>
  <conditionalFormatting sqref="P357:AA357 P355:AA355">
    <cfRule type="expression" dxfId="9693" priority="1225">
      <formula>P$1=""</formula>
    </cfRule>
  </conditionalFormatting>
  <conditionalFormatting sqref="P357:AA357 P355:AA355">
    <cfRule type="expression" dxfId="9692" priority="1224">
      <formula>P$1=""</formula>
    </cfRule>
  </conditionalFormatting>
  <conditionalFormatting sqref="P357:AA357 P355:AA355">
    <cfRule type="expression" dxfId="9691" priority="1223">
      <formula>P$1=""</formula>
    </cfRule>
  </conditionalFormatting>
  <conditionalFormatting sqref="P357:AA357 P355:AA355">
    <cfRule type="expression" dxfId="9690" priority="1222">
      <formula>P$1=""</formula>
    </cfRule>
  </conditionalFormatting>
  <conditionalFormatting sqref="P357:AA357 P355:AA355">
    <cfRule type="expression" dxfId="9689" priority="1221">
      <formula>P$1=""</formula>
    </cfRule>
  </conditionalFormatting>
  <conditionalFormatting sqref="P357:AA357 P355:AA355">
    <cfRule type="expression" dxfId="9688" priority="1220">
      <formula>P$1=""</formula>
    </cfRule>
  </conditionalFormatting>
  <conditionalFormatting sqref="P357:AA357 P355:AA355">
    <cfRule type="expression" dxfId="9687" priority="1219">
      <formula>P$1=""</formula>
    </cfRule>
  </conditionalFormatting>
  <conditionalFormatting sqref="P357:AA357 P355:AA355">
    <cfRule type="expression" dxfId="9686" priority="1218">
      <formula>P$1=""</formula>
    </cfRule>
  </conditionalFormatting>
  <conditionalFormatting sqref="P357:AA357 P355:AA355">
    <cfRule type="expression" dxfId="9685" priority="1217">
      <formula>P$1=""</formula>
    </cfRule>
  </conditionalFormatting>
  <conditionalFormatting sqref="P357:AA357 P355:AA355">
    <cfRule type="expression" dxfId="9684" priority="1216">
      <formula>P$1=""</formula>
    </cfRule>
  </conditionalFormatting>
  <conditionalFormatting sqref="P357:AA357 P355:AA355">
    <cfRule type="expression" dxfId="9683" priority="1215">
      <formula>P$1=""</formula>
    </cfRule>
  </conditionalFormatting>
  <conditionalFormatting sqref="P357:AA357 P355:AA355">
    <cfRule type="expression" dxfId="9682" priority="1214">
      <formula>P$1=""</formula>
    </cfRule>
  </conditionalFormatting>
  <conditionalFormatting sqref="P357:AA357 P355:AA355">
    <cfRule type="expression" dxfId="9681" priority="1213">
      <formula>P$1=""</formula>
    </cfRule>
  </conditionalFormatting>
  <conditionalFormatting sqref="P357:AA357 P355:AA355">
    <cfRule type="expression" dxfId="9680" priority="1212">
      <formula>P$1=""</formula>
    </cfRule>
  </conditionalFormatting>
  <conditionalFormatting sqref="P357:AA357 P355:AA355">
    <cfRule type="expression" dxfId="9679" priority="1211">
      <formula>P$1=""</formula>
    </cfRule>
  </conditionalFormatting>
  <conditionalFormatting sqref="P357:AA357 P355:AA355">
    <cfRule type="expression" dxfId="9678" priority="1210">
      <formula>P$1=""</formula>
    </cfRule>
  </conditionalFormatting>
  <conditionalFormatting sqref="P357:AA357 P355:AA355">
    <cfRule type="expression" dxfId="9677" priority="1209">
      <formula>P$1=""</formula>
    </cfRule>
  </conditionalFormatting>
  <conditionalFormatting sqref="P357:AA357 P355:AA355">
    <cfRule type="expression" dxfId="9676" priority="1208">
      <formula>P$1=""</formula>
    </cfRule>
  </conditionalFormatting>
  <conditionalFormatting sqref="P357:AA357 P355:AA355">
    <cfRule type="expression" dxfId="9675" priority="1207">
      <formula>P$1=""</formula>
    </cfRule>
  </conditionalFormatting>
  <conditionalFormatting sqref="P357:AA357 P355:AA355">
    <cfRule type="expression" dxfId="9674" priority="1206">
      <formula>P$1=""</formula>
    </cfRule>
  </conditionalFormatting>
  <conditionalFormatting sqref="P357:AA357 P355:AA355">
    <cfRule type="expression" dxfId="9673" priority="1205">
      <formula>P$1=""</formula>
    </cfRule>
  </conditionalFormatting>
  <conditionalFormatting sqref="P357:AA357 P355:AA355">
    <cfRule type="expression" dxfId="9672" priority="1204">
      <formula>P$1=""</formula>
    </cfRule>
  </conditionalFormatting>
  <conditionalFormatting sqref="P357:AA357 P355:AA355">
    <cfRule type="expression" dxfId="9671" priority="1203">
      <formula>P$1=""</formula>
    </cfRule>
  </conditionalFormatting>
  <conditionalFormatting sqref="P357:AA357 P355:AA355">
    <cfRule type="expression" dxfId="9670" priority="1202">
      <formula>P$1=""</formula>
    </cfRule>
  </conditionalFormatting>
  <conditionalFormatting sqref="P357:AA357 P355:AA355">
    <cfRule type="expression" dxfId="9669" priority="1201">
      <formula>P$1=""</formula>
    </cfRule>
  </conditionalFormatting>
  <conditionalFormatting sqref="P357:AA357 P355:AA355">
    <cfRule type="expression" dxfId="9668" priority="1200">
      <formula>P$1=""</formula>
    </cfRule>
  </conditionalFormatting>
  <conditionalFormatting sqref="P357:AA357 P355:AA355">
    <cfRule type="expression" dxfId="9667" priority="1199">
      <formula>P$1=""</formula>
    </cfRule>
  </conditionalFormatting>
  <conditionalFormatting sqref="P357:AA357 P355:AA355">
    <cfRule type="expression" dxfId="9666" priority="1198">
      <formula>P$1=""</formula>
    </cfRule>
  </conditionalFormatting>
  <conditionalFormatting sqref="P357:AA357 P355:AA355">
    <cfRule type="expression" dxfId="9665" priority="1197">
      <formula>P$1=""</formula>
    </cfRule>
  </conditionalFormatting>
  <conditionalFormatting sqref="P357:AA357 P355:AA355">
    <cfRule type="expression" dxfId="9664" priority="1196">
      <formula>P$1=""</formula>
    </cfRule>
  </conditionalFormatting>
  <conditionalFormatting sqref="P357:AA357 P355:AA355">
    <cfRule type="expression" dxfId="9663" priority="1195">
      <formula>P$1=""</formula>
    </cfRule>
  </conditionalFormatting>
  <conditionalFormatting sqref="P357:AA357 P355:AA355">
    <cfRule type="expression" dxfId="9662" priority="1194">
      <formula>P$1=""</formula>
    </cfRule>
  </conditionalFormatting>
  <conditionalFormatting sqref="P357:AA357 P355:AA355">
    <cfRule type="expression" dxfId="9661" priority="1193">
      <formula>P$1=""</formula>
    </cfRule>
  </conditionalFormatting>
  <conditionalFormatting sqref="P357:AA357 P355:AA355">
    <cfRule type="expression" dxfId="9660" priority="1192">
      <formula>P$1=""</formula>
    </cfRule>
  </conditionalFormatting>
  <conditionalFormatting sqref="P357:AA357 P355:AA355">
    <cfRule type="expression" dxfId="9659" priority="1191">
      <formula>P$1=""</formula>
    </cfRule>
  </conditionalFormatting>
  <conditionalFormatting sqref="P357:AA357 P355:AA355">
    <cfRule type="expression" dxfId="9658" priority="1190">
      <formula>P$1=""</formula>
    </cfRule>
  </conditionalFormatting>
  <conditionalFormatting sqref="P357:AA357 P355:AA355">
    <cfRule type="expression" dxfId="9657" priority="1189">
      <formula>P$1=""</formula>
    </cfRule>
  </conditionalFormatting>
  <conditionalFormatting sqref="P357:AA357 P355:AA355">
    <cfRule type="expression" dxfId="9656" priority="1188">
      <formula>P$1=""</formula>
    </cfRule>
  </conditionalFormatting>
  <conditionalFormatting sqref="P357:AA357 P355:AA355">
    <cfRule type="expression" dxfId="9655" priority="1187">
      <formula>P$1=""</formula>
    </cfRule>
  </conditionalFormatting>
  <conditionalFormatting sqref="P357:AA357 P355:AA355">
    <cfRule type="expression" dxfId="9654" priority="1186">
      <formula>P$1=""</formula>
    </cfRule>
  </conditionalFormatting>
  <conditionalFormatting sqref="P357:AA357 P355:AA355">
    <cfRule type="expression" dxfId="9653" priority="1185">
      <formula>P$1=""</formula>
    </cfRule>
  </conditionalFormatting>
  <conditionalFormatting sqref="P357:AA357 P355:AA355">
    <cfRule type="expression" dxfId="9652" priority="1184">
      <formula>P$1=""</formula>
    </cfRule>
  </conditionalFormatting>
  <conditionalFormatting sqref="P357:AA357 P355:AA355">
    <cfRule type="expression" dxfId="9651" priority="1183">
      <formula>P$1=""</formula>
    </cfRule>
  </conditionalFormatting>
  <conditionalFormatting sqref="P357:AA357 P355:AA355">
    <cfRule type="expression" dxfId="9650" priority="1182">
      <formula>P$1=""</formula>
    </cfRule>
  </conditionalFormatting>
  <conditionalFormatting sqref="P357:AA357 P355:AA355">
    <cfRule type="expression" dxfId="9649" priority="1181">
      <formula>P$1=""</formula>
    </cfRule>
  </conditionalFormatting>
  <conditionalFormatting sqref="P357:AA357 P355:AA355">
    <cfRule type="expression" dxfId="9648" priority="1180">
      <formula>P$1=""</formula>
    </cfRule>
  </conditionalFormatting>
  <conditionalFormatting sqref="P357:AA357 P355:AA355">
    <cfRule type="expression" dxfId="9647" priority="1179">
      <formula>P$1=""</formula>
    </cfRule>
  </conditionalFormatting>
  <conditionalFormatting sqref="P357:AA357 P355:AA355">
    <cfRule type="expression" dxfId="9646" priority="1178">
      <formula>P$1=""</formula>
    </cfRule>
  </conditionalFormatting>
  <conditionalFormatting sqref="P357:AA357 P355:AA355">
    <cfRule type="expression" dxfId="9645" priority="1177">
      <formula>P$1=""</formula>
    </cfRule>
  </conditionalFormatting>
  <conditionalFormatting sqref="P357:AA357 P355:AA355">
    <cfRule type="expression" dxfId="9644" priority="1176">
      <formula>P$1=""</formula>
    </cfRule>
  </conditionalFormatting>
  <conditionalFormatting sqref="P357:AA357 P355:AA355">
    <cfRule type="expression" dxfId="9643" priority="1175">
      <formula>P$1=""</formula>
    </cfRule>
  </conditionalFormatting>
  <conditionalFormatting sqref="P161:AA161 P159:AA159 P157:AA157">
    <cfRule type="expression" dxfId="9642" priority="1174">
      <formula>P$1=""</formula>
    </cfRule>
  </conditionalFormatting>
  <conditionalFormatting sqref="P161:AA161 P159:AA159 P157:AA157">
    <cfRule type="expression" dxfId="9641" priority="1173">
      <formula>P$1=""</formula>
    </cfRule>
  </conditionalFormatting>
  <conditionalFormatting sqref="P161:AA161 P159:AA159 P157:AA157">
    <cfRule type="expression" dxfId="9640" priority="1172">
      <formula>P$1=""</formula>
    </cfRule>
  </conditionalFormatting>
  <conditionalFormatting sqref="P161:AA161 P159:AA159 P157:AA157">
    <cfRule type="expression" dxfId="9639" priority="1171">
      <formula>P$1=""</formula>
    </cfRule>
  </conditionalFormatting>
  <conditionalFormatting sqref="P161:AA161 P159:AA159 P157:AA157">
    <cfRule type="expression" dxfId="9638" priority="1170">
      <formula>P$1=""</formula>
    </cfRule>
  </conditionalFormatting>
  <conditionalFormatting sqref="P161:AA161 P159:AA159 P157:AA157">
    <cfRule type="expression" dxfId="9637" priority="1169">
      <formula>P$1=""</formula>
    </cfRule>
  </conditionalFormatting>
  <conditionalFormatting sqref="P161:AA161 P159:AA159 P157:AA157">
    <cfRule type="expression" dxfId="9636" priority="1168">
      <formula>P$1=""</formula>
    </cfRule>
  </conditionalFormatting>
  <conditionalFormatting sqref="P161:AA161 P159:AA159 P157:AA157">
    <cfRule type="expression" dxfId="9635" priority="1167">
      <formula>P$1=""</formula>
    </cfRule>
  </conditionalFormatting>
  <conditionalFormatting sqref="P171:AA171 P169:AA169 P167:AA167">
    <cfRule type="expression" dxfId="9634" priority="1166">
      <formula>P$1=""</formula>
    </cfRule>
  </conditionalFormatting>
  <conditionalFormatting sqref="P171:AA171 P169:AA169 P167:AA167">
    <cfRule type="expression" dxfId="9633" priority="1165">
      <formula>P$1=""</formula>
    </cfRule>
  </conditionalFormatting>
  <conditionalFormatting sqref="P171:AA171 P169:AA169 P167:AA167">
    <cfRule type="expression" dxfId="9632" priority="1164">
      <formula>P$1=""</formula>
    </cfRule>
  </conditionalFormatting>
  <conditionalFormatting sqref="P171:AA171 P169:AA169 P167:AA167">
    <cfRule type="expression" dxfId="9631" priority="1163">
      <formula>P$1=""</formula>
    </cfRule>
  </conditionalFormatting>
  <conditionalFormatting sqref="P171:AA171 P169:AA169 P167:AA167">
    <cfRule type="expression" dxfId="9630" priority="1162">
      <formula>P$1=""</formula>
    </cfRule>
  </conditionalFormatting>
  <conditionalFormatting sqref="P171:AA171 P169:AA169 P167:AA167">
    <cfRule type="expression" dxfId="9629" priority="1161">
      <formula>P$1=""</formula>
    </cfRule>
  </conditionalFormatting>
  <conditionalFormatting sqref="P171:AA171 P169:AA169 P167:AA167">
    <cfRule type="expression" dxfId="9628" priority="1160">
      <formula>P$1=""</formula>
    </cfRule>
  </conditionalFormatting>
  <conditionalFormatting sqref="P171:AA171 P169:AA169 P167:AA167">
    <cfRule type="expression" dxfId="9627" priority="1159">
      <formula>P$1=""</formula>
    </cfRule>
  </conditionalFormatting>
  <conditionalFormatting sqref="P177:AA177 P179:AA179 P181:AA181">
    <cfRule type="expression" dxfId="9626" priority="1158">
      <formula>P$1=""</formula>
    </cfRule>
  </conditionalFormatting>
  <conditionalFormatting sqref="P177:AA177 P179:AA179 P181:AA181">
    <cfRule type="expression" dxfId="9625" priority="1157">
      <formula>P$1=""</formula>
    </cfRule>
  </conditionalFormatting>
  <conditionalFormatting sqref="P177:AA177 P179:AA179 P181:AA181">
    <cfRule type="expression" dxfId="9624" priority="1156">
      <formula>P$1=""</formula>
    </cfRule>
  </conditionalFormatting>
  <conditionalFormatting sqref="P177:AA177 P179:AA179 P181:AA181">
    <cfRule type="expression" dxfId="9623" priority="1155">
      <formula>P$1=""</formula>
    </cfRule>
  </conditionalFormatting>
  <conditionalFormatting sqref="P177:AA177 P179:AA179 P181:AA181">
    <cfRule type="expression" dxfId="9622" priority="1154">
      <formula>P$1=""</formula>
    </cfRule>
  </conditionalFormatting>
  <conditionalFormatting sqref="P177:AA177 P179:AA179 P181:AA181">
    <cfRule type="expression" dxfId="9621" priority="1153">
      <formula>P$1=""</formula>
    </cfRule>
  </conditionalFormatting>
  <conditionalFormatting sqref="P177:AA177 P179:AA179 P181:AA181">
    <cfRule type="expression" dxfId="9620" priority="1152">
      <formula>P$1=""</formula>
    </cfRule>
  </conditionalFormatting>
  <conditionalFormatting sqref="P177:AA177 P179:AA179 P181:AA181">
    <cfRule type="expression" dxfId="9619" priority="1151">
      <formula>P$1=""</formula>
    </cfRule>
  </conditionalFormatting>
  <conditionalFormatting sqref="P177:AA177">
    <cfRule type="expression" dxfId="9618" priority="1150">
      <formula>P$1=""</formula>
    </cfRule>
  </conditionalFormatting>
  <conditionalFormatting sqref="P177:AA177 P179:AA179 P181:AA181">
    <cfRule type="expression" dxfId="9617" priority="1149">
      <formula>P$1=""</formula>
    </cfRule>
  </conditionalFormatting>
  <conditionalFormatting sqref="P177:AA177 P179:AA179 P181:AA181">
    <cfRule type="expression" dxfId="9616" priority="1148">
      <formula>P$1=""</formula>
    </cfRule>
  </conditionalFormatting>
  <conditionalFormatting sqref="P177:AA177 P179:AA179 P181:AA181">
    <cfRule type="expression" dxfId="9615" priority="1147">
      <formula>P$1=""</formula>
    </cfRule>
  </conditionalFormatting>
  <conditionalFormatting sqref="P177:AA177 P179:AA179 P181:AA181">
    <cfRule type="expression" dxfId="9614" priority="1146">
      <formula>P$1=""</formula>
    </cfRule>
  </conditionalFormatting>
  <conditionalFormatting sqref="P177:AA177 P179:AA179 P181:AA181">
    <cfRule type="expression" dxfId="9613" priority="1145">
      <formula>P$1=""</formula>
    </cfRule>
  </conditionalFormatting>
  <conditionalFormatting sqref="P177:AA177">
    <cfRule type="expression" dxfId="9612" priority="1144">
      <formula>P$1=""</formula>
    </cfRule>
  </conditionalFormatting>
  <conditionalFormatting sqref="P177:AA177 P179:AA179 P181:AA181">
    <cfRule type="expression" dxfId="9611" priority="1143">
      <formula>P$1=""</formula>
    </cfRule>
  </conditionalFormatting>
  <conditionalFormatting sqref="P177:AA177 P179:AA179 P181:AA181">
    <cfRule type="expression" dxfId="9610" priority="1142">
      <formula>P$1=""</formula>
    </cfRule>
  </conditionalFormatting>
  <conditionalFormatting sqref="P177:AA177 P179:AA179 P181:AA181">
    <cfRule type="expression" dxfId="9609" priority="1141">
      <formula>P$1=""</formula>
    </cfRule>
  </conditionalFormatting>
  <conditionalFormatting sqref="P177:AA177 P179:AA179 P181:AA181">
    <cfRule type="expression" dxfId="9608" priority="1140">
      <formula>P$1=""</formula>
    </cfRule>
  </conditionalFormatting>
  <conditionalFormatting sqref="P177:AA177 P179:AA179 P181:AA181">
    <cfRule type="expression" dxfId="9607" priority="1139">
      <formula>P$1=""</formula>
    </cfRule>
  </conditionalFormatting>
  <conditionalFormatting sqref="P177:AA177 P179:AA179 P181:AA181">
    <cfRule type="expression" dxfId="9606" priority="1138">
      <formula>P$1=""</formula>
    </cfRule>
  </conditionalFormatting>
  <conditionalFormatting sqref="P177:AA177 P179:AA179 P181:AA181">
    <cfRule type="expression" dxfId="9605" priority="1137">
      <formula>P$1=""</formula>
    </cfRule>
  </conditionalFormatting>
  <conditionalFormatting sqref="P177:AA177 P179:AA179 P181:AA181">
    <cfRule type="expression" dxfId="9604" priority="1136">
      <formula>P$1=""</formula>
    </cfRule>
  </conditionalFormatting>
  <conditionalFormatting sqref="P181:AA181 P179:AA179">
    <cfRule type="expression" dxfId="9603" priority="1135">
      <formula>P$1=""</formula>
    </cfRule>
  </conditionalFormatting>
  <conditionalFormatting sqref="P181:AA181 P179:AA179">
    <cfRule type="expression" dxfId="9602" priority="1134">
      <formula>P$1=""</formula>
    </cfRule>
  </conditionalFormatting>
  <conditionalFormatting sqref="Q181:AA181 Q179:AA179">
    <cfRule type="expression" dxfId="9601" priority="1133">
      <formula>Q$1=""</formula>
    </cfRule>
  </conditionalFormatting>
  <conditionalFormatting sqref="Q181:AA181 Q179:AA179">
    <cfRule type="expression" dxfId="9600" priority="1132">
      <formula>Q$1=""</formula>
    </cfRule>
  </conditionalFormatting>
  <conditionalFormatting sqref="Q181:AA181 Q179:AA179">
    <cfRule type="expression" dxfId="9599" priority="1131">
      <formula>Q$1=""</formula>
    </cfRule>
  </conditionalFormatting>
  <conditionalFormatting sqref="Q181:AA181 Q179:AA179">
    <cfRule type="expression" dxfId="9598" priority="1130">
      <formula>Q$1=""</formula>
    </cfRule>
  </conditionalFormatting>
  <conditionalFormatting sqref="Q181:AA181 Q179:AA179">
    <cfRule type="expression" dxfId="9597" priority="1129">
      <formula>Q$1=""</formula>
    </cfRule>
  </conditionalFormatting>
  <conditionalFormatting sqref="Q181:AA181 Q179:AA179">
    <cfRule type="expression" dxfId="9596" priority="1128">
      <formula>Q$1=""</formula>
    </cfRule>
  </conditionalFormatting>
  <conditionalFormatting sqref="Q181:AA181 Q179:AA179">
    <cfRule type="expression" dxfId="9595" priority="1127">
      <formula>Q$1=""</formula>
    </cfRule>
  </conditionalFormatting>
  <conditionalFormatting sqref="Q181:AA181 Q179:AA179">
    <cfRule type="expression" dxfId="9594" priority="1126">
      <formula>Q$1=""</formula>
    </cfRule>
  </conditionalFormatting>
  <conditionalFormatting sqref="P181:AA181 P179:AA179">
    <cfRule type="expression" dxfId="9593" priority="1125">
      <formula>P$1=""</formula>
    </cfRule>
  </conditionalFormatting>
  <conditionalFormatting sqref="P181:AA181 P179:AA179">
    <cfRule type="expression" dxfId="9592" priority="1124">
      <formula>P$1=""</formula>
    </cfRule>
  </conditionalFormatting>
  <conditionalFormatting sqref="P337:AA337 P335:AA335 P333:AA333 P331:AA331">
    <cfRule type="expression" dxfId="9591" priority="1123">
      <formula>P$1=""</formula>
    </cfRule>
  </conditionalFormatting>
  <conditionalFormatting sqref="P337:AA337 P335:AA335 P333:AA333 P331:AA331">
    <cfRule type="expression" dxfId="9590" priority="1122">
      <formula>P$1=""</formula>
    </cfRule>
  </conditionalFormatting>
  <conditionalFormatting sqref="P337:AA337 P335:AA335 P333:AA333 P331:AA331">
    <cfRule type="expression" dxfId="9589" priority="1121">
      <formula>P$1=""</formula>
    </cfRule>
  </conditionalFormatting>
  <conditionalFormatting sqref="P337:AA337 P335:AA335 P333:AA333 P331:AA331">
    <cfRule type="expression" dxfId="9588" priority="1120">
      <formula>P$1=""</formula>
    </cfRule>
  </conditionalFormatting>
  <conditionalFormatting sqref="P337:AA337 P335:AA335 P333:AA333 P331:AA331">
    <cfRule type="expression" dxfId="9587" priority="1119">
      <formula>P$1=""</formula>
    </cfRule>
  </conditionalFormatting>
  <conditionalFormatting sqref="P337:AA337 P335:AA335 P333:AA333 P331:AA331">
    <cfRule type="expression" dxfId="9586" priority="1118">
      <formula>P$1=""</formula>
    </cfRule>
  </conditionalFormatting>
  <conditionalFormatting sqref="P337:AA337 P335:AA335 P333:AA333 P331:AA331">
    <cfRule type="expression" dxfId="9585" priority="1117">
      <formula>P$1=""</formula>
    </cfRule>
  </conditionalFormatting>
  <conditionalFormatting sqref="P337:AA337 P335:AA335 P333:AA333 P331:AA331">
    <cfRule type="expression" dxfId="9584" priority="1116">
      <formula>P$1=""</formula>
    </cfRule>
  </conditionalFormatting>
  <conditionalFormatting sqref="P337:AA337 P335:AA335 P333:AA333 P331:AA331">
    <cfRule type="expression" dxfId="9583" priority="1115">
      <formula>P$1=""</formula>
    </cfRule>
  </conditionalFormatting>
  <conditionalFormatting sqref="P337:AA337 P335:AA335 P333:AA333 P331:AA331">
    <cfRule type="expression" dxfId="9582" priority="1114">
      <formula>P$1=""</formula>
    </cfRule>
  </conditionalFormatting>
  <conditionalFormatting sqref="P337:AA337 P335:AA335 P333:AA333 P331:AA331">
    <cfRule type="expression" dxfId="9581" priority="1113">
      <formula>P$1=""</formula>
    </cfRule>
  </conditionalFormatting>
  <conditionalFormatting sqref="P337:AA337 P335:AA335 P333:AA333 P331:AA331">
    <cfRule type="expression" dxfId="9580" priority="1112">
      <formula>P$1=""</formula>
    </cfRule>
  </conditionalFormatting>
  <conditionalFormatting sqref="P337:AA337 P335:AA335 P333:AA333 P331:AA331">
    <cfRule type="expression" dxfId="9579" priority="1111">
      <formula>P$1=""</formula>
    </cfRule>
  </conditionalFormatting>
  <conditionalFormatting sqref="P337:AA337 P335:AA335 P333:AA333 P331:AA331">
    <cfRule type="expression" dxfId="9578" priority="1110">
      <formula>P$1=""</formula>
    </cfRule>
  </conditionalFormatting>
  <conditionalFormatting sqref="P337:AA337 P335:AA335 P333:AA333 P331:AA331">
    <cfRule type="expression" dxfId="9577" priority="1109">
      <formula>P$1=""</formula>
    </cfRule>
  </conditionalFormatting>
  <conditionalFormatting sqref="P337:AA337 P335:AA335 P333:AA333 P331:AA331">
    <cfRule type="expression" dxfId="9576" priority="1108">
      <formula>P$1=""</formula>
    </cfRule>
  </conditionalFormatting>
  <conditionalFormatting sqref="P337:AA337 P335:AA335 P333:AA333 P331:AA331">
    <cfRule type="expression" dxfId="9575" priority="1107">
      <formula>P$1=""</formula>
    </cfRule>
  </conditionalFormatting>
  <conditionalFormatting sqref="P337:AA337 P335:AA335 P333:AA333 P331:AA331">
    <cfRule type="expression" dxfId="9574" priority="1106">
      <formula>P$1=""</formula>
    </cfRule>
  </conditionalFormatting>
  <conditionalFormatting sqref="P337:AA337 P335:AA335 P333:AA333 P331:AA331">
    <cfRule type="expression" dxfId="9573" priority="1105">
      <formula>P$1=""</formula>
    </cfRule>
  </conditionalFormatting>
  <conditionalFormatting sqref="P337:AA337 P335:AA335 P333:AA333 P331:AA331">
    <cfRule type="expression" dxfId="9572" priority="1104">
      <formula>P$1=""</formula>
    </cfRule>
  </conditionalFormatting>
  <conditionalFormatting sqref="P337:AA337 P335:AA335 P333:AA333 P331:AA331">
    <cfRule type="expression" dxfId="9571" priority="1103">
      <formula>P$1=""</formula>
    </cfRule>
  </conditionalFormatting>
  <conditionalFormatting sqref="P337:AA337 P335:AA335 P333:AA333 P331:AA331">
    <cfRule type="expression" dxfId="9570" priority="1102">
      <formula>P$1=""</formula>
    </cfRule>
  </conditionalFormatting>
  <conditionalFormatting sqref="P337:AA337 P335:AA335 P333:AA333 P331:AA331">
    <cfRule type="expression" dxfId="9569" priority="1101">
      <formula>P$1=""</formula>
    </cfRule>
  </conditionalFormatting>
  <conditionalFormatting sqref="P193:AA193">
    <cfRule type="expression" dxfId="9568" priority="1100">
      <formula>P$1=""</formula>
    </cfRule>
  </conditionalFormatting>
  <conditionalFormatting sqref="P193:AA193">
    <cfRule type="expression" dxfId="9567" priority="1083">
      <formula>P$1=""</formula>
    </cfRule>
  </conditionalFormatting>
  <conditionalFormatting sqref="P193:AA193">
    <cfRule type="expression" dxfId="9566" priority="1082">
      <formula>P$1=""</formula>
    </cfRule>
  </conditionalFormatting>
  <conditionalFormatting sqref="P193:AA193">
    <cfRule type="expression" dxfId="9565" priority="1081">
      <formula>P$1=""</formula>
    </cfRule>
  </conditionalFormatting>
  <conditionalFormatting sqref="P193:AA193">
    <cfRule type="expression" dxfId="9564" priority="1080">
      <formula>P$1=""</formula>
    </cfRule>
  </conditionalFormatting>
  <conditionalFormatting sqref="P193:AA193">
    <cfRule type="expression" dxfId="9563" priority="1079">
      <formula>P$1=""</formula>
    </cfRule>
  </conditionalFormatting>
  <conditionalFormatting sqref="P193:AA193">
    <cfRule type="expression" dxfId="9562" priority="1078">
      <formula>P$1=""</formula>
    </cfRule>
  </conditionalFormatting>
  <conditionalFormatting sqref="P193:AA193">
    <cfRule type="expression" dxfId="9561" priority="1077">
      <formula>P$1=""</formula>
    </cfRule>
  </conditionalFormatting>
  <conditionalFormatting sqref="P206:AA206">
    <cfRule type="expression" dxfId="9560" priority="1072">
      <formula>P$1=""</formula>
    </cfRule>
  </conditionalFormatting>
  <conditionalFormatting sqref="P208:AA208">
    <cfRule type="expression" dxfId="9559" priority="1071">
      <formula>P$1=""</formula>
    </cfRule>
  </conditionalFormatting>
  <conditionalFormatting sqref="P210:AA210">
    <cfRule type="expression" dxfId="9558" priority="1070">
      <formula>P$1=""</formula>
    </cfRule>
  </conditionalFormatting>
  <conditionalFormatting sqref="P212:AA212">
    <cfRule type="expression" dxfId="9557" priority="1069">
      <formula>P$1=""</formula>
    </cfRule>
  </conditionalFormatting>
  <conditionalFormatting sqref="P208:AA208 P210:AA210 P212:AA212">
    <cfRule type="expression" dxfId="9556" priority="1068">
      <formula>P$1=""</formula>
    </cfRule>
  </conditionalFormatting>
  <conditionalFormatting sqref="P208:AA208 P210:AA210 P212:AA212">
    <cfRule type="expression" dxfId="9555" priority="1067">
      <formula>P$1=""</formula>
    </cfRule>
  </conditionalFormatting>
  <conditionalFormatting sqref="P208:AA208 P210:AA210 P212:AA212">
    <cfRule type="expression" dxfId="9554" priority="1066">
      <formula>P$1=""</formula>
    </cfRule>
  </conditionalFormatting>
  <conditionalFormatting sqref="P208:AA208 P210:AA210 P212:AA212">
    <cfRule type="expression" dxfId="9553" priority="1065">
      <formula>P$1=""</formula>
    </cfRule>
  </conditionalFormatting>
  <conditionalFormatting sqref="P208:AA208 P210:AA210 P212:AA212">
    <cfRule type="expression" dxfId="9552" priority="1064">
      <formula>P$1=""</formula>
    </cfRule>
  </conditionalFormatting>
  <conditionalFormatting sqref="P210:AA210 P212:AA212">
    <cfRule type="expression" dxfId="9551" priority="1063">
      <formula>P$1=""</formula>
    </cfRule>
  </conditionalFormatting>
  <conditionalFormatting sqref="P208:AA208">
    <cfRule type="expression" dxfId="9550" priority="1062">
      <formula>P$1=""</formula>
    </cfRule>
  </conditionalFormatting>
  <conditionalFormatting sqref="P210:AA210 P212:AA212">
    <cfRule type="expression" dxfId="9549" priority="1061">
      <formula>P$1=""</formula>
    </cfRule>
  </conditionalFormatting>
  <conditionalFormatting sqref="P210:AA210 P212:AA212">
    <cfRule type="expression" dxfId="9548" priority="1060">
      <formula>P$1=""</formula>
    </cfRule>
  </conditionalFormatting>
  <conditionalFormatting sqref="P212:AA212">
    <cfRule type="expression" dxfId="9547" priority="1059">
      <formula>P$1=""</formula>
    </cfRule>
  </conditionalFormatting>
  <conditionalFormatting sqref="P212:AA212">
    <cfRule type="expression" dxfId="9546" priority="1058">
      <formula>P$1=""</formula>
    </cfRule>
  </conditionalFormatting>
  <conditionalFormatting sqref="P212:AA212">
    <cfRule type="expression" dxfId="9545" priority="1057">
      <formula>P$1=""</formula>
    </cfRule>
  </conditionalFormatting>
  <conditionalFormatting sqref="P212:AA212">
    <cfRule type="expression" dxfId="9544" priority="1056">
      <formula>P$1=""</formula>
    </cfRule>
  </conditionalFormatting>
  <conditionalFormatting sqref="P206:AA206">
    <cfRule type="expression" dxfId="9543" priority="1055">
      <formula>P$1=""</formula>
    </cfRule>
  </conditionalFormatting>
  <conditionalFormatting sqref="P206:AA206">
    <cfRule type="expression" dxfId="9542" priority="1054">
      <formula>P$1=""</formula>
    </cfRule>
  </conditionalFormatting>
  <conditionalFormatting sqref="P206:AA206">
    <cfRule type="expression" dxfId="9541" priority="1053">
      <formula>P$1=""</formula>
    </cfRule>
  </conditionalFormatting>
  <conditionalFormatting sqref="P206:AA206">
    <cfRule type="expression" dxfId="9540" priority="1052">
      <formula>P$1=""</formula>
    </cfRule>
  </conditionalFormatting>
  <conditionalFormatting sqref="P206:AA206">
    <cfRule type="expression" dxfId="9539" priority="1051">
      <formula>P$1=""</formula>
    </cfRule>
  </conditionalFormatting>
  <conditionalFormatting sqref="P206:AA206">
    <cfRule type="expression" dxfId="9538" priority="1050">
      <formula>P$1=""</formula>
    </cfRule>
  </conditionalFormatting>
  <conditionalFormatting sqref="P206:AA206">
    <cfRule type="expression" dxfId="9537" priority="1049">
      <formula>P$1=""</formula>
    </cfRule>
  </conditionalFormatting>
  <conditionalFormatting sqref="P210:AA210 P212:AA212">
    <cfRule type="expression" dxfId="9536" priority="1048">
      <formula>P$1=""</formula>
    </cfRule>
  </conditionalFormatting>
  <conditionalFormatting sqref="P210:AA210 P212:AA212">
    <cfRule type="expression" dxfId="9535" priority="1047">
      <formula>P$1=""</formula>
    </cfRule>
  </conditionalFormatting>
  <conditionalFormatting sqref="P210:AA210 P212:AA212">
    <cfRule type="expression" dxfId="9534" priority="1046">
      <formula>P$1=""</formula>
    </cfRule>
  </conditionalFormatting>
  <conditionalFormatting sqref="P210:AA210 P212:AA212">
    <cfRule type="expression" dxfId="9533" priority="1045">
      <formula>P$1=""</formula>
    </cfRule>
  </conditionalFormatting>
  <conditionalFormatting sqref="P212 P210 P208">
    <cfRule type="expression" dxfId="9532" priority="1044">
      <formula>P$1=""</formula>
    </cfRule>
  </conditionalFormatting>
  <conditionalFormatting sqref="P212 P210 P208">
    <cfRule type="expression" dxfId="9531" priority="1043">
      <formula>P$1=""</formula>
    </cfRule>
  </conditionalFormatting>
  <conditionalFormatting sqref="P212 P210 P208">
    <cfRule type="expression" dxfId="9530" priority="1042">
      <formula>P$1=""</formula>
    </cfRule>
  </conditionalFormatting>
  <conditionalFormatting sqref="P236:AA236">
    <cfRule type="expression" dxfId="9529" priority="1018">
      <formula>P$1=""</formula>
    </cfRule>
  </conditionalFormatting>
  <conditionalFormatting sqref="P238:AA238">
    <cfRule type="expression" dxfId="9528" priority="1017">
      <formula>P$1=""</formula>
    </cfRule>
  </conditionalFormatting>
  <conditionalFormatting sqref="P240:AA240">
    <cfRule type="expression" dxfId="9527" priority="1016">
      <formula>P$1=""</formula>
    </cfRule>
  </conditionalFormatting>
  <conditionalFormatting sqref="P242:AA242">
    <cfRule type="expression" dxfId="9526" priority="1015">
      <formula>P$1=""</formula>
    </cfRule>
  </conditionalFormatting>
  <conditionalFormatting sqref="P238:AA238 P240:AA240 P242:AA242">
    <cfRule type="expression" dxfId="9525" priority="1014">
      <formula>P$1=""</formula>
    </cfRule>
  </conditionalFormatting>
  <conditionalFormatting sqref="P238:AA238 P240:AA240 P242:AA242">
    <cfRule type="expression" dxfId="9524" priority="1013">
      <formula>P$1=""</formula>
    </cfRule>
  </conditionalFormatting>
  <conditionalFormatting sqref="P238:AA238 P240:AA240 P242:AA242">
    <cfRule type="expression" dxfId="9523" priority="1012">
      <formula>P$1=""</formula>
    </cfRule>
  </conditionalFormatting>
  <conditionalFormatting sqref="P238:AA238 P240:AA240 P242:AA242">
    <cfRule type="expression" dxfId="9522" priority="1011">
      <formula>P$1=""</formula>
    </cfRule>
  </conditionalFormatting>
  <conditionalFormatting sqref="P238:AA238 P240:AA240 P242:AA242">
    <cfRule type="expression" dxfId="9521" priority="1010">
      <formula>P$1=""</formula>
    </cfRule>
  </conditionalFormatting>
  <conditionalFormatting sqref="P240:AA240 P242:AA242">
    <cfRule type="expression" dxfId="9520" priority="1009">
      <formula>P$1=""</formula>
    </cfRule>
  </conditionalFormatting>
  <conditionalFormatting sqref="P238:AA238">
    <cfRule type="expression" dxfId="9519" priority="1008">
      <formula>P$1=""</formula>
    </cfRule>
  </conditionalFormatting>
  <conditionalFormatting sqref="P240:AA240 P242:AA242">
    <cfRule type="expression" dxfId="9518" priority="1007">
      <formula>P$1=""</formula>
    </cfRule>
  </conditionalFormatting>
  <conditionalFormatting sqref="P240:AA240 P242:AA242">
    <cfRule type="expression" dxfId="9517" priority="1006">
      <formula>P$1=""</formula>
    </cfRule>
  </conditionalFormatting>
  <conditionalFormatting sqref="P242:AA242">
    <cfRule type="expression" dxfId="9516" priority="1005">
      <formula>P$1=""</formula>
    </cfRule>
  </conditionalFormatting>
  <conditionalFormatting sqref="P242:AA242">
    <cfRule type="expression" dxfId="9515" priority="1004">
      <formula>P$1=""</formula>
    </cfRule>
  </conditionalFormatting>
  <conditionalFormatting sqref="P242:AA242">
    <cfRule type="expression" dxfId="9514" priority="1003">
      <formula>P$1=""</formula>
    </cfRule>
  </conditionalFormatting>
  <conditionalFormatting sqref="P242:AA242">
    <cfRule type="expression" dxfId="9513" priority="1002">
      <formula>P$1=""</formula>
    </cfRule>
  </conditionalFormatting>
  <conditionalFormatting sqref="P236:AA236">
    <cfRule type="expression" dxfId="9512" priority="1001">
      <formula>P$1=""</formula>
    </cfRule>
  </conditionalFormatting>
  <conditionalFormatting sqref="P236:AA236">
    <cfRule type="expression" dxfId="9511" priority="1000">
      <formula>P$1=""</formula>
    </cfRule>
  </conditionalFormatting>
  <conditionalFormatting sqref="P236:AA236">
    <cfRule type="expression" dxfId="9510" priority="999">
      <formula>P$1=""</formula>
    </cfRule>
  </conditionalFormatting>
  <conditionalFormatting sqref="P236:AA236">
    <cfRule type="expression" dxfId="9509" priority="998">
      <formula>P$1=""</formula>
    </cfRule>
  </conditionalFormatting>
  <conditionalFormatting sqref="P236:AA236">
    <cfRule type="expression" dxfId="9508" priority="997">
      <formula>P$1=""</formula>
    </cfRule>
  </conditionalFormatting>
  <conditionalFormatting sqref="P236:AA236">
    <cfRule type="expression" dxfId="9507" priority="996">
      <formula>P$1=""</formula>
    </cfRule>
  </conditionalFormatting>
  <conditionalFormatting sqref="P236:AA236">
    <cfRule type="expression" dxfId="9506" priority="995">
      <formula>P$1=""</formula>
    </cfRule>
  </conditionalFormatting>
  <conditionalFormatting sqref="P240:AA240 P242:AA242">
    <cfRule type="expression" dxfId="9505" priority="994">
      <formula>P$1=""</formula>
    </cfRule>
  </conditionalFormatting>
  <conditionalFormatting sqref="P240:AA240 P242:AA242">
    <cfRule type="expression" dxfId="9504" priority="993">
      <formula>P$1=""</formula>
    </cfRule>
  </conditionalFormatting>
  <conditionalFormatting sqref="P240:AA240 P242:AA242">
    <cfRule type="expression" dxfId="9503" priority="992">
      <formula>P$1=""</formula>
    </cfRule>
  </conditionalFormatting>
  <conditionalFormatting sqref="P240:AA240 P242:AA242">
    <cfRule type="expression" dxfId="9502" priority="991">
      <formula>P$1=""</formula>
    </cfRule>
  </conditionalFormatting>
  <conditionalFormatting sqref="P238:AA238 P240:AA240 P242:AA242">
    <cfRule type="expression" dxfId="9501" priority="990">
      <formula>P$1=""</formula>
    </cfRule>
  </conditionalFormatting>
  <conditionalFormatting sqref="P238:AA238 P240:AA240 P242:AA242">
    <cfRule type="expression" dxfId="9500" priority="989">
      <formula>P$1=""</formula>
    </cfRule>
  </conditionalFormatting>
  <conditionalFormatting sqref="P238:AA238 P240:AA240 P242:AA242">
    <cfRule type="expression" dxfId="9499" priority="988">
      <formula>P$1=""</formula>
    </cfRule>
  </conditionalFormatting>
  <conditionalFormatting sqref="P238:AA238 P240:AA240 P242:AA242">
    <cfRule type="expression" dxfId="9498" priority="987">
      <formula>P$1=""</formula>
    </cfRule>
  </conditionalFormatting>
  <conditionalFormatting sqref="P238:AA238 P240:AA240 P242:AA242">
    <cfRule type="expression" dxfId="9497" priority="986">
      <formula>P$1=""</formula>
    </cfRule>
  </conditionalFormatting>
  <conditionalFormatting sqref="P238:AA238 P240:AA240 P242:AA242">
    <cfRule type="expression" dxfId="9496" priority="985">
      <formula>P$1=""</formula>
    </cfRule>
  </conditionalFormatting>
  <conditionalFormatting sqref="P238:AA238 P240:AA240 P242:AA242">
    <cfRule type="expression" dxfId="9495" priority="984">
      <formula>P$1=""</formula>
    </cfRule>
  </conditionalFormatting>
  <conditionalFormatting sqref="P238:AA238 P240:AA240 P242:AA242">
    <cfRule type="expression" dxfId="9494" priority="983">
      <formula>P$1=""</formula>
    </cfRule>
  </conditionalFormatting>
  <conditionalFormatting sqref="Q238:AA238">
    <cfRule type="expression" dxfId="9493" priority="982">
      <formula>Q$1=""</formula>
    </cfRule>
  </conditionalFormatting>
  <conditionalFormatting sqref="Q238:AA238">
    <cfRule type="expression" dxfId="9492" priority="981">
      <formula>Q$1=""</formula>
    </cfRule>
  </conditionalFormatting>
  <conditionalFormatting sqref="Q238:AA238">
    <cfRule type="expression" dxfId="9491" priority="980">
      <formula>Q$1=""</formula>
    </cfRule>
  </conditionalFormatting>
  <conditionalFormatting sqref="Q238:AA238">
    <cfRule type="expression" dxfId="9490" priority="979">
      <formula>Q$1=""</formula>
    </cfRule>
  </conditionalFormatting>
  <conditionalFormatting sqref="Q238:AA238">
    <cfRule type="expression" dxfId="9489" priority="978">
      <formula>Q$1=""</formula>
    </cfRule>
  </conditionalFormatting>
  <conditionalFormatting sqref="Q238:AA238">
    <cfRule type="expression" dxfId="9488" priority="977">
      <formula>Q$1=""</formula>
    </cfRule>
  </conditionalFormatting>
  <conditionalFormatting sqref="Q238:AA238">
    <cfRule type="expression" dxfId="9487" priority="976">
      <formula>Q$1=""</formula>
    </cfRule>
  </conditionalFormatting>
  <conditionalFormatting sqref="Q238:AA238">
    <cfRule type="expression" dxfId="9486" priority="975">
      <formula>Q$1=""</formula>
    </cfRule>
  </conditionalFormatting>
  <conditionalFormatting sqref="Q240:AA240 Q242:AA242">
    <cfRule type="expression" dxfId="9485" priority="974">
      <formula>Q$1=""</formula>
    </cfRule>
  </conditionalFormatting>
  <conditionalFormatting sqref="Q240:AA240 Q242:AA242">
    <cfRule type="expression" dxfId="9484" priority="973">
      <formula>Q$1=""</formula>
    </cfRule>
  </conditionalFormatting>
  <conditionalFormatting sqref="Q240:AA240 Q242:AA242">
    <cfRule type="expression" dxfId="9483" priority="972">
      <formula>Q$1=""</formula>
    </cfRule>
  </conditionalFormatting>
  <conditionalFormatting sqref="Q240:AA240 Q242:AA242">
    <cfRule type="expression" dxfId="9482" priority="971">
      <formula>Q$1=""</formula>
    </cfRule>
  </conditionalFormatting>
  <conditionalFormatting sqref="Q240:AA240 Q242:AA242">
    <cfRule type="expression" dxfId="9481" priority="970">
      <formula>Q$1=""</formula>
    </cfRule>
  </conditionalFormatting>
  <conditionalFormatting sqref="Q240:AA240 Q242:AA242">
    <cfRule type="expression" dxfId="9480" priority="969">
      <formula>Q$1=""</formula>
    </cfRule>
  </conditionalFormatting>
  <conditionalFormatting sqref="Q240:AA240 Q242:AA242">
    <cfRule type="expression" dxfId="9479" priority="968">
      <formula>Q$1=""</formula>
    </cfRule>
  </conditionalFormatting>
  <conditionalFormatting sqref="Q240:AA240 Q242:AA242">
    <cfRule type="expression" dxfId="9478" priority="967">
      <formula>Q$1=""</formula>
    </cfRule>
  </conditionalFormatting>
  <conditionalFormatting sqref="Q240:AA240 Q242:AA242">
    <cfRule type="expression" dxfId="9477" priority="966">
      <formula>Q$1=""</formula>
    </cfRule>
  </conditionalFormatting>
  <conditionalFormatting sqref="Q240:AA240 Q242:AA242">
    <cfRule type="expression" dxfId="9476" priority="965">
      <formula>Q$1=""</formula>
    </cfRule>
  </conditionalFormatting>
  <conditionalFormatting sqref="P236:AA236 P240:AA240 P242:AA242">
    <cfRule type="expression" dxfId="9475" priority="964">
      <formula>P$1=""</formula>
    </cfRule>
  </conditionalFormatting>
  <conditionalFormatting sqref="P236:AA236">
    <cfRule type="expression" dxfId="9474" priority="963">
      <formula>P$1=""</formula>
    </cfRule>
  </conditionalFormatting>
  <conditionalFormatting sqref="P236:AA236">
    <cfRule type="expression" dxfId="9473" priority="962">
      <formula>P$1=""</formula>
    </cfRule>
  </conditionalFormatting>
  <conditionalFormatting sqref="P236:AA236">
    <cfRule type="expression" dxfId="9472" priority="961">
      <formula>P$1=""</formula>
    </cfRule>
  </conditionalFormatting>
  <conditionalFormatting sqref="P236:AA236">
    <cfRule type="expression" dxfId="9471" priority="960">
      <formula>P$1=""</formula>
    </cfRule>
  </conditionalFormatting>
  <conditionalFormatting sqref="P236:AA236">
    <cfRule type="expression" dxfId="9470" priority="959">
      <formula>P$1=""</formula>
    </cfRule>
  </conditionalFormatting>
  <conditionalFormatting sqref="P236:AA236 P240:AA240 P242:AA242">
    <cfRule type="expression" dxfId="9469" priority="958">
      <formula>P$1=""</formula>
    </cfRule>
  </conditionalFormatting>
  <conditionalFormatting sqref="P236:AA236">
    <cfRule type="expression" dxfId="9468" priority="957">
      <formula>P$1=""</formula>
    </cfRule>
  </conditionalFormatting>
  <conditionalFormatting sqref="P236:AA236">
    <cfRule type="expression" dxfId="9467" priority="956">
      <formula>P$1=""</formula>
    </cfRule>
  </conditionalFormatting>
  <conditionalFormatting sqref="P236:AA236">
    <cfRule type="expression" dxfId="9466" priority="955">
      <formula>P$1=""</formula>
    </cfRule>
  </conditionalFormatting>
  <conditionalFormatting sqref="P236:AA236">
    <cfRule type="expression" dxfId="9465" priority="954">
      <formula>P$1=""</formula>
    </cfRule>
  </conditionalFormatting>
  <conditionalFormatting sqref="P236:AA236">
    <cfRule type="expression" dxfId="9464" priority="953">
      <formula>P$1=""</formula>
    </cfRule>
  </conditionalFormatting>
  <conditionalFormatting sqref="P236:AA236">
    <cfRule type="expression" dxfId="9463" priority="952">
      <formula>P$1=""</formula>
    </cfRule>
  </conditionalFormatting>
  <conditionalFormatting sqref="P236:AA236">
    <cfRule type="expression" dxfId="9462" priority="951">
      <formula>P$1=""</formula>
    </cfRule>
  </conditionalFormatting>
  <conditionalFormatting sqref="P236:AA236">
    <cfRule type="expression" dxfId="9461" priority="950">
      <formula>P$1=""</formula>
    </cfRule>
  </conditionalFormatting>
  <conditionalFormatting sqref="P238:AA238 P240:AA240 P242:AA242">
    <cfRule type="expression" dxfId="9460" priority="925">
      <formula>P$1=""</formula>
    </cfRule>
  </conditionalFormatting>
  <conditionalFormatting sqref="P238:AA238 P240:AA240 P242:AA242">
    <cfRule type="expression" dxfId="9459" priority="924">
      <formula>P$1=""</formula>
    </cfRule>
  </conditionalFormatting>
  <conditionalFormatting sqref="P238:AA238 P240:AA240 P242:AA242">
    <cfRule type="expression" dxfId="9458" priority="923">
      <formula>P$1=""</formula>
    </cfRule>
  </conditionalFormatting>
  <conditionalFormatting sqref="P238:AA238 P240:AA240 P242:AA242">
    <cfRule type="expression" dxfId="9457" priority="922">
      <formula>P$1=""</formula>
    </cfRule>
  </conditionalFormatting>
  <conditionalFormatting sqref="P238:AA238 P240:AA240 P242:AA242">
    <cfRule type="expression" dxfId="9456" priority="921">
      <formula>P$1=""</formula>
    </cfRule>
  </conditionalFormatting>
  <conditionalFormatting sqref="P238:AA238 P240:AA240 P242:AA242">
    <cfRule type="expression" dxfId="9455" priority="920">
      <formula>P$1=""</formula>
    </cfRule>
  </conditionalFormatting>
  <conditionalFormatting sqref="P238:AA238 P240:AA240 P242:AA242">
    <cfRule type="expression" dxfId="9454" priority="919">
      <formula>P$1=""</formula>
    </cfRule>
  </conditionalFormatting>
  <conditionalFormatting sqref="P238:AA238 P240:AA240 P242:AA242">
    <cfRule type="expression" dxfId="9453" priority="918">
      <formula>P$1=""</formula>
    </cfRule>
  </conditionalFormatting>
  <conditionalFormatting sqref="P238:AA238">
    <cfRule type="expression" dxfId="9452" priority="917">
      <formula>P$1=""</formula>
    </cfRule>
  </conditionalFormatting>
  <conditionalFormatting sqref="P238:AA238 P240:AA240 P242:AA242">
    <cfRule type="expression" dxfId="9451" priority="916">
      <formula>P$1=""</formula>
    </cfRule>
  </conditionalFormatting>
  <conditionalFormatting sqref="P238:AA238 P240:AA240 P242:AA242">
    <cfRule type="expression" dxfId="9450" priority="915">
      <formula>P$1=""</formula>
    </cfRule>
  </conditionalFormatting>
  <conditionalFormatting sqref="P238:AA238 P240:AA240 P242:AA242">
    <cfRule type="expression" dxfId="9449" priority="914">
      <formula>P$1=""</formula>
    </cfRule>
  </conditionalFormatting>
  <conditionalFormatting sqref="P238:AA238 P240:AA240 P242:AA242">
    <cfRule type="expression" dxfId="9448" priority="913">
      <formula>P$1=""</formula>
    </cfRule>
  </conditionalFormatting>
  <conditionalFormatting sqref="P238:AA238 P240:AA240 P242:AA242">
    <cfRule type="expression" dxfId="9447" priority="912">
      <formula>P$1=""</formula>
    </cfRule>
  </conditionalFormatting>
  <conditionalFormatting sqref="P238:AA238">
    <cfRule type="expression" dxfId="9446" priority="911">
      <formula>P$1=""</formula>
    </cfRule>
  </conditionalFormatting>
  <conditionalFormatting sqref="P238:AA238 P240:AA240 P242:AA242">
    <cfRule type="expression" dxfId="9445" priority="910">
      <formula>P$1=""</formula>
    </cfRule>
  </conditionalFormatting>
  <conditionalFormatting sqref="P238:AA238 P240:AA240 P242:AA242">
    <cfRule type="expression" dxfId="9444" priority="909">
      <formula>P$1=""</formula>
    </cfRule>
  </conditionalFormatting>
  <conditionalFormatting sqref="P238:AA238 P240:AA240 P242:AA242">
    <cfRule type="expression" dxfId="9443" priority="908">
      <formula>P$1=""</formula>
    </cfRule>
  </conditionalFormatting>
  <conditionalFormatting sqref="P238:AA238 P240:AA240 P242:AA242">
    <cfRule type="expression" dxfId="9442" priority="907">
      <formula>P$1=""</formula>
    </cfRule>
  </conditionalFormatting>
  <conditionalFormatting sqref="P238:AA238 P240:AA240 P242:AA242">
    <cfRule type="expression" dxfId="9441" priority="906">
      <formula>P$1=""</formula>
    </cfRule>
  </conditionalFormatting>
  <conditionalFormatting sqref="P238:AA238 P240:AA240 P242:AA242">
    <cfRule type="expression" dxfId="9440" priority="905">
      <formula>P$1=""</formula>
    </cfRule>
  </conditionalFormatting>
  <conditionalFormatting sqref="P238:AA238 P240:AA240 P242:AA242">
    <cfRule type="expression" dxfId="9439" priority="904">
      <formula>P$1=""</formula>
    </cfRule>
  </conditionalFormatting>
  <conditionalFormatting sqref="P238:AA238 P240:AA240 P242:AA242">
    <cfRule type="expression" dxfId="9438" priority="903">
      <formula>P$1=""</formula>
    </cfRule>
  </conditionalFormatting>
  <conditionalFormatting sqref="P242:AA242 P240:AA240">
    <cfRule type="expression" dxfId="9437" priority="902">
      <formula>P$1=""</formula>
    </cfRule>
  </conditionalFormatting>
  <conditionalFormatting sqref="P242:AA242 P240:AA240">
    <cfRule type="expression" dxfId="9436" priority="901">
      <formula>P$1=""</formula>
    </cfRule>
  </conditionalFormatting>
  <conditionalFormatting sqref="Q242:AA242 Q240:AA240">
    <cfRule type="expression" dxfId="9435" priority="900">
      <formula>Q$1=""</formula>
    </cfRule>
  </conditionalFormatting>
  <conditionalFormatting sqref="Q242:AA242 Q240:AA240">
    <cfRule type="expression" dxfId="9434" priority="899">
      <formula>Q$1=""</formula>
    </cfRule>
  </conditionalFormatting>
  <conditionalFormatting sqref="Q242:AA242 Q240:AA240">
    <cfRule type="expression" dxfId="9433" priority="898">
      <formula>Q$1=""</formula>
    </cfRule>
  </conditionalFormatting>
  <conditionalFormatting sqref="Q242:AA242 Q240:AA240">
    <cfRule type="expression" dxfId="9432" priority="897">
      <formula>Q$1=""</formula>
    </cfRule>
  </conditionalFormatting>
  <conditionalFormatting sqref="Q242:AA242 Q240:AA240">
    <cfRule type="expression" dxfId="9431" priority="896">
      <formula>Q$1=""</formula>
    </cfRule>
  </conditionalFormatting>
  <conditionalFormatting sqref="Q242:AA242 Q240:AA240">
    <cfRule type="expression" dxfId="9430" priority="895">
      <formula>Q$1=""</formula>
    </cfRule>
  </conditionalFormatting>
  <conditionalFormatting sqref="Q242:AA242 Q240:AA240">
    <cfRule type="expression" dxfId="9429" priority="894">
      <formula>Q$1=""</formula>
    </cfRule>
  </conditionalFormatting>
  <conditionalFormatting sqref="Q242:AA242 Q240:AA240">
    <cfRule type="expression" dxfId="9428" priority="893">
      <formula>Q$1=""</formula>
    </cfRule>
  </conditionalFormatting>
  <conditionalFormatting sqref="P242:AA242 P240:AA240">
    <cfRule type="expression" dxfId="9427" priority="892">
      <formula>P$1=""</formula>
    </cfRule>
  </conditionalFormatting>
  <conditionalFormatting sqref="P242:AA242 P240:AA240">
    <cfRule type="expression" dxfId="9426" priority="891">
      <formula>P$1=""</formula>
    </cfRule>
  </conditionalFormatting>
  <conditionalFormatting sqref="P196:AA196">
    <cfRule type="expression" dxfId="9425" priority="890">
      <formula>P$1=""</formula>
    </cfRule>
  </conditionalFormatting>
  <conditionalFormatting sqref="P198:AA198">
    <cfRule type="expression" dxfId="9424" priority="889">
      <formula>P$1=""</formula>
    </cfRule>
  </conditionalFormatting>
  <conditionalFormatting sqref="P200:AA200">
    <cfRule type="expression" dxfId="9423" priority="888">
      <formula>P$1=""</formula>
    </cfRule>
  </conditionalFormatting>
  <conditionalFormatting sqref="P202:AA202">
    <cfRule type="expression" dxfId="9422" priority="887">
      <formula>P$1=""</formula>
    </cfRule>
  </conditionalFormatting>
  <conditionalFormatting sqref="P198:AA198 P200:AA200 P202:AA202">
    <cfRule type="expression" dxfId="9421" priority="886">
      <formula>P$1=""</formula>
    </cfRule>
  </conditionalFormatting>
  <conditionalFormatting sqref="P198:AA198 P200:AA200 P202:AA202">
    <cfRule type="expression" dxfId="9420" priority="885">
      <formula>P$1=""</formula>
    </cfRule>
  </conditionalFormatting>
  <conditionalFormatting sqref="P198:AA198 P200:AA200 P202:AA202">
    <cfRule type="expression" dxfId="9419" priority="884">
      <formula>P$1=""</formula>
    </cfRule>
  </conditionalFormatting>
  <conditionalFormatting sqref="P198:AA198 P200:AA200 P202:AA202">
    <cfRule type="expression" dxfId="9418" priority="883">
      <formula>P$1=""</formula>
    </cfRule>
  </conditionalFormatting>
  <conditionalFormatting sqref="P198:AA198 P200:AA200 P202:AA202">
    <cfRule type="expression" dxfId="9417" priority="882">
      <formula>P$1=""</formula>
    </cfRule>
  </conditionalFormatting>
  <conditionalFormatting sqref="P200:AA200 P202:AA202">
    <cfRule type="expression" dxfId="9416" priority="881">
      <formula>P$1=""</formula>
    </cfRule>
  </conditionalFormatting>
  <conditionalFormatting sqref="P198:AA198">
    <cfRule type="expression" dxfId="9415" priority="880">
      <formula>P$1=""</formula>
    </cfRule>
  </conditionalFormatting>
  <conditionalFormatting sqref="P200:AA200 P202:AA202">
    <cfRule type="expression" dxfId="9414" priority="879">
      <formula>P$1=""</formula>
    </cfRule>
  </conditionalFormatting>
  <conditionalFormatting sqref="P200:AA200 P202:AA202">
    <cfRule type="expression" dxfId="9413" priority="878">
      <formula>P$1=""</formula>
    </cfRule>
  </conditionalFormatting>
  <conditionalFormatting sqref="P202:AA202">
    <cfRule type="expression" dxfId="9412" priority="877">
      <formula>P$1=""</formula>
    </cfRule>
  </conditionalFormatting>
  <conditionalFormatting sqref="P202:AA202">
    <cfRule type="expression" dxfId="9411" priority="876">
      <formula>P$1=""</formula>
    </cfRule>
  </conditionalFormatting>
  <conditionalFormatting sqref="P202:AA202">
    <cfRule type="expression" dxfId="9410" priority="875">
      <formula>P$1=""</formula>
    </cfRule>
  </conditionalFormatting>
  <conditionalFormatting sqref="P202:AA202">
    <cfRule type="expression" dxfId="9409" priority="874">
      <formula>P$1=""</formula>
    </cfRule>
  </conditionalFormatting>
  <conditionalFormatting sqref="P196:AA196">
    <cfRule type="expression" dxfId="9408" priority="873">
      <formula>P$1=""</formula>
    </cfRule>
  </conditionalFormatting>
  <conditionalFormatting sqref="P196:AA196">
    <cfRule type="expression" dxfId="9407" priority="872">
      <formula>P$1=""</formula>
    </cfRule>
  </conditionalFormatting>
  <conditionalFormatting sqref="P196:AA196">
    <cfRule type="expression" dxfId="9406" priority="871">
      <formula>P$1=""</formula>
    </cfRule>
  </conditionalFormatting>
  <conditionalFormatting sqref="P196:AA196">
    <cfRule type="expression" dxfId="9405" priority="870">
      <formula>P$1=""</formula>
    </cfRule>
  </conditionalFormatting>
  <conditionalFormatting sqref="P196:AA196">
    <cfRule type="expression" dxfId="9404" priority="869">
      <formula>P$1=""</formula>
    </cfRule>
  </conditionalFormatting>
  <conditionalFormatting sqref="P196:AA196">
    <cfRule type="expression" dxfId="9403" priority="868">
      <formula>P$1=""</formula>
    </cfRule>
  </conditionalFormatting>
  <conditionalFormatting sqref="P196:AA196">
    <cfRule type="expression" dxfId="9402" priority="867">
      <formula>P$1=""</formula>
    </cfRule>
  </conditionalFormatting>
  <conditionalFormatting sqref="P200:AA200 P202:AA202">
    <cfRule type="expression" dxfId="9401" priority="866">
      <formula>P$1=""</formula>
    </cfRule>
  </conditionalFormatting>
  <conditionalFormatting sqref="P200:AA200 P202:AA202">
    <cfRule type="expression" dxfId="9400" priority="865">
      <formula>P$1=""</formula>
    </cfRule>
  </conditionalFormatting>
  <conditionalFormatting sqref="P200:AA200 P202:AA202">
    <cfRule type="expression" dxfId="9399" priority="864">
      <formula>P$1=""</formula>
    </cfRule>
  </conditionalFormatting>
  <conditionalFormatting sqref="P200:AA200 P202:AA202">
    <cfRule type="expression" dxfId="9398" priority="863">
      <formula>P$1=""</formula>
    </cfRule>
  </conditionalFormatting>
  <conditionalFormatting sqref="P198:AA198 P200:AA200 P202:AA202">
    <cfRule type="expression" dxfId="9397" priority="862">
      <formula>P$1=""</formula>
    </cfRule>
  </conditionalFormatting>
  <conditionalFormatting sqref="P198:AA198 P200:AA200 P202:AA202">
    <cfRule type="expression" dxfId="9396" priority="861">
      <formula>P$1=""</formula>
    </cfRule>
  </conditionalFormatting>
  <conditionalFormatting sqref="P198:AA198 P200:AA200 P202:AA202">
    <cfRule type="expression" dxfId="9395" priority="860">
      <formula>P$1=""</formula>
    </cfRule>
  </conditionalFormatting>
  <conditionalFormatting sqref="P198:AA198 P200:AA200 P202:AA202">
    <cfRule type="expression" dxfId="9394" priority="859">
      <formula>P$1=""</formula>
    </cfRule>
  </conditionalFormatting>
  <conditionalFormatting sqref="P198:AA198 P200:AA200 P202:AA202">
    <cfRule type="expression" dxfId="9393" priority="858">
      <formula>P$1=""</formula>
    </cfRule>
  </conditionalFormatting>
  <conditionalFormatting sqref="P198:AA198 P200:AA200 P202:AA202">
    <cfRule type="expression" dxfId="9392" priority="857">
      <formula>P$1=""</formula>
    </cfRule>
  </conditionalFormatting>
  <conditionalFormatting sqref="P198:AA198 P200:AA200 P202:AA202">
    <cfRule type="expression" dxfId="9391" priority="856">
      <formula>P$1=""</formula>
    </cfRule>
  </conditionalFormatting>
  <conditionalFormatting sqref="P198:AA198 P200:AA200 P202:AA202">
    <cfRule type="expression" dxfId="9390" priority="855">
      <formula>P$1=""</formula>
    </cfRule>
  </conditionalFormatting>
  <conditionalFormatting sqref="Q198:AA198">
    <cfRule type="expression" dxfId="9389" priority="854">
      <formula>Q$1=""</formula>
    </cfRule>
  </conditionalFormatting>
  <conditionalFormatting sqref="Q198:AA198">
    <cfRule type="expression" dxfId="9388" priority="853">
      <formula>Q$1=""</formula>
    </cfRule>
  </conditionalFormatting>
  <conditionalFormatting sqref="Q198:AA198">
    <cfRule type="expression" dxfId="9387" priority="852">
      <formula>Q$1=""</formula>
    </cfRule>
  </conditionalFormatting>
  <conditionalFormatting sqref="Q198:AA198">
    <cfRule type="expression" dxfId="9386" priority="851">
      <formula>Q$1=""</formula>
    </cfRule>
  </conditionalFormatting>
  <conditionalFormatting sqref="Q198:AA198">
    <cfRule type="expression" dxfId="9385" priority="850">
      <formula>Q$1=""</formula>
    </cfRule>
  </conditionalFormatting>
  <conditionalFormatting sqref="Q198:AA198">
    <cfRule type="expression" dxfId="9384" priority="849">
      <formula>Q$1=""</formula>
    </cfRule>
  </conditionalFormatting>
  <conditionalFormatting sqref="Q198:AA198">
    <cfRule type="expression" dxfId="9383" priority="848">
      <formula>Q$1=""</formula>
    </cfRule>
  </conditionalFormatting>
  <conditionalFormatting sqref="Q198:AA198">
    <cfRule type="expression" dxfId="9382" priority="847">
      <formula>Q$1=""</formula>
    </cfRule>
  </conditionalFormatting>
  <conditionalFormatting sqref="Q200:AA200 Q202:AA202">
    <cfRule type="expression" dxfId="9381" priority="846">
      <formula>Q$1=""</formula>
    </cfRule>
  </conditionalFormatting>
  <conditionalFormatting sqref="Q200:AA200 Q202:AA202">
    <cfRule type="expression" dxfId="9380" priority="845">
      <formula>Q$1=""</formula>
    </cfRule>
  </conditionalFormatting>
  <conditionalFormatting sqref="Q200:AA200 Q202:AA202">
    <cfRule type="expression" dxfId="9379" priority="844">
      <formula>Q$1=""</formula>
    </cfRule>
  </conditionalFormatting>
  <conditionalFormatting sqref="Q200:AA200 Q202:AA202">
    <cfRule type="expression" dxfId="9378" priority="843">
      <formula>Q$1=""</formula>
    </cfRule>
  </conditionalFormatting>
  <conditionalFormatting sqref="Q200:AA200 Q202:AA202">
    <cfRule type="expression" dxfId="9377" priority="842">
      <formula>Q$1=""</formula>
    </cfRule>
  </conditionalFormatting>
  <conditionalFormatting sqref="Q200:AA200 Q202:AA202">
    <cfRule type="expression" dxfId="9376" priority="841">
      <formula>Q$1=""</formula>
    </cfRule>
  </conditionalFormatting>
  <conditionalFormatting sqref="Q200:AA200 Q202:AA202">
    <cfRule type="expression" dxfId="9375" priority="840">
      <formula>Q$1=""</formula>
    </cfRule>
  </conditionalFormatting>
  <conditionalFormatting sqref="Q200:AA200 Q202:AA202">
    <cfRule type="expression" dxfId="9374" priority="839">
      <formula>Q$1=""</formula>
    </cfRule>
  </conditionalFormatting>
  <conditionalFormatting sqref="Q200:AA200 Q202:AA202">
    <cfRule type="expression" dxfId="9373" priority="838">
      <formula>Q$1=""</formula>
    </cfRule>
  </conditionalFormatting>
  <conditionalFormatting sqref="Q200:AA200 Q202:AA202">
    <cfRule type="expression" dxfId="9372" priority="837">
      <formula>Q$1=""</formula>
    </cfRule>
  </conditionalFormatting>
  <conditionalFormatting sqref="P196:AA196 P200:AA200 P202:AA202">
    <cfRule type="expression" dxfId="9371" priority="836">
      <formula>P$1=""</formula>
    </cfRule>
  </conditionalFormatting>
  <conditionalFormatting sqref="P196:AA196">
    <cfRule type="expression" dxfId="9370" priority="835">
      <formula>P$1=""</formula>
    </cfRule>
  </conditionalFormatting>
  <conditionalFormatting sqref="P196:AA196">
    <cfRule type="expression" dxfId="9369" priority="834">
      <formula>P$1=""</formula>
    </cfRule>
  </conditionalFormatting>
  <conditionalFormatting sqref="P196:AA196">
    <cfRule type="expression" dxfId="9368" priority="833">
      <formula>P$1=""</formula>
    </cfRule>
  </conditionalFormatting>
  <conditionalFormatting sqref="P196:AA196">
    <cfRule type="expression" dxfId="9367" priority="832">
      <formula>P$1=""</formula>
    </cfRule>
  </conditionalFormatting>
  <conditionalFormatting sqref="P196:AA196">
    <cfRule type="expression" dxfId="9366" priority="831">
      <formula>P$1=""</formula>
    </cfRule>
  </conditionalFormatting>
  <conditionalFormatting sqref="P196:AA196 P200:AA200 P202:AA202">
    <cfRule type="expression" dxfId="9365" priority="830">
      <formula>P$1=""</formula>
    </cfRule>
  </conditionalFormatting>
  <conditionalFormatting sqref="P196:AA196">
    <cfRule type="expression" dxfId="9364" priority="829">
      <formula>P$1=""</formula>
    </cfRule>
  </conditionalFormatting>
  <conditionalFormatting sqref="P196:AA196">
    <cfRule type="expression" dxfId="9363" priority="828">
      <formula>P$1=""</formula>
    </cfRule>
  </conditionalFormatting>
  <conditionalFormatting sqref="P196:AA196">
    <cfRule type="expression" dxfId="9362" priority="827">
      <formula>P$1=""</formula>
    </cfRule>
  </conditionalFormatting>
  <conditionalFormatting sqref="P196:AA196">
    <cfRule type="expression" dxfId="9361" priority="826">
      <formula>P$1=""</formula>
    </cfRule>
  </conditionalFormatting>
  <conditionalFormatting sqref="P196:AA196">
    <cfRule type="expression" dxfId="9360" priority="825">
      <formula>P$1=""</formula>
    </cfRule>
  </conditionalFormatting>
  <conditionalFormatting sqref="P196:AA196">
    <cfRule type="expression" dxfId="9359" priority="824">
      <formula>P$1=""</formula>
    </cfRule>
  </conditionalFormatting>
  <conditionalFormatting sqref="P196:AA196">
    <cfRule type="expression" dxfId="9358" priority="823">
      <formula>P$1=""</formula>
    </cfRule>
  </conditionalFormatting>
  <conditionalFormatting sqref="P196:AA196">
    <cfRule type="expression" dxfId="9357" priority="822">
      <formula>P$1=""</formula>
    </cfRule>
  </conditionalFormatting>
  <conditionalFormatting sqref="P198:AA198 P200:AA200 P202:AA202">
    <cfRule type="expression" dxfId="9356" priority="821">
      <formula>P$1=""</formula>
    </cfRule>
  </conditionalFormatting>
  <conditionalFormatting sqref="P198:AA198 P200:AA200 P202:AA202">
    <cfRule type="expression" dxfId="9355" priority="820">
      <formula>P$1=""</formula>
    </cfRule>
  </conditionalFormatting>
  <conditionalFormatting sqref="P198:AA198 P200:AA200 P202:AA202">
    <cfRule type="expression" dxfId="9354" priority="819">
      <formula>P$1=""</formula>
    </cfRule>
  </conditionalFormatting>
  <conditionalFormatting sqref="P198:AA198 P200:AA200 P202:AA202">
    <cfRule type="expression" dxfId="9353" priority="818">
      <formula>P$1=""</formula>
    </cfRule>
  </conditionalFormatting>
  <conditionalFormatting sqref="P198:AA198 P200:AA200 P202:AA202">
    <cfRule type="expression" dxfId="9352" priority="817">
      <formula>P$1=""</formula>
    </cfRule>
  </conditionalFormatting>
  <conditionalFormatting sqref="P198:AA198 P200:AA200 P202:AA202">
    <cfRule type="expression" dxfId="9351" priority="816">
      <formula>P$1=""</formula>
    </cfRule>
  </conditionalFormatting>
  <conditionalFormatting sqref="P198:AA198 P200:AA200 P202:AA202">
    <cfRule type="expression" dxfId="9350" priority="815">
      <formula>P$1=""</formula>
    </cfRule>
  </conditionalFormatting>
  <conditionalFormatting sqref="P198:AA198 P200:AA200 P202:AA202">
    <cfRule type="expression" dxfId="9349" priority="814">
      <formula>P$1=""</formula>
    </cfRule>
  </conditionalFormatting>
  <conditionalFormatting sqref="P198:AA198">
    <cfRule type="expression" dxfId="9348" priority="813">
      <formula>P$1=""</formula>
    </cfRule>
  </conditionalFormatting>
  <conditionalFormatting sqref="P198:AA198 P200:AA200 P202:AA202">
    <cfRule type="expression" dxfId="9347" priority="812">
      <formula>P$1=""</formula>
    </cfRule>
  </conditionalFormatting>
  <conditionalFormatting sqref="P198:AA198 P200:AA200 P202:AA202">
    <cfRule type="expression" dxfId="9346" priority="811">
      <formula>P$1=""</formula>
    </cfRule>
  </conditionalFormatting>
  <conditionalFormatting sqref="P198:AA198 P200:AA200 P202:AA202">
    <cfRule type="expression" dxfId="9345" priority="810">
      <formula>P$1=""</formula>
    </cfRule>
  </conditionalFormatting>
  <conditionalFormatting sqref="P198:AA198 P200:AA200 P202:AA202">
    <cfRule type="expression" dxfId="9344" priority="809">
      <formula>P$1=""</formula>
    </cfRule>
  </conditionalFormatting>
  <conditionalFormatting sqref="P198:AA198 P200:AA200 P202:AA202">
    <cfRule type="expression" dxfId="9343" priority="808">
      <formula>P$1=""</formula>
    </cfRule>
  </conditionalFormatting>
  <conditionalFormatting sqref="P198:AA198">
    <cfRule type="expression" dxfId="9342" priority="807">
      <formula>P$1=""</formula>
    </cfRule>
  </conditionalFormatting>
  <conditionalFormatting sqref="P198:AA198 P200:AA200 P202:AA202">
    <cfRule type="expression" dxfId="9341" priority="806">
      <formula>P$1=""</formula>
    </cfRule>
  </conditionalFormatting>
  <conditionalFormatting sqref="P198:AA198 P200:AA200 P202:AA202">
    <cfRule type="expression" dxfId="9340" priority="805">
      <formula>P$1=""</formula>
    </cfRule>
  </conditionalFormatting>
  <conditionalFormatting sqref="P198:AA198 P200:AA200 P202:AA202">
    <cfRule type="expression" dxfId="9339" priority="804">
      <formula>P$1=""</formula>
    </cfRule>
  </conditionalFormatting>
  <conditionalFormatting sqref="P198:AA198 P200:AA200 P202:AA202">
    <cfRule type="expression" dxfId="9338" priority="803">
      <formula>P$1=""</formula>
    </cfRule>
  </conditionalFormatting>
  <conditionalFormatting sqref="P198:AA198 P200:AA200 P202:AA202">
    <cfRule type="expression" dxfId="9337" priority="802">
      <formula>P$1=""</formula>
    </cfRule>
  </conditionalFormatting>
  <conditionalFormatting sqref="P198:AA198 P200:AA200 P202:AA202">
    <cfRule type="expression" dxfId="9336" priority="801">
      <formula>P$1=""</formula>
    </cfRule>
  </conditionalFormatting>
  <conditionalFormatting sqref="P198:AA198 P200:AA200 P202:AA202">
    <cfRule type="expression" dxfId="9335" priority="800">
      <formula>P$1=""</formula>
    </cfRule>
  </conditionalFormatting>
  <conditionalFormatting sqref="P198:AA198 P200:AA200 P202:AA202">
    <cfRule type="expression" dxfId="9334" priority="799">
      <formula>P$1=""</formula>
    </cfRule>
  </conditionalFormatting>
  <conditionalFormatting sqref="P202:AA202 P200:AA200">
    <cfRule type="expression" dxfId="9333" priority="798">
      <formula>P$1=""</formula>
    </cfRule>
  </conditionalFormatting>
  <conditionalFormatting sqref="P202:AA202 P200:AA200">
    <cfRule type="expression" dxfId="9332" priority="797">
      <formula>P$1=""</formula>
    </cfRule>
  </conditionalFormatting>
  <conditionalFormatting sqref="Q202:AA202 Q200:AA200">
    <cfRule type="expression" dxfId="9331" priority="796">
      <formula>Q$1=""</formula>
    </cfRule>
  </conditionalFormatting>
  <conditionalFormatting sqref="Q202:AA202 Q200:AA200">
    <cfRule type="expression" dxfId="9330" priority="795">
      <formula>Q$1=""</formula>
    </cfRule>
  </conditionalFormatting>
  <conditionalFormatting sqref="Q202:AA202 Q200:AA200">
    <cfRule type="expression" dxfId="9329" priority="794">
      <formula>Q$1=""</formula>
    </cfRule>
  </conditionalFormatting>
  <conditionalFormatting sqref="Q202:AA202 Q200:AA200">
    <cfRule type="expression" dxfId="9328" priority="793">
      <formula>Q$1=""</formula>
    </cfRule>
  </conditionalFormatting>
  <conditionalFormatting sqref="Q202:AA202 Q200:AA200">
    <cfRule type="expression" dxfId="9327" priority="792">
      <formula>Q$1=""</formula>
    </cfRule>
  </conditionalFormatting>
  <conditionalFormatting sqref="Q202:AA202 Q200:AA200">
    <cfRule type="expression" dxfId="9326" priority="791">
      <formula>Q$1=""</formula>
    </cfRule>
  </conditionalFormatting>
  <conditionalFormatting sqref="Q202:AA202 Q200:AA200">
    <cfRule type="expression" dxfId="9325" priority="790">
      <formula>Q$1=""</formula>
    </cfRule>
  </conditionalFormatting>
  <conditionalFormatting sqref="Q202:AA202 Q200:AA200">
    <cfRule type="expression" dxfId="9324" priority="789">
      <formula>Q$1=""</formula>
    </cfRule>
  </conditionalFormatting>
  <conditionalFormatting sqref="P202:AA202 P200:AA200">
    <cfRule type="expression" dxfId="9323" priority="788">
      <formula>P$1=""</formula>
    </cfRule>
  </conditionalFormatting>
  <conditionalFormatting sqref="P202:AA202 P200:AA200">
    <cfRule type="expression" dxfId="9322" priority="787">
      <formula>P$1=""</formula>
    </cfRule>
  </conditionalFormatting>
  <conditionalFormatting sqref="P202:AA202 P200:AA200 P198:AA198">
    <cfRule type="expression" dxfId="9321" priority="786">
      <formula>P$1=""</formula>
    </cfRule>
  </conditionalFormatting>
  <conditionalFormatting sqref="P202:AA202 P200:AA200 P198:AA198">
    <cfRule type="expression" dxfId="9320" priority="785">
      <formula>P$1=""</formula>
    </cfRule>
  </conditionalFormatting>
  <conditionalFormatting sqref="P202:AA202 P200:AA200 P198:AA198">
    <cfRule type="expression" dxfId="9319" priority="784">
      <formula>P$1=""</formula>
    </cfRule>
  </conditionalFormatting>
  <conditionalFormatting sqref="P202:AA202 P200:AA200 P198:AA198">
    <cfRule type="expression" dxfId="9318" priority="783">
      <formula>P$1=""</formula>
    </cfRule>
  </conditionalFormatting>
  <conditionalFormatting sqref="P202:AA202 P200:AA200 P198:AA198">
    <cfRule type="expression" dxfId="9317" priority="782">
      <formula>P$1=""</formula>
    </cfRule>
  </conditionalFormatting>
  <conditionalFormatting sqref="P202:AA202 P200:AA200 P198:AA198">
    <cfRule type="expression" dxfId="9316" priority="781">
      <formula>P$1=""</formula>
    </cfRule>
  </conditionalFormatting>
  <conditionalFormatting sqref="P202:AA202 P200:AA200 P198:AA198">
    <cfRule type="expression" dxfId="9315" priority="780">
      <formula>P$1=""</formula>
    </cfRule>
  </conditionalFormatting>
  <conditionalFormatting sqref="P202:AA202 P200:AA200 P198:AA198">
    <cfRule type="expression" dxfId="9314" priority="779">
      <formula>P$1=""</formula>
    </cfRule>
  </conditionalFormatting>
  <conditionalFormatting sqref="P198:AA198">
    <cfRule type="expression" dxfId="9313" priority="778">
      <formula>P$1=""</formula>
    </cfRule>
  </conditionalFormatting>
  <conditionalFormatting sqref="P202:AA202 P200:AA200 P198:AA198">
    <cfRule type="expression" dxfId="9312" priority="777">
      <formula>P$1=""</formula>
    </cfRule>
  </conditionalFormatting>
  <conditionalFormatting sqref="P202:AA202 P200:AA200 P198:AA198">
    <cfRule type="expression" dxfId="9311" priority="776">
      <formula>P$1=""</formula>
    </cfRule>
  </conditionalFormatting>
  <conditionalFormatting sqref="P202:AA202 P200:AA200 P198:AA198">
    <cfRule type="expression" dxfId="9310" priority="775">
      <formula>P$1=""</formula>
    </cfRule>
  </conditionalFormatting>
  <conditionalFormatting sqref="P202:AA202 P200:AA200 P198:AA198">
    <cfRule type="expression" dxfId="9309" priority="774">
      <formula>P$1=""</formula>
    </cfRule>
  </conditionalFormatting>
  <conditionalFormatting sqref="P202:AA202 P200:AA200 P198:AA198">
    <cfRule type="expression" dxfId="9308" priority="773">
      <formula>P$1=""</formula>
    </cfRule>
  </conditionalFormatting>
  <conditionalFormatting sqref="P198:AA198">
    <cfRule type="expression" dxfId="9307" priority="772">
      <formula>P$1=""</formula>
    </cfRule>
  </conditionalFormatting>
  <conditionalFormatting sqref="P202:AA202 P200:AA200 P198:AA198">
    <cfRule type="expression" dxfId="9306" priority="771">
      <formula>P$1=""</formula>
    </cfRule>
  </conditionalFormatting>
  <conditionalFormatting sqref="P202:AA202 P200:AA200 P198:AA198">
    <cfRule type="expression" dxfId="9305" priority="770">
      <formula>P$1=""</formula>
    </cfRule>
  </conditionalFormatting>
  <conditionalFormatting sqref="P202:AA202 P200:AA200 P198:AA198">
    <cfRule type="expression" dxfId="9304" priority="769">
      <formula>P$1=""</formula>
    </cfRule>
  </conditionalFormatting>
  <conditionalFormatting sqref="P202:AA202 P200:AA200 P198:AA198">
    <cfRule type="expression" dxfId="9303" priority="768">
      <formula>P$1=""</formula>
    </cfRule>
  </conditionalFormatting>
  <conditionalFormatting sqref="P202:AA202 P200:AA200 P198:AA198">
    <cfRule type="expression" dxfId="9302" priority="767">
      <formula>P$1=""</formula>
    </cfRule>
  </conditionalFormatting>
  <conditionalFormatting sqref="P202:AA202 P200:AA200 P198:AA198">
    <cfRule type="expression" dxfId="9301" priority="766">
      <formula>P$1=""</formula>
    </cfRule>
  </conditionalFormatting>
  <conditionalFormatting sqref="P202:AA202 P200:AA200 P198:AA198">
    <cfRule type="expression" dxfId="9300" priority="765">
      <formula>P$1=""</formula>
    </cfRule>
  </conditionalFormatting>
  <conditionalFormatting sqref="P202:AA202 P200:AA200 P198:AA198">
    <cfRule type="expression" dxfId="9299" priority="764">
      <formula>P$1=""</formula>
    </cfRule>
  </conditionalFormatting>
  <conditionalFormatting sqref="P216:AA216">
    <cfRule type="expression" dxfId="9298" priority="763">
      <formula>P$1=""</formula>
    </cfRule>
  </conditionalFormatting>
  <conditionalFormatting sqref="P218:AA218">
    <cfRule type="expression" dxfId="9297" priority="762">
      <formula>P$1=""</formula>
    </cfRule>
  </conditionalFormatting>
  <conditionalFormatting sqref="P220:AA220">
    <cfRule type="expression" dxfId="9296" priority="761">
      <formula>P$1=""</formula>
    </cfRule>
  </conditionalFormatting>
  <conditionalFormatting sqref="P222:AA222">
    <cfRule type="expression" dxfId="9295" priority="760">
      <formula>P$1=""</formula>
    </cfRule>
  </conditionalFormatting>
  <conditionalFormatting sqref="P218:AA218 P220:AA220 P222:AA222">
    <cfRule type="expression" dxfId="9294" priority="759">
      <formula>P$1=""</formula>
    </cfRule>
  </conditionalFormatting>
  <conditionalFormatting sqref="P218:AA218 P220:AA220 P222:AA222">
    <cfRule type="expression" dxfId="9293" priority="758">
      <formula>P$1=""</formula>
    </cfRule>
  </conditionalFormatting>
  <conditionalFormatting sqref="P218:AA218 P220:AA220 P222:AA222">
    <cfRule type="expression" dxfId="9292" priority="757">
      <formula>P$1=""</formula>
    </cfRule>
  </conditionalFormatting>
  <conditionalFormatting sqref="P218:AA218 P220:AA220 P222:AA222">
    <cfRule type="expression" dxfId="9291" priority="756">
      <formula>P$1=""</formula>
    </cfRule>
  </conditionalFormatting>
  <conditionalFormatting sqref="P218:AA218 P220:AA220 P222:AA222">
    <cfRule type="expression" dxfId="9290" priority="755">
      <formula>P$1=""</formula>
    </cfRule>
  </conditionalFormatting>
  <conditionalFormatting sqref="P220:AA220 P222:AA222">
    <cfRule type="expression" dxfId="9289" priority="754">
      <formula>P$1=""</formula>
    </cfRule>
  </conditionalFormatting>
  <conditionalFormatting sqref="P218:AA218">
    <cfRule type="expression" dxfId="9288" priority="753">
      <formula>P$1=""</formula>
    </cfRule>
  </conditionalFormatting>
  <conditionalFormatting sqref="P220:AA220 P222:AA222">
    <cfRule type="expression" dxfId="9287" priority="752">
      <formula>P$1=""</formula>
    </cfRule>
  </conditionalFormatting>
  <conditionalFormatting sqref="P220:AA220 P222:AA222">
    <cfRule type="expression" dxfId="9286" priority="751">
      <formula>P$1=""</formula>
    </cfRule>
  </conditionalFormatting>
  <conditionalFormatting sqref="P222:AA222">
    <cfRule type="expression" dxfId="9285" priority="750">
      <formula>P$1=""</formula>
    </cfRule>
  </conditionalFormatting>
  <conditionalFormatting sqref="P222:AA222">
    <cfRule type="expression" dxfId="9284" priority="749">
      <formula>P$1=""</formula>
    </cfRule>
  </conditionalFormatting>
  <conditionalFormatting sqref="P222:AA222">
    <cfRule type="expression" dxfId="9283" priority="748">
      <formula>P$1=""</formula>
    </cfRule>
  </conditionalFormatting>
  <conditionalFormatting sqref="P222:AA222">
    <cfRule type="expression" dxfId="9282" priority="747">
      <formula>P$1=""</formula>
    </cfRule>
  </conditionalFormatting>
  <conditionalFormatting sqref="P216:AA216">
    <cfRule type="expression" dxfId="9281" priority="746">
      <formula>P$1=""</formula>
    </cfRule>
  </conditionalFormatting>
  <conditionalFormatting sqref="P216:AA216">
    <cfRule type="expression" dxfId="9280" priority="745">
      <formula>P$1=""</formula>
    </cfRule>
  </conditionalFormatting>
  <conditionalFormatting sqref="P216:AA216">
    <cfRule type="expression" dxfId="9279" priority="744">
      <formula>P$1=""</formula>
    </cfRule>
  </conditionalFormatting>
  <conditionalFormatting sqref="P216:AA216">
    <cfRule type="expression" dxfId="9278" priority="743">
      <formula>P$1=""</formula>
    </cfRule>
  </conditionalFormatting>
  <conditionalFormatting sqref="P216:AA216">
    <cfRule type="expression" dxfId="9277" priority="742">
      <formula>P$1=""</formula>
    </cfRule>
  </conditionalFormatting>
  <conditionalFormatting sqref="P216:AA216">
    <cfRule type="expression" dxfId="9276" priority="741">
      <formula>P$1=""</formula>
    </cfRule>
  </conditionalFormatting>
  <conditionalFormatting sqref="P216:AA216">
    <cfRule type="expression" dxfId="9275" priority="740">
      <formula>P$1=""</formula>
    </cfRule>
  </conditionalFormatting>
  <conditionalFormatting sqref="P220:AA220 P222:AA222">
    <cfRule type="expression" dxfId="9274" priority="739">
      <formula>P$1=""</formula>
    </cfRule>
  </conditionalFormatting>
  <conditionalFormatting sqref="P220:AA220 P222:AA222">
    <cfRule type="expression" dxfId="9273" priority="738">
      <formula>P$1=""</formula>
    </cfRule>
  </conditionalFormatting>
  <conditionalFormatting sqref="P220:AA220 P222:AA222">
    <cfRule type="expression" dxfId="9272" priority="737">
      <formula>P$1=""</formula>
    </cfRule>
  </conditionalFormatting>
  <conditionalFormatting sqref="P220:AA220 P222:AA222">
    <cfRule type="expression" dxfId="9271" priority="736">
      <formula>P$1=""</formula>
    </cfRule>
  </conditionalFormatting>
  <conditionalFormatting sqref="P222 P220 P218">
    <cfRule type="expression" dxfId="9270" priority="735">
      <formula>P$1=""</formula>
    </cfRule>
  </conditionalFormatting>
  <conditionalFormatting sqref="P222 P220 P218">
    <cfRule type="expression" dxfId="9269" priority="734">
      <formula>P$1=""</formula>
    </cfRule>
  </conditionalFormatting>
  <conditionalFormatting sqref="P222 P220 P218">
    <cfRule type="expression" dxfId="9268" priority="733">
      <formula>P$1=""</formula>
    </cfRule>
  </conditionalFormatting>
  <conditionalFormatting sqref="P226:AA226">
    <cfRule type="expression" dxfId="9267" priority="732">
      <formula>P$1=""</formula>
    </cfRule>
  </conditionalFormatting>
  <conditionalFormatting sqref="P228:AA228">
    <cfRule type="expression" dxfId="9266" priority="731">
      <formula>P$1=""</formula>
    </cfRule>
  </conditionalFormatting>
  <conditionalFormatting sqref="P230:AA230">
    <cfRule type="expression" dxfId="9265" priority="730">
      <formula>P$1=""</formula>
    </cfRule>
  </conditionalFormatting>
  <conditionalFormatting sqref="P232:AA232">
    <cfRule type="expression" dxfId="9264" priority="729">
      <formula>P$1=""</formula>
    </cfRule>
  </conditionalFormatting>
  <conditionalFormatting sqref="P228:AA228 P230:AA230 P232:AA232">
    <cfRule type="expression" dxfId="9263" priority="728">
      <formula>P$1=""</formula>
    </cfRule>
  </conditionalFormatting>
  <conditionalFormatting sqref="P228:AA228 P230:AA230 P232:AA232">
    <cfRule type="expression" dxfId="9262" priority="727">
      <formula>P$1=""</formula>
    </cfRule>
  </conditionalFormatting>
  <conditionalFormatting sqref="P228:AA228 P230:AA230 P232:AA232">
    <cfRule type="expression" dxfId="9261" priority="726">
      <formula>P$1=""</formula>
    </cfRule>
  </conditionalFormatting>
  <conditionalFormatting sqref="P228:AA228 P230:AA230 P232:AA232">
    <cfRule type="expression" dxfId="9260" priority="725">
      <formula>P$1=""</formula>
    </cfRule>
  </conditionalFormatting>
  <conditionalFormatting sqref="P228:AA228 P230:AA230 P232:AA232">
    <cfRule type="expression" dxfId="9259" priority="724">
      <formula>P$1=""</formula>
    </cfRule>
  </conditionalFormatting>
  <conditionalFormatting sqref="P230:AA230 P232:AA232">
    <cfRule type="expression" dxfId="9258" priority="723">
      <formula>P$1=""</formula>
    </cfRule>
  </conditionalFormatting>
  <conditionalFormatting sqref="P228:AA228">
    <cfRule type="expression" dxfId="9257" priority="722">
      <formula>P$1=""</formula>
    </cfRule>
  </conditionalFormatting>
  <conditionalFormatting sqref="P230:AA230 P232:AA232">
    <cfRule type="expression" dxfId="9256" priority="721">
      <formula>P$1=""</formula>
    </cfRule>
  </conditionalFormatting>
  <conditionalFormatting sqref="P230:AA230 P232:AA232">
    <cfRule type="expression" dxfId="9255" priority="720">
      <formula>P$1=""</formula>
    </cfRule>
  </conditionalFormatting>
  <conditionalFormatting sqref="P232:AA232">
    <cfRule type="expression" dxfId="9254" priority="719">
      <formula>P$1=""</formula>
    </cfRule>
  </conditionalFormatting>
  <conditionalFormatting sqref="P232:AA232">
    <cfRule type="expression" dxfId="9253" priority="718">
      <formula>P$1=""</formula>
    </cfRule>
  </conditionalFormatting>
  <conditionalFormatting sqref="P232:AA232">
    <cfRule type="expression" dxfId="9252" priority="717">
      <formula>P$1=""</formula>
    </cfRule>
  </conditionalFormatting>
  <conditionalFormatting sqref="P232:AA232">
    <cfRule type="expression" dxfId="9251" priority="716">
      <formula>P$1=""</formula>
    </cfRule>
  </conditionalFormatting>
  <conditionalFormatting sqref="P226:AA226">
    <cfRule type="expression" dxfId="9250" priority="715">
      <formula>P$1=""</formula>
    </cfRule>
  </conditionalFormatting>
  <conditionalFormatting sqref="P226:AA226">
    <cfRule type="expression" dxfId="9249" priority="714">
      <formula>P$1=""</formula>
    </cfRule>
  </conditionalFormatting>
  <conditionalFormatting sqref="P226:AA226">
    <cfRule type="expression" dxfId="9248" priority="713">
      <formula>P$1=""</formula>
    </cfRule>
  </conditionalFormatting>
  <conditionalFormatting sqref="P226:AA226">
    <cfRule type="expression" dxfId="9247" priority="712">
      <formula>P$1=""</formula>
    </cfRule>
  </conditionalFormatting>
  <conditionalFormatting sqref="P226:AA226">
    <cfRule type="expression" dxfId="9246" priority="711">
      <formula>P$1=""</formula>
    </cfRule>
  </conditionalFormatting>
  <conditionalFormatting sqref="P226:AA226">
    <cfRule type="expression" dxfId="9245" priority="710">
      <formula>P$1=""</formula>
    </cfRule>
  </conditionalFormatting>
  <conditionalFormatting sqref="P226:AA226">
    <cfRule type="expression" dxfId="9244" priority="709">
      <formula>P$1=""</formula>
    </cfRule>
  </conditionalFormatting>
  <conditionalFormatting sqref="P230:AA230 P232:AA232">
    <cfRule type="expression" dxfId="9243" priority="708">
      <formula>P$1=""</formula>
    </cfRule>
  </conditionalFormatting>
  <conditionalFormatting sqref="P230:AA230 P232:AA232">
    <cfRule type="expression" dxfId="9242" priority="707">
      <formula>P$1=""</formula>
    </cfRule>
  </conditionalFormatting>
  <conditionalFormatting sqref="P230:AA230 P232:AA232">
    <cfRule type="expression" dxfId="9241" priority="706">
      <formula>P$1=""</formula>
    </cfRule>
  </conditionalFormatting>
  <conditionalFormatting sqref="P230:AA230 P232:AA232">
    <cfRule type="expression" dxfId="9240" priority="705">
      <formula>P$1=""</formula>
    </cfRule>
  </conditionalFormatting>
  <conditionalFormatting sqref="P232 P230 P228">
    <cfRule type="expression" dxfId="9239" priority="704">
      <formula>P$1=""</formula>
    </cfRule>
  </conditionalFormatting>
  <conditionalFormatting sqref="P232 P230 P228">
    <cfRule type="expression" dxfId="9238" priority="703">
      <formula>P$1=""</formula>
    </cfRule>
  </conditionalFormatting>
  <conditionalFormatting sqref="P232 P230 P228">
    <cfRule type="expression" dxfId="9237" priority="702">
      <formula>P$1=""</formula>
    </cfRule>
  </conditionalFormatting>
  <conditionalFormatting sqref="P238:AA238">
    <cfRule type="expression" dxfId="9236" priority="701">
      <formula>P$1=""</formula>
    </cfRule>
  </conditionalFormatting>
  <conditionalFormatting sqref="P238:AA238">
    <cfRule type="expression" dxfId="9235" priority="700">
      <formula>P$1=""</formula>
    </cfRule>
  </conditionalFormatting>
  <conditionalFormatting sqref="P238:AA238">
    <cfRule type="expression" dxfId="9234" priority="699">
      <formula>P$1=""</formula>
    </cfRule>
  </conditionalFormatting>
  <conditionalFormatting sqref="P238:AA238">
    <cfRule type="expression" dxfId="9233" priority="698">
      <formula>P$1=""</formula>
    </cfRule>
  </conditionalFormatting>
  <conditionalFormatting sqref="P238:AA238">
    <cfRule type="expression" dxfId="9232" priority="697">
      <formula>P$1=""</formula>
    </cfRule>
  </conditionalFormatting>
  <conditionalFormatting sqref="P238:AA238">
    <cfRule type="expression" dxfId="9231" priority="696">
      <formula>P$1=""</formula>
    </cfRule>
  </conditionalFormatting>
  <conditionalFormatting sqref="P238:AA238">
    <cfRule type="expression" dxfId="9230" priority="695">
      <formula>P$1=""</formula>
    </cfRule>
  </conditionalFormatting>
  <conditionalFormatting sqref="P238:AA238">
    <cfRule type="expression" dxfId="9229" priority="694">
      <formula>P$1=""</formula>
    </cfRule>
  </conditionalFormatting>
  <conditionalFormatting sqref="P238:AA238">
    <cfRule type="expression" dxfId="9228" priority="693">
      <formula>P$1=""</formula>
    </cfRule>
  </conditionalFormatting>
  <conditionalFormatting sqref="P238:AA238">
    <cfRule type="expression" dxfId="9227" priority="692">
      <formula>P$1=""</formula>
    </cfRule>
  </conditionalFormatting>
  <conditionalFormatting sqref="P238:AA238">
    <cfRule type="expression" dxfId="9226" priority="691">
      <formula>P$1=""</formula>
    </cfRule>
  </conditionalFormatting>
  <conditionalFormatting sqref="P238:AA238">
    <cfRule type="expression" dxfId="9225" priority="690">
      <formula>P$1=""</formula>
    </cfRule>
  </conditionalFormatting>
  <conditionalFormatting sqref="P238:AA238">
    <cfRule type="expression" dxfId="9224" priority="689">
      <formula>P$1=""</formula>
    </cfRule>
  </conditionalFormatting>
  <conditionalFormatting sqref="P238:AA238">
    <cfRule type="expression" dxfId="9223" priority="688">
      <formula>P$1=""</formula>
    </cfRule>
  </conditionalFormatting>
  <conditionalFormatting sqref="P238:AA238">
    <cfRule type="expression" dxfId="9222" priority="687">
      <formula>P$1=""</formula>
    </cfRule>
  </conditionalFormatting>
  <conditionalFormatting sqref="P238:AA238">
    <cfRule type="expression" dxfId="9221" priority="686">
      <formula>P$1=""</formula>
    </cfRule>
  </conditionalFormatting>
  <conditionalFormatting sqref="P238:AA238">
    <cfRule type="expression" dxfId="9220" priority="685">
      <formula>P$1=""</formula>
    </cfRule>
  </conditionalFormatting>
  <conditionalFormatting sqref="P238:AA238">
    <cfRule type="expression" dxfId="9219" priority="684">
      <formula>P$1=""</formula>
    </cfRule>
  </conditionalFormatting>
  <conditionalFormatting sqref="P238:AA238">
    <cfRule type="expression" dxfId="9218" priority="683">
      <formula>P$1=""</formula>
    </cfRule>
  </conditionalFormatting>
  <conditionalFormatting sqref="P238:AA238">
    <cfRule type="expression" dxfId="9217" priority="682">
      <formula>P$1=""</formula>
    </cfRule>
  </conditionalFormatting>
  <conditionalFormatting sqref="P238:AA238">
    <cfRule type="expression" dxfId="9216" priority="681">
      <formula>P$1=""</formula>
    </cfRule>
  </conditionalFormatting>
  <conditionalFormatting sqref="P238:AA238">
    <cfRule type="expression" dxfId="9215" priority="680">
      <formula>P$1=""</formula>
    </cfRule>
  </conditionalFormatting>
  <conditionalFormatting sqref="P238:AA238">
    <cfRule type="expression" dxfId="9214" priority="679">
      <formula>P$1=""</formula>
    </cfRule>
  </conditionalFormatting>
  <conditionalFormatting sqref="P240:AA240">
    <cfRule type="expression" dxfId="9213" priority="678">
      <formula>P$1=""</formula>
    </cfRule>
  </conditionalFormatting>
  <conditionalFormatting sqref="P240:AA240">
    <cfRule type="expression" dxfId="9212" priority="677">
      <formula>P$1=""</formula>
    </cfRule>
  </conditionalFormatting>
  <conditionalFormatting sqref="P240:AA240">
    <cfRule type="expression" dxfId="9211" priority="676">
      <formula>P$1=""</formula>
    </cfRule>
  </conditionalFormatting>
  <conditionalFormatting sqref="P240:AA240">
    <cfRule type="expression" dxfId="9210" priority="675">
      <formula>P$1=""</formula>
    </cfRule>
  </conditionalFormatting>
  <conditionalFormatting sqref="P240:AA240">
    <cfRule type="expression" dxfId="9209" priority="674">
      <formula>P$1=""</formula>
    </cfRule>
  </conditionalFormatting>
  <conditionalFormatting sqref="P240:AA240">
    <cfRule type="expression" dxfId="9208" priority="673">
      <formula>P$1=""</formula>
    </cfRule>
  </conditionalFormatting>
  <conditionalFormatting sqref="P240:AA240">
    <cfRule type="expression" dxfId="9207" priority="672">
      <formula>P$1=""</formula>
    </cfRule>
  </conditionalFormatting>
  <conditionalFormatting sqref="P240:AA240">
    <cfRule type="expression" dxfId="9206" priority="671">
      <formula>P$1=""</formula>
    </cfRule>
  </conditionalFormatting>
  <conditionalFormatting sqref="P240:AA240">
    <cfRule type="expression" dxfId="9205" priority="670">
      <formula>P$1=""</formula>
    </cfRule>
  </conditionalFormatting>
  <conditionalFormatting sqref="P240:AA240">
    <cfRule type="expression" dxfId="9204" priority="669">
      <formula>P$1=""</formula>
    </cfRule>
  </conditionalFormatting>
  <conditionalFormatting sqref="P240:AA240">
    <cfRule type="expression" dxfId="9203" priority="668">
      <formula>P$1=""</formula>
    </cfRule>
  </conditionalFormatting>
  <conditionalFormatting sqref="P240:AA240">
    <cfRule type="expression" dxfId="9202" priority="667">
      <formula>P$1=""</formula>
    </cfRule>
  </conditionalFormatting>
  <conditionalFormatting sqref="P240:AA240">
    <cfRule type="expression" dxfId="9201" priority="666">
      <formula>P$1=""</formula>
    </cfRule>
  </conditionalFormatting>
  <conditionalFormatting sqref="P240:AA240">
    <cfRule type="expression" dxfId="9200" priority="665">
      <formula>P$1=""</formula>
    </cfRule>
  </conditionalFormatting>
  <conditionalFormatting sqref="P240:AA240">
    <cfRule type="expression" dxfId="9199" priority="664">
      <formula>P$1=""</formula>
    </cfRule>
  </conditionalFormatting>
  <conditionalFormatting sqref="P240:AA240">
    <cfRule type="expression" dxfId="9198" priority="663">
      <formula>P$1=""</formula>
    </cfRule>
  </conditionalFormatting>
  <conditionalFormatting sqref="P240:AA240">
    <cfRule type="expression" dxfId="9197" priority="662">
      <formula>P$1=""</formula>
    </cfRule>
  </conditionalFormatting>
  <conditionalFormatting sqref="P240:AA240">
    <cfRule type="expression" dxfId="9196" priority="661">
      <formula>P$1=""</formula>
    </cfRule>
  </conditionalFormatting>
  <conditionalFormatting sqref="P240:AA240">
    <cfRule type="expression" dxfId="9195" priority="660">
      <formula>P$1=""</formula>
    </cfRule>
  </conditionalFormatting>
  <conditionalFormatting sqref="P240:AA240">
    <cfRule type="expression" dxfId="9194" priority="659">
      <formula>P$1=""</formula>
    </cfRule>
  </conditionalFormatting>
  <conditionalFormatting sqref="P240:AA240">
    <cfRule type="expression" dxfId="9193" priority="658">
      <formula>P$1=""</formula>
    </cfRule>
  </conditionalFormatting>
  <conditionalFormatting sqref="P242:AA242">
    <cfRule type="expression" dxfId="9192" priority="657">
      <formula>P$1=""</formula>
    </cfRule>
  </conditionalFormatting>
  <conditionalFormatting sqref="P242:AA242">
    <cfRule type="expression" dxfId="9191" priority="656">
      <formula>P$1=""</formula>
    </cfRule>
  </conditionalFormatting>
  <conditionalFormatting sqref="P242:AA242">
    <cfRule type="expression" dxfId="9190" priority="655">
      <formula>P$1=""</formula>
    </cfRule>
  </conditionalFormatting>
  <conditionalFormatting sqref="P242:AA242">
    <cfRule type="expression" dxfId="9189" priority="654">
      <formula>P$1=""</formula>
    </cfRule>
  </conditionalFormatting>
  <conditionalFormatting sqref="P242:AA242">
    <cfRule type="expression" dxfId="9188" priority="653">
      <formula>P$1=""</formula>
    </cfRule>
  </conditionalFormatting>
  <conditionalFormatting sqref="P242:AA242">
    <cfRule type="expression" dxfId="9187" priority="652">
      <formula>P$1=""</formula>
    </cfRule>
  </conditionalFormatting>
  <conditionalFormatting sqref="P242:AA242">
    <cfRule type="expression" dxfId="9186" priority="651">
      <formula>P$1=""</formula>
    </cfRule>
  </conditionalFormatting>
  <conditionalFormatting sqref="P242:AA242">
    <cfRule type="expression" dxfId="9185" priority="650">
      <formula>P$1=""</formula>
    </cfRule>
  </conditionalFormatting>
  <conditionalFormatting sqref="P242:AA242">
    <cfRule type="expression" dxfId="9184" priority="649">
      <formula>P$1=""</formula>
    </cfRule>
  </conditionalFormatting>
  <conditionalFormatting sqref="P242:AA242">
    <cfRule type="expression" dxfId="9183" priority="648">
      <formula>P$1=""</formula>
    </cfRule>
  </conditionalFormatting>
  <conditionalFormatting sqref="P242:AA242">
    <cfRule type="expression" dxfId="9182" priority="647">
      <formula>P$1=""</formula>
    </cfRule>
  </conditionalFormatting>
  <conditionalFormatting sqref="P242:AA242">
    <cfRule type="expression" dxfId="9181" priority="646">
      <formula>P$1=""</formula>
    </cfRule>
  </conditionalFormatting>
  <conditionalFormatting sqref="P242:AA242">
    <cfRule type="expression" dxfId="9180" priority="645">
      <formula>P$1=""</formula>
    </cfRule>
  </conditionalFormatting>
  <conditionalFormatting sqref="P242:AA242">
    <cfRule type="expression" dxfId="9179" priority="644">
      <formula>P$1=""</formula>
    </cfRule>
  </conditionalFormatting>
  <conditionalFormatting sqref="P242:AA242">
    <cfRule type="expression" dxfId="9178" priority="643">
      <formula>P$1=""</formula>
    </cfRule>
  </conditionalFormatting>
  <conditionalFormatting sqref="P242:AA242">
    <cfRule type="expression" dxfId="9177" priority="642">
      <formula>P$1=""</formula>
    </cfRule>
  </conditionalFormatting>
  <conditionalFormatting sqref="P242:AA242">
    <cfRule type="expression" dxfId="9176" priority="641">
      <formula>P$1=""</formula>
    </cfRule>
  </conditionalFormatting>
  <conditionalFormatting sqref="P242:AA242">
    <cfRule type="expression" dxfId="9175" priority="640">
      <formula>P$1=""</formula>
    </cfRule>
  </conditionalFormatting>
  <conditionalFormatting sqref="P242:AA242">
    <cfRule type="expression" dxfId="9174" priority="639">
      <formula>P$1=""</formula>
    </cfRule>
  </conditionalFormatting>
  <conditionalFormatting sqref="P242:AA242">
    <cfRule type="expression" dxfId="9173" priority="638">
      <formula>P$1=""</formula>
    </cfRule>
  </conditionalFormatting>
  <conditionalFormatting sqref="P242:AA242">
    <cfRule type="expression" dxfId="9172" priority="637">
      <formula>P$1=""</formula>
    </cfRule>
  </conditionalFormatting>
  <conditionalFormatting sqref="P246:AA246">
    <cfRule type="expression" dxfId="9171" priority="636">
      <formula>P$1=""</formula>
    </cfRule>
  </conditionalFormatting>
  <conditionalFormatting sqref="P248:AA248">
    <cfRule type="expression" dxfId="9170" priority="635">
      <formula>P$1=""</formula>
    </cfRule>
  </conditionalFormatting>
  <conditionalFormatting sqref="P250:AA250">
    <cfRule type="expression" dxfId="9169" priority="634">
      <formula>P$1=""</formula>
    </cfRule>
  </conditionalFormatting>
  <conditionalFormatting sqref="P252:AA252">
    <cfRule type="expression" dxfId="9168" priority="633">
      <formula>P$1=""</formula>
    </cfRule>
  </conditionalFormatting>
  <conditionalFormatting sqref="P248:AA248 P250:AA250 P252:AA252">
    <cfRule type="expression" dxfId="9167" priority="632">
      <formula>P$1=""</formula>
    </cfRule>
  </conditionalFormatting>
  <conditionalFormatting sqref="P248:AA248 P250:AA250 P252:AA252">
    <cfRule type="expression" dxfId="9166" priority="631">
      <formula>P$1=""</formula>
    </cfRule>
  </conditionalFormatting>
  <conditionalFormatting sqref="P248:AA248 P250:AA250 P252:AA252">
    <cfRule type="expression" dxfId="9165" priority="630">
      <formula>P$1=""</formula>
    </cfRule>
  </conditionalFormatting>
  <conditionalFormatting sqref="P248:AA248 P250:AA250 P252:AA252">
    <cfRule type="expression" dxfId="9164" priority="629">
      <formula>P$1=""</formula>
    </cfRule>
  </conditionalFormatting>
  <conditionalFormatting sqref="P248:AA248 P250:AA250 P252:AA252">
    <cfRule type="expression" dxfId="9163" priority="628">
      <formula>P$1=""</formula>
    </cfRule>
  </conditionalFormatting>
  <conditionalFormatting sqref="P250:AA250 P252:AA252">
    <cfRule type="expression" dxfId="9162" priority="627">
      <formula>P$1=""</formula>
    </cfRule>
  </conditionalFormatting>
  <conditionalFormatting sqref="P248:AA248">
    <cfRule type="expression" dxfId="9161" priority="626">
      <formula>P$1=""</formula>
    </cfRule>
  </conditionalFormatting>
  <conditionalFormatting sqref="P250:AA250 P252:AA252">
    <cfRule type="expression" dxfId="9160" priority="625">
      <formula>P$1=""</formula>
    </cfRule>
  </conditionalFormatting>
  <conditionalFormatting sqref="P250:AA250 P252:AA252">
    <cfRule type="expression" dxfId="9159" priority="624">
      <formula>P$1=""</formula>
    </cfRule>
  </conditionalFormatting>
  <conditionalFormatting sqref="P252:AA252">
    <cfRule type="expression" dxfId="9158" priority="623">
      <formula>P$1=""</formula>
    </cfRule>
  </conditionalFormatting>
  <conditionalFormatting sqref="P252:AA252">
    <cfRule type="expression" dxfId="9157" priority="622">
      <formula>P$1=""</formula>
    </cfRule>
  </conditionalFormatting>
  <conditionalFormatting sqref="P252:AA252">
    <cfRule type="expression" dxfId="9156" priority="621">
      <formula>P$1=""</formula>
    </cfRule>
  </conditionalFormatting>
  <conditionalFormatting sqref="P252:AA252">
    <cfRule type="expression" dxfId="9155" priority="620">
      <formula>P$1=""</formula>
    </cfRule>
  </conditionalFormatting>
  <conditionalFormatting sqref="P246:AA246">
    <cfRule type="expression" dxfId="9154" priority="619">
      <formula>P$1=""</formula>
    </cfRule>
  </conditionalFormatting>
  <conditionalFormatting sqref="P246:AA246">
    <cfRule type="expression" dxfId="9153" priority="618">
      <formula>P$1=""</formula>
    </cfRule>
  </conditionalFormatting>
  <conditionalFormatting sqref="P246:AA246">
    <cfRule type="expression" dxfId="9152" priority="617">
      <formula>P$1=""</formula>
    </cfRule>
  </conditionalFormatting>
  <conditionalFormatting sqref="P246:AA246">
    <cfRule type="expression" dxfId="9151" priority="616">
      <formula>P$1=""</formula>
    </cfRule>
  </conditionalFormatting>
  <conditionalFormatting sqref="P246:AA246">
    <cfRule type="expression" dxfId="9150" priority="615">
      <formula>P$1=""</formula>
    </cfRule>
  </conditionalFormatting>
  <conditionalFormatting sqref="P246:AA246">
    <cfRule type="expression" dxfId="9149" priority="614">
      <formula>P$1=""</formula>
    </cfRule>
  </conditionalFormatting>
  <conditionalFormatting sqref="P246:AA246">
    <cfRule type="expression" dxfId="9148" priority="613">
      <formula>P$1=""</formula>
    </cfRule>
  </conditionalFormatting>
  <conditionalFormatting sqref="P250:AA250 P252:AA252">
    <cfRule type="expression" dxfId="9147" priority="612">
      <formula>P$1=""</formula>
    </cfRule>
  </conditionalFormatting>
  <conditionalFormatting sqref="P250:AA250 P252:AA252">
    <cfRule type="expression" dxfId="9146" priority="611">
      <formula>P$1=""</formula>
    </cfRule>
  </conditionalFormatting>
  <conditionalFormatting sqref="P250:AA250 P252:AA252">
    <cfRule type="expression" dxfId="9145" priority="610">
      <formula>P$1=""</formula>
    </cfRule>
  </conditionalFormatting>
  <conditionalFormatting sqref="P250:AA250 P252:AA252">
    <cfRule type="expression" dxfId="9144" priority="609">
      <formula>P$1=""</formula>
    </cfRule>
  </conditionalFormatting>
  <conditionalFormatting sqref="P252 P250 P248">
    <cfRule type="expression" dxfId="9143" priority="608">
      <formula>P$1=""</formula>
    </cfRule>
  </conditionalFormatting>
  <conditionalFormatting sqref="P252 P250 P248">
    <cfRule type="expression" dxfId="9142" priority="607">
      <formula>P$1=""</formula>
    </cfRule>
  </conditionalFormatting>
  <conditionalFormatting sqref="P252 P250 P248">
    <cfRule type="expression" dxfId="9141" priority="606">
      <formula>P$1=""</formula>
    </cfRule>
  </conditionalFormatting>
  <conditionalFormatting sqref="C3:E6">
    <cfRule type="cellIs" dxfId="9140" priority="605" operator="equal">
      <formula>0</formula>
    </cfRule>
  </conditionalFormatting>
  <conditionalFormatting sqref="G5:G6">
    <cfRule type="cellIs" dxfId="9139" priority="604" operator="equal">
      <formula>0</formula>
    </cfRule>
  </conditionalFormatting>
  <conditionalFormatting sqref="A1:D1">
    <cfRule type="cellIs" dxfId="9138" priority="603" operator="equal">
      <formula>0</formula>
    </cfRule>
  </conditionalFormatting>
  <conditionalFormatting sqref="P296:AA296">
    <cfRule type="expression" dxfId="9137" priority="602">
      <formula>P$1=""</formula>
    </cfRule>
  </conditionalFormatting>
  <conditionalFormatting sqref="P298:AA298">
    <cfRule type="expression" dxfId="9136" priority="601">
      <formula>P$1=""</formula>
    </cfRule>
  </conditionalFormatting>
  <conditionalFormatting sqref="P300:AA300">
    <cfRule type="expression" dxfId="9135" priority="600">
      <formula>P$1=""</formula>
    </cfRule>
  </conditionalFormatting>
  <conditionalFormatting sqref="P302:AA302">
    <cfRule type="expression" dxfId="9134" priority="599">
      <formula>P$1=""</formula>
    </cfRule>
  </conditionalFormatting>
  <conditionalFormatting sqref="P298:AA298 P300:AA300 P302:AA302">
    <cfRule type="expression" dxfId="9133" priority="598">
      <formula>P$1=""</formula>
    </cfRule>
  </conditionalFormatting>
  <conditionalFormatting sqref="P298:AA298 P300:AA300 P302:AA302">
    <cfRule type="expression" dxfId="9132" priority="597">
      <formula>P$1=""</formula>
    </cfRule>
  </conditionalFormatting>
  <conditionalFormatting sqref="P298:AA298 P300:AA300 P302:AA302">
    <cfRule type="expression" dxfId="9131" priority="596">
      <formula>P$1=""</formula>
    </cfRule>
  </conditionalFormatting>
  <conditionalFormatting sqref="P298:AA298 P300:AA300 P302:AA302">
    <cfRule type="expression" dxfId="9130" priority="595">
      <formula>P$1=""</formula>
    </cfRule>
  </conditionalFormatting>
  <conditionalFormatting sqref="P298:AA298 P300:AA300 P302:AA302">
    <cfRule type="expression" dxfId="9129" priority="594">
      <formula>P$1=""</formula>
    </cfRule>
  </conditionalFormatting>
  <conditionalFormatting sqref="P300:AA300 P302:AA302">
    <cfRule type="expression" dxfId="9128" priority="593">
      <formula>P$1=""</formula>
    </cfRule>
  </conditionalFormatting>
  <conditionalFormatting sqref="P298:AA298">
    <cfRule type="expression" dxfId="9127" priority="592">
      <formula>P$1=""</formula>
    </cfRule>
  </conditionalFormatting>
  <conditionalFormatting sqref="P300:AA300 P302:AA302">
    <cfRule type="expression" dxfId="9126" priority="591">
      <formula>P$1=""</formula>
    </cfRule>
  </conditionalFormatting>
  <conditionalFormatting sqref="P300:AA300 P302:AA302">
    <cfRule type="expression" dxfId="9125" priority="590">
      <formula>P$1=""</formula>
    </cfRule>
  </conditionalFormatting>
  <conditionalFormatting sqref="P302:AA302">
    <cfRule type="expression" dxfId="9124" priority="589">
      <formula>P$1=""</formula>
    </cfRule>
  </conditionalFormatting>
  <conditionalFormatting sqref="P302:AA302">
    <cfRule type="expression" dxfId="9123" priority="588">
      <formula>P$1=""</formula>
    </cfRule>
  </conditionalFormatting>
  <conditionalFormatting sqref="P302:AA302">
    <cfRule type="expression" dxfId="9122" priority="587">
      <formula>P$1=""</formula>
    </cfRule>
  </conditionalFormatting>
  <conditionalFormatting sqref="P302:AA302">
    <cfRule type="expression" dxfId="9121" priority="586">
      <formula>P$1=""</formula>
    </cfRule>
  </conditionalFormatting>
  <conditionalFormatting sqref="P296:AA296">
    <cfRule type="expression" dxfId="9120" priority="585">
      <formula>P$1=""</formula>
    </cfRule>
  </conditionalFormatting>
  <conditionalFormatting sqref="P296:AA296">
    <cfRule type="expression" dxfId="9119" priority="584">
      <formula>P$1=""</formula>
    </cfRule>
  </conditionalFormatting>
  <conditionalFormatting sqref="P296:AA296">
    <cfRule type="expression" dxfId="9118" priority="583">
      <formula>P$1=""</formula>
    </cfRule>
  </conditionalFormatting>
  <conditionalFormatting sqref="P296:AA296">
    <cfRule type="expression" dxfId="9117" priority="582">
      <formula>P$1=""</formula>
    </cfRule>
  </conditionalFormatting>
  <conditionalFormatting sqref="P296:AA296">
    <cfRule type="expression" dxfId="9116" priority="581">
      <formula>P$1=""</formula>
    </cfRule>
  </conditionalFormatting>
  <conditionalFormatting sqref="P296:AA296">
    <cfRule type="expression" dxfId="9115" priority="580">
      <formula>P$1=""</formula>
    </cfRule>
  </conditionalFormatting>
  <conditionalFormatting sqref="P296:AA296">
    <cfRule type="expression" dxfId="9114" priority="579">
      <formula>P$1=""</formula>
    </cfRule>
  </conditionalFormatting>
  <conditionalFormatting sqref="P300:AA300 P302:AA302">
    <cfRule type="expression" dxfId="9113" priority="578">
      <formula>P$1=""</formula>
    </cfRule>
  </conditionalFormatting>
  <conditionalFormatting sqref="P300:AA300 P302:AA302">
    <cfRule type="expression" dxfId="9112" priority="577">
      <formula>P$1=""</formula>
    </cfRule>
  </conditionalFormatting>
  <conditionalFormatting sqref="P300:AA300 P302:AA302">
    <cfRule type="expression" dxfId="9111" priority="576">
      <formula>P$1=""</formula>
    </cfRule>
  </conditionalFormatting>
  <conditionalFormatting sqref="P300:AA300 P302:AA302">
    <cfRule type="expression" dxfId="9110" priority="575">
      <formula>P$1=""</formula>
    </cfRule>
  </conditionalFormatting>
  <conditionalFormatting sqref="P298:AA298 P300:AA300 P302:AA302">
    <cfRule type="expression" dxfId="9109" priority="574">
      <formula>P$1=""</formula>
    </cfRule>
  </conditionalFormatting>
  <conditionalFormatting sqref="P298:AA298 P300:AA300 P302:AA302">
    <cfRule type="expression" dxfId="9108" priority="573">
      <formula>P$1=""</formula>
    </cfRule>
  </conditionalFormatting>
  <conditionalFormatting sqref="P298:AA298 P300:AA300 P302:AA302">
    <cfRule type="expression" dxfId="9107" priority="572">
      <formula>P$1=""</formula>
    </cfRule>
  </conditionalFormatting>
  <conditionalFormatting sqref="P298:AA298 P300:AA300 P302:AA302">
    <cfRule type="expression" dxfId="9106" priority="571">
      <formula>P$1=""</formula>
    </cfRule>
  </conditionalFormatting>
  <conditionalFormatting sqref="P298:AA298 P300:AA300 P302:AA302">
    <cfRule type="expression" dxfId="9105" priority="570">
      <formula>P$1=""</formula>
    </cfRule>
  </conditionalFormatting>
  <conditionalFormatting sqref="P298:AA298 P300:AA300 P302:AA302">
    <cfRule type="expression" dxfId="9104" priority="569">
      <formula>P$1=""</formula>
    </cfRule>
  </conditionalFormatting>
  <conditionalFormatting sqref="P298:AA298 P300:AA300 P302:AA302">
    <cfRule type="expression" dxfId="9103" priority="568">
      <formula>P$1=""</formula>
    </cfRule>
  </conditionalFormatting>
  <conditionalFormatting sqref="P298:AA298 P300:AA300 P302:AA302">
    <cfRule type="expression" dxfId="9102" priority="567">
      <formula>P$1=""</formula>
    </cfRule>
  </conditionalFormatting>
  <conditionalFormatting sqref="Q298:AA298">
    <cfRule type="expression" dxfId="9101" priority="566">
      <formula>Q$1=""</formula>
    </cfRule>
  </conditionalFormatting>
  <conditionalFormatting sqref="Q298:AA298">
    <cfRule type="expression" dxfId="9100" priority="565">
      <formula>Q$1=""</formula>
    </cfRule>
  </conditionalFormatting>
  <conditionalFormatting sqref="Q298:AA298">
    <cfRule type="expression" dxfId="9099" priority="564">
      <formula>Q$1=""</formula>
    </cfRule>
  </conditionalFormatting>
  <conditionalFormatting sqref="Q298:AA298">
    <cfRule type="expression" dxfId="9098" priority="563">
      <formula>Q$1=""</formula>
    </cfRule>
  </conditionalFormatting>
  <conditionalFormatting sqref="Q298:AA298">
    <cfRule type="expression" dxfId="9097" priority="562">
      <formula>Q$1=""</formula>
    </cfRule>
  </conditionalFormatting>
  <conditionalFormatting sqref="Q298:AA298">
    <cfRule type="expression" dxfId="9096" priority="561">
      <formula>Q$1=""</formula>
    </cfRule>
  </conditionalFormatting>
  <conditionalFormatting sqref="Q298:AA298">
    <cfRule type="expression" dxfId="9095" priority="560">
      <formula>Q$1=""</formula>
    </cfRule>
  </conditionalFormatting>
  <conditionalFormatting sqref="Q298:AA298">
    <cfRule type="expression" dxfId="9094" priority="559">
      <formula>Q$1=""</formula>
    </cfRule>
  </conditionalFormatting>
  <conditionalFormatting sqref="Q300:AA300 Q302:AA302">
    <cfRule type="expression" dxfId="9093" priority="558">
      <formula>Q$1=""</formula>
    </cfRule>
  </conditionalFormatting>
  <conditionalFormatting sqref="Q300:AA300 Q302:AA302">
    <cfRule type="expression" dxfId="9092" priority="557">
      <formula>Q$1=""</formula>
    </cfRule>
  </conditionalFormatting>
  <conditionalFormatting sqref="Q300:AA300 Q302:AA302">
    <cfRule type="expression" dxfId="9091" priority="556">
      <formula>Q$1=""</formula>
    </cfRule>
  </conditionalFormatting>
  <conditionalFormatting sqref="Q300:AA300 Q302:AA302">
    <cfRule type="expression" dxfId="9090" priority="555">
      <formula>Q$1=""</formula>
    </cfRule>
  </conditionalFormatting>
  <conditionalFormatting sqref="Q300:AA300 Q302:AA302">
    <cfRule type="expression" dxfId="9089" priority="554">
      <formula>Q$1=""</formula>
    </cfRule>
  </conditionalFormatting>
  <conditionalFormatting sqref="Q300:AA300 Q302:AA302">
    <cfRule type="expression" dxfId="9088" priority="553">
      <formula>Q$1=""</formula>
    </cfRule>
  </conditionalFormatting>
  <conditionalFormatting sqref="Q300:AA300 Q302:AA302">
    <cfRule type="expression" dxfId="9087" priority="552">
      <formula>Q$1=""</formula>
    </cfRule>
  </conditionalFormatting>
  <conditionalFormatting sqref="Q300:AA300 Q302:AA302">
    <cfRule type="expression" dxfId="9086" priority="551">
      <formula>Q$1=""</formula>
    </cfRule>
  </conditionalFormatting>
  <conditionalFormatting sqref="Q300:AA300 Q302:AA302">
    <cfRule type="expression" dxfId="9085" priority="550">
      <formula>Q$1=""</formula>
    </cfRule>
  </conditionalFormatting>
  <conditionalFormatting sqref="Q300:AA300 Q302:AA302">
    <cfRule type="expression" dxfId="9084" priority="549">
      <formula>Q$1=""</formula>
    </cfRule>
  </conditionalFormatting>
  <conditionalFormatting sqref="P296:AA296 P300:AA300 P302:AA302">
    <cfRule type="expression" dxfId="9083" priority="548">
      <formula>P$1=""</formula>
    </cfRule>
  </conditionalFormatting>
  <conditionalFormatting sqref="P296:AA296">
    <cfRule type="expression" dxfId="9082" priority="547">
      <formula>P$1=""</formula>
    </cfRule>
  </conditionalFormatting>
  <conditionalFormatting sqref="P296:AA296">
    <cfRule type="expression" dxfId="9081" priority="546">
      <formula>P$1=""</formula>
    </cfRule>
  </conditionalFormatting>
  <conditionalFormatting sqref="P296:AA296">
    <cfRule type="expression" dxfId="9080" priority="545">
      <formula>P$1=""</formula>
    </cfRule>
  </conditionalFormatting>
  <conditionalFormatting sqref="P296:AA296">
    <cfRule type="expression" dxfId="9079" priority="544">
      <formula>P$1=""</formula>
    </cfRule>
  </conditionalFormatting>
  <conditionalFormatting sqref="P296:AA296">
    <cfRule type="expression" dxfId="9078" priority="543">
      <formula>P$1=""</formula>
    </cfRule>
  </conditionalFormatting>
  <conditionalFormatting sqref="P296:AA296 P300:AA300 P302:AA302">
    <cfRule type="expression" dxfId="9077" priority="542">
      <formula>P$1=""</formula>
    </cfRule>
  </conditionalFormatting>
  <conditionalFormatting sqref="P296:AA296">
    <cfRule type="expression" dxfId="9076" priority="541">
      <formula>P$1=""</formula>
    </cfRule>
  </conditionalFormatting>
  <conditionalFormatting sqref="P296:AA296">
    <cfRule type="expression" dxfId="9075" priority="540">
      <formula>P$1=""</formula>
    </cfRule>
  </conditionalFormatting>
  <conditionalFormatting sqref="P296:AA296">
    <cfRule type="expression" dxfId="9074" priority="539">
      <formula>P$1=""</formula>
    </cfRule>
  </conditionalFormatting>
  <conditionalFormatting sqref="P296:AA296">
    <cfRule type="expression" dxfId="9073" priority="538">
      <formula>P$1=""</formula>
    </cfRule>
  </conditionalFormatting>
  <conditionalFormatting sqref="P296:AA296">
    <cfRule type="expression" dxfId="9072" priority="537">
      <formula>P$1=""</formula>
    </cfRule>
  </conditionalFormatting>
  <conditionalFormatting sqref="P296:AA296">
    <cfRule type="expression" dxfId="9071" priority="536">
      <formula>P$1=""</formula>
    </cfRule>
  </conditionalFormatting>
  <conditionalFormatting sqref="P296:AA296">
    <cfRule type="expression" dxfId="9070" priority="535">
      <formula>P$1=""</formula>
    </cfRule>
  </conditionalFormatting>
  <conditionalFormatting sqref="P296:AA296">
    <cfRule type="expression" dxfId="9069" priority="534">
      <formula>P$1=""</formula>
    </cfRule>
  </conditionalFormatting>
  <conditionalFormatting sqref="P298:AA298 P300:AA300 P302:AA302">
    <cfRule type="expression" dxfId="9068" priority="533">
      <formula>P$1=""</formula>
    </cfRule>
  </conditionalFormatting>
  <conditionalFormatting sqref="P298:AA298 P300:AA300 P302:AA302">
    <cfRule type="expression" dxfId="9067" priority="532">
      <formula>P$1=""</formula>
    </cfRule>
  </conditionalFormatting>
  <conditionalFormatting sqref="P298:AA298 P300:AA300 P302:AA302">
    <cfRule type="expression" dxfId="9066" priority="531">
      <formula>P$1=""</formula>
    </cfRule>
  </conditionalFormatting>
  <conditionalFormatting sqref="P298:AA298 P300:AA300 P302:AA302">
    <cfRule type="expression" dxfId="9065" priority="530">
      <formula>P$1=""</formula>
    </cfRule>
  </conditionalFormatting>
  <conditionalFormatting sqref="P298:AA298 P300:AA300 P302:AA302">
    <cfRule type="expression" dxfId="9064" priority="529">
      <formula>P$1=""</formula>
    </cfRule>
  </conditionalFormatting>
  <conditionalFormatting sqref="P298:AA298 P300:AA300 P302:AA302">
    <cfRule type="expression" dxfId="9063" priority="528">
      <formula>P$1=""</formula>
    </cfRule>
  </conditionalFormatting>
  <conditionalFormatting sqref="P298:AA298 P300:AA300 P302:AA302">
    <cfRule type="expression" dxfId="9062" priority="527">
      <formula>P$1=""</formula>
    </cfRule>
  </conditionalFormatting>
  <conditionalFormatting sqref="P298:AA298 P300:AA300 P302:AA302">
    <cfRule type="expression" dxfId="9061" priority="526">
      <formula>P$1=""</formula>
    </cfRule>
  </conditionalFormatting>
  <conditionalFormatting sqref="P298:AA298">
    <cfRule type="expression" dxfId="9060" priority="525">
      <formula>P$1=""</formula>
    </cfRule>
  </conditionalFormatting>
  <conditionalFormatting sqref="P298:AA298 P300:AA300 P302:AA302">
    <cfRule type="expression" dxfId="9059" priority="524">
      <formula>P$1=""</formula>
    </cfRule>
  </conditionalFormatting>
  <conditionalFormatting sqref="P298:AA298 P300:AA300 P302:AA302">
    <cfRule type="expression" dxfId="9058" priority="523">
      <formula>P$1=""</formula>
    </cfRule>
  </conditionalFormatting>
  <conditionalFormatting sqref="P298:AA298 P300:AA300 P302:AA302">
    <cfRule type="expression" dxfId="9057" priority="522">
      <formula>P$1=""</formula>
    </cfRule>
  </conditionalFormatting>
  <conditionalFormatting sqref="P298:AA298 P300:AA300 P302:AA302">
    <cfRule type="expression" dxfId="9056" priority="521">
      <formula>P$1=""</formula>
    </cfRule>
  </conditionalFormatting>
  <conditionalFormatting sqref="P298:AA298 P300:AA300 P302:AA302">
    <cfRule type="expression" dxfId="9055" priority="520">
      <formula>P$1=""</formula>
    </cfRule>
  </conditionalFormatting>
  <conditionalFormatting sqref="P298:AA298">
    <cfRule type="expression" dxfId="9054" priority="519">
      <formula>P$1=""</formula>
    </cfRule>
  </conditionalFormatting>
  <conditionalFormatting sqref="P298:AA298 P300:AA300 P302:AA302">
    <cfRule type="expression" dxfId="9053" priority="518">
      <formula>P$1=""</formula>
    </cfRule>
  </conditionalFormatting>
  <conditionalFormatting sqref="P298:AA298 P300:AA300 P302:AA302">
    <cfRule type="expression" dxfId="9052" priority="517">
      <formula>P$1=""</formula>
    </cfRule>
  </conditionalFormatting>
  <conditionalFormatting sqref="P298:AA298 P300:AA300 P302:AA302">
    <cfRule type="expression" dxfId="9051" priority="516">
      <formula>P$1=""</formula>
    </cfRule>
  </conditionalFormatting>
  <conditionalFormatting sqref="P298:AA298 P300:AA300 P302:AA302">
    <cfRule type="expression" dxfId="9050" priority="515">
      <formula>P$1=""</formula>
    </cfRule>
  </conditionalFormatting>
  <conditionalFormatting sqref="P298:AA298 P300:AA300 P302:AA302">
    <cfRule type="expression" dxfId="9049" priority="514">
      <formula>P$1=""</formula>
    </cfRule>
  </conditionalFormatting>
  <conditionalFormatting sqref="P298:AA298 P300:AA300 P302:AA302">
    <cfRule type="expression" dxfId="9048" priority="513">
      <formula>P$1=""</formula>
    </cfRule>
  </conditionalFormatting>
  <conditionalFormatting sqref="P298:AA298 P300:AA300 P302:AA302">
    <cfRule type="expression" dxfId="9047" priority="512">
      <formula>P$1=""</formula>
    </cfRule>
  </conditionalFormatting>
  <conditionalFormatting sqref="P298:AA298 P300:AA300 P302:AA302">
    <cfRule type="expression" dxfId="9046" priority="511">
      <formula>P$1=""</formula>
    </cfRule>
  </conditionalFormatting>
  <conditionalFormatting sqref="P302:AA302 P300:AA300">
    <cfRule type="expression" dxfId="9045" priority="510">
      <formula>P$1=""</formula>
    </cfRule>
  </conditionalFormatting>
  <conditionalFormatting sqref="P302:AA302 P300:AA300">
    <cfRule type="expression" dxfId="9044" priority="509">
      <formula>P$1=""</formula>
    </cfRule>
  </conditionalFormatting>
  <conditionalFormatting sqref="Q302:AA302 Q300:AA300">
    <cfRule type="expression" dxfId="9043" priority="508">
      <formula>Q$1=""</formula>
    </cfRule>
  </conditionalFormatting>
  <conditionalFormatting sqref="Q302:AA302 Q300:AA300">
    <cfRule type="expression" dxfId="9042" priority="507">
      <formula>Q$1=""</formula>
    </cfRule>
  </conditionalFormatting>
  <conditionalFormatting sqref="Q302:AA302 Q300:AA300">
    <cfRule type="expression" dxfId="9041" priority="506">
      <formula>Q$1=""</formula>
    </cfRule>
  </conditionalFormatting>
  <conditionalFormatting sqref="Q302:AA302 Q300:AA300">
    <cfRule type="expression" dxfId="9040" priority="505">
      <formula>Q$1=""</formula>
    </cfRule>
  </conditionalFormatting>
  <conditionalFormatting sqref="Q302:AA302 Q300:AA300">
    <cfRule type="expression" dxfId="9039" priority="504">
      <formula>Q$1=""</formula>
    </cfRule>
  </conditionalFormatting>
  <conditionalFormatting sqref="Q302:AA302 Q300:AA300">
    <cfRule type="expression" dxfId="9038" priority="503">
      <formula>Q$1=""</formula>
    </cfRule>
  </conditionalFormatting>
  <conditionalFormatting sqref="Q302:AA302 Q300:AA300">
    <cfRule type="expression" dxfId="9037" priority="502">
      <formula>Q$1=""</formula>
    </cfRule>
  </conditionalFormatting>
  <conditionalFormatting sqref="Q302:AA302 Q300:AA300">
    <cfRule type="expression" dxfId="9036" priority="501">
      <formula>Q$1=""</formula>
    </cfRule>
  </conditionalFormatting>
  <conditionalFormatting sqref="P302:AA302 P300:AA300">
    <cfRule type="expression" dxfId="9035" priority="500">
      <formula>P$1=""</formula>
    </cfRule>
  </conditionalFormatting>
  <conditionalFormatting sqref="P302:AA302 P300:AA300">
    <cfRule type="expression" dxfId="9034" priority="499">
      <formula>P$1=""</formula>
    </cfRule>
  </conditionalFormatting>
  <conditionalFormatting sqref="P302 P300 P298">
    <cfRule type="expression" dxfId="9033" priority="498">
      <formula>P$1=""</formula>
    </cfRule>
  </conditionalFormatting>
  <conditionalFormatting sqref="P302 P300 P298">
    <cfRule type="expression" dxfId="9032" priority="497">
      <formula>P$1=""</formula>
    </cfRule>
  </conditionalFormatting>
  <conditionalFormatting sqref="P302 P300 P298">
    <cfRule type="expression" dxfId="9031" priority="496">
      <formula>P$1=""</formula>
    </cfRule>
  </conditionalFormatting>
  <conditionalFormatting sqref="P302 P300 P298">
    <cfRule type="expression" dxfId="9030" priority="495">
      <formula>P$1=""</formula>
    </cfRule>
  </conditionalFormatting>
  <conditionalFormatting sqref="P302 P300 P298">
    <cfRule type="expression" dxfId="9029" priority="494">
      <formula>P$1=""</formula>
    </cfRule>
  </conditionalFormatting>
  <conditionalFormatting sqref="P302 P300 P298">
    <cfRule type="expression" dxfId="9028" priority="493">
      <formula>P$1=""</formula>
    </cfRule>
  </conditionalFormatting>
  <conditionalFormatting sqref="P302 P300 P298">
    <cfRule type="expression" dxfId="9027" priority="492">
      <formula>P$1=""</formula>
    </cfRule>
  </conditionalFormatting>
  <conditionalFormatting sqref="P302 P300 P298">
    <cfRule type="expression" dxfId="9026" priority="491">
      <formula>P$1=""</formula>
    </cfRule>
  </conditionalFormatting>
  <conditionalFormatting sqref="P298">
    <cfRule type="expression" dxfId="9025" priority="490">
      <formula>P$1=""</formula>
    </cfRule>
  </conditionalFormatting>
  <conditionalFormatting sqref="P302 P300 P298">
    <cfRule type="expression" dxfId="9024" priority="489">
      <formula>P$1=""</formula>
    </cfRule>
  </conditionalFormatting>
  <conditionalFormatting sqref="P302 P300 P298">
    <cfRule type="expression" dxfId="9023" priority="488">
      <formula>P$1=""</formula>
    </cfRule>
  </conditionalFormatting>
  <conditionalFormatting sqref="P302 P300 P298">
    <cfRule type="expression" dxfId="9022" priority="487">
      <formula>P$1=""</formula>
    </cfRule>
  </conditionalFormatting>
  <conditionalFormatting sqref="P302 P300 P298">
    <cfRule type="expression" dxfId="9021" priority="486">
      <formula>P$1=""</formula>
    </cfRule>
  </conditionalFormatting>
  <conditionalFormatting sqref="P302 P300 P298">
    <cfRule type="expression" dxfId="9020" priority="485">
      <formula>P$1=""</formula>
    </cfRule>
  </conditionalFormatting>
  <conditionalFormatting sqref="P298">
    <cfRule type="expression" dxfId="9019" priority="484">
      <formula>P$1=""</formula>
    </cfRule>
  </conditionalFormatting>
  <conditionalFormatting sqref="P302 P300 P298">
    <cfRule type="expression" dxfId="9018" priority="483">
      <formula>P$1=""</formula>
    </cfRule>
  </conditionalFormatting>
  <conditionalFormatting sqref="P302 P300 P298">
    <cfRule type="expression" dxfId="9017" priority="482">
      <formula>P$1=""</formula>
    </cfRule>
  </conditionalFormatting>
  <conditionalFormatting sqref="P302 P300 P298">
    <cfRule type="expression" dxfId="9016" priority="481">
      <formula>P$1=""</formula>
    </cfRule>
  </conditionalFormatting>
  <conditionalFormatting sqref="P302 P300 P298">
    <cfRule type="expression" dxfId="9015" priority="480">
      <formula>P$1=""</formula>
    </cfRule>
  </conditionalFormatting>
  <conditionalFormatting sqref="P302 P300 P298">
    <cfRule type="expression" dxfId="9014" priority="479">
      <formula>P$1=""</formula>
    </cfRule>
  </conditionalFormatting>
  <conditionalFormatting sqref="P302 P300 P298">
    <cfRule type="expression" dxfId="9013" priority="478">
      <formula>P$1=""</formula>
    </cfRule>
  </conditionalFormatting>
  <conditionalFormatting sqref="P302 P300 P298">
    <cfRule type="expression" dxfId="9012" priority="477">
      <formula>P$1=""</formula>
    </cfRule>
  </conditionalFormatting>
  <conditionalFormatting sqref="P302 P300 P298">
    <cfRule type="expression" dxfId="9011" priority="476">
      <formula>P$1=""</formula>
    </cfRule>
  </conditionalFormatting>
  <conditionalFormatting sqref="Q302:AA302 Q300:AA300 Q298:AA298">
    <cfRule type="expression" dxfId="9010" priority="475">
      <formula>Q$1=""</formula>
    </cfRule>
  </conditionalFormatting>
  <conditionalFormatting sqref="Q302:AA302 Q300:AA300 Q298:AA298">
    <cfRule type="expression" dxfId="9009" priority="474">
      <formula>Q$1=""</formula>
    </cfRule>
  </conditionalFormatting>
  <conditionalFormatting sqref="Q302:AA302 Q300:AA300 Q298:AA298">
    <cfRule type="expression" dxfId="9008" priority="473">
      <formula>Q$1=""</formula>
    </cfRule>
  </conditionalFormatting>
  <conditionalFormatting sqref="Q302:AA302 Q300:AA300 Q298:AA298">
    <cfRule type="expression" dxfId="9007" priority="472">
      <formula>Q$1=""</formula>
    </cfRule>
  </conditionalFormatting>
  <conditionalFormatting sqref="Q302:AA302 Q300:AA300 Q298:AA298">
    <cfRule type="expression" dxfId="9006" priority="471">
      <formula>Q$1=""</formula>
    </cfRule>
  </conditionalFormatting>
  <conditionalFormatting sqref="Q302:AA302 Q300:AA300 Q298:AA298">
    <cfRule type="expression" dxfId="9005" priority="470">
      <formula>Q$1=""</formula>
    </cfRule>
  </conditionalFormatting>
  <conditionalFormatting sqref="Q302:AA302 Q300:AA300 Q298:AA298">
    <cfRule type="expression" dxfId="9004" priority="469">
      <formula>Q$1=""</formula>
    </cfRule>
  </conditionalFormatting>
  <conditionalFormatting sqref="Q302:AA302 Q300:AA300 Q298:AA298">
    <cfRule type="expression" dxfId="9003" priority="468">
      <formula>Q$1=""</formula>
    </cfRule>
  </conditionalFormatting>
  <conditionalFormatting sqref="Q298:AA298">
    <cfRule type="expression" dxfId="9002" priority="467">
      <formula>Q$1=""</formula>
    </cfRule>
  </conditionalFormatting>
  <conditionalFormatting sqref="Q302:AA302 Q300:AA300 Q298:AA298">
    <cfRule type="expression" dxfId="9001" priority="466">
      <formula>Q$1=""</formula>
    </cfRule>
  </conditionalFormatting>
  <conditionalFormatting sqref="Q302:AA302 Q300:AA300 Q298:AA298">
    <cfRule type="expression" dxfId="9000" priority="465">
      <formula>Q$1=""</formula>
    </cfRule>
  </conditionalFormatting>
  <conditionalFormatting sqref="Q302:AA302 Q300:AA300 Q298:AA298">
    <cfRule type="expression" dxfId="8999" priority="464">
      <formula>Q$1=""</formula>
    </cfRule>
  </conditionalFormatting>
  <conditionalFormatting sqref="Q302:AA302 Q300:AA300 Q298:AA298">
    <cfRule type="expression" dxfId="8998" priority="463">
      <formula>Q$1=""</formula>
    </cfRule>
  </conditionalFormatting>
  <conditionalFormatting sqref="Q302:AA302 Q300:AA300 Q298:AA298">
    <cfRule type="expression" dxfId="8997" priority="462">
      <formula>Q$1=""</formula>
    </cfRule>
  </conditionalFormatting>
  <conditionalFormatting sqref="Q298:AA298">
    <cfRule type="expression" dxfId="8996" priority="461">
      <formula>Q$1=""</formula>
    </cfRule>
  </conditionalFormatting>
  <conditionalFormatting sqref="Q302:AA302 Q300:AA300 Q298:AA298">
    <cfRule type="expression" dxfId="8995" priority="460">
      <formula>Q$1=""</formula>
    </cfRule>
  </conditionalFormatting>
  <conditionalFormatting sqref="Q302:AA302 Q300:AA300 Q298:AA298">
    <cfRule type="expression" dxfId="8994" priority="459">
      <formula>Q$1=""</formula>
    </cfRule>
  </conditionalFormatting>
  <conditionalFormatting sqref="Q302:AA302 Q300:AA300 Q298:AA298">
    <cfRule type="expression" dxfId="8993" priority="458">
      <formula>Q$1=""</formula>
    </cfRule>
  </conditionalFormatting>
  <conditionalFormatting sqref="Q302:AA302 Q300:AA300 Q298:AA298">
    <cfRule type="expression" dxfId="8992" priority="457">
      <formula>Q$1=""</formula>
    </cfRule>
  </conditionalFormatting>
  <conditionalFormatting sqref="Q302:AA302 Q300:AA300 Q298:AA298">
    <cfRule type="expression" dxfId="8991" priority="456">
      <formula>Q$1=""</formula>
    </cfRule>
  </conditionalFormatting>
  <conditionalFormatting sqref="Q302:AA302 Q300:AA300 Q298:AA298">
    <cfRule type="expression" dxfId="8990" priority="455">
      <formula>Q$1=""</formula>
    </cfRule>
  </conditionalFormatting>
  <conditionalFormatting sqref="Q302:AA302 Q300:AA300 Q298:AA298">
    <cfRule type="expression" dxfId="8989" priority="454">
      <formula>Q$1=""</formula>
    </cfRule>
  </conditionalFormatting>
  <conditionalFormatting sqref="Q302:AA302 Q300:AA300 Q298:AA298">
    <cfRule type="expression" dxfId="8988" priority="453">
      <formula>Q$1=""</formula>
    </cfRule>
  </conditionalFormatting>
  <conditionalFormatting sqref="P266:AA266">
    <cfRule type="expression" dxfId="8987" priority="452">
      <formula>P$1=""</formula>
    </cfRule>
  </conditionalFormatting>
  <conditionalFormatting sqref="P268:AA268">
    <cfRule type="expression" dxfId="8986" priority="451">
      <formula>P$1=""</formula>
    </cfRule>
  </conditionalFormatting>
  <conditionalFormatting sqref="P270:AA270">
    <cfRule type="expression" dxfId="8985" priority="450">
      <formula>P$1=""</formula>
    </cfRule>
  </conditionalFormatting>
  <conditionalFormatting sqref="P272:AA272">
    <cfRule type="expression" dxfId="8984" priority="449">
      <formula>P$1=""</formula>
    </cfRule>
  </conditionalFormatting>
  <conditionalFormatting sqref="P268:AA268 P270:AA270 P272:AA272">
    <cfRule type="expression" dxfId="8983" priority="448">
      <formula>P$1=""</formula>
    </cfRule>
  </conditionalFormatting>
  <conditionalFormatting sqref="P268:AA268 P270:AA270 P272:AA272">
    <cfRule type="expression" dxfId="8982" priority="447">
      <formula>P$1=""</formula>
    </cfRule>
  </conditionalFormatting>
  <conditionalFormatting sqref="P268:AA268 P270:AA270 P272:AA272">
    <cfRule type="expression" dxfId="8981" priority="446">
      <formula>P$1=""</formula>
    </cfRule>
  </conditionalFormatting>
  <conditionalFormatting sqref="P268:AA268 P270:AA270 P272:AA272">
    <cfRule type="expression" dxfId="8980" priority="445">
      <formula>P$1=""</formula>
    </cfRule>
  </conditionalFormatting>
  <conditionalFormatting sqref="P268:AA268 P270:AA270 P272:AA272">
    <cfRule type="expression" dxfId="8979" priority="444">
      <formula>P$1=""</formula>
    </cfRule>
  </conditionalFormatting>
  <conditionalFormatting sqref="P270:AA270 P272:AA272">
    <cfRule type="expression" dxfId="8978" priority="443">
      <formula>P$1=""</formula>
    </cfRule>
  </conditionalFormatting>
  <conditionalFormatting sqref="P268:AA268">
    <cfRule type="expression" dxfId="8977" priority="442">
      <formula>P$1=""</formula>
    </cfRule>
  </conditionalFormatting>
  <conditionalFormatting sqref="P270:AA270 P272:AA272">
    <cfRule type="expression" dxfId="8976" priority="441">
      <formula>P$1=""</formula>
    </cfRule>
  </conditionalFormatting>
  <conditionalFormatting sqref="P270:AA270 P272:AA272">
    <cfRule type="expression" dxfId="8975" priority="440">
      <formula>P$1=""</formula>
    </cfRule>
  </conditionalFormatting>
  <conditionalFormatting sqref="P272:AA272">
    <cfRule type="expression" dxfId="8974" priority="439">
      <formula>P$1=""</formula>
    </cfRule>
  </conditionalFormatting>
  <conditionalFormatting sqref="P272:AA272">
    <cfRule type="expression" dxfId="8973" priority="438">
      <formula>P$1=""</formula>
    </cfRule>
  </conditionalFormatting>
  <conditionalFormatting sqref="P272:AA272">
    <cfRule type="expression" dxfId="8972" priority="437">
      <formula>P$1=""</formula>
    </cfRule>
  </conditionalFormatting>
  <conditionalFormatting sqref="P272:AA272">
    <cfRule type="expression" dxfId="8971" priority="436">
      <formula>P$1=""</formula>
    </cfRule>
  </conditionalFormatting>
  <conditionalFormatting sqref="P266:AA266">
    <cfRule type="expression" dxfId="8970" priority="435">
      <formula>P$1=""</formula>
    </cfRule>
  </conditionalFormatting>
  <conditionalFormatting sqref="P266:AA266">
    <cfRule type="expression" dxfId="8969" priority="434">
      <formula>P$1=""</formula>
    </cfRule>
  </conditionalFormatting>
  <conditionalFormatting sqref="P266:AA266">
    <cfRule type="expression" dxfId="8968" priority="433">
      <formula>P$1=""</formula>
    </cfRule>
  </conditionalFormatting>
  <conditionalFormatting sqref="P266:AA266">
    <cfRule type="expression" dxfId="8967" priority="432">
      <formula>P$1=""</formula>
    </cfRule>
  </conditionalFormatting>
  <conditionalFormatting sqref="P266:AA266">
    <cfRule type="expression" dxfId="8966" priority="431">
      <formula>P$1=""</formula>
    </cfRule>
  </conditionalFormatting>
  <conditionalFormatting sqref="P266:AA266">
    <cfRule type="expression" dxfId="8965" priority="430">
      <formula>P$1=""</formula>
    </cfRule>
  </conditionalFormatting>
  <conditionalFormatting sqref="P266:AA266">
    <cfRule type="expression" dxfId="8964" priority="429">
      <formula>P$1=""</formula>
    </cfRule>
  </conditionalFormatting>
  <conditionalFormatting sqref="P270:AA270 P272:AA272">
    <cfRule type="expression" dxfId="8963" priority="428">
      <formula>P$1=""</formula>
    </cfRule>
  </conditionalFormatting>
  <conditionalFormatting sqref="P270:AA270 P272:AA272">
    <cfRule type="expression" dxfId="8962" priority="427">
      <formula>P$1=""</formula>
    </cfRule>
  </conditionalFormatting>
  <conditionalFormatting sqref="P270:AA270 P272:AA272">
    <cfRule type="expression" dxfId="8961" priority="426">
      <formula>P$1=""</formula>
    </cfRule>
  </conditionalFormatting>
  <conditionalFormatting sqref="P270:AA270 P272:AA272">
    <cfRule type="expression" dxfId="8960" priority="425">
      <formula>P$1=""</formula>
    </cfRule>
  </conditionalFormatting>
  <conditionalFormatting sqref="P268:AA268 P270:AA270 P272:AA272">
    <cfRule type="expression" dxfId="8959" priority="424">
      <formula>P$1=""</formula>
    </cfRule>
  </conditionalFormatting>
  <conditionalFormatting sqref="P268:AA268 P270:AA270 P272:AA272">
    <cfRule type="expression" dxfId="8958" priority="423">
      <formula>P$1=""</formula>
    </cfRule>
  </conditionalFormatting>
  <conditionalFormatting sqref="P268:AA268 P270:AA270 P272:AA272">
    <cfRule type="expression" dxfId="8957" priority="422">
      <formula>P$1=""</formula>
    </cfRule>
  </conditionalFormatting>
  <conditionalFormatting sqref="P268:AA268 P270:AA270 P272:AA272">
    <cfRule type="expression" dxfId="8956" priority="421">
      <formula>P$1=""</formula>
    </cfRule>
  </conditionalFormatting>
  <conditionalFormatting sqref="P268:AA268 P270:AA270 P272:AA272">
    <cfRule type="expression" dxfId="8955" priority="420">
      <formula>P$1=""</formula>
    </cfRule>
  </conditionalFormatting>
  <conditionalFormatting sqref="P268:AA268 P270:AA270 P272:AA272">
    <cfRule type="expression" dxfId="8954" priority="419">
      <formula>P$1=""</formula>
    </cfRule>
  </conditionalFormatting>
  <conditionalFormatting sqref="P268:AA268 P270:AA270 P272:AA272">
    <cfRule type="expression" dxfId="8953" priority="418">
      <formula>P$1=""</formula>
    </cfRule>
  </conditionalFormatting>
  <conditionalFormatting sqref="P268:AA268 P270:AA270 P272:AA272">
    <cfRule type="expression" dxfId="8952" priority="417">
      <formula>P$1=""</formula>
    </cfRule>
  </conditionalFormatting>
  <conditionalFormatting sqref="Q268:AA268">
    <cfRule type="expression" dxfId="8951" priority="416">
      <formula>Q$1=""</formula>
    </cfRule>
  </conditionalFormatting>
  <conditionalFormatting sqref="Q268:AA268">
    <cfRule type="expression" dxfId="8950" priority="415">
      <formula>Q$1=""</formula>
    </cfRule>
  </conditionalFormatting>
  <conditionalFormatting sqref="Q268:AA268">
    <cfRule type="expression" dxfId="8949" priority="414">
      <formula>Q$1=""</formula>
    </cfRule>
  </conditionalFormatting>
  <conditionalFormatting sqref="Q268:AA268">
    <cfRule type="expression" dxfId="8948" priority="413">
      <formula>Q$1=""</formula>
    </cfRule>
  </conditionalFormatting>
  <conditionalFormatting sqref="Q268:AA268">
    <cfRule type="expression" dxfId="8947" priority="412">
      <formula>Q$1=""</formula>
    </cfRule>
  </conditionalFormatting>
  <conditionalFormatting sqref="Q268:AA268">
    <cfRule type="expression" dxfId="8946" priority="411">
      <formula>Q$1=""</formula>
    </cfRule>
  </conditionalFormatting>
  <conditionalFormatting sqref="Q268:AA268">
    <cfRule type="expression" dxfId="8945" priority="410">
      <formula>Q$1=""</formula>
    </cfRule>
  </conditionalFormatting>
  <conditionalFormatting sqref="Q268:AA268">
    <cfRule type="expression" dxfId="8944" priority="409">
      <formula>Q$1=""</formula>
    </cfRule>
  </conditionalFormatting>
  <conditionalFormatting sqref="Q270:AA270 Q272:AA272">
    <cfRule type="expression" dxfId="8943" priority="408">
      <formula>Q$1=""</formula>
    </cfRule>
  </conditionalFormatting>
  <conditionalFormatting sqref="Q270:AA270 Q272:AA272">
    <cfRule type="expression" dxfId="8942" priority="407">
      <formula>Q$1=""</formula>
    </cfRule>
  </conditionalFormatting>
  <conditionalFormatting sqref="Q270:AA270 Q272:AA272">
    <cfRule type="expression" dxfId="8941" priority="406">
      <formula>Q$1=""</formula>
    </cfRule>
  </conditionalFormatting>
  <conditionalFormatting sqref="Q270:AA270 Q272:AA272">
    <cfRule type="expression" dxfId="8940" priority="405">
      <formula>Q$1=""</formula>
    </cfRule>
  </conditionalFormatting>
  <conditionalFormatting sqref="Q270:AA270 Q272:AA272">
    <cfRule type="expression" dxfId="8939" priority="404">
      <formula>Q$1=""</formula>
    </cfRule>
  </conditionalFormatting>
  <conditionalFormatting sqref="Q270:AA270 Q272:AA272">
    <cfRule type="expression" dxfId="8938" priority="403">
      <formula>Q$1=""</formula>
    </cfRule>
  </conditionalFormatting>
  <conditionalFormatting sqref="Q270:AA270 Q272:AA272">
    <cfRule type="expression" dxfId="8937" priority="402">
      <formula>Q$1=""</formula>
    </cfRule>
  </conditionalFormatting>
  <conditionalFormatting sqref="Q270:AA270 Q272:AA272">
    <cfRule type="expression" dxfId="8936" priority="401">
      <formula>Q$1=""</formula>
    </cfRule>
  </conditionalFormatting>
  <conditionalFormatting sqref="Q270:AA270 Q272:AA272">
    <cfRule type="expression" dxfId="8935" priority="400">
      <formula>Q$1=""</formula>
    </cfRule>
  </conditionalFormatting>
  <conditionalFormatting sqref="Q270:AA270 Q272:AA272">
    <cfRule type="expression" dxfId="8934" priority="399">
      <formula>Q$1=""</formula>
    </cfRule>
  </conditionalFormatting>
  <conditionalFormatting sqref="P270:AA270 P272:AA272 P266:AA266">
    <cfRule type="expression" dxfId="8933" priority="398">
      <formula>P$1=""</formula>
    </cfRule>
  </conditionalFormatting>
  <conditionalFormatting sqref="P266:AA266">
    <cfRule type="expression" dxfId="8932" priority="397">
      <formula>P$1=""</formula>
    </cfRule>
  </conditionalFormatting>
  <conditionalFormatting sqref="P266:AA266">
    <cfRule type="expression" dxfId="8931" priority="396">
      <formula>P$1=""</formula>
    </cfRule>
  </conditionalFormatting>
  <conditionalFormatting sqref="P266:AA266">
    <cfRule type="expression" dxfId="8930" priority="395">
      <formula>P$1=""</formula>
    </cfRule>
  </conditionalFormatting>
  <conditionalFormatting sqref="P266:AA266">
    <cfRule type="expression" dxfId="8929" priority="394">
      <formula>P$1=""</formula>
    </cfRule>
  </conditionalFormatting>
  <conditionalFormatting sqref="P266:AA266">
    <cfRule type="expression" dxfId="8928" priority="393">
      <formula>P$1=""</formula>
    </cfRule>
  </conditionalFormatting>
  <conditionalFormatting sqref="P270:AA270 P272:AA272 P266:AA266">
    <cfRule type="expression" dxfId="8927" priority="392">
      <formula>P$1=""</formula>
    </cfRule>
  </conditionalFormatting>
  <conditionalFormatting sqref="P266:AA266">
    <cfRule type="expression" dxfId="8926" priority="391">
      <formula>P$1=""</formula>
    </cfRule>
  </conditionalFormatting>
  <conditionalFormatting sqref="P266:AA266">
    <cfRule type="expression" dxfId="8925" priority="390">
      <formula>P$1=""</formula>
    </cfRule>
  </conditionalFormatting>
  <conditionalFormatting sqref="P266:AA266">
    <cfRule type="expression" dxfId="8924" priority="389">
      <formula>P$1=""</formula>
    </cfRule>
  </conditionalFormatting>
  <conditionalFormatting sqref="P266:AA266">
    <cfRule type="expression" dxfId="8923" priority="388">
      <formula>P$1=""</formula>
    </cfRule>
  </conditionalFormatting>
  <conditionalFormatting sqref="P266:AA266">
    <cfRule type="expression" dxfId="8922" priority="387">
      <formula>P$1=""</formula>
    </cfRule>
  </conditionalFormatting>
  <conditionalFormatting sqref="P266:AA266">
    <cfRule type="expression" dxfId="8921" priority="386">
      <formula>P$1=""</formula>
    </cfRule>
  </conditionalFormatting>
  <conditionalFormatting sqref="P266:AA266">
    <cfRule type="expression" dxfId="8920" priority="385">
      <formula>P$1=""</formula>
    </cfRule>
  </conditionalFormatting>
  <conditionalFormatting sqref="P266:AA266">
    <cfRule type="expression" dxfId="8919" priority="384">
      <formula>P$1=""</formula>
    </cfRule>
  </conditionalFormatting>
  <conditionalFormatting sqref="P268:AA268 P270:AA270 P272:AA272">
    <cfRule type="expression" dxfId="8918" priority="383">
      <formula>P$1=""</formula>
    </cfRule>
  </conditionalFormatting>
  <conditionalFormatting sqref="P268:AA268 P270:AA270 P272:AA272">
    <cfRule type="expression" dxfId="8917" priority="382">
      <formula>P$1=""</formula>
    </cfRule>
  </conditionalFormatting>
  <conditionalFormatting sqref="P268:AA268 P270:AA270 P272:AA272">
    <cfRule type="expression" dxfId="8916" priority="381">
      <formula>P$1=""</formula>
    </cfRule>
  </conditionalFormatting>
  <conditionalFormatting sqref="P268:AA268 P270:AA270 P272:AA272">
    <cfRule type="expression" dxfId="8915" priority="380">
      <formula>P$1=""</formula>
    </cfRule>
  </conditionalFormatting>
  <conditionalFormatting sqref="P268:AA268 P270:AA270 P272:AA272">
    <cfRule type="expression" dxfId="8914" priority="379">
      <formula>P$1=""</formula>
    </cfRule>
  </conditionalFormatting>
  <conditionalFormatting sqref="P268:AA268 P270:AA270 P272:AA272">
    <cfRule type="expression" dxfId="8913" priority="378">
      <formula>P$1=""</formula>
    </cfRule>
  </conditionalFormatting>
  <conditionalFormatting sqref="P268:AA268 P270:AA270 P272:AA272">
    <cfRule type="expression" dxfId="8912" priority="377">
      <formula>P$1=""</formula>
    </cfRule>
  </conditionalFormatting>
  <conditionalFormatting sqref="P268:AA268 P270:AA270 P272:AA272">
    <cfRule type="expression" dxfId="8911" priority="376">
      <formula>P$1=""</formula>
    </cfRule>
  </conditionalFormatting>
  <conditionalFormatting sqref="P268:AA268">
    <cfRule type="expression" dxfId="8910" priority="375">
      <formula>P$1=""</formula>
    </cfRule>
  </conditionalFormatting>
  <conditionalFormatting sqref="P268:AA268 P270:AA270 P272:AA272">
    <cfRule type="expression" dxfId="8909" priority="374">
      <formula>P$1=""</formula>
    </cfRule>
  </conditionalFormatting>
  <conditionalFormatting sqref="P268:AA268 P270:AA270 P272:AA272">
    <cfRule type="expression" dxfId="8908" priority="373">
      <formula>P$1=""</formula>
    </cfRule>
  </conditionalFormatting>
  <conditionalFormatting sqref="P268:AA268 P270:AA270 P272:AA272">
    <cfRule type="expression" dxfId="8907" priority="372">
      <formula>P$1=""</formula>
    </cfRule>
  </conditionalFormatting>
  <conditionalFormatting sqref="P268:AA268 P270:AA270 P272:AA272">
    <cfRule type="expression" dxfId="8906" priority="371">
      <formula>P$1=""</formula>
    </cfRule>
  </conditionalFormatting>
  <conditionalFormatting sqref="P268:AA268 P270:AA270 P272:AA272">
    <cfRule type="expression" dxfId="8905" priority="370">
      <formula>P$1=""</formula>
    </cfRule>
  </conditionalFormatting>
  <conditionalFormatting sqref="P268:AA268">
    <cfRule type="expression" dxfId="8904" priority="369">
      <formula>P$1=""</formula>
    </cfRule>
  </conditionalFormatting>
  <conditionalFormatting sqref="P268:AA268 P270:AA270 P272:AA272">
    <cfRule type="expression" dxfId="8903" priority="368">
      <formula>P$1=""</formula>
    </cfRule>
  </conditionalFormatting>
  <conditionalFormatting sqref="P268:AA268 P270:AA270 P272:AA272">
    <cfRule type="expression" dxfId="8902" priority="367">
      <formula>P$1=""</formula>
    </cfRule>
  </conditionalFormatting>
  <conditionalFormatting sqref="P268:AA268 P270:AA270 P272:AA272">
    <cfRule type="expression" dxfId="8901" priority="366">
      <formula>P$1=""</formula>
    </cfRule>
  </conditionalFormatting>
  <conditionalFormatting sqref="P268:AA268 P270:AA270 P272:AA272">
    <cfRule type="expression" dxfId="8900" priority="365">
      <formula>P$1=""</formula>
    </cfRule>
  </conditionalFormatting>
  <conditionalFormatting sqref="P268:AA268 P270:AA270 P272:AA272">
    <cfRule type="expression" dxfId="8899" priority="364">
      <formula>P$1=""</formula>
    </cfRule>
  </conditionalFormatting>
  <conditionalFormatting sqref="P268:AA268 P270:AA270 P272:AA272">
    <cfRule type="expression" dxfId="8898" priority="363">
      <formula>P$1=""</formula>
    </cfRule>
  </conditionalFormatting>
  <conditionalFormatting sqref="P268:AA268 P270:AA270 P272:AA272">
    <cfRule type="expression" dxfId="8897" priority="362">
      <formula>P$1=""</formula>
    </cfRule>
  </conditionalFormatting>
  <conditionalFormatting sqref="P268:AA268 P270:AA270 P272:AA272">
    <cfRule type="expression" dxfId="8896" priority="361">
      <formula>P$1=""</formula>
    </cfRule>
  </conditionalFormatting>
  <conditionalFormatting sqref="P272:AA272 P270:AA270">
    <cfRule type="expression" dxfId="8895" priority="360">
      <formula>P$1=""</formula>
    </cfRule>
  </conditionalFormatting>
  <conditionalFormatting sqref="P272:AA272 P270:AA270">
    <cfRule type="expression" dxfId="8894" priority="359">
      <formula>P$1=""</formula>
    </cfRule>
  </conditionalFormatting>
  <conditionalFormatting sqref="Q272:AA272 Q270:AA270">
    <cfRule type="expression" dxfId="8893" priority="358">
      <formula>Q$1=""</formula>
    </cfRule>
  </conditionalFormatting>
  <conditionalFormatting sqref="Q272:AA272 Q270:AA270">
    <cfRule type="expression" dxfId="8892" priority="357">
      <formula>Q$1=""</formula>
    </cfRule>
  </conditionalFormatting>
  <conditionalFormatting sqref="Q272:AA272 Q270:AA270">
    <cfRule type="expression" dxfId="8891" priority="356">
      <formula>Q$1=""</formula>
    </cfRule>
  </conditionalFormatting>
  <conditionalFormatting sqref="Q272:AA272 Q270:AA270">
    <cfRule type="expression" dxfId="8890" priority="355">
      <formula>Q$1=""</formula>
    </cfRule>
  </conditionalFormatting>
  <conditionalFormatting sqref="Q272:AA272 Q270:AA270">
    <cfRule type="expression" dxfId="8889" priority="354">
      <formula>Q$1=""</formula>
    </cfRule>
  </conditionalFormatting>
  <conditionalFormatting sqref="Q272:AA272 Q270:AA270">
    <cfRule type="expression" dxfId="8888" priority="353">
      <formula>Q$1=""</formula>
    </cfRule>
  </conditionalFormatting>
  <conditionalFormatting sqref="Q272:AA272 Q270:AA270">
    <cfRule type="expression" dxfId="8887" priority="352">
      <formula>Q$1=""</formula>
    </cfRule>
  </conditionalFormatting>
  <conditionalFormatting sqref="Q272:AA272 Q270:AA270">
    <cfRule type="expression" dxfId="8886" priority="351">
      <formula>Q$1=""</formula>
    </cfRule>
  </conditionalFormatting>
  <conditionalFormatting sqref="P272:AA272 P270:AA270">
    <cfRule type="expression" dxfId="8885" priority="350">
      <formula>P$1=""</formula>
    </cfRule>
  </conditionalFormatting>
  <conditionalFormatting sqref="P272:AA272 P270:AA270">
    <cfRule type="expression" dxfId="8884" priority="349">
      <formula>P$1=""</formula>
    </cfRule>
  </conditionalFormatting>
  <conditionalFormatting sqref="P268:AA268">
    <cfRule type="expression" dxfId="8883" priority="348">
      <formula>P$1=""</formula>
    </cfRule>
  </conditionalFormatting>
  <conditionalFormatting sqref="P268:AA268">
    <cfRule type="expression" dxfId="8882" priority="347">
      <formula>P$1=""</formula>
    </cfRule>
  </conditionalFormatting>
  <conditionalFormatting sqref="P268:AA268">
    <cfRule type="expression" dxfId="8881" priority="346">
      <formula>P$1=""</formula>
    </cfRule>
  </conditionalFormatting>
  <conditionalFormatting sqref="P268:AA268">
    <cfRule type="expression" dxfId="8880" priority="345">
      <formula>P$1=""</formula>
    </cfRule>
  </conditionalFormatting>
  <conditionalFormatting sqref="P268:AA268">
    <cfRule type="expression" dxfId="8879" priority="344">
      <formula>P$1=""</formula>
    </cfRule>
  </conditionalFormatting>
  <conditionalFormatting sqref="P268:AA268">
    <cfRule type="expression" dxfId="8878" priority="343">
      <formula>P$1=""</formula>
    </cfRule>
  </conditionalFormatting>
  <conditionalFormatting sqref="P268:AA268">
    <cfRule type="expression" dxfId="8877" priority="342">
      <formula>P$1=""</formula>
    </cfRule>
  </conditionalFormatting>
  <conditionalFormatting sqref="P268:AA268">
    <cfRule type="expression" dxfId="8876" priority="341">
      <formula>P$1=""</formula>
    </cfRule>
  </conditionalFormatting>
  <conditionalFormatting sqref="P268:AA268">
    <cfRule type="expression" dxfId="8875" priority="340">
      <formula>P$1=""</formula>
    </cfRule>
  </conditionalFormatting>
  <conditionalFormatting sqref="P268:AA268">
    <cfRule type="expression" dxfId="8874" priority="339">
      <formula>P$1=""</formula>
    </cfRule>
  </conditionalFormatting>
  <conditionalFormatting sqref="P268:AA268">
    <cfRule type="expression" dxfId="8873" priority="338">
      <formula>P$1=""</formula>
    </cfRule>
  </conditionalFormatting>
  <conditionalFormatting sqref="P268:AA268">
    <cfRule type="expression" dxfId="8872" priority="337">
      <formula>P$1=""</formula>
    </cfRule>
  </conditionalFormatting>
  <conditionalFormatting sqref="P268:AA268">
    <cfRule type="expression" dxfId="8871" priority="336">
      <formula>P$1=""</formula>
    </cfRule>
  </conditionalFormatting>
  <conditionalFormatting sqref="P268:AA268">
    <cfRule type="expression" dxfId="8870" priority="335">
      <formula>P$1=""</formula>
    </cfRule>
  </conditionalFormatting>
  <conditionalFormatting sqref="P268:AA268">
    <cfRule type="expression" dxfId="8869" priority="334">
      <formula>P$1=""</formula>
    </cfRule>
  </conditionalFormatting>
  <conditionalFormatting sqref="P268:AA268">
    <cfRule type="expression" dxfId="8868" priority="333">
      <formula>P$1=""</formula>
    </cfRule>
  </conditionalFormatting>
  <conditionalFormatting sqref="P268:AA268">
    <cfRule type="expression" dxfId="8867" priority="332">
      <formula>P$1=""</formula>
    </cfRule>
  </conditionalFormatting>
  <conditionalFormatting sqref="P268:AA268">
    <cfRule type="expression" dxfId="8866" priority="331">
      <formula>P$1=""</formula>
    </cfRule>
  </conditionalFormatting>
  <conditionalFormatting sqref="P268:AA268">
    <cfRule type="expression" dxfId="8865" priority="330">
      <formula>P$1=""</formula>
    </cfRule>
  </conditionalFormatting>
  <conditionalFormatting sqref="P268:AA268">
    <cfRule type="expression" dxfId="8864" priority="329">
      <formula>P$1=""</formula>
    </cfRule>
  </conditionalFormatting>
  <conditionalFormatting sqref="P268:AA268">
    <cfRule type="expression" dxfId="8863" priority="328">
      <formula>P$1=""</formula>
    </cfRule>
  </conditionalFormatting>
  <conditionalFormatting sqref="P268:AA268">
    <cfRule type="expression" dxfId="8862" priority="327">
      <formula>P$1=""</formula>
    </cfRule>
  </conditionalFormatting>
  <conditionalFormatting sqref="P268:AA268">
    <cfRule type="expression" dxfId="8861" priority="326">
      <formula>P$1=""</formula>
    </cfRule>
  </conditionalFormatting>
  <conditionalFormatting sqref="P270:AA270">
    <cfRule type="expression" dxfId="8860" priority="325">
      <formula>P$1=""</formula>
    </cfRule>
  </conditionalFormatting>
  <conditionalFormatting sqref="P270:AA270">
    <cfRule type="expression" dxfId="8859" priority="324">
      <formula>P$1=""</formula>
    </cfRule>
  </conditionalFormatting>
  <conditionalFormatting sqref="P270:AA270">
    <cfRule type="expression" dxfId="8858" priority="323">
      <formula>P$1=""</formula>
    </cfRule>
  </conditionalFormatting>
  <conditionalFormatting sqref="P270:AA270">
    <cfRule type="expression" dxfId="8857" priority="322">
      <formula>P$1=""</formula>
    </cfRule>
  </conditionalFormatting>
  <conditionalFormatting sqref="P270:AA270">
    <cfRule type="expression" dxfId="8856" priority="321">
      <formula>P$1=""</formula>
    </cfRule>
  </conditionalFormatting>
  <conditionalFormatting sqref="P270:AA270">
    <cfRule type="expression" dxfId="8855" priority="320">
      <formula>P$1=""</formula>
    </cfRule>
  </conditionalFormatting>
  <conditionalFormatting sqref="P270:AA270">
    <cfRule type="expression" dxfId="8854" priority="319">
      <formula>P$1=""</formula>
    </cfRule>
  </conditionalFormatting>
  <conditionalFormatting sqref="P270:AA270">
    <cfRule type="expression" dxfId="8853" priority="318">
      <formula>P$1=""</formula>
    </cfRule>
  </conditionalFormatting>
  <conditionalFormatting sqref="P270:AA270">
    <cfRule type="expression" dxfId="8852" priority="317">
      <formula>P$1=""</formula>
    </cfRule>
  </conditionalFormatting>
  <conditionalFormatting sqref="P270:AA270">
    <cfRule type="expression" dxfId="8851" priority="316">
      <formula>P$1=""</formula>
    </cfRule>
  </conditionalFormatting>
  <conditionalFormatting sqref="P270:AA270">
    <cfRule type="expression" dxfId="8850" priority="315">
      <formula>P$1=""</formula>
    </cfRule>
  </conditionalFormatting>
  <conditionalFormatting sqref="P270:AA270">
    <cfRule type="expression" dxfId="8849" priority="314">
      <formula>P$1=""</formula>
    </cfRule>
  </conditionalFormatting>
  <conditionalFormatting sqref="P270:AA270">
    <cfRule type="expression" dxfId="8848" priority="313">
      <formula>P$1=""</formula>
    </cfRule>
  </conditionalFormatting>
  <conditionalFormatting sqref="P270:AA270">
    <cfRule type="expression" dxfId="8847" priority="312">
      <formula>P$1=""</formula>
    </cfRule>
  </conditionalFormatting>
  <conditionalFormatting sqref="P270:AA270">
    <cfRule type="expression" dxfId="8846" priority="311">
      <formula>P$1=""</formula>
    </cfRule>
  </conditionalFormatting>
  <conditionalFormatting sqref="P270:AA270">
    <cfRule type="expression" dxfId="8845" priority="310">
      <formula>P$1=""</formula>
    </cfRule>
  </conditionalFormatting>
  <conditionalFormatting sqref="P270:AA270">
    <cfRule type="expression" dxfId="8844" priority="309">
      <formula>P$1=""</formula>
    </cfRule>
  </conditionalFormatting>
  <conditionalFormatting sqref="P270:AA270">
    <cfRule type="expression" dxfId="8843" priority="308">
      <formula>P$1=""</formula>
    </cfRule>
  </conditionalFormatting>
  <conditionalFormatting sqref="P270:AA270">
    <cfRule type="expression" dxfId="8842" priority="307">
      <formula>P$1=""</formula>
    </cfRule>
  </conditionalFormatting>
  <conditionalFormatting sqref="P270:AA270">
    <cfRule type="expression" dxfId="8841" priority="306">
      <formula>P$1=""</formula>
    </cfRule>
  </conditionalFormatting>
  <conditionalFormatting sqref="P270:AA270">
    <cfRule type="expression" dxfId="8840" priority="305">
      <formula>P$1=""</formula>
    </cfRule>
  </conditionalFormatting>
  <conditionalFormatting sqref="P272:AA272">
    <cfRule type="expression" dxfId="8839" priority="304">
      <formula>P$1=""</formula>
    </cfRule>
  </conditionalFormatting>
  <conditionalFormatting sqref="P272:AA272">
    <cfRule type="expression" dxfId="8838" priority="303">
      <formula>P$1=""</formula>
    </cfRule>
  </conditionalFormatting>
  <conditionalFormatting sqref="P272:AA272">
    <cfRule type="expression" dxfId="8837" priority="302">
      <formula>P$1=""</formula>
    </cfRule>
  </conditionalFormatting>
  <conditionalFormatting sqref="P272:AA272">
    <cfRule type="expression" dxfId="8836" priority="301">
      <formula>P$1=""</formula>
    </cfRule>
  </conditionalFormatting>
  <conditionalFormatting sqref="P272:AA272">
    <cfRule type="expression" dxfId="8835" priority="300">
      <formula>P$1=""</formula>
    </cfRule>
  </conditionalFormatting>
  <conditionalFormatting sqref="P272:AA272">
    <cfRule type="expression" dxfId="8834" priority="299">
      <formula>P$1=""</formula>
    </cfRule>
  </conditionalFormatting>
  <conditionalFormatting sqref="P272:AA272">
    <cfRule type="expression" dxfId="8833" priority="298">
      <formula>P$1=""</formula>
    </cfRule>
  </conditionalFormatting>
  <conditionalFormatting sqref="P272:AA272">
    <cfRule type="expression" dxfId="8832" priority="297">
      <formula>P$1=""</formula>
    </cfRule>
  </conditionalFormatting>
  <conditionalFormatting sqref="P272:AA272">
    <cfRule type="expression" dxfId="8831" priority="296">
      <formula>P$1=""</formula>
    </cfRule>
  </conditionalFormatting>
  <conditionalFormatting sqref="P272:AA272">
    <cfRule type="expression" dxfId="8830" priority="295">
      <formula>P$1=""</formula>
    </cfRule>
  </conditionalFormatting>
  <conditionalFormatting sqref="P272:AA272">
    <cfRule type="expression" dxfId="8829" priority="294">
      <formula>P$1=""</formula>
    </cfRule>
  </conditionalFormatting>
  <conditionalFormatting sqref="P272:AA272">
    <cfRule type="expression" dxfId="8828" priority="293">
      <formula>P$1=""</formula>
    </cfRule>
  </conditionalFormatting>
  <conditionalFormatting sqref="P272:AA272">
    <cfRule type="expression" dxfId="8827" priority="292">
      <formula>P$1=""</formula>
    </cfRule>
  </conditionalFormatting>
  <conditionalFormatting sqref="P272:AA272">
    <cfRule type="expression" dxfId="8826" priority="291">
      <formula>P$1=""</formula>
    </cfRule>
  </conditionalFormatting>
  <conditionalFormatting sqref="P272:AA272">
    <cfRule type="expression" dxfId="8825" priority="290">
      <formula>P$1=""</formula>
    </cfRule>
  </conditionalFormatting>
  <conditionalFormatting sqref="P272:AA272">
    <cfRule type="expression" dxfId="8824" priority="289">
      <formula>P$1=""</formula>
    </cfRule>
  </conditionalFormatting>
  <conditionalFormatting sqref="P272:AA272">
    <cfRule type="expression" dxfId="8823" priority="288">
      <formula>P$1=""</formula>
    </cfRule>
  </conditionalFormatting>
  <conditionalFormatting sqref="P272:AA272">
    <cfRule type="expression" dxfId="8822" priority="287">
      <formula>P$1=""</formula>
    </cfRule>
  </conditionalFormatting>
  <conditionalFormatting sqref="P272:AA272">
    <cfRule type="expression" dxfId="8821" priority="286">
      <formula>P$1=""</formula>
    </cfRule>
  </conditionalFormatting>
  <conditionalFormatting sqref="P272:AA272">
    <cfRule type="expression" dxfId="8820" priority="285">
      <formula>P$1=""</formula>
    </cfRule>
  </conditionalFormatting>
  <conditionalFormatting sqref="P272:AA272">
    <cfRule type="expression" dxfId="8819" priority="284">
      <formula>P$1=""</formula>
    </cfRule>
  </conditionalFormatting>
  <conditionalFormatting sqref="P276:AA276">
    <cfRule type="expression" dxfId="8818" priority="283">
      <formula>P$1=""</formula>
    </cfRule>
  </conditionalFormatting>
  <conditionalFormatting sqref="P278:AA278">
    <cfRule type="expression" dxfId="8817" priority="282">
      <formula>P$1=""</formula>
    </cfRule>
  </conditionalFormatting>
  <conditionalFormatting sqref="P280:AA280">
    <cfRule type="expression" dxfId="8816" priority="281">
      <formula>P$1=""</formula>
    </cfRule>
  </conditionalFormatting>
  <conditionalFormatting sqref="P282:AA282">
    <cfRule type="expression" dxfId="8815" priority="280">
      <formula>P$1=""</formula>
    </cfRule>
  </conditionalFormatting>
  <conditionalFormatting sqref="P278:AA278 P280:AA280 P282:AA282">
    <cfRule type="expression" dxfId="8814" priority="279">
      <formula>P$1=""</formula>
    </cfRule>
  </conditionalFormatting>
  <conditionalFormatting sqref="P278:AA278 P280:AA280 P282:AA282">
    <cfRule type="expression" dxfId="8813" priority="278">
      <formula>P$1=""</formula>
    </cfRule>
  </conditionalFormatting>
  <conditionalFormatting sqref="P278:AA278 P280:AA280 P282:AA282">
    <cfRule type="expression" dxfId="8812" priority="277">
      <formula>P$1=""</formula>
    </cfRule>
  </conditionalFormatting>
  <conditionalFormatting sqref="P278:AA278 P280:AA280 P282:AA282">
    <cfRule type="expression" dxfId="8811" priority="276">
      <formula>P$1=""</formula>
    </cfRule>
  </conditionalFormatting>
  <conditionalFormatting sqref="P278:AA278 P280:AA280 P282:AA282">
    <cfRule type="expression" dxfId="8810" priority="275">
      <formula>P$1=""</formula>
    </cfRule>
  </conditionalFormatting>
  <conditionalFormatting sqref="P280:AA280 P282:AA282">
    <cfRule type="expression" dxfId="8809" priority="274">
      <formula>P$1=""</formula>
    </cfRule>
  </conditionalFormatting>
  <conditionalFormatting sqref="P278:AA278">
    <cfRule type="expression" dxfId="8808" priority="273">
      <formula>P$1=""</formula>
    </cfRule>
  </conditionalFormatting>
  <conditionalFormatting sqref="P280:AA280 P282:AA282">
    <cfRule type="expression" dxfId="8807" priority="272">
      <formula>P$1=""</formula>
    </cfRule>
  </conditionalFormatting>
  <conditionalFormatting sqref="P280:AA280 P282:AA282">
    <cfRule type="expression" dxfId="8806" priority="271">
      <formula>P$1=""</formula>
    </cfRule>
  </conditionalFormatting>
  <conditionalFormatting sqref="P282:AA282">
    <cfRule type="expression" dxfId="8805" priority="270">
      <formula>P$1=""</formula>
    </cfRule>
  </conditionalFormatting>
  <conditionalFormatting sqref="P282:AA282">
    <cfRule type="expression" dxfId="8804" priority="269">
      <formula>P$1=""</formula>
    </cfRule>
  </conditionalFormatting>
  <conditionalFormatting sqref="P282:AA282">
    <cfRule type="expression" dxfId="8803" priority="268">
      <formula>P$1=""</formula>
    </cfRule>
  </conditionalFormatting>
  <conditionalFormatting sqref="P282:AA282">
    <cfRule type="expression" dxfId="8802" priority="267">
      <formula>P$1=""</formula>
    </cfRule>
  </conditionalFormatting>
  <conditionalFormatting sqref="P276:AA276">
    <cfRule type="expression" dxfId="8801" priority="266">
      <formula>P$1=""</formula>
    </cfRule>
  </conditionalFormatting>
  <conditionalFormatting sqref="P276:AA276">
    <cfRule type="expression" dxfId="8800" priority="265">
      <formula>P$1=""</formula>
    </cfRule>
  </conditionalFormatting>
  <conditionalFormatting sqref="P276:AA276">
    <cfRule type="expression" dxfId="8799" priority="264">
      <formula>P$1=""</formula>
    </cfRule>
  </conditionalFormatting>
  <conditionalFormatting sqref="P276:AA276">
    <cfRule type="expression" dxfId="8798" priority="263">
      <formula>P$1=""</formula>
    </cfRule>
  </conditionalFormatting>
  <conditionalFormatting sqref="P276:AA276">
    <cfRule type="expression" dxfId="8797" priority="262">
      <formula>P$1=""</formula>
    </cfRule>
  </conditionalFormatting>
  <conditionalFormatting sqref="P276:AA276">
    <cfRule type="expression" dxfId="8796" priority="261">
      <formula>P$1=""</formula>
    </cfRule>
  </conditionalFormatting>
  <conditionalFormatting sqref="P276:AA276">
    <cfRule type="expression" dxfId="8795" priority="260">
      <formula>P$1=""</formula>
    </cfRule>
  </conditionalFormatting>
  <conditionalFormatting sqref="P280:AA280 P282:AA282">
    <cfRule type="expression" dxfId="8794" priority="259">
      <formula>P$1=""</formula>
    </cfRule>
  </conditionalFormatting>
  <conditionalFormatting sqref="P280:AA280 P282:AA282">
    <cfRule type="expression" dxfId="8793" priority="258">
      <formula>P$1=""</formula>
    </cfRule>
  </conditionalFormatting>
  <conditionalFormatting sqref="P280:AA280 P282:AA282">
    <cfRule type="expression" dxfId="8792" priority="257">
      <formula>P$1=""</formula>
    </cfRule>
  </conditionalFormatting>
  <conditionalFormatting sqref="P280:AA280 P282:AA282">
    <cfRule type="expression" dxfId="8791" priority="256">
      <formula>P$1=""</formula>
    </cfRule>
  </conditionalFormatting>
  <conditionalFormatting sqref="P282 P280 P278">
    <cfRule type="expression" dxfId="8790" priority="255">
      <formula>P$1=""</formula>
    </cfRule>
  </conditionalFormatting>
  <conditionalFormatting sqref="P282 P280 P278">
    <cfRule type="expression" dxfId="8789" priority="254">
      <formula>P$1=""</formula>
    </cfRule>
  </conditionalFormatting>
  <conditionalFormatting sqref="P282 P280 P278">
    <cfRule type="expression" dxfId="8788" priority="253">
      <formula>P$1=""</formula>
    </cfRule>
  </conditionalFormatting>
  <conditionalFormatting sqref="P268:AA268">
    <cfRule type="expression" dxfId="8787" priority="252">
      <formula>P$1=""</formula>
    </cfRule>
  </conditionalFormatting>
  <conditionalFormatting sqref="P268:AA268">
    <cfRule type="expression" dxfId="8786" priority="251">
      <formula>P$1=""</formula>
    </cfRule>
  </conditionalFormatting>
  <conditionalFormatting sqref="P268:AA268">
    <cfRule type="expression" dxfId="8785" priority="250">
      <formula>P$1=""</formula>
    </cfRule>
  </conditionalFormatting>
  <conditionalFormatting sqref="P268:AA268">
    <cfRule type="expression" dxfId="8784" priority="249">
      <formula>P$1=""</formula>
    </cfRule>
  </conditionalFormatting>
  <conditionalFormatting sqref="P268:AA268">
    <cfRule type="expression" dxfId="8783" priority="248">
      <formula>P$1=""</formula>
    </cfRule>
  </conditionalFormatting>
  <conditionalFormatting sqref="P268:AA268">
    <cfRule type="expression" dxfId="8782" priority="247">
      <formula>P$1=""</formula>
    </cfRule>
  </conditionalFormatting>
  <conditionalFormatting sqref="P268:AA268">
    <cfRule type="expression" dxfId="8781" priority="246">
      <formula>P$1=""</formula>
    </cfRule>
  </conditionalFormatting>
  <conditionalFormatting sqref="P268:AA268">
    <cfRule type="expression" dxfId="8780" priority="245">
      <formula>P$1=""</formula>
    </cfRule>
  </conditionalFormatting>
  <conditionalFormatting sqref="P268:AA268">
    <cfRule type="expression" dxfId="8779" priority="244">
      <formula>P$1=""</formula>
    </cfRule>
  </conditionalFormatting>
  <conditionalFormatting sqref="P268:AA268">
    <cfRule type="expression" dxfId="8778" priority="243">
      <formula>P$1=""</formula>
    </cfRule>
  </conditionalFormatting>
  <conditionalFormatting sqref="P268:AA268">
    <cfRule type="expression" dxfId="8777" priority="242">
      <formula>P$1=""</formula>
    </cfRule>
  </conditionalFormatting>
  <conditionalFormatting sqref="P268:AA268">
    <cfRule type="expression" dxfId="8776" priority="241">
      <formula>P$1=""</formula>
    </cfRule>
  </conditionalFormatting>
  <conditionalFormatting sqref="P268:AA268">
    <cfRule type="expression" dxfId="8775" priority="240">
      <formula>P$1=""</formula>
    </cfRule>
  </conditionalFormatting>
  <conditionalFormatting sqref="P268:AA268">
    <cfRule type="expression" dxfId="8774" priority="239">
      <formula>P$1=""</formula>
    </cfRule>
  </conditionalFormatting>
  <conditionalFormatting sqref="P268:AA268">
    <cfRule type="expression" dxfId="8773" priority="238">
      <formula>P$1=""</formula>
    </cfRule>
  </conditionalFormatting>
  <conditionalFormatting sqref="P268:AA268">
    <cfRule type="expression" dxfId="8772" priority="237">
      <formula>P$1=""</formula>
    </cfRule>
  </conditionalFormatting>
  <conditionalFormatting sqref="P268:AA268">
    <cfRule type="expression" dxfId="8771" priority="236">
      <formula>P$1=""</formula>
    </cfRule>
  </conditionalFormatting>
  <conditionalFormatting sqref="P268:AA268">
    <cfRule type="expression" dxfId="8770" priority="235">
      <formula>P$1=""</formula>
    </cfRule>
  </conditionalFormatting>
  <conditionalFormatting sqref="P268:AA268">
    <cfRule type="expression" dxfId="8769" priority="234">
      <formula>P$1=""</formula>
    </cfRule>
  </conditionalFormatting>
  <conditionalFormatting sqref="P268:AA268">
    <cfRule type="expression" dxfId="8768" priority="233">
      <formula>P$1=""</formula>
    </cfRule>
  </conditionalFormatting>
  <conditionalFormatting sqref="P268:AA268">
    <cfRule type="expression" dxfId="8767" priority="232">
      <formula>P$1=""</formula>
    </cfRule>
  </conditionalFormatting>
  <conditionalFormatting sqref="P268:AA268">
    <cfRule type="expression" dxfId="8766" priority="231">
      <formula>P$1=""</formula>
    </cfRule>
  </conditionalFormatting>
  <conditionalFormatting sqref="P268:AA268">
    <cfRule type="expression" dxfId="8765" priority="230">
      <formula>P$1=""</formula>
    </cfRule>
  </conditionalFormatting>
  <conditionalFormatting sqref="P270:AA270 P272:AA272">
    <cfRule type="expression" dxfId="8764" priority="229">
      <formula>P$1=""</formula>
    </cfRule>
  </conditionalFormatting>
  <conditionalFormatting sqref="P270:AA270 P272:AA272">
    <cfRule type="expression" dxfId="8763" priority="228">
      <formula>P$1=""</formula>
    </cfRule>
  </conditionalFormatting>
  <conditionalFormatting sqref="Q270:AA270 Q272:AA272">
    <cfRule type="expression" dxfId="8762" priority="227">
      <formula>Q$1=""</formula>
    </cfRule>
  </conditionalFormatting>
  <conditionalFormatting sqref="Q270:AA270 Q272:AA272">
    <cfRule type="expression" dxfId="8761" priority="226">
      <formula>Q$1=""</formula>
    </cfRule>
  </conditionalFormatting>
  <conditionalFormatting sqref="Q270:AA270 Q272:AA272">
    <cfRule type="expression" dxfId="8760" priority="225">
      <formula>Q$1=""</formula>
    </cfRule>
  </conditionalFormatting>
  <conditionalFormatting sqref="Q270:AA270 Q272:AA272">
    <cfRule type="expression" dxfId="8759" priority="224">
      <formula>Q$1=""</formula>
    </cfRule>
  </conditionalFormatting>
  <conditionalFormatting sqref="Q270:AA270 Q272:AA272">
    <cfRule type="expression" dxfId="8758" priority="223">
      <formula>Q$1=""</formula>
    </cfRule>
  </conditionalFormatting>
  <conditionalFormatting sqref="Q270:AA270 Q272:AA272">
    <cfRule type="expression" dxfId="8757" priority="222">
      <formula>Q$1=""</formula>
    </cfRule>
  </conditionalFormatting>
  <conditionalFormatting sqref="Q270:AA270 Q272:AA272">
    <cfRule type="expression" dxfId="8756" priority="221">
      <formula>Q$1=""</formula>
    </cfRule>
  </conditionalFormatting>
  <conditionalFormatting sqref="Q270:AA270 Q272:AA272">
    <cfRule type="expression" dxfId="8755" priority="220">
      <formula>Q$1=""</formula>
    </cfRule>
  </conditionalFormatting>
  <conditionalFormatting sqref="P270:AA270 P272:AA272">
    <cfRule type="expression" dxfId="8754" priority="219">
      <formula>P$1=""</formula>
    </cfRule>
  </conditionalFormatting>
  <conditionalFormatting sqref="P270:AA270 P272:AA272">
    <cfRule type="expression" dxfId="8753" priority="218">
      <formula>P$1=""</formula>
    </cfRule>
  </conditionalFormatting>
  <conditionalFormatting sqref="P270:AA270 P272:AA272">
    <cfRule type="expression" dxfId="8752" priority="217">
      <formula>P$1=""</formula>
    </cfRule>
  </conditionalFormatting>
  <conditionalFormatting sqref="P270:AA270 P272:AA272">
    <cfRule type="expression" dxfId="8751" priority="216">
      <formula>P$1=""</formula>
    </cfRule>
  </conditionalFormatting>
  <conditionalFormatting sqref="P270:AA270 P272:AA272">
    <cfRule type="expression" dxfId="8750" priority="215">
      <formula>P$1=""</formula>
    </cfRule>
  </conditionalFormatting>
  <conditionalFormatting sqref="P270:AA270 P272:AA272">
    <cfRule type="expression" dxfId="8749" priority="214">
      <formula>P$1=""</formula>
    </cfRule>
  </conditionalFormatting>
  <conditionalFormatting sqref="P270:AA270 P272:AA272">
    <cfRule type="expression" dxfId="8748" priority="213">
      <formula>P$1=""</formula>
    </cfRule>
  </conditionalFormatting>
  <conditionalFormatting sqref="P270:AA270 P272:AA272">
    <cfRule type="expression" dxfId="8747" priority="212">
      <formula>P$1=""</formula>
    </cfRule>
  </conditionalFormatting>
  <conditionalFormatting sqref="P270:AA270 P272:AA272">
    <cfRule type="expression" dxfId="8746" priority="211">
      <formula>P$1=""</formula>
    </cfRule>
  </conditionalFormatting>
  <conditionalFormatting sqref="P270:AA270 P272:AA272">
    <cfRule type="expression" dxfId="8745" priority="210">
      <formula>P$1=""</formula>
    </cfRule>
  </conditionalFormatting>
  <conditionalFormatting sqref="P270:AA270 P272:AA272">
    <cfRule type="expression" dxfId="8744" priority="209">
      <formula>P$1=""</formula>
    </cfRule>
  </conditionalFormatting>
  <conditionalFormatting sqref="P270:AA270 P272:AA272">
    <cfRule type="expression" dxfId="8743" priority="208">
      <formula>P$1=""</formula>
    </cfRule>
  </conditionalFormatting>
  <conditionalFormatting sqref="P270:AA270 P272:AA272">
    <cfRule type="expression" dxfId="8742" priority="207">
      <formula>P$1=""</formula>
    </cfRule>
  </conditionalFormatting>
  <conditionalFormatting sqref="P270:AA270 P272:AA272">
    <cfRule type="expression" dxfId="8741" priority="206">
      <formula>P$1=""</formula>
    </cfRule>
  </conditionalFormatting>
  <conditionalFormatting sqref="P270:AA270 P272:AA272">
    <cfRule type="expression" dxfId="8740" priority="205">
      <formula>P$1=""</formula>
    </cfRule>
  </conditionalFormatting>
  <conditionalFormatting sqref="P270:AA270 P272:AA272">
    <cfRule type="expression" dxfId="8739" priority="204">
      <formula>P$1=""</formula>
    </cfRule>
  </conditionalFormatting>
  <conditionalFormatting sqref="P270:AA270 P272:AA272">
    <cfRule type="expression" dxfId="8738" priority="203">
      <formula>P$1=""</formula>
    </cfRule>
  </conditionalFormatting>
  <conditionalFormatting sqref="P270:AA270 P272:AA272">
    <cfRule type="expression" dxfId="8737" priority="202">
      <formula>P$1=""</formula>
    </cfRule>
  </conditionalFormatting>
  <conditionalFormatting sqref="P270:AA270 P272:AA272">
    <cfRule type="expression" dxfId="8736" priority="201">
      <formula>P$1=""</formula>
    </cfRule>
  </conditionalFormatting>
  <conditionalFormatting sqref="P270:AA270 P272:AA272">
    <cfRule type="expression" dxfId="8735" priority="200">
      <formula>P$1=""</formula>
    </cfRule>
  </conditionalFormatting>
  <conditionalFormatting sqref="P270:AA270 P272:AA272">
    <cfRule type="expression" dxfId="8734" priority="199">
      <formula>P$1=""</formula>
    </cfRule>
  </conditionalFormatting>
  <conditionalFormatting sqref="P270:AA270 P272:AA272">
    <cfRule type="expression" dxfId="8733" priority="198">
      <formula>P$1=""</formula>
    </cfRule>
  </conditionalFormatting>
  <conditionalFormatting sqref="P270:AA270 P272:AA272">
    <cfRule type="expression" dxfId="8732" priority="197">
      <formula>P$1=""</formula>
    </cfRule>
  </conditionalFormatting>
  <conditionalFormatting sqref="P270:AA270 P272:AA272">
    <cfRule type="expression" dxfId="8731" priority="196">
      <formula>P$1=""</formula>
    </cfRule>
  </conditionalFormatting>
  <conditionalFormatting sqref="P270:AA270 P272:AA272">
    <cfRule type="expression" dxfId="8730" priority="195">
      <formula>P$1=""</formula>
    </cfRule>
  </conditionalFormatting>
  <conditionalFormatting sqref="P270:AA270 P272:AA272">
    <cfRule type="expression" dxfId="8729" priority="194">
      <formula>P$1=""</formula>
    </cfRule>
  </conditionalFormatting>
  <conditionalFormatting sqref="P270:AA270 P272:AA272">
    <cfRule type="expression" dxfId="8728" priority="193">
      <formula>P$1=""</formula>
    </cfRule>
  </conditionalFormatting>
  <conditionalFormatting sqref="P270:AA270 P272:AA272">
    <cfRule type="expression" dxfId="8727" priority="192">
      <formula>P$1=""</formula>
    </cfRule>
  </conditionalFormatting>
  <conditionalFormatting sqref="P270:AA270 P272:AA272">
    <cfRule type="expression" dxfId="8726" priority="191">
      <formula>P$1=""</formula>
    </cfRule>
  </conditionalFormatting>
  <conditionalFormatting sqref="P270:AA270 P272:AA272">
    <cfRule type="expression" dxfId="8725" priority="190">
      <formula>P$1=""</formula>
    </cfRule>
  </conditionalFormatting>
  <conditionalFormatting sqref="P270:AA270 P272:AA272">
    <cfRule type="expression" dxfId="8724" priority="189">
      <formula>P$1=""</formula>
    </cfRule>
  </conditionalFormatting>
  <conditionalFormatting sqref="P270:AA270 P272:AA272">
    <cfRule type="expression" dxfId="8723" priority="188">
      <formula>P$1=""</formula>
    </cfRule>
  </conditionalFormatting>
  <conditionalFormatting sqref="P270:AA270 P272:AA272">
    <cfRule type="expression" dxfId="8722" priority="187">
      <formula>P$1=""</formula>
    </cfRule>
  </conditionalFormatting>
  <conditionalFormatting sqref="P270:AA270 P272:AA272">
    <cfRule type="expression" dxfId="8721" priority="186">
      <formula>P$1=""</formula>
    </cfRule>
  </conditionalFormatting>
  <conditionalFormatting sqref="P270:AA270 P272:AA272">
    <cfRule type="expression" dxfId="8720" priority="185">
      <formula>P$1=""</formula>
    </cfRule>
  </conditionalFormatting>
  <conditionalFormatting sqref="P270:AA270 P272:AA272">
    <cfRule type="expression" dxfId="8719" priority="184">
      <formula>P$1=""</formula>
    </cfRule>
  </conditionalFormatting>
  <conditionalFormatting sqref="P270:AA270 P272:AA272">
    <cfRule type="expression" dxfId="8718" priority="183">
      <formula>P$1=""</formula>
    </cfRule>
  </conditionalFormatting>
  <conditionalFormatting sqref="P270:AA270 P272:AA272">
    <cfRule type="expression" dxfId="8717" priority="182">
      <formula>P$1=""</formula>
    </cfRule>
  </conditionalFormatting>
  <conditionalFormatting sqref="P270:AA270 P272:AA272">
    <cfRule type="expression" dxfId="8716" priority="181">
      <formula>P$1=""</formula>
    </cfRule>
  </conditionalFormatting>
  <conditionalFormatting sqref="P270:AA270 P272:AA272">
    <cfRule type="expression" dxfId="8715" priority="180">
      <formula>P$1=""</formula>
    </cfRule>
  </conditionalFormatting>
  <conditionalFormatting sqref="P270:AA270 P272:AA272">
    <cfRule type="expression" dxfId="8714" priority="179">
      <formula>P$1=""</formula>
    </cfRule>
  </conditionalFormatting>
  <conditionalFormatting sqref="P270:AA270 P272:AA272">
    <cfRule type="expression" dxfId="8713" priority="178">
      <formula>P$1=""</formula>
    </cfRule>
  </conditionalFormatting>
  <conditionalFormatting sqref="P270:AA270 P272:AA272">
    <cfRule type="expression" dxfId="8712" priority="177">
      <formula>P$1=""</formula>
    </cfRule>
  </conditionalFormatting>
  <conditionalFormatting sqref="P270:AA270 P272:AA272">
    <cfRule type="expression" dxfId="8711" priority="176">
      <formula>P$1=""</formula>
    </cfRule>
  </conditionalFormatting>
  <conditionalFormatting sqref="P270:AA270 P272:AA272">
    <cfRule type="expression" dxfId="8710" priority="175">
      <formula>P$1=""</formula>
    </cfRule>
  </conditionalFormatting>
  <conditionalFormatting sqref="P270:AA270 P272:AA272">
    <cfRule type="expression" dxfId="8709" priority="174">
      <formula>P$1=""</formula>
    </cfRule>
  </conditionalFormatting>
  <conditionalFormatting sqref="P270:AA270 P272:AA272">
    <cfRule type="expression" dxfId="8708" priority="173">
      <formula>P$1=""</formula>
    </cfRule>
  </conditionalFormatting>
  <conditionalFormatting sqref="P270:AA270 P272:AA272">
    <cfRule type="expression" dxfId="8707" priority="172">
      <formula>P$1=""</formula>
    </cfRule>
  </conditionalFormatting>
  <conditionalFormatting sqref="P246">
    <cfRule type="cellIs" dxfId="8706" priority="171" operator="equal">
      <formula>0</formula>
    </cfRule>
  </conditionalFormatting>
  <conditionalFormatting sqref="P246">
    <cfRule type="expression" dxfId="8705" priority="170">
      <formula>P$1=""</formula>
    </cfRule>
  </conditionalFormatting>
  <conditionalFormatting sqref="P246">
    <cfRule type="expression" dxfId="8704" priority="169">
      <formula>P$1=""</formula>
    </cfRule>
  </conditionalFormatting>
  <conditionalFormatting sqref="P246">
    <cfRule type="expression" dxfId="8703" priority="168">
      <formula>P$1=""</formula>
    </cfRule>
  </conditionalFormatting>
  <conditionalFormatting sqref="P246">
    <cfRule type="expression" dxfId="8702" priority="167">
      <formula>P$1=""</formula>
    </cfRule>
  </conditionalFormatting>
  <conditionalFormatting sqref="P246">
    <cfRule type="expression" dxfId="8701" priority="166">
      <formula>P$1=""</formula>
    </cfRule>
  </conditionalFormatting>
  <conditionalFormatting sqref="P246">
    <cfRule type="expression" dxfId="8700" priority="165">
      <formula>P$1=""</formula>
    </cfRule>
  </conditionalFormatting>
  <conditionalFormatting sqref="P246">
    <cfRule type="expression" dxfId="8699" priority="164">
      <formula>P$1=""</formula>
    </cfRule>
  </conditionalFormatting>
  <conditionalFormatting sqref="P246">
    <cfRule type="expression" dxfId="8698" priority="163">
      <formula>P$1=""</formula>
    </cfRule>
  </conditionalFormatting>
  <conditionalFormatting sqref="P276">
    <cfRule type="expression" dxfId="8697" priority="162">
      <formula>P$1=""</formula>
    </cfRule>
  </conditionalFormatting>
  <conditionalFormatting sqref="P276">
    <cfRule type="expression" dxfId="8696" priority="161">
      <formula>P$1=""</formula>
    </cfRule>
  </conditionalFormatting>
  <conditionalFormatting sqref="P276">
    <cfRule type="expression" dxfId="8695" priority="160">
      <formula>P$1=""</formula>
    </cfRule>
  </conditionalFormatting>
  <conditionalFormatting sqref="P276">
    <cfRule type="expression" dxfId="8694" priority="159">
      <formula>P$1=""</formula>
    </cfRule>
  </conditionalFormatting>
  <conditionalFormatting sqref="P276">
    <cfRule type="expression" dxfId="8693" priority="158">
      <formula>P$1=""</formula>
    </cfRule>
  </conditionalFormatting>
  <conditionalFormatting sqref="P276">
    <cfRule type="expression" dxfId="8692" priority="157">
      <formula>P$1=""</formula>
    </cfRule>
  </conditionalFormatting>
  <conditionalFormatting sqref="P276">
    <cfRule type="expression" dxfId="8691" priority="156">
      <formula>P$1=""</formula>
    </cfRule>
  </conditionalFormatting>
  <conditionalFormatting sqref="P276">
    <cfRule type="expression" dxfId="8690" priority="155">
      <formula>P$1=""</formula>
    </cfRule>
  </conditionalFormatting>
  <conditionalFormatting sqref="P276">
    <cfRule type="cellIs" dxfId="8689" priority="154" operator="equal">
      <formula>0</formula>
    </cfRule>
  </conditionalFormatting>
  <conditionalFormatting sqref="P276">
    <cfRule type="expression" dxfId="8688" priority="153">
      <formula>P$1=""</formula>
    </cfRule>
  </conditionalFormatting>
  <conditionalFormatting sqref="P276">
    <cfRule type="expression" dxfId="8687" priority="152">
      <formula>P$1=""</formula>
    </cfRule>
  </conditionalFormatting>
  <conditionalFormatting sqref="P276">
    <cfRule type="expression" dxfId="8686" priority="151">
      <formula>P$1=""</formula>
    </cfRule>
  </conditionalFormatting>
  <conditionalFormatting sqref="P276">
    <cfRule type="expression" dxfId="8685" priority="150">
      <formula>P$1=""</formula>
    </cfRule>
  </conditionalFormatting>
  <conditionalFormatting sqref="P276">
    <cfRule type="expression" dxfId="8684" priority="149">
      <formula>P$1=""</formula>
    </cfRule>
  </conditionalFormatting>
  <conditionalFormatting sqref="P276">
    <cfRule type="expression" dxfId="8683" priority="148">
      <formula>P$1=""</formula>
    </cfRule>
  </conditionalFormatting>
  <conditionalFormatting sqref="P276">
    <cfRule type="expression" dxfId="8682" priority="147">
      <formula>P$1=""</formula>
    </cfRule>
  </conditionalFormatting>
  <conditionalFormatting sqref="P276">
    <cfRule type="expression" dxfId="8681" priority="146">
      <formula>P$1=""</formula>
    </cfRule>
  </conditionalFormatting>
  <conditionalFormatting sqref="P256:AA256">
    <cfRule type="expression" dxfId="8680" priority="145">
      <formula>P$1=""</formula>
    </cfRule>
  </conditionalFormatting>
  <conditionalFormatting sqref="P258:AA258">
    <cfRule type="expression" dxfId="8679" priority="144">
      <formula>P$1=""</formula>
    </cfRule>
  </conditionalFormatting>
  <conditionalFormatting sqref="P260:AA260">
    <cfRule type="expression" dxfId="8678" priority="143">
      <formula>P$1=""</formula>
    </cfRule>
  </conditionalFormatting>
  <conditionalFormatting sqref="P262:AA262">
    <cfRule type="expression" dxfId="8677" priority="142">
      <formula>P$1=""</formula>
    </cfRule>
  </conditionalFormatting>
  <conditionalFormatting sqref="P258:AA258 P260:AA260 P262:AA262">
    <cfRule type="expression" dxfId="8676" priority="141">
      <formula>P$1=""</formula>
    </cfRule>
  </conditionalFormatting>
  <conditionalFormatting sqref="P258:AA258 P260:AA260 P262:AA262">
    <cfRule type="expression" dxfId="8675" priority="140">
      <formula>P$1=""</formula>
    </cfRule>
  </conditionalFormatting>
  <conditionalFormatting sqref="P258:AA258 P260:AA260 P262:AA262">
    <cfRule type="expression" dxfId="8674" priority="139">
      <formula>P$1=""</formula>
    </cfRule>
  </conditionalFormatting>
  <conditionalFormatting sqref="P258:AA258 P260:AA260 P262:AA262">
    <cfRule type="expression" dxfId="8673" priority="138">
      <formula>P$1=""</formula>
    </cfRule>
  </conditionalFormatting>
  <conditionalFormatting sqref="P258:AA258 P260:AA260 P262:AA262">
    <cfRule type="expression" dxfId="8672" priority="137">
      <formula>P$1=""</formula>
    </cfRule>
  </conditionalFormatting>
  <conditionalFormatting sqref="P260:AA260 P262:AA262">
    <cfRule type="expression" dxfId="8671" priority="136">
      <formula>P$1=""</formula>
    </cfRule>
  </conditionalFormatting>
  <conditionalFormatting sqref="P258:AA258">
    <cfRule type="expression" dxfId="8670" priority="135">
      <formula>P$1=""</formula>
    </cfRule>
  </conditionalFormatting>
  <conditionalFormatting sqref="P260:AA260 P262:AA262">
    <cfRule type="expression" dxfId="8669" priority="134">
      <formula>P$1=""</formula>
    </cfRule>
  </conditionalFormatting>
  <conditionalFormatting sqref="P260:AA260 P262:AA262">
    <cfRule type="expression" dxfId="8668" priority="133">
      <formula>P$1=""</formula>
    </cfRule>
  </conditionalFormatting>
  <conditionalFormatting sqref="P262:AA262">
    <cfRule type="expression" dxfId="8667" priority="132">
      <formula>P$1=""</formula>
    </cfRule>
  </conditionalFormatting>
  <conditionalFormatting sqref="P262:AA262">
    <cfRule type="expression" dxfId="8666" priority="131">
      <formula>P$1=""</formula>
    </cfRule>
  </conditionalFormatting>
  <conditionalFormatting sqref="P262:AA262">
    <cfRule type="expression" dxfId="8665" priority="130">
      <formula>P$1=""</formula>
    </cfRule>
  </conditionalFormatting>
  <conditionalFormatting sqref="P262:AA262">
    <cfRule type="expression" dxfId="8664" priority="129">
      <formula>P$1=""</formula>
    </cfRule>
  </conditionalFormatting>
  <conditionalFormatting sqref="P256:AA256">
    <cfRule type="expression" dxfId="8663" priority="128">
      <formula>P$1=""</formula>
    </cfRule>
  </conditionalFormatting>
  <conditionalFormatting sqref="P256:AA256">
    <cfRule type="expression" dxfId="8662" priority="127">
      <formula>P$1=""</formula>
    </cfRule>
  </conditionalFormatting>
  <conditionalFormatting sqref="P256:AA256">
    <cfRule type="expression" dxfId="8661" priority="126">
      <formula>P$1=""</formula>
    </cfRule>
  </conditionalFormatting>
  <conditionalFormatting sqref="P256:AA256">
    <cfRule type="expression" dxfId="8660" priority="125">
      <formula>P$1=""</formula>
    </cfRule>
  </conditionalFormatting>
  <conditionalFormatting sqref="P256:AA256">
    <cfRule type="expression" dxfId="8659" priority="124">
      <formula>P$1=""</formula>
    </cfRule>
  </conditionalFormatting>
  <conditionalFormatting sqref="P256:AA256">
    <cfRule type="expression" dxfId="8658" priority="123">
      <formula>P$1=""</formula>
    </cfRule>
  </conditionalFormatting>
  <conditionalFormatting sqref="P256:AA256">
    <cfRule type="expression" dxfId="8657" priority="122">
      <formula>P$1=""</formula>
    </cfRule>
  </conditionalFormatting>
  <conditionalFormatting sqref="P260:AA260 P262:AA262">
    <cfRule type="expression" dxfId="8656" priority="121">
      <formula>P$1=""</formula>
    </cfRule>
  </conditionalFormatting>
  <conditionalFormatting sqref="P260:AA260 P262:AA262">
    <cfRule type="expression" dxfId="8655" priority="120">
      <formula>P$1=""</formula>
    </cfRule>
  </conditionalFormatting>
  <conditionalFormatting sqref="P260:AA260 P262:AA262">
    <cfRule type="expression" dxfId="8654" priority="119">
      <formula>P$1=""</formula>
    </cfRule>
  </conditionalFormatting>
  <conditionalFormatting sqref="P260:AA260 P262:AA262">
    <cfRule type="expression" dxfId="8653" priority="118">
      <formula>P$1=""</formula>
    </cfRule>
  </conditionalFormatting>
  <conditionalFormatting sqref="P262 P260 P258">
    <cfRule type="expression" dxfId="8652" priority="117">
      <formula>P$1=""</formula>
    </cfRule>
  </conditionalFormatting>
  <conditionalFormatting sqref="P262 P260 P258">
    <cfRule type="expression" dxfId="8651" priority="116">
      <formula>P$1=""</formula>
    </cfRule>
  </conditionalFormatting>
  <conditionalFormatting sqref="P262 P260 P258">
    <cfRule type="expression" dxfId="8650" priority="115">
      <formula>P$1=""</formula>
    </cfRule>
  </conditionalFormatting>
  <conditionalFormatting sqref="P256">
    <cfRule type="cellIs" dxfId="8649" priority="114" operator="equal">
      <formula>0</formula>
    </cfRule>
  </conditionalFormatting>
  <conditionalFormatting sqref="P256">
    <cfRule type="expression" dxfId="8648" priority="113">
      <formula>P$1=""</formula>
    </cfRule>
  </conditionalFormatting>
  <conditionalFormatting sqref="P256">
    <cfRule type="expression" dxfId="8647" priority="112">
      <formula>P$1=""</formula>
    </cfRule>
  </conditionalFormatting>
  <conditionalFormatting sqref="P256">
    <cfRule type="expression" dxfId="8646" priority="111">
      <formula>P$1=""</formula>
    </cfRule>
  </conditionalFormatting>
  <conditionalFormatting sqref="P256">
    <cfRule type="expression" dxfId="8645" priority="110">
      <formula>P$1=""</formula>
    </cfRule>
  </conditionalFormatting>
  <conditionalFormatting sqref="P256">
    <cfRule type="expression" dxfId="8644" priority="109">
      <formula>P$1=""</formula>
    </cfRule>
  </conditionalFormatting>
  <conditionalFormatting sqref="P256">
    <cfRule type="expression" dxfId="8643" priority="108">
      <formula>P$1=""</formula>
    </cfRule>
  </conditionalFormatting>
  <conditionalFormatting sqref="P256">
    <cfRule type="expression" dxfId="8642" priority="107">
      <formula>P$1=""</formula>
    </cfRule>
  </conditionalFormatting>
  <conditionalFormatting sqref="P256">
    <cfRule type="expression" dxfId="8641" priority="106">
      <formula>P$1=""</formula>
    </cfRule>
  </conditionalFormatting>
  <conditionalFormatting sqref="P286:AA286">
    <cfRule type="expression" dxfId="8640" priority="105">
      <formula>P$1=""</formula>
    </cfRule>
  </conditionalFormatting>
  <conditionalFormatting sqref="P288:AA288">
    <cfRule type="expression" dxfId="8639" priority="104">
      <formula>P$1=""</formula>
    </cfRule>
  </conditionalFormatting>
  <conditionalFormatting sqref="P290:AA290">
    <cfRule type="expression" dxfId="8638" priority="103">
      <formula>P$1=""</formula>
    </cfRule>
  </conditionalFormatting>
  <conditionalFormatting sqref="P292:AA292">
    <cfRule type="expression" dxfId="8637" priority="102">
      <formula>P$1=""</formula>
    </cfRule>
  </conditionalFormatting>
  <conditionalFormatting sqref="P288:AA288 P290:AA290 P292:AA292">
    <cfRule type="expression" dxfId="8636" priority="101">
      <formula>P$1=""</formula>
    </cfRule>
  </conditionalFormatting>
  <conditionalFormatting sqref="P288:AA288 P290:AA290 P292:AA292">
    <cfRule type="expression" dxfId="8635" priority="100">
      <formula>P$1=""</formula>
    </cfRule>
  </conditionalFormatting>
  <conditionalFormatting sqref="P288:AA288 P290:AA290 P292:AA292">
    <cfRule type="expression" dxfId="8634" priority="99">
      <formula>P$1=""</formula>
    </cfRule>
  </conditionalFormatting>
  <conditionalFormatting sqref="P288:AA288 P290:AA290 P292:AA292">
    <cfRule type="expression" dxfId="8633" priority="98">
      <formula>P$1=""</formula>
    </cfRule>
  </conditionalFormatting>
  <conditionalFormatting sqref="P288:AA288 P290:AA290 P292:AA292">
    <cfRule type="expression" dxfId="8632" priority="97">
      <formula>P$1=""</formula>
    </cfRule>
  </conditionalFormatting>
  <conditionalFormatting sqref="P290:AA290 P292:AA292">
    <cfRule type="expression" dxfId="8631" priority="96">
      <formula>P$1=""</formula>
    </cfRule>
  </conditionalFormatting>
  <conditionalFormatting sqref="P288:AA288">
    <cfRule type="expression" dxfId="8630" priority="95">
      <formula>P$1=""</formula>
    </cfRule>
  </conditionalFormatting>
  <conditionalFormatting sqref="P290:AA290 P292:AA292">
    <cfRule type="expression" dxfId="8629" priority="94">
      <formula>P$1=""</formula>
    </cfRule>
  </conditionalFormatting>
  <conditionalFormatting sqref="P290:AA290 P292:AA292">
    <cfRule type="expression" dxfId="8628" priority="93">
      <formula>P$1=""</formula>
    </cfRule>
  </conditionalFormatting>
  <conditionalFormatting sqref="P292:AA292">
    <cfRule type="expression" dxfId="8627" priority="92">
      <formula>P$1=""</formula>
    </cfRule>
  </conditionalFormatting>
  <conditionalFormatting sqref="P292:AA292">
    <cfRule type="expression" dxfId="8626" priority="91">
      <formula>P$1=""</formula>
    </cfRule>
  </conditionalFormatting>
  <conditionalFormatting sqref="P292:AA292">
    <cfRule type="expression" dxfId="8625" priority="90">
      <formula>P$1=""</formula>
    </cfRule>
  </conditionalFormatting>
  <conditionalFormatting sqref="P292:AA292">
    <cfRule type="expression" dxfId="8624" priority="89">
      <formula>P$1=""</formula>
    </cfRule>
  </conditionalFormatting>
  <conditionalFormatting sqref="P286:AA286">
    <cfRule type="expression" dxfId="8623" priority="88">
      <formula>P$1=""</formula>
    </cfRule>
  </conditionalFormatting>
  <conditionalFormatting sqref="P286:AA286">
    <cfRule type="expression" dxfId="8622" priority="87">
      <formula>P$1=""</formula>
    </cfRule>
  </conditionalFormatting>
  <conditionalFormatting sqref="P286:AA286">
    <cfRule type="expression" dxfId="8621" priority="86">
      <formula>P$1=""</formula>
    </cfRule>
  </conditionalFormatting>
  <conditionalFormatting sqref="P286:AA286">
    <cfRule type="expression" dxfId="8620" priority="85">
      <formula>P$1=""</formula>
    </cfRule>
  </conditionalFormatting>
  <conditionalFormatting sqref="P286:AA286">
    <cfRule type="expression" dxfId="8619" priority="84">
      <formula>P$1=""</formula>
    </cfRule>
  </conditionalFormatting>
  <conditionalFormatting sqref="P286:AA286">
    <cfRule type="expression" dxfId="8618" priority="83">
      <formula>P$1=""</formula>
    </cfRule>
  </conditionalFormatting>
  <conditionalFormatting sqref="P286:AA286">
    <cfRule type="expression" dxfId="8617" priority="82">
      <formula>P$1=""</formula>
    </cfRule>
  </conditionalFormatting>
  <conditionalFormatting sqref="P290:AA290 P292:AA292">
    <cfRule type="expression" dxfId="8616" priority="81">
      <formula>P$1=""</formula>
    </cfRule>
  </conditionalFormatting>
  <conditionalFormatting sqref="P290:AA290 P292:AA292">
    <cfRule type="expression" dxfId="8615" priority="80">
      <formula>P$1=""</formula>
    </cfRule>
  </conditionalFormatting>
  <conditionalFormatting sqref="P290:AA290 P292:AA292">
    <cfRule type="expression" dxfId="8614" priority="79">
      <formula>P$1=""</formula>
    </cfRule>
  </conditionalFormatting>
  <conditionalFormatting sqref="P290:AA290 P292:AA292">
    <cfRule type="expression" dxfId="8613" priority="78">
      <formula>P$1=""</formula>
    </cfRule>
  </conditionalFormatting>
  <conditionalFormatting sqref="P292 P290 P288">
    <cfRule type="expression" dxfId="8612" priority="77">
      <formula>P$1=""</formula>
    </cfRule>
  </conditionalFormatting>
  <conditionalFormatting sqref="P292 P290 P288">
    <cfRule type="expression" dxfId="8611" priority="76">
      <formula>P$1=""</formula>
    </cfRule>
  </conditionalFormatting>
  <conditionalFormatting sqref="P292 P290 P288">
    <cfRule type="expression" dxfId="8610" priority="75">
      <formula>P$1=""</formula>
    </cfRule>
  </conditionalFormatting>
  <conditionalFormatting sqref="P286">
    <cfRule type="expression" dxfId="8609" priority="74">
      <formula>P$1=""</formula>
    </cfRule>
  </conditionalFormatting>
  <conditionalFormatting sqref="P286">
    <cfRule type="expression" dxfId="8608" priority="73">
      <formula>P$1=""</formula>
    </cfRule>
  </conditionalFormatting>
  <conditionalFormatting sqref="P286">
    <cfRule type="expression" dxfId="8607" priority="72">
      <formula>P$1=""</formula>
    </cfRule>
  </conditionalFormatting>
  <conditionalFormatting sqref="P286">
    <cfRule type="expression" dxfId="8606" priority="71">
      <formula>P$1=""</formula>
    </cfRule>
  </conditionalFormatting>
  <conditionalFormatting sqref="P286">
    <cfRule type="expression" dxfId="8605" priority="70">
      <formula>P$1=""</formula>
    </cfRule>
  </conditionalFormatting>
  <conditionalFormatting sqref="P286">
    <cfRule type="expression" dxfId="8604" priority="69">
      <formula>P$1=""</formula>
    </cfRule>
  </conditionalFormatting>
  <conditionalFormatting sqref="P286">
    <cfRule type="expression" dxfId="8603" priority="68">
      <formula>P$1=""</formula>
    </cfRule>
  </conditionalFormatting>
  <conditionalFormatting sqref="P286">
    <cfRule type="expression" dxfId="8602" priority="67">
      <formula>P$1=""</formula>
    </cfRule>
  </conditionalFormatting>
  <conditionalFormatting sqref="P286">
    <cfRule type="cellIs" dxfId="8601" priority="66" operator="equal">
      <formula>0</formula>
    </cfRule>
  </conditionalFormatting>
  <conditionalFormatting sqref="P286">
    <cfRule type="expression" dxfId="8600" priority="65">
      <formula>P$1=""</formula>
    </cfRule>
  </conditionalFormatting>
  <conditionalFormatting sqref="P286">
    <cfRule type="expression" dxfId="8599" priority="64">
      <formula>P$1=""</formula>
    </cfRule>
  </conditionalFormatting>
  <conditionalFormatting sqref="P286">
    <cfRule type="expression" dxfId="8598" priority="63">
      <formula>P$1=""</formula>
    </cfRule>
  </conditionalFormatting>
  <conditionalFormatting sqref="P286">
    <cfRule type="expression" dxfId="8597" priority="62">
      <formula>P$1=""</formula>
    </cfRule>
  </conditionalFormatting>
  <conditionalFormatting sqref="P286">
    <cfRule type="expression" dxfId="8596" priority="61">
      <formula>P$1=""</formula>
    </cfRule>
  </conditionalFormatting>
  <conditionalFormatting sqref="P286">
    <cfRule type="expression" dxfId="8595" priority="60">
      <formula>P$1=""</formula>
    </cfRule>
  </conditionalFormatting>
  <conditionalFormatting sqref="P286">
    <cfRule type="expression" dxfId="8594" priority="59">
      <formula>P$1=""</formula>
    </cfRule>
  </conditionalFormatting>
  <conditionalFormatting sqref="P286">
    <cfRule type="expression" dxfId="8593" priority="58">
      <formula>P$1=""</formula>
    </cfRule>
  </conditionalFormatting>
  <conditionalFormatting sqref="P276">
    <cfRule type="expression" dxfId="8592" priority="57">
      <formula>P$1=""</formula>
    </cfRule>
  </conditionalFormatting>
  <conditionalFormatting sqref="P278">
    <cfRule type="expression" dxfId="8591" priority="56">
      <formula>P$1=""</formula>
    </cfRule>
  </conditionalFormatting>
  <conditionalFormatting sqref="P280">
    <cfRule type="expression" dxfId="8590" priority="55">
      <formula>P$1=""</formula>
    </cfRule>
  </conditionalFormatting>
  <conditionalFormatting sqref="P282">
    <cfRule type="expression" dxfId="8589" priority="54">
      <formula>P$1=""</formula>
    </cfRule>
  </conditionalFormatting>
  <conditionalFormatting sqref="P278 P280 P282">
    <cfRule type="expression" dxfId="8588" priority="53">
      <formula>P$1=""</formula>
    </cfRule>
  </conditionalFormatting>
  <conditionalFormatting sqref="P278 P280 P282">
    <cfRule type="expression" dxfId="8587" priority="52">
      <formula>P$1=""</formula>
    </cfRule>
  </conditionalFormatting>
  <conditionalFormatting sqref="P278 P280 P282">
    <cfRule type="expression" dxfId="8586" priority="51">
      <formula>P$1=""</formula>
    </cfRule>
  </conditionalFormatting>
  <conditionalFormatting sqref="P278 P280 P282">
    <cfRule type="expression" dxfId="8585" priority="50">
      <formula>P$1=""</formula>
    </cfRule>
  </conditionalFormatting>
  <conditionalFormatting sqref="P278 P280 P282">
    <cfRule type="expression" dxfId="8584" priority="49">
      <formula>P$1=""</formula>
    </cfRule>
  </conditionalFormatting>
  <conditionalFormatting sqref="P280 P282">
    <cfRule type="expression" dxfId="8583" priority="48">
      <formula>P$1=""</formula>
    </cfRule>
  </conditionalFormatting>
  <conditionalFormatting sqref="P278">
    <cfRule type="expression" dxfId="8582" priority="47">
      <formula>P$1=""</formula>
    </cfRule>
  </conditionalFormatting>
  <conditionalFormatting sqref="P280 P282">
    <cfRule type="expression" dxfId="8581" priority="46">
      <formula>P$1=""</formula>
    </cfRule>
  </conditionalFormatting>
  <conditionalFormatting sqref="P280 P282">
    <cfRule type="expression" dxfId="8580" priority="45">
      <formula>P$1=""</formula>
    </cfRule>
  </conditionalFormatting>
  <conditionalFormatting sqref="P282">
    <cfRule type="expression" dxfId="8579" priority="44">
      <formula>P$1=""</formula>
    </cfRule>
  </conditionalFormatting>
  <conditionalFormatting sqref="P282">
    <cfRule type="expression" dxfId="8578" priority="43">
      <formula>P$1=""</formula>
    </cfRule>
  </conditionalFormatting>
  <conditionalFormatting sqref="P282">
    <cfRule type="expression" dxfId="8577" priority="42">
      <formula>P$1=""</formula>
    </cfRule>
  </conditionalFormatting>
  <conditionalFormatting sqref="P282">
    <cfRule type="expression" dxfId="8576" priority="41">
      <formula>P$1=""</formula>
    </cfRule>
  </conditionalFormatting>
  <conditionalFormatting sqref="P276">
    <cfRule type="expression" dxfId="8575" priority="40">
      <formula>P$1=""</formula>
    </cfRule>
  </conditionalFormatting>
  <conditionalFormatting sqref="P276">
    <cfRule type="expression" dxfId="8574" priority="39">
      <formula>P$1=""</formula>
    </cfRule>
  </conditionalFormatting>
  <conditionalFormatting sqref="P276">
    <cfRule type="expression" dxfId="8573" priority="38">
      <formula>P$1=""</formula>
    </cfRule>
  </conditionalFormatting>
  <conditionalFormatting sqref="P276">
    <cfRule type="expression" dxfId="8572" priority="37">
      <formula>P$1=""</formula>
    </cfRule>
  </conditionalFormatting>
  <conditionalFormatting sqref="P276">
    <cfRule type="expression" dxfId="8571" priority="36">
      <formula>P$1=""</formula>
    </cfRule>
  </conditionalFormatting>
  <conditionalFormatting sqref="P276">
    <cfRule type="expression" dxfId="8570" priority="35">
      <formula>P$1=""</formula>
    </cfRule>
  </conditionalFormatting>
  <conditionalFormatting sqref="P276">
    <cfRule type="expression" dxfId="8569" priority="34">
      <formula>P$1=""</formula>
    </cfRule>
  </conditionalFormatting>
  <conditionalFormatting sqref="P280 P282">
    <cfRule type="expression" dxfId="8568" priority="33">
      <formula>P$1=""</formula>
    </cfRule>
  </conditionalFormatting>
  <conditionalFormatting sqref="P280 P282">
    <cfRule type="expression" dxfId="8567" priority="32">
      <formula>P$1=""</formula>
    </cfRule>
  </conditionalFormatting>
  <conditionalFormatting sqref="P280 P282">
    <cfRule type="expression" dxfId="8566" priority="31">
      <formula>P$1=""</formula>
    </cfRule>
  </conditionalFormatting>
  <conditionalFormatting sqref="P280 P282">
    <cfRule type="expression" dxfId="8565" priority="30">
      <formula>P$1=""</formula>
    </cfRule>
  </conditionalFormatting>
  <conditionalFormatting sqref="P282 P280 P278">
    <cfRule type="expression" dxfId="8564" priority="29">
      <formula>P$1=""</formula>
    </cfRule>
  </conditionalFormatting>
  <conditionalFormatting sqref="P282 P280 P278">
    <cfRule type="expression" dxfId="8563" priority="28">
      <formula>P$1=""</formula>
    </cfRule>
  </conditionalFormatting>
  <conditionalFormatting sqref="P282 P280 P278">
    <cfRule type="expression" dxfId="8562" priority="27">
      <formula>P$1=""</formula>
    </cfRule>
  </conditionalFormatting>
  <conditionalFormatting sqref="P276">
    <cfRule type="cellIs" dxfId="8561" priority="26" operator="equal">
      <formula>0</formula>
    </cfRule>
  </conditionalFormatting>
  <conditionalFormatting sqref="P276">
    <cfRule type="expression" dxfId="8560" priority="25">
      <formula>P$1=""</formula>
    </cfRule>
  </conditionalFormatting>
  <conditionalFormatting sqref="P276">
    <cfRule type="expression" dxfId="8559" priority="24">
      <formula>P$1=""</formula>
    </cfRule>
  </conditionalFormatting>
  <conditionalFormatting sqref="P276">
    <cfRule type="expression" dxfId="8558" priority="23">
      <formula>P$1=""</formula>
    </cfRule>
  </conditionalFormatting>
  <conditionalFormatting sqref="P276">
    <cfRule type="expression" dxfId="8557" priority="22">
      <formula>P$1=""</formula>
    </cfRule>
  </conditionalFormatting>
  <conditionalFormatting sqref="P276">
    <cfRule type="expression" dxfId="8556" priority="21">
      <formula>P$1=""</formula>
    </cfRule>
  </conditionalFormatting>
  <conditionalFormatting sqref="P276">
    <cfRule type="expression" dxfId="8555" priority="20">
      <formula>P$1=""</formula>
    </cfRule>
  </conditionalFormatting>
  <conditionalFormatting sqref="P276">
    <cfRule type="expression" dxfId="8554" priority="19">
      <formula>P$1=""</formula>
    </cfRule>
  </conditionalFormatting>
  <conditionalFormatting sqref="P276">
    <cfRule type="expression" dxfId="8553" priority="18">
      <formula>P$1=""</formula>
    </cfRule>
  </conditionalFormatting>
  <conditionalFormatting sqref="P286">
    <cfRule type="expression" dxfId="8552" priority="17">
      <formula>P$1=""</formula>
    </cfRule>
  </conditionalFormatting>
  <conditionalFormatting sqref="P286">
    <cfRule type="expression" dxfId="8551" priority="16">
      <formula>P$1=""</formula>
    </cfRule>
  </conditionalFormatting>
  <conditionalFormatting sqref="P286">
    <cfRule type="expression" dxfId="8550" priority="15">
      <formula>P$1=""</formula>
    </cfRule>
  </conditionalFormatting>
  <conditionalFormatting sqref="P286">
    <cfRule type="expression" dxfId="8549" priority="14">
      <formula>P$1=""</formula>
    </cfRule>
  </conditionalFormatting>
  <conditionalFormatting sqref="P286">
    <cfRule type="expression" dxfId="8548" priority="13">
      <formula>P$1=""</formula>
    </cfRule>
  </conditionalFormatting>
  <conditionalFormatting sqref="P286">
    <cfRule type="expression" dxfId="8547" priority="12">
      <formula>P$1=""</formula>
    </cfRule>
  </conditionalFormatting>
  <conditionalFormatting sqref="P286">
    <cfRule type="expression" dxfId="8546" priority="11">
      <formula>P$1=""</formula>
    </cfRule>
  </conditionalFormatting>
  <conditionalFormatting sqref="P286">
    <cfRule type="expression" dxfId="8545" priority="10">
      <formula>P$1=""</formula>
    </cfRule>
  </conditionalFormatting>
  <conditionalFormatting sqref="P286">
    <cfRule type="cellIs" dxfId="8544" priority="9" operator="equal">
      <formula>0</formula>
    </cfRule>
  </conditionalFormatting>
  <conditionalFormatting sqref="P286">
    <cfRule type="expression" dxfId="8543" priority="8">
      <formula>P$1=""</formula>
    </cfRule>
  </conditionalFormatting>
  <conditionalFormatting sqref="P286">
    <cfRule type="expression" dxfId="8542" priority="7">
      <formula>P$1=""</formula>
    </cfRule>
  </conditionalFormatting>
  <conditionalFormatting sqref="P286">
    <cfRule type="expression" dxfId="8541" priority="6">
      <formula>P$1=""</formula>
    </cfRule>
  </conditionalFormatting>
  <conditionalFormatting sqref="P286">
    <cfRule type="expression" dxfId="8540" priority="5">
      <formula>P$1=""</formula>
    </cfRule>
  </conditionalFormatting>
  <conditionalFormatting sqref="P286">
    <cfRule type="expression" dxfId="8539" priority="4">
      <formula>P$1=""</formula>
    </cfRule>
  </conditionalFormatting>
  <conditionalFormatting sqref="P286">
    <cfRule type="expression" dxfId="8538" priority="3">
      <formula>P$1=""</formula>
    </cfRule>
  </conditionalFormatting>
  <conditionalFormatting sqref="P286">
    <cfRule type="expression" dxfId="8537" priority="2">
      <formula>P$1=""</formula>
    </cfRule>
  </conditionalFormatting>
  <conditionalFormatting sqref="P286">
    <cfRule type="expression" dxfId="8536" priority="1">
      <formula>P$1=""</formula>
    </cfRule>
  </conditionalFormatting>
  <hyperlinks>
    <hyperlink ref="A1:D1" location="оглавление!A1" tooltip="оглавление" display="оглавление"/>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20</vt:i4>
      </vt:variant>
    </vt:vector>
  </HeadingPairs>
  <TitlesOfParts>
    <vt:vector size="20" baseType="lpstr">
      <vt:lpstr>оглавление</vt:lpstr>
      <vt:lpstr>методология</vt:lpstr>
      <vt:lpstr>капитал</vt:lpstr>
      <vt:lpstr>сметы</vt:lpstr>
      <vt:lpstr>аренда</vt:lpstr>
      <vt:lpstr>сценарии</vt:lpstr>
      <vt:lpstr>ФОТ</vt:lpstr>
      <vt:lpstr>операции</vt:lpstr>
      <vt:lpstr>отчеты</vt:lpstr>
      <vt:lpstr>отч_беседки</vt:lpstr>
      <vt:lpstr>отч_вер_парк</vt:lpstr>
      <vt:lpstr>отч_прокат</vt:lpstr>
      <vt:lpstr>KPI</vt:lpstr>
      <vt:lpstr>структура</vt:lpstr>
      <vt:lpstr>опер1</vt:lpstr>
      <vt:lpstr>отч1</vt:lpstr>
      <vt:lpstr>опер2</vt:lpstr>
      <vt:lpstr>отч2</vt:lpstr>
      <vt:lpstr>опер3</vt:lpstr>
      <vt:lpstr>отч3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2021-05-30T10:32:09Z</dcterms:modified>
</cp:coreProperties>
</file>